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hidden" name="extra" sheetId="2" r:id="rId5"/>
    <sheet state="hidden" name="Copy of Main" sheetId="3" r:id="rId6"/>
    <sheet state="hidden" name="Github2" sheetId="4" r:id="rId7"/>
    <sheet state="hidden" name="Github" sheetId="5" r:id="rId8"/>
  </sheets>
  <definedNames>
    <definedName hidden="1" localSheetId="0" name="Z_810167C6_C4CB_4575_899B_3AFD8CE4E5CA_.wvu.FilterData">Main!$A$1:$O$2215</definedName>
    <definedName hidden="1" localSheetId="0" name="Z_498C7415_862F_4BD2_9FB7_0D50F7143666_.wvu.FilterData">Main!$A$1:$O$2215</definedName>
    <definedName hidden="1" localSheetId="2" name="Z_498C7415_862F_4BD2_9FB7_0D50F7143666_.wvu.FilterData">'Copy of Main'!$A$1:$L$2199</definedName>
  </definedNames>
  <calcPr/>
  <customWorkbookViews>
    <customWorkbookView activeSheetId="0" maximized="1" windowHeight="0" windowWidth="0" guid="{810167C6-C4CB-4575-899B-3AFD8CE4E5CA}" name="Filter 2"/>
    <customWorkbookView activeSheetId="0" maximized="1" windowHeight="0" windowWidth="0" guid="{498C7415-862F-4BD2-9FB7-0D50F7143666}" name="Filter 1"/>
  </customWorkbookViews>
</workbook>
</file>

<file path=xl/sharedStrings.xml><?xml version="1.0" encoding="utf-8"?>
<sst xmlns="http://schemas.openxmlformats.org/spreadsheetml/2006/main" count="99" uniqueCount="28">
  <si>
    <t>Last updated:</t>
  </si>
  <si>
    <t>Q. No.</t>
  </si>
  <si>
    <t>Name / Link</t>
  </si>
  <si>
    <t>Likes
(L)</t>
  </si>
  <si>
    <t>Dislikes
(D)</t>
  </si>
  <si>
    <t>Reactions
(L+D)</t>
  </si>
  <si>
    <t>L/D
Ratio</t>
  </si>
  <si>
    <t>Category</t>
  </si>
  <si>
    <t>Topic Tags</t>
  </si>
  <si>
    <t>Difficulty</t>
  </si>
  <si>
    <t>Free?</t>
  </si>
  <si>
    <t>Has
Solution?</t>
  </si>
  <si>
    <t>Has Video
Solution?</t>
  </si>
  <si>
    <t>Acceptance
Rate</t>
  </si>
  <si>
    <t>Total
Accepted</t>
  </si>
  <si>
    <t>Total
Submitted</t>
  </si>
  <si>
    <t>Done</t>
  </si>
  <si>
    <r>
      <rPr>
        <b/>
        <sz val="15.0"/>
      </rPr>
      <t xml:space="preserve">Star the Github repo: </t>
    </r>
    <r>
      <rPr>
        <b/>
        <color rgb="FF1155CC"/>
        <sz val="15.0"/>
        <u/>
      </rPr>
      <t>https://github.com/adixmr/leetcode</t>
    </r>
  </si>
  <si>
    <r>
      <rPr>
        <rFont val="Roboto, RobotoDraft, Helvetica, Arial, sans-serif"/>
        <b/>
        <color rgb="FF000000"/>
        <sz val="15.0"/>
      </rPr>
      <t xml:space="preserve">Connect with me here: </t>
    </r>
    <r>
      <rPr>
        <rFont val="Roboto, RobotoDraft, Helvetica, Arial, sans-serif"/>
        <b/>
        <color rgb="FF1155CC"/>
        <sz val="15.0"/>
        <u/>
      </rPr>
      <t>https://www.linkedin.com/in/aditya-kumar-rajput/</t>
    </r>
  </si>
  <si>
    <t>Question No.</t>
  </si>
  <si>
    <t>Likes (L)</t>
  </si>
  <si>
    <t>Dislikes (D)</t>
  </si>
  <si>
    <t>Reactions (L+D)</t>
  </si>
  <si>
    <t>L/D Ratio</t>
  </si>
  <si>
    <t>Paid?</t>
  </si>
  <si>
    <t>Acceptance Rate</t>
  </si>
  <si>
    <t>Total Accepted</t>
  </si>
  <si>
    <t>Total Submitted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</si>
</sst>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b/>
      <u/>
      <sz val="15.0"/>
      <color rgb="FF0000FF"/>
    </font>
    <font>
      <b/>
      <sz val="15.0"/>
      <color rgb="FF000000"/>
      <name val="Arial"/>
      <scheme val="minor"/>
    </font>
    <font>
      <sz val="15.0"/>
      <color theme="1"/>
      <name val="Arial"/>
      <scheme val="minor"/>
    </font>
    <font>
      <b/>
      <u/>
      <sz val="15.0"/>
      <color rgb="FF1155CC"/>
    </font>
    <font>
      <b/>
      <sz val="15.0"/>
      <color theme="7"/>
      <name val="Arial"/>
      <scheme val="minor"/>
    </font>
    <font>
      <b/>
      <sz val="12.0"/>
      <color theme="1"/>
      <name val="Arial"/>
      <scheme val="minor"/>
    </font>
    <font>
      <sz val="10.0"/>
      <color theme="1"/>
      <name val="Arial"/>
      <scheme val="minor"/>
    </font>
    <font>
      <u/>
      <sz val="10.0"/>
      <color rgb="FF0000FF"/>
    </font>
    <font>
      <color theme="1"/>
      <name val="Arial"/>
      <scheme val="minor"/>
    </font>
    <font>
      <b/>
      <u/>
      <sz val="15.0"/>
      <color rgb="FF0000FF"/>
    </font>
    <font>
      <b/>
      <sz val="15.0"/>
      <color rgb="FF000000"/>
      <name val="Roboto"/>
    </font>
    <font>
      <b/>
      <u/>
      <sz val="15.0"/>
      <color rgb="FF000000"/>
      <name val="Roboto"/>
    </font>
    <font>
      <u/>
      <color rgb="FF0000FF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Font="1"/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horizontal="center" readingOrder="0" vertical="center"/>
    </xf>
    <xf borderId="0" fillId="0" fontId="8" numFmtId="0" xfId="0" applyAlignment="1" applyFont="1">
      <alignment horizontal="center"/>
    </xf>
    <xf borderId="0" fillId="0" fontId="9" numFmtId="0" xfId="0" applyAlignment="1" applyFont="1">
      <alignment horizontal="left"/>
    </xf>
    <xf borderId="0" fillId="2" fontId="0" numFmtId="0" xfId="0" applyAlignment="1" applyFill="1" applyFont="1">
      <alignment horizontal="center"/>
    </xf>
    <xf borderId="0" fillId="2" fontId="8" numFmtId="0" xfId="0" applyFont="1"/>
    <xf borderId="0" fillId="0" fontId="8" numFmtId="0" xfId="0" applyAlignment="1" applyFont="1">
      <alignment horizontal="left"/>
    </xf>
    <xf borderId="0" fillId="0" fontId="10" numFmtId="0" xfId="0" applyAlignment="1" applyFont="1">
      <alignment readingOrder="0"/>
    </xf>
    <xf borderId="0" fillId="0" fontId="11" numFmtId="0" xfId="0" applyAlignment="1" applyFont="1">
      <alignment horizontal="left" readingOrder="0"/>
    </xf>
    <xf borderId="0" fillId="0" fontId="12" numFmtId="0" xfId="0" applyAlignment="1" applyFont="1">
      <alignment horizontal="center" readingOrder="0"/>
    </xf>
    <xf borderId="0" fillId="0" fontId="13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10" numFmtId="0" xfId="0" applyAlignment="1" applyFont="1">
      <alignment horizontal="center"/>
    </xf>
    <xf borderId="0" fillId="0" fontId="14" numFmtId="0" xfId="0" applyAlignment="1" applyFont="1">
      <alignment horizontal="center"/>
    </xf>
    <xf borderId="0" fillId="2" fontId="15" numFmtId="0" xfId="0" applyAlignment="1" applyFont="1">
      <alignment horizontal="center"/>
    </xf>
    <xf borderId="0" fillId="0" fontId="10" numFmtId="0" xfId="0" applyFont="1"/>
  </cellXfs>
  <cellStyles count="1">
    <cellStyle xfId="0" name="Normal" builtinId="0"/>
  </cellStyles>
  <dxfs count="3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dixmr/leetcode" TargetMode="External"/><Relationship Id="rId2" Type="http://schemas.openxmlformats.org/officeDocument/2006/relationships/hyperlink" Target="https://www.linkedin.com/in/aditya-kumar-rajput/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7.5"/>
    <col customWidth="1" min="2" max="2" width="26.0"/>
    <col customWidth="1" min="3" max="3" width="8.5"/>
    <col customWidth="1" min="4" max="4" width="9.25"/>
    <col customWidth="1" min="5" max="5" width="10.38"/>
    <col customWidth="1" min="6" max="6" width="9.0"/>
    <col customWidth="1" min="7" max="7" width="10.13"/>
    <col customWidth="1" min="8" max="8" width="28.13"/>
    <col customWidth="1" min="9" max="9" width="11.88"/>
    <col customWidth="1" min="10" max="10" width="7.13"/>
    <col customWidth="1" min="11" max="11" width="12.0"/>
    <col customWidth="1" min="12" max="12" width="11.38"/>
    <col customWidth="1" min="13" max="13" width="16.13"/>
    <col customWidth="1" min="14" max="15" width="15.0"/>
  </cols>
  <sheetData>
    <row r="1" ht="24.0" customHeight="1">
      <c r="A1" s="1"/>
      <c r="B1" s="2" t="str">
        <f>HYPERLINK("https://github.com/adixmr/leetcode","Click to star the Github Repo")</f>
        <v>Click to star the Github Repo</v>
      </c>
      <c r="C1" s="3"/>
      <c r="D1" s="3"/>
      <c r="E1" s="4"/>
      <c r="F1" s="4"/>
      <c r="G1" s="5"/>
      <c r="H1" s="6" t="str">
        <f>HYPERLINK("https://www.linkedin.com/in/aditya-kumar-rajput/","Connect/Follow on LinkedIn")</f>
        <v>Connect/Follow on LinkedIn</v>
      </c>
      <c r="I1" s="4"/>
      <c r="J1" s="4"/>
      <c r="K1" s="7"/>
      <c r="L1" s="7"/>
      <c r="M1" s="7" t="s">
        <v>0</v>
      </c>
      <c r="N1" s="8" t="str">
        <f>SUBSTITUTE(MID(Github!BQ$3000, 12, 16), "T", " ") &amp; " (GMT)"</f>
        <v>2022-04-28 12:30 (GMT)</v>
      </c>
      <c r="O1" s="4"/>
    </row>
    <row r="2" ht="30.75" customHeight="1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</row>
    <row r="3">
      <c r="A3" s="10">
        <f>Github!J$2</f>
        <v>1</v>
      </c>
      <c r="B3" s="11" t="str">
        <f>HYPERLINK(CONCAT("http://leetcode.com/problems/",Github!C$2), Github!B$2)</f>
        <v>Two Sum</v>
      </c>
      <c r="C3" s="10">
        <f>Github!F$2</f>
        <v>31616</v>
      </c>
      <c r="D3" s="10">
        <f>Github!G$2</f>
        <v>1003</v>
      </c>
      <c r="E3" s="10">
        <f>Github!F$2+Github!G$2</f>
        <v>32619</v>
      </c>
      <c r="F3" s="12">
        <f t="shared" ref="F3:F2215" si="1">IFERROR(ROUND(C3/D3, 2), C3)</f>
        <v>31.52</v>
      </c>
      <c r="G3" s="10" t="str">
        <f>Github!H$2</f>
        <v>Algorithms</v>
      </c>
      <c r="H3" s="13" t="str">
        <f>SUBSTITUTE(Github!L$2, ";", ", ")</f>
        <v>Array, Hash Table, </v>
      </c>
      <c r="I3" s="10" t="str">
        <f>Github!E$2</f>
        <v>Easy</v>
      </c>
      <c r="J3" s="10" t="str">
        <f>IF(TRIM(Github!D$2)="TRUE","FALSE","TRUE")</f>
        <v>TRUE</v>
      </c>
      <c r="K3" s="10" t="b">
        <f>Github!M$2</f>
        <v>1</v>
      </c>
      <c r="L3" s="10" t="b">
        <f>Github!N$2</f>
        <v>1</v>
      </c>
      <c r="M3" s="10" t="str">
        <f>ROUND(Github!O$2, 2)&amp;"%"</f>
        <v>48.53%</v>
      </c>
      <c r="N3" s="10">
        <f>Github!P$2</f>
        <v>6491496</v>
      </c>
      <c r="O3" s="10">
        <f>Github!Q$2</f>
        <v>13376599</v>
      </c>
    </row>
    <row r="4">
      <c r="A4" s="10">
        <f>Github!J$4</f>
        <v>3</v>
      </c>
      <c r="B4" s="11" t="str">
        <f>HYPERLINK(CONCAT("http://leetcode.com/problems/",Github!C$4), Github!B$4)</f>
        <v>Longest Substring Without Repeating Characters</v>
      </c>
      <c r="C4" s="10">
        <f>Github!F$4</f>
        <v>23222</v>
      </c>
      <c r="D4" s="10">
        <f>Github!G$4</f>
        <v>1045</v>
      </c>
      <c r="E4" s="10">
        <f>Github!F$4+Github!G$4</f>
        <v>24267</v>
      </c>
      <c r="F4" s="12">
        <f t="shared" si="1"/>
        <v>22.22</v>
      </c>
      <c r="G4" s="10" t="str">
        <f>Github!H$4</f>
        <v>Algorithms</v>
      </c>
      <c r="H4" s="13" t="str">
        <f>SUBSTITUTE(Github!L$4, ";", ", ")</f>
        <v>Hash Table, String, Sliding Window, </v>
      </c>
      <c r="I4" s="10" t="str">
        <f>Github!E$4</f>
        <v>Medium</v>
      </c>
      <c r="J4" s="10" t="str">
        <f>IF(TRIM(Github!D$4)="TRUE","FALSE","TRUE")</f>
        <v>TRUE</v>
      </c>
      <c r="K4" s="10" t="b">
        <f>Github!M$4</f>
        <v>1</v>
      </c>
      <c r="L4" s="10" t="b">
        <f>Github!N$4</f>
        <v>1</v>
      </c>
      <c r="M4" s="10" t="str">
        <f>ROUND(Github!O$4, 2)&amp;"%"</f>
        <v>33.04%</v>
      </c>
      <c r="N4" s="10">
        <f>Github!P$4</f>
        <v>3215433</v>
      </c>
      <c r="O4" s="10">
        <f>Github!Q$4</f>
        <v>9733375</v>
      </c>
    </row>
    <row r="5">
      <c r="A5" s="10">
        <f>Github!J$54</f>
        <v>53</v>
      </c>
      <c r="B5" s="11" t="str">
        <f>HYPERLINK(CONCAT("http://leetcode.com/problems/",Github!C$54), Github!B$54)</f>
        <v>Maximum Subarray</v>
      </c>
      <c r="C5" s="10">
        <f>Github!F$54</f>
        <v>20174</v>
      </c>
      <c r="D5" s="10">
        <f>Github!G$54</f>
        <v>988</v>
      </c>
      <c r="E5" s="10">
        <f>Github!F$54+Github!G$54</f>
        <v>21162</v>
      </c>
      <c r="F5" s="12">
        <f t="shared" si="1"/>
        <v>20.42</v>
      </c>
      <c r="G5" s="10" t="str">
        <f>Github!H$54</f>
        <v>Algorithms</v>
      </c>
      <c r="H5" s="13" t="str">
        <f>SUBSTITUTE(Github!L$54, ";", ", ")</f>
        <v>Array, Divide and Conquer, Dynamic Programming, </v>
      </c>
      <c r="I5" s="10" t="str">
        <f>Github!E$54</f>
        <v>Easy</v>
      </c>
      <c r="J5" s="10" t="str">
        <f>IF(TRIM(Github!D$54)="TRUE","FALSE","TRUE")</f>
        <v>TRUE</v>
      </c>
      <c r="K5" s="10" t="b">
        <f>Github!M$54</f>
        <v>1</v>
      </c>
      <c r="L5" s="10" t="b">
        <f>Github!N$54</f>
        <v>0</v>
      </c>
      <c r="M5" s="10" t="str">
        <f>ROUND(Github!O$54, 2)&amp;"%"</f>
        <v>49.51%</v>
      </c>
      <c r="N5" s="10">
        <f>Github!P$54</f>
        <v>2279701</v>
      </c>
      <c r="O5" s="10">
        <f>Github!Q$54</f>
        <v>4604634</v>
      </c>
    </row>
    <row r="6">
      <c r="A6" s="10">
        <f>Github!J$43</f>
        <v>42</v>
      </c>
      <c r="B6" s="11" t="str">
        <f>HYPERLINK(CONCAT("http://leetcode.com/problems/",Github!C$43), Github!B$43)</f>
        <v>Trapping Rain Water</v>
      </c>
      <c r="C6" s="10">
        <f>Github!F$43</f>
        <v>18075</v>
      </c>
      <c r="D6" s="10">
        <f>Github!G$43</f>
        <v>255</v>
      </c>
      <c r="E6" s="10">
        <f>Github!F$43+Github!G$43</f>
        <v>18330</v>
      </c>
      <c r="F6" s="12">
        <f t="shared" si="1"/>
        <v>70.88</v>
      </c>
      <c r="G6" s="10" t="str">
        <f>Github!H$43</f>
        <v>Algorithms</v>
      </c>
      <c r="H6" s="13" t="str">
        <f>SUBSTITUTE(Github!L$43, ";", ", ")</f>
        <v>Array, Two Pointers, Dynamic Programming, Stack, Monotonic Stack, </v>
      </c>
      <c r="I6" s="10" t="str">
        <f>Github!E$43</f>
        <v>Hard</v>
      </c>
      <c r="J6" s="10" t="str">
        <f>IF(TRIM(Github!D$43)="TRUE","FALSE","TRUE")</f>
        <v>TRUE</v>
      </c>
      <c r="K6" s="10" t="b">
        <f>Github!M$43</f>
        <v>1</v>
      </c>
      <c r="L6" s="10" t="b">
        <f>Github!N$43</f>
        <v>0</v>
      </c>
      <c r="M6" s="10" t="str">
        <f>ROUND(Github!O$43, 2)&amp;"%"</f>
        <v>56.46%</v>
      </c>
      <c r="N6" s="10">
        <f>Github!P$43</f>
        <v>1101626</v>
      </c>
      <c r="O6" s="10">
        <f>Github!Q$43</f>
        <v>1951218</v>
      </c>
    </row>
    <row r="7">
      <c r="A7" s="10">
        <f>Github!J$3</f>
        <v>2</v>
      </c>
      <c r="B7" s="11" t="str">
        <f>HYPERLINK(CONCAT("http://leetcode.com/problems/",Github!C$3), Github!B$3)</f>
        <v>Add Two Numbers</v>
      </c>
      <c r="C7" s="10">
        <f>Github!F$3</f>
        <v>18020</v>
      </c>
      <c r="D7" s="10">
        <f>Github!G$3</f>
        <v>3710</v>
      </c>
      <c r="E7" s="10">
        <f>Github!F$3+Github!G$3</f>
        <v>21730</v>
      </c>
      <c r="F7" s="12">
        <f t="shared" si="1"/>
        <v>4.86</v>
      </c>
      <c r="G7" s="10" t="str">
        <f>Github!H$3</f>
        <v>Algorithms</v>
      </c>
      <c r="H7" s="13" t="str">
        <f>SUBSTITUTE(Github!L$3, ";", ", ")</f>
        <v>Linked List, Math, Recursion, </v>
      </c>
      <c r="I7" s="10" t="str">
        <f>Github!E$3</f>
        <v>Medium</v>
      </c>
      <c r="J7" s="10" t="str">
        <f>IF(TRIM(Github!D$3)="TRUE","FALSE","TRUE")</f>
        <v>TRUE</v>
      </c>
      <c r="K7" s="10" t="b">
        <f>Github!M$3</f>
        <v>1</v>
      </c>
      <c r="L7" s="10" t="b">
        <f>Github!N$3</f>
        <v>0</v>
      </c>
      <c r="M7" s="10" t="str">
        <f>ROUND(Github!O$3, 2)&amp;"%"</f>
        <v>38.58%</v>
      </c>
      <c r="N7" s="10">
        <f>Github!P$3</f>
        <v>2718486</v>
      </c>
      <c r="O7" s="10">
        <f>Github!Q$3</f>
        <v>7046603</v>
      </c>
    </row>
    <row r="8">
      <c r="A8" s="10">
        <f>Github!J$16</f>
        <v>15</v>
      </c>
      <c r="B8" s="11" t="str">
        <f>HYPERLINK(CONCAT("http://leetcode.com/problems/",Github!C$16), Github!B$16)</f>
        <v>3Sum</v>
      </c>
      <c r="C8" s="10">
        <f>Github!F$16</f>
        <v>17454</v>
      </c>
      <c r="D8" s="10">
        <f>Github!G$16</f>
        <v>1677</v>
      </c>
      <c r="E8" s="10">
        <f>Github!F$16+Github!G$16</f>
        <v>19131</v>
      </c>
      <c r="F8" s="12">
        <f t="shared" si="1"/>
        <v>10.41</v>
      </c>
      <c r="G8" s="10" t="str">
        <f>Github!H$16</f>
        <v>Algorithms</v>
      </c>
      <c r="H8" s="13" t="str">
        <f>SUBSTITUTE(Github!L$16, ";", ", ")</f>
        <v>Array, Two Pointers, Sorting, </v>
      </c>
      <c r="I8" s="10" t="str">
        <f>Github!E$16</f>
        <v>Medium</v>
      </c>
      <c r="J8" s="10" t="str">
        <f>IF(TRIM(Github!D$16)="TRUE","FALSE","TRUE")</f>
        <v>TRUE</v>
      </c>
      <c r="K8" s="10" t="b">
        <f>Github!M$16</f>
        <v>1</v>
      </c>
      <c r="L8" s="10" t="b">
        <f>Github!N$16</f>
        <v>0</v>
      </c>
      <c r="M8" s="10" t="str">
        <f>ROUND(Github!O$16, 2)&amp;"%"</f>
        <v>31.05%</v>
      </c>
      <c r="N8" s="10">
        <f>Github!P$16</f>
        <v>1910280</v>
      </c>
      <c r="O8" s="10">
        <f>Github!Q$16</f>
        <v>6151585</v>
      </c>
    </row>
    <row r="9">
      <c r="A9" s="10">
        <f>Github!J$6</f>
        <v>5</v>
      </c>
      <c r="B9" s="11" t="str">
        <f>HYPERLINK(CONCAT("http://leetcode.com/problems/",Github!C$6), Github!B$6)</f>
        <v>Longest Palindromic Substring</v>
      </c>
      <c r="C9" s="10">
        <f>Github!F$6</f>
        <v>17286</v>
      </c>
      <c r="D9" s="10">
        <f>Github!G$6</f>
        <v>1028</v>
      </c>
      <c r="E9" s="10">
        <f>Github!F$6+Github!G$6</f>
        <v>18314</v>
      </c>
      <c r="F9" s="12">
        <f t="shared" si="1"/>
        <v>16.82</v>
      </c>
      <c r="G9" s="10" t="str">
        <f>Github!H$6</f>
        <v>Algorithms</v>
      </c>
      <c r="H9" s="13" t="str">
        <f>SUBSTITUTE(Github!L$6, ";", ", ")</f>
        <v>String, Dynamic Programming, </v>
      </c>
      <c r="I9" s="10" t="str">
        <f>Github!E$6</f>
        <v>Medium</v>
      </c>
      <c r="J9" s="10" t="str">
        <f>IF(TRIM(Github!D$6)="TRUE","FALSE","TRUE")</f>
        <v>TRUE</v>
      </c>
      <c r="K9" s="10" t="b">
        <f>Github!M$6</f>
        <v>1</v>
      </c>
      <c r="L9" s="10" t="b">
        <f>Github!N$6</f>
        <v>0</v>
      </c>
      <c r="M9" s="10" t="str">
        <f>ROUND(Github!O$6, 2)&amp;"%"</f>
        <v>31.77%</v>
      </c>
      <c r="N9" s="10">
        <f>Github!P$6</f>
        <v>1802014</v>
      </c>
      <c r="O9" s="10">
        <f>Github!Q$6</f>
        <v>5672320</v>
      </c>
    </row>
    <row r="10">
      <c r="A10" s="10">
        <f>Github!J$12</f>
        <v>11</v>
      </c>
      <c r="B10" s="11" t="str">
        <f>HYPERLINK(CONCAT("http://leetcode.com/problems/",Github!C$12), Github!B$12)</f>
        <v>Container With Most Water</v>
      </c>
      <c r="C10" s="10">
        <f>Github!F$12</f>
        <v>16625</v>
      </c>
      <c r="D10" s="10">
        <f>Github!G$12</f>
        <v>942</v>
      </c>
      <c r="E10" s="10">
        <f>Github!F$12+Github!G$12</f>
        <v>17567</v>
      </c>
      <c r="F10" s="12">
        <f t="shared" si="1"/>
        <v>17.65</v>
      </c>
      <c r="G10" s="10" t="str">
        <f>Github!H$12</f>
        <v>Algorithms</v>
      </c>
      <c r="H10" s="13" t="str">
        <f>SUBSTITUTE(Github!L$12, ";", ", ")</f>
        <v>Array, Two Pointers, Greedy, </v>
      </c>
      <c r="I10" s="10" t="str">
        <f>Github!E$12</f>
        <v>Medium</v>
      </c>
      <c r="J10" s="10" t="str">
        <f>IF(TRIM(Github!D$12)="TRUE","FALSE","TRUE")</f>
        <v>TRUE</v>
      </c>
      <c r="K10" s="10" t="b">
        <f>Github!M$12</f>
        <v>1</v>
      </c>
      <c r="L10" s="10" t="b">
        <f>Github!N$12</f>
        <v>1</v>
      </c>
      <c r="M10" s="10" t="str">
        <f>ROUND(Github!O$12, 2)&amp;"%"</f>
        <v>53.93%</v>
      </c>
      <c r="N10" s="10">
        <f>Github!P$12</f>
        <v>1460255</v>
      </c>
      <c r="O10" s="10">
        <f>Github!Q$12</f>
        <v>2707873</v>
      </c>
    </row>
    <row r="11">
      <c r="A11" s="10">
        <f>Github!J$5</f>
        <v>4</v>
      </c>
      <c r="B11" s="11" t="str">
        <f>HYPERLINK(CONCAT("http://leetcode.com/problems/",Github!C$5), Github!B$5)</f>
        <v>Median of Two Sorted Arrays</v>
      </c>
      <c r="C11" s="10">
        <f>Github!F$5</f>
        <v>16171</v>
      </c>
      <c r="D11" s="10">
        <f>Github!G$5</f>
        <v>1984</v>
      </c>
      <c r="E11" s="10">
        <f>Github!F$5+Github!G$5</f>
        <v>18155</v>
      </c>
      <c r="F11" s="12">
        <f t="shared" si="1"/>
        <v>8.15</v>
      </c>
      <c r="G11" s="10" t="str">
        <f>Github!H$5</f>
        <v>Algorithms</v>
      </c>
      <c r="H11" s="13" t="str">
        <f>SUBSTITUTE(Github!L$5, ";", ", ")</f>
        <v>Array, Binary Search, Divide and Conquer, </v>
      </c>
      <c r="I11" s="10" t="str">
        <f>Github!E$5</f>
        <v>Hard</v>
      </c>
      <c r="J11" s="10" t="str">
        <f>IF(TRIM(Github!D$5)="TRUE","FALSE","TRUE")</f>
        <v>TRUE</v>
      </c>
      <c r="K11" s="10" t="b">
        <f>Github!M$5</f>
        <v>0</v>
      </c>
      <c r="L11" s="10" t="b">
        <f>Github!N$5</f>
        <v>0</v>
      </c>
      <c r="M11" s="10" t="str">
        <f>ROUND(Github!O$5, 2)&amp;"%"</f>
        <v>34.08%</v>
      </c>
      <c r="N11" s="10">
        <f>Github!P$5</f>
        <v>1357363</v>
      </c>
      <c r="O11" s="10">
        <f>Github!Q$5</f>
        <v>3983175</v>
      </c>
    </row>
    <row r="12">
      <c r="A12" s="10">
        <f>Github!J$122</f>
        <v>121</v>
      </c>
      <c r="B12" s="11" t="str">
        <f>HYPERLINK(CONCAT("http://leetcode.com/problems/",Github!C$122), Github!B$122)</f>
        <v>Best Time to Buy and Sell Stock</v>
      </c>
      <c r="C12" s="10">
        <f>Github!F$122</f>
        <v>15703</v>
      </c>
      <c r="D12" s="10">
        <f>Github!G$122</f>
        <v>528</v>
      </c>
      <c r="E12" s="10">
        <f>Github!F$122+Github!G$122</f>
        <v>16231</v>
      </c>
      <c r="F12" s="12">
        <f t="shared" si="1"/>
        <v>29.74</v>
      </c>
      <c r="G12" s="10" t="str">
        <f>Github!H$122</f>
        <v>Algorithms</v>
      </c>
      <c r="H12" s="13" t="str">
        <f>SUBSTITUTE(Github!L$122, ";", ", ")</f>
        <v>Array, Dynamic Programming, </v>
      </c>
      <c r="I12" s="10" t="str">
        <f>Github!E$122</f>
        <v>Easy</v>
      </c>
      <c r="J12" s="10" t="str">
        <f>IF(TRIM(Github!D$122)="TRUE","FALSE","TRUE")</f>
        <v>TRUE</v>
      </c>
      <c r="K12" s="10" t="b">
        <f>Github!M$122</f>
        <v>1</v>
      </c>
      <c r="L12" s="10" t="b">
        <f>Github!N$122</f>
        <v>1</v>
      </c>
      <c r="M12" s="10" t="str">
        <f>ROUND(Github!O$122, 2)&amp;"%"</f>
        <v>54.04%</v>
      </c>
      <c r="N12" s="10">
        <f>Github!P$122</f>
        <v>2114745</v>
      </c>
      <c r="O12" s="10">
        <f>Github!Q$122</f>
        <v>3913502</v>
      </c>
    </row>
    <row r="13">
      <c r="A13" s="10">
        <f>Github!J$34</f>
        <v>33</v>
      </c>
      <c r="B13" s="11" t="str">
        <f>HYPERLINK(CONCAT("http://leetcode.com/problems/",Github!C$34), Github!B$34)</f>
        <v>Search in Rotated Sorted Array</v>
      </c>
      <c r="C13" s="10">
        <f>Github!F$34</f>
        <v>13963</v>
      </c>
      <c r="D13" s="10">
        <f>Github!G$34</f>
        <v>887</v>
      </c>
      <c r="E13" s="10">
        <f>Github!F$34+Github!G$34</f>
        <v>14850</v>
      </c>
      <c r="F13" s="12">
        <f t="shared" si="1"/>
        <v>15.74</v>
      </c>
      <c r="G13" s="10" t="str">
        <f>Github!H$34</f>
        <v>Algorithms</v>
      </c>
      <c r="H13" s="13" t="str">
        <f>SUBSTITUTE(Github!L$34, ";", ", ")</f>
        <v>Array, Binary Search, </v>
      </c>
      <c r="I13" s="10" t="str">
        <f>Github!E$34</f>
        <v>Medium</v>
      </c>
      <c r="J13" s="10" t="str">
        <f>IF(TRIM(Github!D$34)="TRUE","FALSE","TRUE")</f>
        <v>TRUE</v>
      </c>
      <c r="K13" s="10" t="b">
        <f>Github!M$34</f>
        <v>1</v>
      </c>
      <c r="L13" s="10" t="b">
        <f>Github!N$34</f>
        <v>0</v>
      </c>
      <c r="M13" s="10" t="str">
        <f>ROUND(Github!O$34, 2)&amp;"%"</f>
        <v>37.77%</v>
      </c>
      <c r="N13" s="10">
        <f>Github!P$34</f>
        <v>1449722</v>
      </c>
      <c r="O13" s="10">
        <f>Github!Q$34</f>
        <v>3838025</v>
      </c>
    </row>
    <row r="14">
      <c r="A14" s="10">
        <f>Github!J$288</f>
        <v>287</v>
      </c>
      <c r="B14" s="11" t="str">
        <f>HYPERLINK(CONCAT("http://leetcode.com/problems/",Github!C$288), Github!B$288)</f>
        <v>Find the Duplicate Number</v>
      </c>
      <c r="C14" s="10">
        <f>Github!F$288</f>
        <v>13493</v>
      </c>
      <c r="D14" s="10">
        <f>Github!G$288</f>
        <v>1550</v>
      </c>
      <c r="E14" s="10">
        <f>Github!F$288+Github!G$288</f>
        <v>15043</v>
      </c>
      <c r="F14" s="12">
        <f t="shared" si="1"/>
        <v>8.71</v>
      </c>
      <c r="G14" s="10" t="str">
        <f>Github!H$288</f>
        <v>Algorithms</v>
      </c>
      <c r="H14" s="13" t="str">
        <f>SUBSTITUTE(Github!L$288, ";", ", ")</f>
        <v>Array, Two Pointers, Binary Search, Bit Manipulation, </v>
      </c>
      <c r="I14" s="10" t="str">
        <f>Github!E$288</f>
        <v>Medium</v>
      </c>
      <c r="J14" s="10" t="str">
        <f>IF(TRIM(Github!D$288)="TRUE","FALSE","TRUE")</f>
        <v>TRUE</v>
      </c>
      <c r="K14" s="10" t="b">
        <f>Github!M$288</f>
        <v>1</v>
      </c>
      <c r="L14" s="10" t="b">
        <f>Github!N$288</f>
        <v>0</v>
      </c>
      <c r="M14" s="10" t="str">
        <f>ROUND(Github!O$288, 2)&amp;"%"</f>
        <v>58.81%</v>
      </c>
      <c r="N14" s="10">
        <f>Github!P$288</f>
        <v>823939</v>
      </c>
      <c r="O14" s="10">
        <f>Github!Q$288</f>
        <v>1400991</v>
      </c>
    </row>
    <row r="15">
      <c r="A15" s="10">
        <f>Github!J$201</f>
        <v>200</v>
      </c>
      <c r="B15" s="11" t="str">
        <f>HYPERLINK(CONCAT("http://leetcode.com/problems/",Github!C$201), Github!B$201)</f>
        <v>Number of Islands</v>
      </c>
      <c r="C15" s="10">
        <f>Github!F$201</f>
        <v>13396</v>
      </c>
      <c r="D15" s="10">
        <f>Github!G$201</f>
        <v>319</v>
      </c>
      <c r="E15" s="10">
        <f>Github!F$201+Github!G$201</f>
        <v>13715</v>
      </c>
      <c r="F15" s="12">
        <f t="shared" si="1"/>
        <v>41.99</v>
      </c>
      <c r="G15" s="10" t="str">
        <f>Github!H$201</f>
        <v>Algorithms</v>
      </c>
      <c r="H15" s="13" t="str">
        <f>SUBSTITUTE(Github!L$201, ";", ", ")</f>
        <v>Array, Depth-First Search, Breadth-First Search, Union Find, Matrix, </v>
      </c>
      <c r="I15" s="10" t="str">
        <f>Github!E$201</f>
        <v>Medium</v>
      </c>
      <c r="J15" s="10" t="str">
        <f>IF(TRIM(Github!D$201)="TRUE","FALSE","TRUE")</f>
        <v>TRUE</v>
      </c>
      <c r="K15" s="10" t="b">
        <f>Github!M$201</f>
        <v>1</v>
      </c>
      <c r="L15" s="10" t="b">
        <f>Github!N$201</f>
        <v>0</v>
      </c>
      <c r="M15" s="10" t="str">
        <f>ROUND(Github!O$201, 2)&amp;"%"</f>
        <v>53.88%</v>
      </c>
      <c r="N15" s="10">
        <f>Github!P$201</f>
        <v>1537180</v>
      </c>
      <c r="O15" s="10">
        <f>Github!Q$201</f>
        <v>2853170</v>
      </c>
    </row>
    <row r="16">
      <c r="A16" s="10">
        <f>Github!J$57</f>
        <v>56</v>
      </c>
      <c r="B16" s="11" t="str">
        <f>HYPERLINK(CONCAT("http://leetcode.com/problems/",Github!C$57), Github!B$57)</f>
        <v>Merge Intervals</v>
      </c>
      <c r="C16" s="10">
        <f>Github!F$57</f>
        <v>13275</v>
      </c>
      <c r="D16" s="10">
        <f>Github!G$57</f>
        <v>515</v>
      </c>
      <c r="E16" s="10">
        <f>Github!F$57+Github!G$57</f>
        <v>13790</v>
      </c>
      <c r="F16" s="12">
        <f t="shared" si="1"/>
        <v>25.78</v>
      </c>
      <c r="G16" s="10" t="str">
        <f>Github!H$57</f>
        <v>Algorithms</v>
      </c>
      <c r="H16" s="13" t="str">
        <f>SUBSTITUTE(Github!L$57, ";", ", ")</f>
        <v>Array, Sorting, </v>
      </c>
      <c r="I16" s="10" t="str">
        <f>Github!E$57</f>
        <v>Medium</v>
      </c>
      <c r="J16" s="10" t="str">
        <f>IF(TRIM(Github!D$57)="TRUE","FALSE","TRUE")</f>
        <v>TRUE</v>
      </c>
      <c r="K16" s="10" t="b">
        <f>Github!M$57</f>
        <v>1</v>
      </c>
      <c r="L16" s="10" t="b">
        <f>Github!N$57</f>
        <v>1</v>
      </c>
      <c r="M16" s="10" t="str">
        <f>ROUND(Github!O$57, 2)&amp;"%"</f>
        <v>44.88%</v>
      </c>
      <c r="N16" s="10">
        <f>Github!P$57</f>
        <v>1407745</v>
      </c>
      <c r="O16" s="10">
        <f>Github!Q$57</f>
        <v>3136705</v>
      </c>
    </row>
    <row r="17">
      <c r="A17" s="10">
        <f>Github!J$561</f>
        <v>560</v>
      </c>
      <c r="B17" s="11" t="str">
        <f>HYPERLINK(CONCAT("http://leetcode.com/problems/",Github!C$561), Github!B$561)</f>
        <v>Subarray Sum Equals K</v>
      </c>
      <c r="C17" s="10">
        <f>Github!F$561</f>
        <v>12937</v>
      </c>
      <c r="D17" s="10">
        <f>Github!G$561</f>
        <v>415</v>
      </c>
      <c r="E17" s="10">
        <f>Github!F$561+Github!G$561</f>
        <v>13352</v>
      </c>
      <c r="F17" s="12">
        <f t="shared" si="1"/>
        <v>31.17</v>
      </c>
      <c r="G17" s="10" t="str">
        <f>Github!H$561</f>
        <v>Algorithms</v>
      </c>
      <c r="H17" s="13" t="str">
        <f>SUBSTITUTE(Github!L$561, ";", ", ")</f>
        <v>Array, Hash Table, Prefix Sum, </v>
      </c>
      <c r="I17" s="10" t="str">
        <f>Github!E$561</f>
        <v>Medium</v>
      </c>
      <c r="J17" s="10" t="str">
        <f>IF(TRIM(Github!D$561)="TRUE","FALSE","TRUE")</f>
        <v>TRUE</v>
      </c>
      <c r="K17" s="10" t="b">
        <f>Github!M$561</f>
        <v>1</v>
      </c>
      <c r="L17" s="10" t="b">
        <f>Github!N$561</f>
        <v>1</v>
      </c>
      <c r="M17" s="10" t="str">
        <f>ROUND(Github!O$561, 2)&amp;"%"</f>
        <v>44.24%</v>
      </c>
      <c r="N17" s="10">
        <f>Github!P$561</f>
        <v>766530</v>
      </c>
      <c r="O17" s="10">
        <f>Github!Q$561</f>
        <v>1732813</v>
      </c>
    </row>
    <row r="18">
      <c r="A18" s="10">
        <f>Github!J$147</f>
        <v>146</v>
      </c>
      <c r="B18" s="11" t="str">
        <f>HYPERLINK(CONCAT("http://leetcode.com/problems/",Github!C$147), Github!B$147)</f>
        <v>LRU Cache</v>
      </c>
      <c r="C18" s="10">
        <f>Github!F$147</f>
        <v>12938</v>
      </c>
      <c r="D18" s="10">
        <f>Github!G$147</f>
        <v>507</v>
      </c>
      <c r="E18" s="10">
        <f>Github!F$147+Github!G$147</f>
        <v>13445</v>
      </c>
      <c r="F18" s="12">
        <f t="shared" si="1"/>
        <v>25.52</v>
      </c>
      <c r="G18" s="10" t="str">
        <f>Github!H$147</f>
        <v>Algorithms</v>
      </c>
      <c r="H18" s="13" t="str">
        <f>SUBSTITUTE(Github!L$147, ";", ", ")</f>
        <v>Hash Table, Linked List, Design, Doubly-Linked List, </v>
      </c>
      <c r="I18" s="10" t="str">
        <f>Github!E$147</f>
        <v>Medium</v>
      </c>
      <c r="J18" s="10" t="str">
        <f>IF(TRIM(Github!D$147)="TRUE","FALSE","TRUE")</f>
        <v>TRUE</v>
      </c>
      <c r="K18" s="10" t="b">
        <f>Github!M$147</f>
        <v>1</v>
      </c>
      <c r="L18" s="10" t="b">
        <f>Github!N$147</f>
        <v>0</v>
      </c>
      <c r="M18" s="10" t="str">
        <f>ROUND(Github!O$147, 2)&amp;"%"</f>
        <v>39.82%</v>
      </c>
      <c r="N18" s="10">
        <f>Github!P$147</f>
        <v>1051992</v>
      </c>
      <c r="O18" s="10">
        <f>Github!Q$147</f>
        <v>2641767</v>
      </c>
    </row>
    <row r="19">
      <c r="A19" s="10">
        <f>Github!J$21</f>
        <v>20</v>
      </c>
      <c r="B19" s="11" t="str">
        <f>HYPERLINK(CONCAT("http://leetcode.com/problems/",Github!C$21), Github!B$21)</f>
        <v>Valid Parentheses</v>
      </c>
      <c r="C19" s="10">
        <f>Github!F$21</f>
        <v>12699</v>
      </c>
      <c r="D19" s="10">
        <f>Github!G$21</f>
        <v>567</v>
      </c>
      <c r="E19" s="10">
        <f>Github!F$21+Github!G$21</f>
        <v>13266</v>
      </c>
      <c r="F19" s="12">
        <f t="shared" si="1"/>
        <v>22.4</v>
      </c>
      <c r="G19" s="10" t="str">
        <f>Github!H$21</f>
        <v>Algorithms</v>
      </c>
      <c r="H19" s="13" t="str">
        <f>SUBSTITUTE(Github!L$21, ";", ", ")</f>
        <v>String, Stack, </v>
      </c>
      <c r="I19" s="10" t="str">
        <f>Github!E$21</f>
        <v>Easy</v>
      </c>
      <c r="J19" s="10" t="str">
        <f>IF(TRIM(Github!D$21)="TRUE","FALSE","TRUE")</f>
        <v>TRUE</v>
      </c>
      <c r="K19" s="10" t="b">
        <f>Github!M$21</f>
        <v>1</v>
      </c>
      <c r="L19" s="10" t="b">
        <f>Github!N$21</f>
        <v>1</v>
      </c>
      <c r="M19" s="10" t="str">
        <f>ROUND(Github!O$21, 2)&amp;"%"</f>
        <v>40.87%</v>
      </c>
      <c r="N19" s="10">
        <f>Github!P$21</f>
        <v>2185333</v>
      </c>
      <c r="O19" s="10">
        <f>Github!Q$21</f>
        <v>5347278</v>
      </c>
    </row>
    <row r="20">
      <c r="A20" s="10">
        <f>Github!J$23</f>
        <v>22</v>
      </c>
      <c r="B20" s="11" t="str">
        <f>HYPERLINK(CONCAT("http://leetcode.com/problems/",Github!C$23), Github!B$23)</f>
        <v>Generate Parentheses</v>
      </c>
      <c r="C20" s="10">
        <f>Github!F$23</f>
        <v>12587</v>
      </c>
      <c r="D20" s="10">
        <f>Github!G$23</f>
        <v>486</v>
      </c>
      <c r="E20" s="10">
        <f>Github!F$23+Github!G$23</f>
        <v>13073</v>
      </c>
      <c r="F20" s="12">
        <f t="shared" si="1"/>
        <v>25.9</v>
      </c>
      <c r="G20" s="10" t="str">
        <f>Github!H$23</f>
        <v>Algorithms</v>
      </c>
      <c r="H20" s="13" t="str">
        <f>SUBSTITUTE(Github!L$23, ";", ", ")</f>
        <v>String, Dynamic Programming, Backtracking, </v>
      </c>
      <c r="I20" s="10" t="str">
        <f>Github!E$23</f>
        <v>Medium</v>
      </c>
      <c r="J20" s="10" t="str">
        <f>IF(TRIM(Github!D$23)="TRUE","FALSE","TRUE")</f>
        <v>TRUE</v>
      </c>
      <c r="K20" s="10" t="b">
        <f>Github!M$23</f>
        <v>1</v>
      </c>
      <c r="L20" s="10" t="b">
        <f>Github!N$23</f>
        <v>0</v>
      </c>
      <c r="M20" s="10" t="str">
        <f>ROUND(Github!O$23, 2)&amp;"%"</f>
        <v>70.03%</v>
      </c>
      <c r="N20" s="10">
        <f>Github!P$23</f>
        <v>1043131</v>
      </c>
      <c r="O20" s="10">
        <f>Github!Q$23</f>
        <v>1489515</v>
      </c>
    </row>
    <row r="21">
      <c r="A21" s="10">
        <f>Github!J$199</f>
        <v>198</v>
      </c>
      <c r="B21" s="11" t="str">
        <f>HYPERLINK(CONCAT("http://leetcode.com/problems/",Github!C$199), Github!B$199)</f>
        <v>House Robber</v>
      </c>
      <c r="C21" s="10">
        <f>Github!F$199</f>
        <v>11994</v>
      </c>
      <c r="D21" s="10">
        <f>Github!G$199</f>
        <v>258</v>
      </c>
      <c r="E21" s="10">
        <f>Github!F$199+Github!G$199</f>
        <v>12252</v>
      </c>
      <c r="F21" s="12">
        <f t="shared" si="1"/>
        <v>46.49</v>
      </c>
      <c r="G21" s="10" t="str">
        <f>Github!H$199</f>
        <v>Algorithms</v>
      </c>
      <c r="H21" s="13" t="str">
        <f>SUBSTITUTE(Github!L$199, ";", ", ")</f>
        <v>Array, Dynamic Programming, </v>
      </c>
      <c r="I21" s="10" t="str">
        <f>Github!E$199</f>
        <v>Medium</v>
      </c>
      <c r="J21" s="10" t="str">
        <f>IF(TRIM(Github!D$199)="TRUE","FALSE","TRUE")</f>
        <v>TRUE</v>
      </c>
      <c r="K21" s="10" t="b">
        <f>Github!M$199</f>
        <v>1</v>
      </c>
      <c r="L21" s="10" t="b">
        <f>Github!N$199</f>
        <v>0</v>
      </c>
      <c r="M21" s="10" t="str">
        <f>ROUND(Github!O$199, 2)&amp;"%"</f>
        <v>47.13%</v>
      </c>
      <c r="N21" s="10">
        <f>Github!P$199</f>
        <v>1111375</v>
      </c>
      <c r="O21" s="10">
        <f>Github!Q$199</f>
        <v>2357880</v>
      </c>
    </row>
    <row r="22">
      <c r="A22" s="10">
        <f>Github!J$239</f>
        <v>238</v>
      </c>
      <c r="B22" s="11" t="str">
        <f>HYPERLINK(CONCAT("http://leetcode.com/problems/",Github!C$239), Github!B$239)</f>
        <v>Product of Array Except Self</v>
      </c>
      <c r="C22" s="10">
        <f>Github!F$239</f>
        <v>12007</v>
      </c>
      <c r="D22" s="10">
        <f>Github!G$239</f>
        <v>734</v>
      </c>
      <c r="E22" s="10">
        <f>Github!F$239+Github!G$239</f>
        <v>12741</v>
      </c>
      <c r="F22" s="12">
        <f t="shared" si="1"/>
        <v>16.36</v>
      </c>
      <c r="G22" s="10" t="str">
        <f>Github!H$239</f>
        <v>Algorithms</v>
      </c>
      <c r="H22" s="13" t="str">
        <f>SUBSTITUTE(Github!L$239, ";", ", ")</f>
        <v>Array, Prefix Sum, </v>
      </c>
      <c r="I22" s="10" t="str">
        <f>Github!E$239</f>
        <v>Medium</v>
      </c>
      <c r="J22" s="10" t="str">
        <f>IF(TRIM(Github!D$239)="TRUE","FALSE","TRUE")</f>
        <v>TRUE</v>
      </c>
      <c r="K22" s="10" t="b">
        <f>Github!M$239</f>
        <v>1</v>
      </c>
      <c r="L22" s="10" t="b">
        <f>Github!N$239</f>
        <v>1</v>
      </c>
      <c r="M22" s="10" t="str">
        <f>ROUND(Github!O$239, 2)&amp;"%"</f>
        <v>63.91%</v>
      </c>
      <c r="N22" s="10">
        <f>Github!P$239</f>
        <v>1134501</v>
      </c>
      <c r="O22" s="10">
        <f>Github!Q$239</f>
        <v>1775089</v>
      </c>
    </row>
    <row r="23">
      <c r="A23" s="10">
        <f>Github!J$24</f>
        <v>23</v>
      </c>
      <c r="B23" s="11" t="str">
        <f>HYPERLINK(CONCAT("http://leetcode.com/problems/",Github!C$24), Github!B$24)</f>
        <v>Merge k Sorted Lists</v>
      </c>
      <c r="C23" s="10">
        <f>Github!F$24</f>
        <v>11966</v>
      </c>
      <c r="D23" s="10">
        <f>Github!G$24</f>
        <v>470</v>
      </c>
      <c r="E23" s="10">
        <f>Github!F$24+Github!G$24</f>
        <v>12436</v>
      </c>
      <c r="F23" s="12">
        <f t="shared" si="1"/>
        <v>25.46</v>
      </c>
      <c r="G23" s="10" t="str">
        <f>Github!H$24</f>
        <v>Algorithms</v>
      </c>
      <c r="H23" s="13" t="str">
        <f>SUBSTITUTE(Github!L$24, ";", ", ")</f>
        <v>Linked List, Divide and Conquer, Heap (Priority Queue), Merge Sort, </v>
      </c>
      <c r="I23" s="10" t="str">
        <f>Github!E$24</f>
        <v>Hard</v>
      </c>
      <c r="J23" s="10" t="str">
        <f>IF(TRIM(Github!D$24)="TRUE","FALSE","TRUE")</f>
        <v>TRUE</v>
      </c>
      <c r="K23" s="10" t="b">
        <f>Github!M$24</f>
        <v>1</v>
      </c>
      <c r="L23" s="10" t="b">
        <f>Github!N$24</f>
        <v>0</v>
      </c>
      <c r="M23" s="10" t="str">
        <f>ROUND(Github!O$24, 2)&amp;"%"</f>
        <v>47.03%</v>
      </c>
      <c r="N23" s="10">
        <f>Github!P$24</f>
        <v>1246468</v>
      </c>
      <c r="O23" s="10">
        <f>Github!Q$24</f>
        <v>2650356</v>
      </c>
    </row>
    <row r="24">
      <c r="A24" s="10">
        <f>Github!J$22</f>
        <v>21</v>
      </c>
      <c r="B24" s="11" t="str">
        <f>HYPERLINK(CONCAT("http://leetcode.com/problems/",Github!C$22), Github!B$22)</f>
        <v>Merge Two Sorted Lists</v>
      </c>
      <c r="C24" s="10">
        <f>Github!F$22</f>
        <v>11903</v>
      </c>
      <c r="D24" s="10">
        <f>Github!G$22</f>
        <v>1092</v>
      </c>
      <c r="E24" s="10">
        <f>Github!F$22+Github!G$22</f>
        <v>12995</v>
      </c>
      <c r="F24" s="12">
        <f t="shared" si="1"/>
        <v>10.9</v>
      </c>
      <c r="G24" s="10" t="str">
        <f>Github!H$22</f>
        <v>Algorithms</v>
      </c>
      <c r="H24" s="13" t="str">
        <f>SUBSTITUTE(Github!L$22, ";", ", ")</f>
        <v>Linked List, Recursion, </v>
      </c>
      <c r="I24" s="10" t="str">
        <f>Github!E$22</f>
        <v>Easy</v>
      </c>
      <c r="J24" s="10" t="str">
        <f>IF(TRIM(Github!D$22)="TRUE","FALSE","TRUE")</f>
        <v>TRUE</v>
      </c>
      <c r="K24" s="10" t="b">
        <f>Github!M$22</f>
        <v>1</v>
      </c>
      <c r="L24" s="10" t="b">
        <f>Github!N$22</f>
        <v>1</v>
      </c>
      <c r="M24" s="10" t="str">
        <f>ROUND(Github!O$22, 2)&amp;"%"</f>
        <v>60.27%</v>
      </c>
      <c r="N24" s="10">
        <f>Github!P$22</f>
        <v>2146482</v>
      </c>
      <c r="O24" s="10">
        <f>Github!Q$22</f>
        <v>3561374</v>
      </c>
    </row>
    <row r="25">
      <c r="A25" s="10">
        <f>Github!J$301</f>
        <v>300</v>
      </c>
      <c r="B25" s="11" t="str">
        <f>HYPERLINK(CONCAT("http://leetcode.com/problems/",Github!C$301), Github!B$301)</f>
        <v>Longest Increasing Subsequence</v>
      </c>
      <c r="C25" s="10">
        <f>Github!F$301</f>
        <v>11602</v>
      </c>
      <c r="D25" s="10">
        <f>Github!G$301</f>
        <v>231</v>
      </c>
      <c r="E25" s="10">
        <f>Github!F$301+Github!G$301</f>
        <v>11833</v>
      </c>
      <c r="F25" s="12">
        <f t="shared" si="1"/>
        <v>50.23</v>
      </c>
      <c r="G25" s="10" t="str">
        <f>Github!H$301</f>
        <v>Algorithms</v>
      </c>
      <c r="H25" s="13" t="str">
        <f>SUBSTITUTE(Github!L$301, ";", ", ")</f>
        <v>Array, Binary Search, Dynamic Programming, </v>
      </c>
      <c r="I25" s="10" t="str">
        <f>Github!E$301</f>
        <v>Medium</v>
      </c>
      <c r="J25" s="10" t="str">
        <f>IF(TRIM(Github!D$301)="TRUE","FALSE","TRUE")</f>
        <v>TRUE</v>
      </c>
      <c r="K25" s="10" t="b">
        <f>Github!M$301</f>
        <v>1</v>
      </c>
      <c r="L25" s="10" t="b">
        <f>Github!N$301</f>
        <v>0</v>
      </c>
      <c r="M25" s="10" t="str">
        <f>ROUND(Github!O$301, 2)&amp;"%"</f>
        <v>49.21%</v>
      </c>
      <c r="N25" s="10">
        <f>Github!P$301</f>
        <v>837593</v>
      </c>
      <c r="O25" s="10">
        <f>Github!Q$301</f>
        <v>1701931</v>
      </c>
    </row>
    <row r="26">
      <c r="A26" s="10">
        <f>Github!J$207</f>
        <v>206</v>
      </c>
      <c r="B26" s="11" t="str">
        <f>HYPERLINK(CONCAT("http://leetcode.com/problems/",Github!C$207), Github!B$207)</f>
        <v>Reverse Linked List</v>
      </c>
      <c r="C26" s="10">
        <f>Github!F$207</f>
        <v>11621</v>
      </c>
      <c r="D26" s="10">
        <f>Github!G$207</f>
        <v>201</v>
      </c>
      <c r="E26" s="10">
        <f>Github!F$207+Github!G$207</f>
        <v>11822</v>
      </c>
      <c r="F26" s="12">
        <f t="shared" si="1"/>
        <v>57.82</v>
      </c>
      <c r="G26" s="10" t="str">
        <f>Github!H$207</f>
        <v>Algorithms</v>
      </c>
      <c r="H26" s="13" t="str">
        <f>SUBSTITUTE(Github!L$207, ";", ", ")</f>
        <v>Linked List, Recursion, </v>
      </c>
      <c r="I26" s="10" t="str">
        <f>Github!E$207</f>
        <v>Easy</v>
      </c>
      <c r="J26" s="10" t="str">
        <f>IF(TRIM(Github!D$207)="TRUE","FALSE","TRUE")</f>
        <v>TRUE</v>
      </c>
      <c r="K26" s="10" t="b">
        <f>Github!M$207</f>
        <v>1</v>
      </c>
      <c r="L26" s="10" t="b">
        <f>Github!N$207</f>
        <v>1</v>
      </c>
      <c r="M26" s="10" t="str">
        <f>ROUND(Github!O$207, 2)&amp;"%"</f>
        <v>70.22%</v>
      </c>
      <c r="N26" s="10">
        <f>Github!P$207</f>
        <v>2077795</v>
      </c>
      <c r="O26" s="10">
        <f>Github!Q$207</f>
        <v>2958922</v>
      </c>
    </row>
    <row r="27">
      <c r="A27" s="10">
        <f>Github!J$71</f>
        <v>70</v>
      </c>
      <c r="B27" s="11" t="str">
        <f>HYPERLINK(CONCAT("http://leetcode.com/problems/",Github!C$71), Github!B$71)</f>
        <v>Climbing Stairs</v>
      </c>
      <c r="C27" s="10">
        <f>Github!F$71</f>
        <v>11457</v>
      </c>
      <c r="D27" s="10">
        <f>Github!G$71</f>
        <v>354</v>
      </c>
      <c r="E27" s="10">
        <f>Github!F$71+Github!G$71</f>
        <v>11811</v>
      </c>
      <c r="F27" s="12">
        <f t="shared" si="1"/>
        <v>32.36</v>
      </c>
      <c r="G27" s="10" t="str">
        <f>Github!H$71</f>
        <v>Algorithms</v>
      </c>
      <c r="H27" s="13" t="str">
        <f>SUBSTITUTE(Github!L$71, ";", ", ")</f>
        <v>Math, Dynamic Programming, Memoization, </v>
      </c>
      <c r="I27" s="10" t="str">
        <f>Github!E$71</f>
        <v>Easy</v>
      </c>
      <c r="J27" s="10" t="str">
        <f>IF(TRIM(Github!D$71)="TRUE","FALSE","TRUE")</f>
        <v>TRUE</v>
      </c>
      <c r="K27" s="10" t="b">
        <f>Github!M$71</f>
        <v>1</v>
      </c>
      <c r="L27" s="10" t="b">
        <f>Github!N$71</f>
        <v>0</v>
      </c>
      <c r="M27" s="10" t="str">
        <f>ROUND(Github!O$71, 2)&amp;"%"</f>
        <v>51.01%</v>
      </c>
      <c r="N27" s="10">
        <f>Github!P$71</f>
        <v>1525038</v>
      </c>
      <c r="O27" s="10">
        <f>Github!Q$71</f>
        <v>2989693</v>
      </c>
    </row>
    <row r="28">
      <c r="A28" s="10">
        <f>Github!J$153</f>
        <v>152</v>
      </c>
      <c r="B28" s="11" t="str">
        <f>HYPERLINK(CONCAT("http://leetcode.com/problems/",Github!C$153), Github!B$153)</f>
        <v>Maximum Product Subarray</v>
      </c>
      <c r="C28" s="10">
        <f>Github!F$153</f>
        <v>11256</v>
      </c>
      <c r="D28" s="10">
        <f>Github!G$153</f>
        <v>348</v>
      </c>
      <c r="E28" s="10">
        <f>Github!F$153+Github!G$153</f>
        <v>11604</v>
      </c>
      <c r="F28" s="12">
        <f t="shared" si="1"/>
        <v>32.34</v>
      </c>
      <c r="G28" s="10" t="str">
        <f>Github!H$153</f>
        <v>Algorithms</v>
      </c>
      <c r="H28" s="13" t="str">
        <f>SUBSTITUTE(Github!L$153, ";", ", ")</f>
        <v>Array, Dynamic Programming, </v>
      </c>
      <c r="I28" s="10" t="str">
        <f>Github!E$153</f>
        <v>Medium</v>
      </c>
      <c r="J28" s="10" t="str">
        <f>IF(TRIM(Github!D$153)="TRUE","FALSE","TRUE")</f>
        <v>TRUE</v>
      </c>
      <c r="K28" s="10" t="b">
        <f>Github!M$153</f>
        <v>1</v>
      </c>
      <c r="L28" s="10" t="b">
        <f>Github!N$153</f>
        <v>0</v>
      </c>
      <c r="M28" s="10" t="str">
        <f>ROUND(Github!O$153, 2)&amp;"%"</f>
        <v>34.55%</v>
      </c>
      <c r="N28" s="10">
        <f>Github!P$153</f>
        <v>727904</v>
      </c>
      <c r="O28" s="10">
        <f>Github!Q$153</f>
        <v>2106867</v>
      </c>
    </row>
    <row r="29">
      <c r="A29" s="10">
        <f>Github!J$323</f>
        <v>322</v>
      </c>
      <c r="B29" s="11" t="str">
        <f>HYPERLINK(CONCAT("http://leetcode.com/problems/",Github!C$323), Github!B$323)</f>
        <v>Coin Change</v>
      </c>
      <c r="C29" s="10">
        <f>Github!F$323</f>
        <v>10926</v>
      </c>
      <c r="D29" s="10">
        <f>Github!G$323</f>
        <v>264</v>
      </c>
      <c r="E29" s="10">
        <f>Github!F$323+Github!G$323</f>
        <v>11190</v>
      </c>
      <c r="F29" s="12">
        <f t="shared" si="1"/>
        <v>41.39</v>
      </c>
      <c r="G29" s="10" t="str">
        <f>Github!H$323</f>
        <v>Algorithms</v>
      </c>
      <c r="H29" s="13" t="str">
        <f>SUBSTITUTE(Github!L$323, ";", ", ")</f>
        <v>Array, Dynamic Programming, Breadth-First Search, </v>
      </c>
      <c r="I29" s="10" t="str">
        <f>Github!E$323</f>
        <v>Medium</v>
      </c>
      <c r="J29" s="10" t="str">
        <f>IF(TRIM(Github!D$323)="TRUE","FALSE","TRUE")</f>
        <v>TRUE</v>
      </c>
      <c r="K29" s="10" t="b">
        <f>Github!M$323</f>
        <v>1</v>
      </c>
      <c r="L29" s="10" t="b">
        <f>Github!N$323</f>
        <v>1</v>
      </c>
      <c r="M29" s="10" t="str">
        <f>ROUND(Github!O$323, 2)&amp;"%"</f>
        <v>40.08%</v>
      </c>
      <c r="N29" s="10">
        <f>Github!P$323</f>
        <v>961360</v>
      </c>
      <c r="O29" s="10">
        <f>Github!Q$323</f>
        <v>2398325</v>
      </c>
    </row>
    <row r="30">
      <c r="A30" s="10">
        <f>Github!J$56</f>
        <v>55</v>
      </c>
      <c r="B30" s="11" t="str">
        <f>HYPERLINK(CONCAT("http://leetcode.com/problems/",Github!C$56), Github!B$56)</f>
        <v>Jump Game</v>
      </c>
      <c r="C30" s="10">
        <f>Github!F$56</f>
        <v>10760</v>
      </c>
      <c r="D30" s="10">
        <f>Github!G$56</f>
        <v>615</v>
      </c>
      <c r="E30" s="10">
        <f>Github!F$56+Github!G$56</f>
        <v>11375</v>
      </c>
      <c r="F30" s="12">
        <f t="shared" si="1"/>
        <v>17.5</v>
      </c>
      <c r="G30" s="10" t="str">
        <f>Github!H$56</f>
        <v>Algorithms</v>
      </c>
      <c r="H30" s="13" t="str">
        <f>SUBSTITUTE(Github!L$56, ";", ", ")</f>
        <v>Array, Dynamic Programming, Greedy, </v>
      </c>
      <c r="I30" s="10" t="str">
        <f>Github!E$56</f>
        <v>Medium</v>
      </c>
      <c r="J30" s="10" t="str">
        <f>IF(TRIM(Github!D$56)="TRUE","FALSE","TRUE")</f>
        <v>TRUE</v>
      </c>
      <c r="K30" s="10" t="b">
        <f>Github!M$56</f>
        <v>1</v>
      </c>
      <c r="L30" s="10" t="b">
        <f>Github!N$56</f>
        <v>0</v>
      </c>
      <c r="M30" s="10" t="str">
        <f>ROUND(Github!O$56, 2)&amp;"%"</f>
        <v>37.77%</v>
      </c>
      <c r="N30" s="10">
        <f>Github!P$56</f>
        <v>982629</v>
      </c>
      <c r="O30" s="10">
        <f>Github!Q$56</f>
        <v>2601757</v>
      </c>
    </row>
    <row r="31">
      <c r="A31" s="10">
        <f>Github!J$40</f>
        <v>39</v>
      </c>
      <c r="B31" s="11" t="str">
        <f>HYPERLINK(CONCAT("http://leetcode.com/problems/",Github!C$40), Github!B$40)</f>
        <v>Combination Sum</v>
      </c>
      <c r="C31" s="10">
        <f>Github!F$40</f>
        <v>10655</v>
      </c>
      <c r="D31" s="10">
        <f>Github!G$40</f>
        <v>229</v>
      </c>
      <c r="E31" s="10">
        <f>Github!F$40+Github!G$40</f>
        <v>10884</v>
      </c>
      <c r="F31" s="12">
        <f t="shared" si="1"/>
        <v>46.53</v>
      </c>
      <c r="G31" s="10" t="str">
        <f>Github!H$40</f>
        <v>Algorithms</v>
      </c>
      <c r="H31" s="13" t="str">
        <f>SUBSTITUTE(Github!L$40, ";", ", ")</f>
        <v>Array, Backtracking, </v>
      </c>
      <c r="I31" s="10" t="str">
        <f>Github!E$40</f>
        <v>Medium</v>
      </c>
      <c r="J31" s="10" t="str">
        <f>IF(TRIM(Github!D$40)="TRUE","FALSE","TRUE")</f>
        <v>TRUE</v>
      </c>
      <c r="K31" s="10" t="b">
        <f>Github!M$40</f>
        <v>1</v>
      </c>
      <c r="L31" s="10" t="b">
        <f>Github!N$40</f>
        <v>0</v>
      </c>
      <c r="M31" s="10" t="str">
        <f>ROUND(Github!O$40, 2)&amp;"%"</f>
        <v>65.42%</v>
      </c>
      <c r="N31" s="10">
        <f>Github!P$40</f>
        <v>1065782</v>
      </c>
      <c r="O31" s="10">
        <f>Github!Q$40</f>
        <v>1629211</v>
      </c>
    </row>
    <row r="32">
      <c r="A32" s="10">
        <f>Github!J$32</f>
        <v>31</v>
      </c>
      <c r="B32" s="11" t="str">
        <f>HYPERLINK(CONCAT("http://leetcode.com/problems/",Github!C$32), Github!B$32)</f>
        <v>Next Permutation</v>
      </c>
      <c r="C32" s="10">
        <f>Github!F$32</f>
        <v>10478</v>
      </c>
      <c r="D32" s="10">
        <f>Github!G$32</f>
        <v>3384</v>
      </c>
      <c r="E32" s="10">
        <f>Github!F$32+Github!G$32</f>
        <v>13862</v>
      </c>
      <c r="F32" s="12">
        <f t="shared" si="1"/>
        <v>3.1</v>
      </c>
      <c r="G32" s="10" t="str">
        <f>Github!H$32</f>
        <v>Algorithms</v>
      </c>
      <c r="H32" s="13" t="str">
        <f>SUBSTITUTE(Github!L$32, ";", ", ")</f>
        <v>Array, Two Pointers, </v>
      </c>
      <c r="I32" s="10" t="str">
        <f>Github!E$32</f>
        <v>Medium</v>
      </c>
      <c r="J32" s="10" t="str">
        <f>IF(TRIM(Github!D$32)="TRUE","FALSE","TRUE")</f>
        <v>TRUE</v>
      </c>
      <c r="K32" s="10" t="b">
        <f>Github!M$32</f>
        <v>1</v>
      </c>
      <c r="L32" s="10" t="b">
        <f>Github!N$32</f>
        <v>0</v>
      </c>
      <c r="M32" s="10" t="str">
        <f>ROUND(Github!O$32, 2)&amp;"%"</f>
        <v>36.38%</v>
      </c>
      <c r="N32" s="10">
        <f>Github!P$32</f>
        <v>795341</v>
      </c>
      <c r="O32" s="10">
        <f>Github!Q$32</f>
        <v>2185980</v>
      </c>
    </row>
    <row r="33">
      <c r="A33" s="10">
        <f>Github!J$35</f>
        <v>34</v>
      </c>
      <c r="B33" s="11" t="str">
        <f>HYPERLINK(CONCAT("http://leetcode.com/problems/",Github!C$35), Github!B$35)</f>
        <v>Find First and Last Position of Element in Sorted Array</v>
      </c>
      <c r="C33" s="10">
        <f>Github!F$35</f>
        <v>10376</v>
      </c>
      <c r="D33" s="10">
        <f>Github!G$35</f>
        <v>287</v>
      </c>
      <c r="E33" s="10">
        <f>Github!F$35+Github!G$35</f>
        <v>10663</v>
      </c>
      <c r="F33" s="12">
        <f t="shared" si="1"/>
        <v>36.15</v>
      </c>
      <c r="G33" s="10" t="str">
        <f>Github!H$35</f>
        <v>Algorithms</v>
      </c>
      <c r="H33" s="13" t="str">
        <f>SUBSTITUTE(Github!L$35, ";", ", ")</f>
        <v>Array, Binary Search, </v>
      </c>
      <c r="I33" s="10" t="str">
        <f>Github!E$35</f>
        <v>Medium</v>
      </c>
      <c r="J33" s="10" t="str">
        <f>IF(TRIM(Github!D$35)="TRUE","FALSE","TRUE")</f>
        <v>TRUE</v>
      </c>
      <c r="K33" s="10" t="b">
        <f>Github!M$35</f>
        <v>1</v>
      </c>
      <c r="L33" s="10" t="b">
        <f>Github!N$35</f>
        <v>0</v>
      </c>
      <c r="M33" s="10" t="str">
        <f>ROUND(Github!O$35, 2)&amp;"%"</f>
        <v>40.02%</v>
      </c>
      <c r="N33" s="10">
        <f>Github!P$35</f>
        <v>1071824</v>
      </c>
      <c r="O33" s="10">
        <f>Github!Q$35</f>
        <v>2678436</v>
      </c>
    </row>
    <row r="34">
      <c r="A34" s="10">
        <f>Github!J$140</f>
        <v>139</v>
      </c>
      <c r="B34" s="11" t="str">
        <f>HYPERLINK(CONCAT("http://leetcode.com/problems/",Github!C$140), Github!B$140)</f>
        <v>Word Break</v>
      </c>
      <c r="C34" s="10">
        <f>Github!F$140</f>
        <v>10293</v>
      </c>
      <c r="D34" s="10">
        <f>Github!G$140</f>
        <v>453</v>
      </c>
      <c r="E34" s="10">
        <f>Github!F$140+Github!G$140</f>
        <v>10746</v>
      </c>
      <c r="F34" s="12">
        <f t="shared" si="1"/>
        <v>22.72</v>
      </c>
      <c r="G34" s="10" t="str">
        <f>Github!H$140</f>
        <v>Algorithms</v>
      </c>
      <c r="H34" s="13" t="str">
        <f>SUBSTITUTE(Github!L$140, ";", ", ")</f>
        <v>Hash Table, String, Dynamic Programming, Trie, Memoization, </v>
      </c>
      <c r="I34" s="10" t="str">
        <f>Github!E$140</f>
        <v>Medium</v>
      </c>
      <c r="J34" s="10" t="str">
        <f>IF(TRIM(Github!D$140)="TRUE","FALSE","TRUE")</f>
        <v>TRUE</v>
      </c>
      <c r="K34" s="10" t="b">
        <f>Github!M$140</f>
        <v>1</v>
      </c>
      <c r="L34" s="10" t="b">
        <f>Github!N$140</f>
        <v>1</v>
      </c>
      <c r="M34" s="10" t="str">
        <f>ROUND(Github!O$140, 2)&amp;"%"</f>
        <v>44.53%</v>
      </c>
      <c r="N34" s="10">
        <f>Github!P$140</f>
        <v>1060501</v>
      </c>
      <c r="O34" s="10">
        <f>Github!Q$140</f>
        <v>2381676</v>
      </c>
    </row>
    <row r="35">
      <c r="A35" s="10">
        <f>Github!J$47</f>
        <v>46</v>
      </c>
      <c r="B35" s="11" t="str">
        <f>HYPERLINK(CONCAT("http://leetcode.com/problems/",Github!C$47), Github!B$47)</f>
        <v>Permutations</v>
      </c>
      <c r="C35" s="10">
        <f>Github!F$47</f>
        <v>10127</v>
      </c>
      <c r="D35" s="10">
        <f>Github!G$47</f>
        <v>185</v>
      </c>
      <c r="E35" s="10">
        <f>Github!F$47+Github!G$47</f>
        <v>10312</v>
      </c>
      <c r="F35" s="12">
        <f t="shared" si="1"/>
        <v>54.74</v>
      </c>
      <c r="G35" s="10" t="str">
        <f>Github!H$47</f>
        <v>Algorithms</v>
      </c>
      <c r="H35" s="13" t="str">
        <f>SUBSTITUTE(Github!L$47, ";", ", ")</f>
        <v>Array, Backtracking, </v>
      </c>
      <c r="I35" s="10" t="str">
        <f>Github!E$47</f>
        <v>Medium</v>
      </c>
      <c r="J35" s="10" t="str">
        <f>IF(TRIM(Github!D$47)="TRUE","FALSE","TRUE")</f>
        <v>TRUE</v>
      </c>
      <c r="K35" s="10" t="b">
        <f>Github!M$47</f>
        <v>1</v>
      </c>
      <c r="L35" s="10" t="b">
        <f>Github!N$47</f>
        <v>0</v>
      </c>
      <c r="M35" s="10" t="str">
        <f>ROUND(Github!O$47, 2)&amp;"%"</f>
        <v>72.21%</v>
      </c>
      <c r="N35" s="10">
        <f>Github!P$47</f>
        <v>1145841</v>
      </c>
      <c r="O35" s="10">
        <f>Github!Q$47</f>
        <v>1586767</v>
      </c>
    </row>
    <row r="36">
      <c r="A36" s="10">
        <f>Github!J$77</f>
        <v>76</v>
      </c>
      <c r="B36" s="11" t="str">
        <f>HYPERLINK(CONCAT("http://leetcode.com/problems/",Github!C$77), Github!B$77)</f>
        <v>Minimum Window Substring</v>
      </c>
      <c r="C36" s="10">
        <f>Github!F$77</f>
        <v>10077</v>
      </c>
      <c r="D36" s="10">
        <f>Github!G$77</f>
        <v>530</v>
      </c>
      <c r="E36" s="10">
        <f>Github!F$77+Github!G$77</f>
        <v>10607</v>
      </c>
      <c r="F36" s="12">
        <f t="shared" si="1"/>
        <v>19.01</v>
      </c>
      <c r="G36" s="10" t="str">
        <f>Github!H$77</f>
        <v>Algorithms</v>
      </c>
      <c r="H36" s="13" t="str">
        <f>SUBSTITUTE(Github!L$77, ";", ", ")</f>
        <v>Hash Table, String, Sliding Window, </v>
      </c>
      <c r="I36" s="10" t="str">
        <f>Github!E$77</f>
        <v>Hard</v>
      </c>
      <c r="J36" s="10" t="str">
        <f>IF(TRIM(Github!D$77)="TRUE","FALSE","TRUE")</f>
        <v>TRUE</v>
      </c>
      <c r="K36" s="10" t="b">
        <f>Github!M$77</f>
        <v>1</v>
      </c>
      <c r="L36" s="10" t="b">
        <f>Github!N$77</f>
        <v>0</v>
      </c>
      <c r="M36" s="10" t="str">
        <f>ROUND(Github!O$77, 2)&amp;"%"</f>
        <v>38.96%</v>
      </c>
      <c r="N36" s="10">
        <f>Github!P$77</f>
        <v>743087</v>
      </c>
      <c r="O36" s="10">
        <f>Github!Q$77</f>
        <v>1907173</v>
      </c>
    </row>
    <row r="37">
      <c r="A37" s="10">
        <f>Github!J$79</f>
        <v>78</v>
      </c>
      <c r="B37" s="11" t="str">
        <f>HYPERLINK(CONCAT("http://leetcode.com/problems/",Github!C$79), Github!B$79)</f>
        <v>Subsets</v>
      </c>
      <c r="C37" s="10">
        <f>Github!F$79</f>
        <v>9781</v>
      </c>
      <c r="D37" s="10">
        <f>Github!G$79</f>
        <v>155</v>
      </c>
      <c r="E37" s="10">
        <f>Github!F$79+Github!G$79</f>
        <v>9936</v>
      </c>
      <c r="F37" s="12">
        <f t="shared" si="1"/>
        <v>63.1</v>
      </c>
      <c r="G37" s="10" t="str">
        <f>Github!H$79</f>
        <v>Algorithms</v>
      </c>
      <c r="H37" s="13" t="str">
        <f>SUBSTITUTE(Github!L$79, ";", ", ")</f>
        <v>Array, Backtracking, Bit Manipulation, </v>
      </c>
      <c r="I37" s="10" t="str">
        <f>Github!E$79</f>
        <v>Medium</v>
      </c>
      <c r="J37" s="10" t="str">
        <f>IF(TRIM(Github!D$79)="TRUE","FALSE","TRUE")</f>
        <v>TRUE</v>
      </c>
      <c r="K37" s="10" t="b">
        <f>Github!M$79</f>
        <v>1</v>
      </c>
      <c r="L37" s="10" t="b">
        <f>Github!N$79</f>
        <v>0</v>
      </c>
      <c r="M37" s="10" t="str">
        <f>ROUND(Github!O$79, 2)&amp;"%"</f>
        <v>71.38%</v>
      </c>
      <c r="N37" s="10">
        <f>Github!P$79</f>
        <v>1074437</v>
      </c>
      <c r="O37" s="10">
        <f>Github!Q$79</f>
        <v>1505292</v>
      </c>
    </row>
    <row r="38">
      <c r="A38" s="10">
        <f>Github!J$85</f>
        <v>84</v>
      </c>
      <c r="B38" s="11" t="str">
        <f>HYPERLINK(CONCAT("http://leetcode.com/problems/",Github!C$85), Github!B$85)</f>
        <v>Largest Rectangle in Histogram</v>
      </c>
      <c r="C38" s="10">
        <f>Github!F$85</f>
        <v>9732</v>
      </c>
      <c r="D38" s="10">
        <f>Github!G$85</f>
        <v>143</v>
      </c>
      <c r="E38" s="10">
        <f>Github!F$85+Github!G$85</f>
        <v>9875</v>
      </c>
      <c r="F38" s="12">
        <f t="shared" si="1"/>
        <v>68.06</v>
      </c>
      <c r="G38" s="10" t="str">
        <f>Github!H$85</f>
        <v>Algorithms</v>
      </c>
      <c r="H38" s="13" t="str">
        <f>SUBSTITUTE(Github!L$85, ";", ", ")</f>
        <v>Array, Stack, Monotonic Stack, </v>
      </c>
      <c r="I38" s="10" t="str">
        <f>Github!E$85</f>
        <v>Hard</v>
      </c>
      <c r="J38" s="10" t="str">
        <f>IF(TRIM(Github!D$85)="TRUE","FALSE","TRUE")</f>
        <v>TRUE</v>
      </c>
      <c r="K38" s="10" t="b">
        <f>Github!M$85</f>
        <v>1</v>
      </c>
      <c r="L38" s="10" t="b">
        <f>Github!N$85</f>
        <v>1</v>
      </c>
      <c r="M38" s="10" t="str">
        <f>ROUND(Github!O$85, 2)&amp;"%"</f>
        <v>40.76%</v>
      </c>
      <c r="N38" s="10">
        <f>Github!P$85</f>
        <v>500710</v>
      </c>
      <c r="O38" s="10">
        <f>Github!Q$85</f>
        <v>1228500</v>
      </c>
    </row>
    <row r="39">
      <c r="A39" s="10">
        <f>Github!J$20</f>
        <v>19</v>
      </c>
      <c r="B39" s="11" t="str">
        <f>HYPERLINK(CONCAT("http://leetcode.com/problems/",Github!C$20), Github!B$20)</f>
        <v>Remove Nth Node From End of List</v>
      </c>
      <c r="C39" s="10">
        <f>Github!F$20</f>
        <v>9733</v>
      </c>
      <c r="D39" s="10">
        <f>Github!G$20</f>
        <v>464</v>
      </c>
      <c r="E39" s="10">
        <f>Github!F$20+Github!G$20</f>
        <v>10197</v>
      </c>
      <c r="F39" s="12">
        <f t="shared" si="1"/>
        <v>20.98</v>
      </c>
      <c r="G39" s="10" t="str">
        <f>Github!H$20</f>
        <v>Algorithms</v>
      </c>
      <c r="H39" s="13" t="str">
        <f>SUBSTITUTE(Github!L$20, ";", ", ")</f>
        <v>Linked List, Two Pointers, </v>
      </c>
      <c r="I39" s="10" t="str">
        <f>Github!E$20</f>
        <v>Medium</v>
      </c>
      <c r="J39" s="10" t="str">
        <f>IF(TRIM(Github!D$20)="TRUE","FALSE","TRUE")</f>
        <v>TRUE</v>
      </c>
      <c r="K39" s="10" t="b">
        <f>Github!M$20</f>
        <v>1</v>
      </c>
      <c r="L39" s="10" t="b">
        <f>Github!N$20</f>
        <v>1</v>
      </c>
      <c r="M39" s="10" t="str">
        <f>ROUND(Github!O$20, 2)&amp;"%"</f>
        <v>38.27%</v>
      </c>
      <c r="N39" s="10">
        <f>Github!P$20</f>
        <v>1359587</v>
      </c>
      <c r="O39" s="10">
        <f>Github!Q$20</f>
        <v>3552437</v>
      </c>
    </row>
    <row r="40">
      <c r="A40" s="10">
        <f>Github!J$18</f>
        <v>17</v>
      </c>
      <c r="B40" s="11" t="str">
        <f>HYPERLINK(CONCAT("http://leetcode.com/problems/",Github!C$18), Github!B$18)</f>
        <v>Letter Combinations of a Phone Number</v>
      </c>
      <c r="C40" s="10">
        <f>Github!F$18</f>
        <v>9683</v>
      </c>
      <c r="D40" s="10">
        <f>Github!G$18</f>
        <v>667</v>
      </c>
      <c r="E40" s="10">
        <f>Github!F$18+Github!G$18</f>
        <v>10350</v>
      </c>
      <c r="F40" s="12">
        <f t="shared" si="1"/>
        <v>14.52</v>
      </c>
      <c r="G40" s="10" t="str">
        <f>Github!H$18</f>
        <v>Algorithms</v>
      </c>
      <c r="H40" s="13" t="str">
        <f>SUBSTITUTE(Github!L$18, ";", ", ")</f>
        <v>Hash Table, String, Backtracking, </v>
      </c>
      <c r="I40" s="10" t="str">
        <f>Github!E$18</f>
        <v>Medium</v>
      </c>
      <c r="J40" s="10" t="str">
        <f>IF(TRIM(Github!D$18)="TRUE","FALSE","TRUE")</f>
        <v>TRUE</v>
      </c>
      <c r="K40" s="10" t="b">
        <f>Github!M$18</f>
        <v>1</v>
      </c>
      <c r="L40" s="10" t="b">
        <f>Github!N$18</f>
        <v>0</v>
      </c>
      <c r="M40" s="10" t="str">
        <f>ROUND(Github!O$18, 2)&amp;"%"</f>
        <v>53.56%</v>
      </c>
      <c r="N40" s="10">
        <f>Github!P$18</f>
        <v>1158871</v>
      </c>
      <c r="O40" s="10">
        <f>Github!Q$18</f>
        <v>2163506</v>
      </c>
    </row>
    <row r="41">
      <c r="A41" s="10">
        <f>Github!J$137</f>
        <v>136</v>
      </c>
      <c r="B41" s="11" t="str">
        <f>HYPERLINK(CONCAT("http://leetcode.com/problems/",Github!C$137), Github!B$137)</f>
        <v>Single Number</v>
      </c>
      <c r="C41" s="10">
        <f>Github!F$137</f>
        <v>9660</v>
      </c>
      <c r="D41" s="10">
        <f>Github!G$137</f>
        <v>347</v>
      </c>
      <c r="E41" s="10">
        <f>Github!F$137+Github!G$137</f>
        <v>10007</v>
      </c>
      <c r="F41" s="12">
        <f t="shared" si="1"/>
        <v>27.84</v>
      </c>
      <c r="G41" s="10" t="str">
        <f>Github!H$137</f>
        <v>Algorithms</v>
      </c>
      <c r="H41" s="13" t="str">
        <f>SUBSTITUTE(Github!L$137, ";", ", ")</f>
        <v>Array, Bit Manipulation, </v>
      </c>
      <c r="I41" s="10" t="str">
        <f>Github!E$137</f>
        <v>Easy</v>
      </c>
      <c r="J41" s="10" t="str">
        <f>IF(TRIM(Github!D$137)="TRUE","FALSE","TRUE")</f>
        <v>TRUE</v>
      </c>
      <c r="K41" s="10" t="b">
        <f>Github!M$137</f>
        <v>1</v>
      </c>
      <c r="L41" s="10" t="b">
        <f>Github!N$137</f>
        <v>0</v>
      </c>
      <c r="M41" s="10" t="str">
        <f>ROUND(Github!O$137, 2)&amp;"%"</f>
        <v>69.34%</v>
      </c>
      <c r="N41" s="10">
        <f>Github!P$137</f>
        <v>1622149</v>
      </c>
      <c r="O41" s="10">
        <f>Github!Q$137</f>
        <v>2339289</v>
      </c>
    </row>
    <row r="42">
      <c r="A42" s="10">
        <f>Github!J$240</f>
        <v>239</v>
      </c>
      <c r="B42" s="11" t="str">
        <f>HYPERLINK(CONCAT("http://leetcode.com/problems/",Github!C$240), Github!B$240)</f>
        <v>Sliding Window Maximum</v>
      </c>
      <c r="C42" s="10">
        <f>Github!F$240</f>
        <v>9613</v>
      </c>
      <c r="D42" s="10">
        <f>Github!G$240</f>
        <v>340</v>
      </c>
      <c r="E42" s="10">
        <f>Github!F$240+Github!G$240</f>
        <v>9953</v>
      </c>
      <c r="F42" s="12">
        <f t="shared" si="1"/>
        <v>28.27</v>
      </c>
      <c r="G42" s="10" t="str">
        <f>Github!H$240</f>
        <v>Algorithms</v>
      </c>
      <c r="H42" s="13" t="str">
        <f>SUBSTITUTE(Github!L$240, ";", ", ")</f>
        <v>Array, Queue, Sliding Window, Heap (Priority Queue), Monotonic Queue, </v>
      </c>
      <c r="I42" s="10" t="str">
        <f>Github!E$240</f>
        <v>Hard</v>
      </c>
      <c r="J42" s="10" t="str">
        <f>IF(TRIM(Github!D$240)="TRUE","FALSE","TRUE")</f>
        <v>TRUE</v>
      </c>
      <c r="K42" s="10" t="b">
        <f>Github!M$240</f>
        <v>1</v>
      </c>
      <c r="L42" s="10" t="b">
        <f>Github!N$240</f>
        <v>0</v>
      </c>
      <c r="M42" s="10" t="str">
        <f>ROUND(Github!O$240, 2)&amp;"%"</f>
        <v>46.21%</v>
      </c>
      <c r="N42" s="10">
        <f>Github!P$240</f>
        <v>560695</v>
      </c>
      <c r="O42" s="10">
        <f>Github!Q$240</f>
        <v>1213315</v>
      </c>
    </row>
    <row r="43">
      <c r="A43" s="10">
        <f>Github!J$76</f>
        <v>75</v>
      </c>
      <c r="B43" s="11" t="str">
        <f>HYPERLINK(CONCAT("http://leetcode.com/problems/",Github!C$76), Github!B$76)</f>
        <v>Sort Colors</v>
      </c>
      <c r="C43" s="10">
        <f>Github!F$76</f>
        <v>9585</v>
      </c>
      <c r="D43" s="10">
        <f>Github!G$76</f>
        <v>411</v>
      </c>
      <c r="E43" s="10">
        <f>Github!F$76+Github!G$76</f>
        <v>9996</v>
      </c>
      <c r="F43" s="12">
        <f t="shared" si="1"/>
        <v>23.32</v>
      </c>
      <c r="G43" s="10" t="str">
        <f>Github!H$76</f>
        <v>Algorithms</v>
      </c>
      <c r="H43" s="13" t="str">
        <f>SUBSTITUTE(Github!L$76, ";", ", ")</f>
        <v>Array, Two Pointers, Sorting, </v>
      </c>
      <c r="I43" s="10" t="str">
        <f>Github!E$76</f>
        <v>Medium</v>
      </c>
      <c r="J43" s="10" t="str">
        <f>IF(TRIM(Github!D$76)="TRUE","FALSE","TRUE")</f>
        <v>TRUE</v>
      </c>
      <c r="K43" s="10" t="b">
        <f>Github!M$76</f>
        <v>1</v>
      </c>
      <c r="L43" s="10" t="b">
        <f>Github!N$76</f>
        <v>0</v>
      </c>
      <c r="M43" s="10" t="str">
        <f>ROUND(Github!O$76, 2)&amp;"%"</f>
        <v>54.73%</v>
      </c>
      <c r="N43" s="10">
        <f>Github!P$76</f>
        <v>989413</v>
      </c>
      <c r="O43" s="10">
        <f>Github!Q$76</f>
        <v>1807669</v>
      </c>
    </row>
    <row r="44">
      <c r="A44" s="10">
        <f>Github!J$99</f>
        <v>98</v>
      </c>
      <c r="B44" s="11" t="str">
        <f>HYPERLINK(CONCAT("http://leetcode.com/problems/",Github!C$99), Github!B$99)</f>
        <v>Validate Binary Search Tree</v>
      </c>
      <c r="C44" s="10">
        <f>Github!F$99</f>
        <v>9548</v>
      </c>
      <c r="D44" s="10">
        <f>Github!G$99</f>
        <v>877</v>
      </c>
      <c r="E44" s="10">
        <f>Github!F$99+Github!G$99</f>
        <v>10425</v>
      </c>
      <c r="F44" s="12">
        <f t="shared" si="1"/>
        <v>10.89</v>
      </c>
      <c r="G44" s="10" t="str">
        <f>Github!H$99</f>
        <v>Algorithms</v>
      </c>
      <c r="H44" s="13" t="str">
        <f>SUBSTITUTE(Github!L$99, ";", ", ")</f>
        <v>Tree, Depth-First Search, Binary Search Tree, Binary Tree, </v>
      </c>
      <c r="I44" s="10" t="str">
        <f>Github!E$99</f>
        <v>Medium</v>
      </c>
      <c r="J44" s="10" t="str">
        <f>IF(TRIM(Github!D$99)="TRUE","FALSE","TRUE")</f>
        <v>TRUE</v>
      </c>
      <c r="K44" s="10" t="b">
        <f>Github!M$99</f>
        <v>1</v>
      </c>
      <c r="L44" s="10" t="b">
        <f>Github!N$99</f>
        <v>1</v>
      </c>
      <c r="M44" s="10" t="str">
        <f>ROUND(Github!O$99, 2)&amp;"%"</f>
        <v>30.51%</v>
      </c>
      <c r="N44" s="10">
        <f>Github!P$99</f>
        <v>1381168</v>
      </c>
      <c r="O44" s="10">
        <f>Github!Q$99</f>
        <v>4527095</v>
      </c>
    </row>
    <row r="45">
      <c r="A45" s="10">
        <f>Github!J$237</f>
        <v>236</v>
      </c>
      <c r="B45" s="11" t="str">
        <f>HYPERLINK(CONCAT("http://leetcode.com/problems/",Github!C$237), Github!B$237)</f>
        <v>Lowest Common Ancestor of a Binary Tree</v>
      </c>
      <c r="C45" s="10">
        <f>Github!F$237</f>
        <v>9536</v>
      </c>
      <c r="D45" s="10">
        <f>Github!G$237</f>
        <v>274</v>
      </c>
      <c r="E45" s="10">
        <f>Github!F$237+Github!G$237</f>
        <v>9810</v>
      </c>
      <c r="F45" s="12">
        <f t="shared" si="1"/>
        <v>34.8</v>
      </c>
      <c r="G45" s="10" t="str">
        <f>Github!H$237</f>
        <v>Algorithms</v>
      </c>
      <c r="H45" s="13" t="str">
        <f>SUBSTITUTE(Github!L$237, ";", ", ")</f>
        <v>Tree, Depth-First Search, Binary Tree, </v>
      </c>
      <c r="I45" s="10" t="str">
        <f>Github!E$237</f>
        <v>Medium</v>
      </c>
      <c r="J45" s="10" t="str">
        <f>IF(TRIM(Github!D$237)="TRUE","FALSE","TRUE")</f>
        <v>TRUE</v>
      </c>
      <c r="K45" s="10" t="b">
        <f>Github!M$237</f>
        <v>1</v>
      </c>
      <c r="L45" s="10" t="b">
        <f>Github!N$237</f>
        <v>0</v>
      </c>
      <c r="M45" s="10" t="str">
        <f>ROUND(Github!O$237, 2)&amp;"%"</f>
        <v>55.3%</v>
      </c>
      <c r="N45" s="10">
        <f>Github!P$237</f>
        <v>979484</v>
      </c>
      <c r="O45" s="10">
        <f>Github!Q$237</f>
        <v>1771242</v>
      </c>
    </row>
    <row r="46">
      <c r="A46" s="10">
        <f>Github!J$170</f>
        <v>169</v>
      </c>
      <c r="B46" s="11" t="str">
        <f>HYPERLINK(CONCAT("http://leetcode.com/problems/",Github!C$170), Github!B$170)</f>
        <v>Majority Element</v>
      </c>
      <c r="C46" s="10">
        <f>Github!F$170</f>
        <v>9449</v>
      </c>
      <c r="D46" s="10">
        <f>Github!G$170</f>
        <v>335</v>
      </c>
      <c r="E46" s="10">
        <f>Github!F$170+Github!G$170</f>
        <v>9784</v>
      </c>
      <c r="F46" s="12">
        <f t="shared" si="1"/>
        <v>28.21</v>
      </c>
      <c r="G46" s="10" t="str">
        <f>Github!H$170</f>
        <v>Algorithms</v>
      </c>
      <c r="H46" s="13" t="str">
        <f>SUBSTITUTE(Github!L$170, ";", ", ")</f>
        <v>Array, Hash Table, Divide and Conquer, Sorting, Counting, </v>
      </c>
      <c r="I46" s="10" t="str">
        <f>Github!E$170</f>
        <v>Easy</v>
      </c>
      <c r="J46" s="10" t="str">
        <f>IF(TRIM(Github!D$170)="TRUE","FALSE","TRUE")</f>
        <v>TRUE</v>
      </c>
      <c r="K46" s="10" t="b">
        <f>Github!M$170</f>
        <v>1</v>
      </c>
      <c r="L46" s="10" t="b">
        <f>Github!N$170</f>
        <v>0</v>
      </c>
      <c r="M46" s="10" t="str">
        <f>ROUND(Github!O$170, 2)&amp;"%"</f>
        <v>62.9%</v>
      </c>
      <c r="N46" s="10">
        <f>Github!P$170</f>
        <v>1209700</v>
      </c>
      <c r="O46" s="10">
        <f>Github!Q$170</f>
        <v>1923340</v>
      </c>
    </row>
    <row r="47">
      <c r="A47" s="10">
        <f>Github!J$42</f>
        <v>41</v>
      </c>
      <c r="B47" s="11" t="str">
        <f>HYPERLINK(CONCAT("http://leetcode.com/problems/",Github!C$42), Github!B$42)</f>
        <v>First Missing Positive</v>
      </c>
      <c r="C47" s="10">
        <f>Github!F$42</f>
        <v>9372</v>
      </c>
      <c r="D47" s="10">
        <f>Github!G$42</f>
        <v>1319</v>
      </c>
      <c r="E47" s="10">
        <f>Github!F$42+Github!G$42</f>
        <v>10691</v>
      </c>
      <c r="F47" s="12">
        <f t="shared" si="1"/>
        <v>7.11</v>
      </c>
      <c r="G47" s="10" t="str">
        <f>Github!H$42</f>
        <v>Algorithms</v>
      </c>
      <c r="H47" s="13" t="str">
        <f>SUBSTITUTE(Github!L$42, ";", ", ")</f>
        <v>Array, Hash Table, </v>
      </c>
      <c r="I47" s="10" t="str">
        <f>Github!E$42</f>
        <v>Hard</v>
      </c>
      <c r="J47" s="10" t="str">
        <f>IF(TRIM(Github!D$42)="TRUE","FALSE","TRUE")</f>
        <v>TRUE</v>
      </c>
      <c r="K47" s="10" t="b">
        <f>Github!M$42</f>
        <v>1</v>
      </c>
      <c r="L47" s="10" t="b">
        <f>Github!N$42</f>
        <v>0</v>
      </c>
      <c r="M47" s="10" t="str">
        <f>ROUND(Github!O$42, 2)&amp;"%"</f>
        <v>35.94%</v>
      </c>
      <c r="N47" s="10">
        <f>Github!P$42</f>
        <v>669122</v>
      </c>
      <c r="O47" s="10">
        <f>Github!Q$42</f>
        <v>1861638</v>
      </c>
    </row>
    <row r="48">
      <c r="A48" s="10">
        <f>Github!J$125</f>
        <v>124</v>
      </c>
      <c r="B48" s="11" t="str">
        <f>HYPERLINK(CONCAT("http://leetcode.com/problems/",Github!C$125), Github!B$125)</f>
        <v>Binary Tree Maximum Path Sum</v>
      </c>
      <c r="C48" s="10">
        <f>Github!F$125</f>
        <v>9275</v>
      </c>
      <c r="D48" s="10">
        <f>Github!G$125</f>
        <v>536</v>
      </c>
      <c r="E48" s="10">
        <f>Github!F$125+Github!G$125</f>
        <v>9811</v>
      </c>
      <c r="F48" s="12">
        <f t="shared" si="1"/>
        <v>17.3</v>
      </c>
      <c r="G48" s="10" t="str">
        <f>Github!H$125</f>
        <v>Algorithms</v>
      </c>
      <c r="H48" s="13" t="str">
        <f>SUBSTITUTE(Github!L$125, ";", ", ")</f>
        <v>Dynamic Programming, Tree, Depth-First Search, Binary Tree, </v>
      </c>
      <c r="I48" s="10" t="str">
        <f>Github!E$125</f>
        <v>Hard</v>
      </c>
      <c r="J48" s="10" t="str">
        <f>IF(TRIM(Github!D$125)="TRUE","FALSE","TRUE")</f>
        <v>TRUE</v>
      </c>
      <c r="K48" s="10" t="b">
        <f>Github!M$125</f>
        <v>1</v>
      </c>
      <c r="L48" s="10" t="b">
        <f>Github!N$125</f>
        <v>0</v>
      </c>
      <c r="M48" s="10" t="str">
        <f>ROUND(Github!O$125, 2)&amp;"%"</f>
        <v>37.66%</v>
      </c>
      <c r="N48" s="10">
        <f>Github!P$125</f>
        <v>722036</v>
      </c>
      <c r="O48" s="10">
        <f>Github!Q$125</f>
        <v>1917450</v>
      </c>
    </row>
    <row r="49">
      <c r="A49" s="10">
        <f>Github!J$102</f>
        <v>101</v>
      </c>
      <c r="B49" s="11" t="str">
        <f>HYPERLINK(CONCAT("http://leetcode.com/problems/",Github!C$102), Github!B$102)</f>
        <v>Symmetric Tree</v>
      </c>
      <c r="C49" s="10">
        <f>Github!F$102</f>
        <v>9256</v>
      </c>
      <c r="D49" s="10">
        <f>Github!G$102</f>
        <v>230</v>
      </c>
      <c r="E49" s="10">
        <f>Github!F$102+Github!G$102</f>
        <v>9486</v>
      </c>
      <c r="F49" s="12">
        <f t="shared" si="1"/>
        <v>40.24</v>
      </c>
      <c r="G49" s="10" t="str">
        <f>Github!H$102</f>
        <v>Algorithms</v>
      </c>
      <c r="H49" s="13" t="str">
        <f>SUBSTITUTE(Github!L$102, ";", ", ")</f>
        <v>Tree, Depth-First Search, Breadth-First Search, Binary Tree, </v>
      </c>
      <c r="I49" s="10" t="str">
        <f>Github!E$102</f>
        <v>Easy</v>
      </c>
      <c r="J49" s="10" t="str">
        <f>IF(TRIM(Github!D$102)="TRUE","FALSE","TRUE")</f>
        <v>TRUE</v>
      </c>
      <c r="K49" s="10" t="b">
        <f>Github!M$102</f>
        <v>1</v>
      </c>
      <c r="L49" s="10" t="b">
        <f>Github!N$102</f>
        <v>0</v>
      </c>
      <c r="M49" s="10" t="str">
        <f>ROUND(Github!O$102, 2)&amp;"%"</f>
        <v>51.56%</v>
      </c>
      <c r="N49" s="10">
        <f>Github!P$102</f>
        <v>1218898</v>
      </c>
      <c r="O49" s="10">
        <f>Github!Q$102</f>
        <v>2363829</v>
      </c>
    </row>
    <row r="50">
      <c r="A50" s="10">
        <f>Github!J$190</f>
        <v>189</v>
      </c>
      <c r="B50" s="11" t="str">
        <f>HYPERLINK(CONCAT("http://leetcode.com/problems/",Github!C$190), Github!B$190)</f>
        <v>Rotate Array</v>
      </c>
      <c r="C50" s="10">
        <f>Github!F$190</f>
        <v>9223</v>
      </c>
      <c r="D50" s="10">
        <f>Github!G$190</f>
        <v>1278</v>
      </c>
      <c r="E50" s="10">
        <f>Github!F$190+Github!G$190</f>
        <v>10501</v>
      </c>
      <c r="F50" s="12">
        <f t="shared" si="1"/>
        <v>7.22</v>
      </c>
      <c r="G50" s="10" t="str">
        <f>Github!H$190</f>
        <v>Algorithms</v>
      </c>
      <c r="H50" s="13" t="str">
        <f>SUBSTITUTE(Github!L$190, ";", ", ")</f>
        <v>Array, Math, Two Pointers, </v>
      </c>
      <c r="I50" s="10" t="str">
        <f>Github!E$190</f>
        <v>Medium</v>
      </c>
      <c r="J50" s="10" t="str">
        <f>IF(TRIM(Github!D$190)="TRUE","FALSE","TRUE")</f>
        <v>TRUE</v>
      </c>
      <c r="K50" s="10" t="b">
        <f>Github!M$190</f>
        <v>1</v>
      </c>
      <c r="L50" s="10" t="b">
        <f>Github!N$190</f>
        <v>0</v>
      </c>
      <c r="M50" s="10" t="str">
        <f>ROUND(Github!O$190, 2)&amp;"%"</f>
        <v>38.56%</v>
      </c>
      <c r="N50" s="10">
        <f>Github!P$190</f>
        <v>1089374</v>
      </c>
      <c r="O50" s="10">
        <f>Github!Q$190</f>
        <v>2824911</v>
      </c>
    </row>
    <row r="51">
      <c r="A51" s="10">
        <f>Github!J$129</f>
        <v>128</v>
      </c>
      <c r="B51" s="11" t="str">
        <f>HYPERLINK(CONCAT("http://leetcode.com/problems/",Github!C$129), Github!B$129)</f>
        <v>Longest Consecutive Sequence</v>
      </c>
      <c r="C51" s="10">
        <f>Github!F$129</f>
        <v>9165</v>
      </c>
      <c r="D51" s="10">
        <f>Github!G$129</f>
        <v>405</v>
      </c>
      <c r="E51" s="10">
        <f>Github!F$129+Github!G$129</f>
        <v>9570</v>
      </c>
      <c r="F51" s="12">
        <f t="shared" si="1"/>
        <v>22.63</v>
      </c>
      <c r="G51" s="10" t="str">
        <f>Github!H$129</f>
        <v>Algorithms</v>
      </c>
      <c r="H51" s="13" t="str">
        <f>SUBSTITUTE(Github!L$129, ";", ", ")</f>
        <v>Array, Hash Table, Union Find, </v>
      </c>
      <c r="I51" s="10" t="str">
        <f>Github!E$129</f>
        <v>Medium</v>
      </c>
      <c r="J51" s="10" t="str">
        <f>IF(TRIM(Github!D$129)="TRUE","FALSE","TRUE")</f>
        <v>TRUE</v>
      </c>
      <c r="K51" s="10" t="b">
        <f>Github!M$129</f>
        <v>1</v>
      </c>
      <c r="L51" s="10" t="b">
        <f>Github!N$129</f>
        <v>0</v>
      </c>
      <c r="M51" s="10" t="str">
        <f>ROUND(Github!O$129, 2)&amp;"%"</f>
        <v>48.68%</v>
      </c>
      <c r="N51" s="10">
        <f>Github!P$129</f>
        <v>653458</v>
      </c>
      <c r="O51" s="10">
        <f>Github!Q$129</f>
        <v>1342260</v>
      </c>
    </row>
    <row r="52">
      <c r="A52" s="10">
        <f>Github!J$208</f>
        <v>207</v>
      </c>
      <c r="B52" s="11" t="str">
        <f>HYPERLINK(CONCAT("http://leetcode.com/problems/",Github!C$208), Github!B$208)</f>
        <v>Course Schedule</v>
      </c>
      <c r="C52" s="10">
        <f>Github!F$208</f>
        <v>9125</v>
      </c>
      <c r="D52" s="10">
        <f>Github!G$208</f>
        <v>365</v>
      </c>
      <c r="E52" s="10">
        <f>Github!F$208+Github!G$208</f>
        <v>9490</v>
      </c>
      <c r="F52" s="12">
        <f t="shared" si="1"/>
        <v>25</v>
      </c>
      <c r="G52" s="10" t="str">
        <f>Github!H$208</f>
        <v>Algorithms</v>
      </c>
      <c r="H52" s="13" t="str">
        <f>SUBSTITUTE(Github!L$208, ";", ", ")</f>
        <v>Depth-First Search, Breadth-First Search, Graph, Topological Sort, </v>
      </c>
      <c r="I52" s="10" t="str">
        <f>Github!E$208</f>
        <v>Medium</v>
      </c>
      <c r="J52" s="10" t="str">
        <f>IF(TRIM(Github!D$208)="TRUE","FALSE","TRUE")</f>
        <v>TRUE</v>
      </c>
      <c r="K52" s="10" t="b">
        <f>Github!M$208</f>
        <v>1</v>
      </c>
      <c r="L52" s="10" t="b">
        <f>Github!N$208</f>
        <v>0</v>
      </c>
      <c r="M52" s="10" t="str">
        <f>ROUND(Github!O$208, 2)&amp;"%"</f>
        <v>45.05%</v>
      </c>
      <c r="N52" s="10">
        <f>Github!P$208</f>
        <v>852772</v>
      </c>
      <c r="O52" s="10">
        <f>Github!Q$208</f>
        <v>1892961</v>
      </c>
    </row>
    <row r="53">
      <c r="A53" s="10">
        <f>Github!J$80</f>
        <v>79</v>
      </c>
      <c r="B53" s="11" t="str">
        <f>HYPERLINK(CONCAT("http://leetcode.com/problems/",Github!C$80), Github!B$80)</f>
        <v>Word Search</v>
      </c>
      <c r="C53" s="10">
        <f>Github!F$80</f>
        <v>9095</v>
      </c>
      <c r="D53" s="10">
        <f>Github!G$80</f>
        <v>346</v>
      </c>
      <c r="E53" s="10">
        <f>Github!F$80+Github!G$80</f>
        <v>9441</v>
      </c>
      <c r="F53" s="12">
        <f t="shared" si="1"/>
        <v>26.29</v>
      </c>
      <c r="G53" s="10" t="str">
        <f>Github!H$80</f>
        <v>Algorithms</v>
      </c>
      <c r="H53" s="13" t="str">
        <f>SUBSTITUTE(Github!L$80, ";", ", ")</f>
        <v>Array, Backtracking, Matrix, </v>
      </c>
      <c r="I53" s="10" t="str">
        <f>Github!E$80</f>
        <v>Medium</v>
      </c>
      <c r="J53" s="10" t="str">
        <f>IF(TRIM(Github!D$80)="TRUE","FALSE","TRUE")</f>
        <v>TRUE</v>
      </c>
      <c r="K53" s="10" t="b">
        <f>Github!M$80</f>
        <v>1</v>
      </c>
      <c r="L53" s="10" t="b">
        <f>Github!N$80</f>
        <v>0</v>
      </c>
      <c r="M53" s="10" t="str">
        <f>ROUND(Github!O$80, 2)&amp;"%"</f>
        <v>39.65%</v>
      </c>
      <c r="N53" s="10">
        <f>Github!P$80</f>
        <v>951083</v>
      </c>
      <c r="O53" s="10">
        <f>Github!Q$80</f>
        <v>2398881</v>
      </c>
    </row>
    <row r="54">
      <c r="A54" s="10">
        <f>Github!J$50</f>
        <v>49</v>
      </c>
      <c r="B54" s="11" t="str">
        <f>HYPERLINK(CONCAT("http://leetcode.com/problems/",Github!C$50), Github!B$50)</f>
        <v>Group Anagrams</v>
      </c>
      <c r="C54" s="10">
        <f>Github!F$50</f>
        <v>9075</v>
      </c>
      <c r="D54" s="10">
        <f>Github!G$50</f>
        <v>313</v>
      </c>
      <c r="E54" s="10">
        <f>Github!F$50+Github!G$50</f>
        <v>9388</v>
      </c>
      <c r="F54" s="12">
        <f t="shared" si="1"/>
        <v>28.99</v>
      </c>
      <c r="G54" s="10" t="str">
        <f>Github!H$50</f>
        <v>Algorithms</v>
      </c>
      <c r="H54" s="13" t="str">
        <f>SUBSTITUTE(Github!L$50, ";", ", ")</f>
        <v>Hash Table, String, Sorting, </v>
      </c>
      <c r="I54" s="10" t="str">
        <f>Github!E$50</f>
        <v>Medium</v>
      </c>
      <c r="J54" s="10" t="str">
        <f>IF(TRIM(Github!D$50)="TRUE","FALSE","TRUE")</f>
        <v>TRUE</v>
      </c>
      <c r="K54" s="10" t="b">
        <f>Github!M$50</f>
        <v>1</v>
      </c>
      <c r="L54" s="10" t="b">
        <f>Github!N$50</f>
        <v>1</v>
      </c>
      <c r="M54" s="10" t="str">
        <f>ROUND(Github!O$50, 2)&amp;"%"</f>
        <v>64.1%</v>
      </c>
      <c r="N54" s="10">
        <f>Github!P$50</f>
        <v>1325244</v>
      </c>
      <c r="O54" s="10">
        <f>Github!Q$50</f>
        <v>2067339</v>
      </c>
    </row>
    <row r="55">
      <c r="A55" s="10">
        <f>Github!J$216</f>
        <v>215</v>
      </c>
      <c r="B55" s="11" t="str">
        <f>HYPERLINK(CONCAT("http://leetcode.com/problems/",Github!C$216), Github!B$216)</f>
        <v>Kth Largest Element in an Array</v>
      </c>
      <c r="C55" s="10">
        <f>Github!F$216</f>
        <v>9022</v>
      </c>
      <c r="D55" s="10">
        <f>Github!G$216</f>
        <v>483</v>
      </c>
      <c r="E55" s="10">
        <f>Github!F$216+Github!G$216</f>
        <v>9505</v>
      </c>
      <c r="F55" s="12">
        <f t="shared" si="1"/>
        <v>18.68</v>
      </c>
      <c r="G55" s="10" t="str">
        <f>Github!H$216</f>
        <v>Algorithms</v>
      </c>
      <c r="H55" s="13" t="str">
        <f>SUBSTITUTE(Github!L$216, ";", ", ")</f>
        <v>Array, Divide and Conquer, Sorting, Heap (Priority Queue), Quickselect, </v>
      </c>
      <c r="I55" s="10" t="str">
        <f>Github!E$216</f>
        <v>Medium</v>
      </c>
      <c r="J55" s="10" t="str">
        <f>IF(TRIM(Github!D$216)="TRUE","FALSE","TRUE")</f>
        <v>TRUE</v>
      </c>
      <c r="K55" s="10" t="b">
        <f>Github!M$216</f>
        <v>1</v>
      </c>
      <c r="L55" s="10" t="b">
        <f>Github!N$216</f>
        <v>0</v>
      </c>
      <c r="M55" s="10" t="str">
        <f>ROUND(Github!O$216, 2)&amp;"%"</f>
        <v>63.43%</v>
      </c>
      <c r="N55" s="10">
        <f>Github!P$216</f>
        <v>1293711</v>
      </c>
      <c r="O55" s="10">
        <f>Github!Q$216</f>
        <v>2039639</v>
      </c>
    </row>
    <row r="56">
      <c r="A56" s="10">
        <f>Github!J$348</f>
        <v>347</v>
      </c>
      <c r="B56" s="11" t="str">
        <f>HYPERLINK(CONCAT("http://leetcode.com/problems/",Github!C$348), Github!B$348)</f>
        <v>Top K Frequent Elements</v>
      </c>
      <c r="C56" s="10">
        <f>Github!F$348</f>
        <v>8976</v>
      </c>
      <c r="D56" s="10">
        <f>Github!G$348</f>
        <v>366</v>
      </c>
      <c r="E56" s="10">
        <f>Github!F$348+Github!G$348</f>
        <v>9342</v>
      </c>
      <c r="F56" s="12">
        <f t="shared" si="1"/>
        <v>24.52</v>
      </c>
      <c r="G56" s="10" t="str">
        <f>Github!H$348</f>
        <v>Algorithms</v>
      </c>
      <c r="H56" s="13" t="str">
        <f>SUBSTITUTE(Github!L$348, ";", ", ")</f>
        <v>Array, Hash Table, Divide and Conquer, Sorting, Heap (Priority Queue), Bucket Sort, Counting, Quickselect, </v>
      </c>
      <c r="I56" s="10" t="str">
        <f>Github!E$348</f>
        <v>Medium</v>
      </c>
      <c r="J56" s="10" t="str">
        <f>IF(TRIM(Github!D$348)="TRUE","FALSE","TRUE")</f>
        <v>TRUE</v>
      </c>
      <c r="K56" s="10" t="b">
        <f>Github!M$348</f>
        <v>1</v>
      </c>
      <c r="L56" s="10" t="b">
        <f>Github!N$348</f>
        <v>0</v>
      </c>
      <c r="M56" s="10" t="str">
        <f>ROUND(Github!O$348, 2)&amp;"%"</f>
        <v>65.08%</v>
      </c>
      <c r="N56" s="10">
        <f>Github!P$348</f>
        <v>939241</v>
      </c>
      <c r="O56" s="10">
        <f>Github!Q$348</f>
        <v>1443150</v>
      </c>
    </row>
    <row r="57">
      <c r="A57" s="10">
        <f>Github!J$284</f>
        <v>283</v>
      </c>
      <c r="B57" s="11" t="str">
        <f>HYPERLINK(CONCAT("http://leetcode.com/problems/",Github!C$284), Github!B$284)</f>
        <v>Move Zeroes</v>
      </c>
      <c r="C57" s="10">
        <f>Github!F$284</f>
        <v>8960</v>
      </c>
      <c r="D57" s="10">
        <f>Github!G$284</f>
        <v>242</v>
      </c>
      <c r="E57" s="10">
        <f>Github!F$284+Github!G$284</f>
        <v>9202</v>
      </c>
      <c r="F57" s="12">
        <f t="shared" si="1"/>
        <v>37.02</v>
      </c>
      <c r="G57" s="10" t="str">
        <f>Github!H$284</f>
        <v>Algorithms</v>
      </c>
      <c r="H57" s="13" t="str">
        <f>SUBSTITUTE(Github!L$284, ";", ", ")</f>
        <v>Array, Two Pointers, </v>
      </c>
      <c r="I57" s="10" t="str">
        <f>Github!E$284</f>
        <v>Easy</v>
      </c>
      <c r="J57" s="10" t="str">
        <f>IF(TRIM(Github!D$284)="TRUE","FALSE","TRUE")</f>
        <v>TRUE</v>
      </c>
      <c r="K57" s="10" t="b">
        <f>Github!M$284</f>
        <v>1</v>
      </c>
      <c r="L57" s="10" t="b">
        <f>Github!N$284</f>
        <v>0</v>
      </c>
      <c r="M57" s="10" t="str">
        <f>ROUND(Github!O$284, 2)&amp;"%"</f>
        <v>60.62%</v>
      </c>
      <c r="N57" s="10">
        <f>Github!P$284</f>
        <v>1637260</v>
      </c>
      <c r="O57" s="10">
        <f>Github!Q$284</f>
        <v>2700885</v>
      </c>
    </row>
    <row r="58">
      <c r="A58" s="10">
        <f>Github!J$49</f>
        <v>48</v>
      </c>
      <c r="B58" s="11" t="str">
        <f>HYPERLINK(CONCAT("http://leetcode.com/problems/",Github!C$49), Github!B$49)</f>
        <v>Rotate Image</v>
      </c>
      <c r="C58" s="10">
        <f>Github!F$49</f>
        <v>8947</v>
      </c>
      <c r="D58" s="10">
        <f>Github!G$49</f>
        <v>476</v>
      </c>
      <c r="E58" s="10">
        <f>Github!F$49+Github!G$49</f>
        <v>9423</v>
      </c>
      <c r="F58" s="12">
        <f t="shared" si="1"/>
        <v>18.8</v>
      </c>
      <c r="G58" s="10" t="str">
        <f>Github!H$49</f>
        <v>Algorithms</v>
      </c>
      <c r="H58" s="13" t="str">
        <f>SUBSTITUTE(Github!L$49, ";", ", ")</f>
        <v>Array, Math, Matrix, </v>
      </c>
      <c r="I58" s="10" t="str">
        <f>Github!E$49</f>
        <v>Medium</v>
      </c>
      <c r="J58" s="10" t="str">
        <f>IF(TRIM(Github!D$49)="TRUE","FALSE","TRUE")</f>
        <v>TRUE</v>
      </c>
      <c r="K58" s="10" t="b">
        <f>Github!M$49</f>
        <v>1</v>
      </c>
      <c r="L58" s="10" t="b">
        <f>Github!N$49</f>
        <v>0</v>
      </c>
      <c r="M58" s="10" t="str">
        <f>ROUND(Github!O$49, 2)&amp;"%"</f>
        <v>66.55%</v>
      </c>
      <c r="N58" s="10">
        <f>Github!P$49</f>
        <v>871248</v>
      </c>
      <c r="O58" s="10">
        <f>Github!Q$49</f>
        <v>1309212</v>
      </c>
    </row>
    <row r="59">
      <c r="A59" s="10">
        <f>Github!J$235</f>
        <v>234</v>
      </c>
      <c r="B59" s="11" t="str">
        <f>HYPERLINK(CONCAT("http://leetcode.com/problems/",Github!C$235), Github!B$235)</f>
        <v>Palindrome Linked List</v>
      </c>
      <c r="C59" s="10">
        <f>Github!F$235</f>
        <v>8690</v>
      </c>
      <c r="D59" s="10">
        <f>Github!G$235</f>
        <v>532</v>
      </c>
      <c r="E59" s="10">
        <f>Github!F$235+Github!G$235</f>
        <v>9222</v>
      </c>
      <c r="F59" s="12">
        <f t="shared" si="1"/>
        <v>16.33</v>
      </c>
      <c r="G59" s="10" t="str">
        <f>Github!H$235</f>
        <v>Algorithms</v>
      </c>
      <c r="H59" s="13" t="str">
        <f>SUBSTITUTE(Github!L$235, ";", ", ")</f>
        <v>Linked List, Two Pointers, Stack, Recursion, </v>
      </c>
      <c r="I59" s="10" t="str">
        <f>Github!E$235</f>
        <v>Easy</v>
      </c>
      <c r="J59" s="10" t="str">
        <f>IF(TRIM(Github!D$235)="TRUE","FALSE","TRUE")</f>
        <v>TRUE</v>
      </c>
      <c r="K59" s="10" t="b">
        <f>Github!M$235</f>
        <v>1</v>
      </c>
      <c r="L59" s="10" t="b">
        <f>Github!N$235</f>
        <v>1</v>
      </c>
      <c r="M59" s="10" t="str">
        <f>ROUND(Github!O$235, 2)&amp;"%"</f>
        <v>46.56%</v>
      </c>
      <c r="N59" s="10">
        <f>Github!P$235</f>
        <v>947693</v>
      </c>
      <c r="O59" s="10">
        <f>Github!Q$235</f>
        <v>2035246</v>
      </c>
    </row>
    <row r="60">
      <c r="A60" s="10">
        <f>Github!J$161</f>
        <v>160</v>
      </c>
      <c r="B60" s="11" t="str">
        <f>HYPERLINK(CONCAT("http://leetcode.com/problems/",Github!C$161), Github!B$161)</f>
        <v>Intersection of Two Linked Lists</v>
      </c>
      <c r="C60" s="10">
        <f>Github!F$161</f>
        <v>8632</v>
      </c>
      <c r="D60" s="10">
        <f>Github!G$161</f>
        <v>865</v>
      </c>
      <c r="E60" s="10">
        <f>Github!F$161+Github!G$161</f>
        <v>9497</v>
      </c>
      <c r="F60" s="12">
        <f t="shared" si="1"/>
        <v>9.98</v>
      </c>
      <c r="G60" s="10" t="str">
        <f>Github!H$161</f>
        <v>Algorithms</v>
      </c>
      <c r="H60" s="13" t="str">
        <f>SUBSTITUTE(Github!L$161, ";", ", ")</f>
        <v>Hash Table, Linked List, Two Pointers, </v>
      </c>
      <c r="I60" s="10" t="str">
        <f>Github!E$161</f>
        <v>Easy</v>
      </c>
      <c r="J60" s="10" t="str">
        <f>IF(TRIM(Github!D$161)="TRUE","FALSE","TRUE")</f>
        <v>TRUE</v>
      </c>
      <c r="K60" s="10" t="b">
        <f>Github!M$161</f>
        <v>1</v>
      </c>
      <c r="L60" s="10" t="b">
        <f>Github!N$161</f>
        <v>1</v>
      </c>
      <c r="M60" s="10" t="str">
        <f>ROUND(Github!O$161, 2)&amp;"%"</f>
        <v>49.87%</v>
      </c>
      <c r="N60" s="10">
        <f>Github!P$161</f>
        <v>921646</v>
      </c>
      <c r="O60" s="10">
        <f>Github!Q$161</f>
        <v>1848279</v>
      </c>
    </row>
    <row r="61">
      <c r="A61" s="10">
        <f>Github!J$63</f>
        <v>62</v>
      </c>
      <c r="B61" s="11" t="str">
        <f>HYPERLINK(CONCAT("http://leetcode.com/problems/",Github!C$63), Github!B$63)</f>
        <v>Unique Paths</v>
      </c>
      <c r="C61" s="10">
        <f>Github!F$63</f>
        <v>8642</v>
      </c>
      <c r="D61" s="10">
        <f>Github!G$63</f>
        <v>294</v>
      </c>
      <c r="E61" s="10">
        <f>Github!F$63+Github!G$63</f>
        <v>8936</v>
      </c>
      <c r="F61" s="12">
        <f t="shared" si="1"/>
        <v>29.39</v>
      </c>
      <c r="G61" s="10" t="str">
        <f>Github!H$63</f>
        <v>Algorithms</v>
      </c>
      <c r="H61" s="13" t="str">
        <f>SUBSTITUTE(Github!L$63, ";", ", ")</f>
        <v>Math, Dynamic Programming, Combinatorics, </v>
      </c>
      <c r="I61" s="10" t="str">
        <f>Github!E$63</f>
        <v>Medium</v>
      </c>
      <c r="J61" s="10" t="str">
        <f>IF(TRIM(Github!D$63)="TRUE","FALSE","TRUE")</f>
        <v>TRUE</v>
      </c>
      <c r="K61" s="10" t="b">
        <f>Github!M$63</f>
        <v>1</v>
      </c>
      <c r="L61" s="10" t="b">
        <f>Github!N$63</f>
        <v>0</v>
      </c>
      <c r="M61" s="10" t="str">
        <f>ROUND(Github!O$63, 2)&amp;"%"</f>
        <v>60%</v>
      </c>
      <c r="N61" s="10">
        <f>Github!P$63</f>
        <v>922268</v>
      </c>
      <c r="O61" s="10">
        <f>Github!Q$63</f>
        <v>1537172</v>
      </c>
    </row>
    <row r="62">
      <c r="A62" s="10">
        <f>Github!J$139</f>
        <v>138</v>
      </c>
      <c r="B62" s="11" t="str">
        <f>HYPERLINK(CONCAT("http://leetcode.com/problems/",Github!C$139), Github!B$139)</f>
        <v>Copy List with Random Pointer</v>
      </c>
      <c r="C62" s="10">
        <f>Github!F$139</f>
        <v>8404</v>
      </c>
      <c r="D62" s="10">
        <f>Github!G$139</f>
        <v>970</v>
      </c>
      <c r="E62" s="10">
        <f>Github!F$139+Github!G$139</f>
        <v>9374</v>
      </c>
      <c r="F62" s="12">
        <f t="shared" si="1"/>
        <v>8.66</v>
      </c>
      <c r="G62" s="10" t="str">
        <f>Github!H$139</f>
        <v>Algorithms</v>
      </c>
      <c r="H62" s="13" t="str">
        <f>SUBSTITUTE(Github!L$139, ";", ", ")</f>
        <v>Hash Table, Linked List, </v>
      </c>
      <c r="I62" s="10" t="str">
        <f>Github!E$139</f>
        <v>Medium</v>
      </c>
      <c r="J62" s="10" t="str">
        <f>IF(TRIM(Github!D$139)="TRUE","FALSE","TRUE")</f>
        <v>TRUE</v>
      </c>
      <c r="K62" s="10" t="b">
        <f>Github!M$139</f>
        <v>1</v>
      </c>
      <c r="L62" s="10" t="b">
        <f>Github!N$139</f>
        <v>0</v>
      </c>
      <c r="M62" s="10" t="str">
        <f>ROUND(Github!O$139, 2)&amp;"%"</f>
        <v>48.1%</v>
      </c>
      <c r="N62" s="10">
        <f>Github!P$139</f>
        <v>778984</v>
      </c>
      <c r="O62" s="10">
        <f>Github!Q$139</f>
        <v>1619493</v>
      </c>
    </row>
    <row r="63">
      <c r="A63" s="10">
        <f>Github!J$106</f>
        <v>105</v>
      </c>
      <c r="B63" s="11" t="str">
        <f>HYPERLINK(CONCAT("http://leetcode.com/problems/",Github!C$106), Github!B$106)</f>
        <v>Construct Binary Tree from Preorder and Inorder Traversal</v>
      </c>
      <c r="C63" s="10">
        <f>Github!F$106</f>
        <v>8301</v>
      </c>
      <c r="D63" s="10">
        <f>Github!G$106</f>
        <v>221</v>
      </c>
      <c r="E63" s="10">
        <f>Github!F$106+Github!G$106</f>
        <v>8522</v>
      </c>
      <c r="F63" s="12">
        <f t="shared" si="1"/>
        <v>37.56</v>
      </c>
      <c r="G63" s="10" t="str">
        <f>Github!H$106</f>
        <v>Algorithms</v>
      </c>
      <c r="H63" s="13" t="str">
        <f>SUBSTITUTE(Github!L$106, ";", ", ")</f>
        <v>Array, Hash Table, Divide and Conquer, Tree, Binary Tree, </v>
      </c>
      <c r="I63" s="10" t="str">
        <f>Github!E$106</f>
        <v>Medium</v>
      </c>
      <c r="J63" s="10" t="str">
        <f>IF(TRIM(Github!D$106)="TRUE","FALSE","TRUE")</f>
        <v>TRUE</v>
      </c>
      <c r="K63" s="10" t="b">
        <f>Github!M$106</f>
        <v>1</v>
      </c>
      <c r="L63" s="10" t="b">
        <f>Github!N$106</f>
        <v>0</v>
      </c>
      <c r="M63" s="10" t="str">
        <f>ROUND(Github!O$106, 2)&amp;"%"</f>
        <v>57.59%</v>
      </c>
      <c r="N63" s="10">
        <f>Github!P$106</f>
        <v>695633</v>
      </c>
      <c r="O63" s="10">
        <f>Github!Q$106</f>
        <v>1207887</v>
      </c>
    </row>
    <row r="64">
      <c r="A64" s="10">
        <f>Github!J$73</f>
        <v>72</v>
      </c>
      <c r="B64" s="11" t="str">
        <f>HYPERLINK(CONCAT("http://leetcode.com/problems/",Github!C$73), Github!B$73)</f>
        <v>Edit Distance</v>
      </c>
      <c r="C64" s="10">
        <f>Github!F$73</f>
        <v>8257</v>
      </c>
      <c r="D64" s="10">
        <f>Github!G$73</f>
        <v>92</v>
      </c>
      <c r="E64" s="10">
        <f>Github!F$73+Github!G$73</f>
        <v>8349</v>
      </c>
      <c r="F64" s="12">
        <f t="shared" si="1"/>
        <v>89.75</v>
      </c>
      <c r="G64" s="10" t="str">
        <f>Github!H$73</f>
        <v>Algorithms</v>
      </c>
      <c r="H64" s="13" t="str">
        <f>SUBSTITUTE(Github!L$73, ";", ", ")</f>
        <v>String, Dynamic Programming, </v>
      </c>
      <c r="I64" s="10" t="str">
        <f>Github!E$73</f>
        <v>Hard</v>
      </c>
      <c r="J64" s="10" t="str">
        <f>IF(TRIM(Github!D$73)="TRUE","FALSE","TRUE")</f>
        <v>TRUE</v>
      </c>
      <c r="K64" s="10" t="b">
        <f>Github!M$73</f>
        <v>1</v>
      </c>
      <c r="L64" s="10" t="b">
        <f>Github!N$73</f>
        <v>0</v>
      </c>
      <c r="M64" s="10" t="str">
        <f>ROUND(Github!O$73, 2)&amp;"%"</f>
        <v>50.77%</v>
      </c>
      <c r="N64" s="10">
        <f>Github!P$73</f>
        <v>465099</v>
      </c>
      <c r="O64" s="10">
        <f>Github!Q$73</f>
        <v>916023</v>
      </c>
    </row>
    <row r="65">
      <c r="A65" s="10">
        <f>Github!J$227</f>
        <v>226</v>
      </c>
      <c r="B65" s="11" t="str">
        <f>HYPERLINK(CONCAT("http://leetcode.com/problems/",Github!C$227), Github!B$227)</f>
        <v>Invert Binary Tree</v>
      </c>
      <c r="C65" s="10">
        <f>Github!F$227</f>
        <v>8176</v>
      </c>
      <c r="D65" s="10">
        <f>Github!G$227</f>
        <v>110</v>
      </c>
      <c r="E65" s="10">
        <f>Github!F$227+Github!G$227</f>
        <v>8286</v>
      </c>
      <c r="F65" s="12">
        <f t="shared" si="1"/>
        <v>74.33</v>
      </c>
      <c r="G65" s="10" t="str">
        <f>Github!H$227</f>
        <v>Algorithms</v>
      </c>
      <c r="H65" s="13" t="str">
        <f>SUBSTITUTE(Github!L$227, ";", ", ")</f>
        <v>Tree, Depth-First Search, Breadth-First Search, Binary Tree, </v>
      </c>
      <c r="I65" s="10" t="str">
        <f>Github!E$227</f>
        <v>Easy</v>
      </c>
      <c r="J65" s="10" t="str">
        <f>IF(TRIM(Github!D$227)="TRUE","FALSE","TRUE")</f>
        <v>TRUE</v>
      </c>
      <c r="K65" s="10" t="b">
        <f>Github!M$227</f>
        <v>1</v>
      </c>
      <c r="L65" s="10" t="b">
        <f>Github!N$227</f>
        <v>1</v>
      </c>
      <c r="M65" s="10" t="str">
        <f>ROUND(Github!O$227, 2)&amp;"%"</f>
        <v>71.5%</v>
      </c>
      <c r="N65" s="10">
        <f>Github!P$227</f>
        <v>1009179</v>
      </c>
      <c r="O65" s="10">
        <f>Github!Q$227</f>
        <v>1411427</v>
      </c>
    </row>
    <row r="66">
      <c r="A66" s="10">
        <f>Github!J$395</f>
        <v>394</v>
      </c>
      <c r="B66" s="11" t="str">
        <f>HYPERLINK(CONCAT("http://leetcode.com/problems/",Github!C$395), Github!B$395)</f>
        <v>Decode String</v>
      </c>
      <c r="C66" s="10">
        <f>Github!F$395</f>
        <v>8030</v>
      </c>
      <c r="D66" s="10">
        <f>Github!G$395</f>
        <v>343</v>
      </c>
      <c r="E66" s="10">
        <f>Github!F$395+Github!G$395</f>
        <v>8373</v>
      </c>
      <c r="F66" s="12">
        <f t="shared" si="1"/>
        <v>23.41</v>
      </c>
      <c r="G66" s="10" t="str">
        <f>Github!H$395</f>
        <v>Algorithms</v>
      </c>
      <c r="H66" s="13" t="str">
        <f>SUBSTITUTE(Github!L$395, ";", ", ")</f>
        <v>String, Stack, Recursion, </v>
      </c>
      <c r="I66" s="10" t="str">
        <f>Github!E$395</f>
        <v>Medium</v>
      </c>
      <c r="J66" s="10" t="str">
        <f>IF(TRIM(Github!D$395)="TRUE","FALSE","TRUE")</f>
        <v>TRUE</v>
      </c>
      <c r="K66" s="10" t="b">
        <f>Github!M$395</f>
        <v>1</v>
      </c>
      <c r="L66" s="10" t="b">
        <f>Github!N$395</f>
        <v>0</v>
      </c>
      <c r="M66" s="10" t="str">
        <f>ROUND(Github!O$395, 2)&amp;"%"</f>
        <v>56.3%</v>
      </c>
      <c r="N66" s="10">
        <f>Github!P$395</f>
        <v>484585</v>
      </c>
      <c r="O66" s="10">
        <f>Github!Q$395</f>
        <v>860707</v>
      </c>
    </row>
    <row r="67">
      <c r="A67" s="10">
        <f>Github!J$11</f>
        <v>10</v>
      </c>
      <c r="B67" s="11" t="str">
        <f>HYPERLINK(CONCAT("http://leetcode.com/problems/",Github!C$11), Github!B$11)</f>
        <v>Regular Expression Matching</v>
      </c>
      <c r="C67" s="10">
        <f>Github!F$11</f>
        <v>7993</v>
      </c>
      <c r="D67" s="10">
        <f>Github!G$11</f>
        <v>1204</v>
      </c>
      <c r="E67" s="10">
        <f>Github!F$11+Github!G$11</f>
        <v>9197</v>
      </c>
      <c r="F67" s="12">
        <f t="shared" si="1"/>
        <v>6.64</v>
      </c>
      <c r="G67" s="10" t="str">
        <f>Github!H$11</f>
        <v>Algorithms</v>
      </c>
      <c r="H67" s="13" t="str">
        <f>SUBSTITUTE(Github!L$11, ";", ", ")</f>
        <v>String, Dynamic Programming, Recursion, </v>
      </c>
      <c r="I67" s="10" t="str">
        <f>Github!E$11</f>
        <v>Hard</v>
      </c>
      <c r="J67" s="10" t="str">
        <f>IF(TRIM(Github!D$11)="TRUE","FALSE","TRUE")</f>
        <v>TRUE</v>
      </c>
      <c r="K67" s="10" t="b">
        <f>Github!M$11</f>
        <v>1</v>
      </c>
      <c r="L67" s="10" t="b">
        <f>Github!N$11</f>
        <v>0</v>
      </c>
      <c r="M67" s="10" t="str">
        <f>ROUND(Github!O$11, 2)&amp;"%"</f>
        <v>28.23%</v>
      </c>
      <c r="N67" s="10">
        <f>Github!P$11</f>
        <v>673855</v>
      </c>
      <c r="O67" s="10">
        <f>Github!Q$11</f>
        <v>2387002</v>
      </c>
    </row>
    <row r="68">
      <c r="A68" s="10">
        <f>Github!J$103</f>
        <v>102</v>
      </c>
      <c r="B68" s="11" t="str">
        <f>HYPERLINK(CONCAT("http://leetcode.com/problems/",Github!C$103), Github!B$103)</f>
        <v>Binary Tree Level Order Traversal</v>
      </c>
      <c r="C68" s="10">
        <f>Github!F$103</f>
        <v>8004</v>
      </c>
      <c r="D68" s="10">
        <f>Github!G$103</f>
        <v>158</v>
      </c>
      <c r="E68" s="10">
        <f>Github!F$103+Github!G$103</f>
        <v>8162</v>
      </c>
      <c r="F68" s="12">
        <f t="shared" si="1"/>
        <v>50.66</v>
      </c>
      <c r="G68" s="10" t="str">
        <f>Github!H$103</f>
        <v>Algorithms</v>
      </c>
      <c r="H68" s="13" t="str">
        <f>SUBSTITUTE(Github!L$103, ";", ", ")</f>
        <v>Tree, Breadth-First Search, Binary Tree, </v>
      </c>
      <c r="I68" s="10" t="str">
        <f>Github!E$103</f>
        <v>Medium</v>
      </c>
      <c r="J68" s="10" t="str">
        <f>IF(TRIM(Github!D$103)="TRUE","FALSE","TRUE")</f>
        <v>TRUE</v>
      </c>
      <c r="K68" s="10" t="b">
        <f>Github!M$103</f>
        <v>1</v>
      </c>
      <c r="L68" s="10" t="b">
        <f>Github!N$103</f>
        <v>0</v>
      </c>
      <c r="M68" s="10" t="str">
        <f>ROUND(Github!O$103, 2)&amp;"%"</f>
        <v>60.88%</v>
      </c>
      <c r="N68" s="10">
        <f>Github!P$103</f>
        <v>1217259</v>
      </c>
      <c r="O68" s="10">
        <f>Github!Q$103</f>
        <v>1999484</v>
      </c>
    </row>
    <row r="69">
      <c r="A69" s="10">
        <f>Github!J$142</f>
        <v>141</v>
      </c>
      <c r="B69" s="11" t="str">
        <f>HYPERLINK(CONCAT("http://leetcode.com/problems/",Github!C$142), Github!B$142)</f>
        <v>Linked List Cycle</v>
      </c>
      <c r="C69" s="10">
        <f>Github!F$142</f>
        <v>7936</v>
      </c>
      <c r="D69" s="10">
        <f>Github!G$142</f>
        <v>781</v>
      </c>
      <c r="E69" s="10">
        <f>Github!F$142+Github!G$142</f>
        <v>8717</v>
      </c>
      <c r="F69" s="12">
        <f t="shared" si="1"/>
        <v>10.16</v>
      </c>
      <c r="G69" s="10" t="str">
        <f>Github!H$142</f>
        <v>Algorithms</v>
      </c>
      <c r="H69" s="13" t="str">
        <f>SUBSTITUTE(Github!L$142, ";", ", ")</f>
        <v>Hash Table, Linked List, Two Pointers, </v>
      </c>
      <c r="I69" s="10" t="str">
        <f>Github!E$142</f>
        <v>Easy</v>
      </c>
      <c r="J69" s="10" t="str">
        <f>IF(TRIM(Github!D$142)="TRUE","FALSE","TRUE")</f>
        <v>TRUE</v>
      </c>
      <c r="K69" s="10" t="b">
        <f>Github!M$142</f>
        <v>1</v>
      </c>
      <c r="L69" s="10" t="b">
        <f>Github!N$142</f>
        <v>1</v>
      </c>
      <c r="M69" s="10" t="str">
        <f>ROUND(Github!O$142, 2)&amp;"%"</f>
        <v>45.84%</v>
      </c>
      <c r="N69" s="10">
        <f>Github!P$142</f>
        <v>1412327</v>
      </c>
      <c r="O69" s="10">
        <f>Github!Q$142</f>
        <v>3081065</v>
      </c>
    </row>
    <row r="70">
      <c r="A70" s="10">
        <f>Github!J$156</f>
        <v>155</v>
      </c>
      <c r="B70" s="11" t="str">
        <f>HYPERLINK(CONCAT("http://leetcode.com/problems/",Github!C$156), Github!B$156)</f>
        <v>Min Stack</v>
      </c>
      <c r="C70" s="10">
        <f>Github!F$156</f>
        <v>7894</v>
      </c>
      <c r="D70" s="10">
        <f>Github!G$156</f>
        <v>613</v>
      </c>
      <c r="E70" s="10">
        <f>Github!F$156+Github!G$156</f>
        <v>8507</v>
      </c>
      <c r="F70" s="12">
        <f t="shared" si="1"/>
        <v>12.88</v>
      </c>
      <c r="G70" s="10" t="str">
        <f>Github!H$156</f>
        <v>Algorithms</v>
      </c>
      <c r="H70" s="13" t="str">
        <f>SUBSTITUTE(Github!L$156, ";", ", ")</f>
        <v>Stack, Design, </v>
      </c>
      <c r="I70" s="10" t="str">
        <f>Github!E$156</f>
        <v>Easy</v>
      </c>
      <c r="J70" s="10" t="str">
        <f>IF(TRIM(Github!D$156)="TRUE","FALSE","TRUE")</f>
        <v>TRUE</v>
      </c>
      <c r="K70" s="10" t="b">
        <f>Github!M$156</f>
        <v>1</v>
      </c>
      <c r="L70" s="10" t="b">
        <f>Github!N$156</f>
        <v>0</v>
      </c>
      <c r="M70" s="10" t="str">
        <f>ROUND(Github!O$156, 2)&amp;"%"</f>
        <v>50.17%</v>
      </c>
      <c r="N70" s="10">
        <f>Github!P$156</f>
        <v>963901</v>
      </c>
      <c r="O70" s="10">
        <f>Github!Q$156</f>
        <v>1921249</v>
      </c>
    </row>
    <row r="71">
      <c r="A71" s="10">
        <f>Github!J$46</f>
        <v>45</v>
      </c>
      <c r="B71" s="11" t="str">
        <f>HYPERLINK(CONCAT("http://leetcode.com/problems/",Github!C$46), Github!B$46)</f>
        <v>Jump Game II</v>
      </c>
      <c r="C71" s="10">
        <f>Github!F$46</f>
        <v>7853</v>
      </c>
      <c r="D71" s="10">
        <f>Github!G$46</f>
        <v>293</v>
      </c>
      <c r="E71" s="10">
        <f>Github!F$46+Github!G$46</f>
        <v>8146</v>
      </c>
      <c r="F71" s="12">
        <f t="shared" si="1"/>
        <v>26.8</v>
      </c>
      <c r="G71" s="10" t="str">
        <f>Github!H$46</f>
        <v>Algorithms</v>
      </c>
      <c r="H71" s="13" t="str">
        <f>SUBSTITUTE(Github!L$46, ";", ", ")</f>
        <v>Array, Dynamic Programming, Greedy, </v>
      </c>
      <c r="I71" s="10" t="str">
        <f>Github!E$46</f>
        <v>Medium</v>
      </c>
      <c r="J71" s="10" t="str">
        <f>IF(TRIM(Github!D$46)="TRUE","FALSE","TRUE")</f>
        <v>TRUE</v>
      </c>
      <c r="K71" s="10" t="b">
        <f>Github!M$46</f>
        <v>1</v>
      </c>
      <c r="L71" s="10" t="b">
        <f>Github!N$46</f>
        <v>0</v>
      </c>
      <c r="M71" s="10" t="str">
        <f>ROUND(Github!O$46, 2)&amp;"%"</f>
        <v>37.09%</v>
      </c>
      <c r="N71" s="10">
        <f>Github!P$46</f>
        <v>590728</v>
      </c>
      <c r="O71" s="10">
        <f>Github!Q$46</f>
        <v>1592552</v>
      </c>
    </row>
    <row r="72">
      <c r="A72" s="10">
        <f>Github!J$128</f>
        <v>127</v>
      </c>
      <c r="B72" s="11" t="str">
        <f>HYPERLINK(CONCAT("http://leetcode.com/problems/",Github!C$128), Github!B$128)</f>
        <v>Word Ladder</v>
      </c>
      <c r="C72" s="10">
        <f>Github!F$128</f>
        <v>7806</v>
      </c>
      <c r="D72" s="10">
        <f>Github!G$128</f>
        <v>1637</v>
      </c>
      <c r="E72" s="10">
        <f>Github!F$128+Github!G$128</f>
        <v>9443</v>
      </c>
      <c r="F72" s="12">
        <f t="shared" si="1"/>
        <v>4.77</v>
      </c>
      <c r="G72" s="10" t="str">
        <f>Github!H$128</f>
        <v>Algorithms</v>
      </c>
      <c r="H72" s="13" t="str">
        <f>SUBSTITUTE(Github!L$128, ";", ", ")</f>
        <v>Hash Table, String, Breadth-First Search, </v>
      </c>
      <c r="I72" s="10" t="str">
        <f>Github!E$128</f>
        <v>Hard</v>
      </c>
      <c r="J72" s="10" t="str">
        <f>IF(TRIM(Github!D$128)="TRUE","FALSE","TRUE")</f>
        <v>TRUE</v>
      </c>
      <c r="K72" s="10" t="b">
        <f>Github!M$128</f>
        <v>1</v>
      </c>
      <c r="L72" s="10" t="b">
        <f>Github!N$128</f>
        <v>1</v>
      </c>
      <c r="M72" s="10" t="str">
        <f>ROUND(Github!O$128, 2)&amp;"%"</f>
        <v>35.42%</v>
      </c>
      <c r="N72" s="10">
        <f>Github!P$128</f>
        <v>759665</v>
      </c>
      <c r="O72" s="10">
        <f>Github!Q$128</f>
        <v>2144800</v>
      </c>
    </row>
    <row r="73">
      <c r="A73" s="10">
        <f>Github!J$15</f>
        <v>14</v>
      </c>
      <c r="B73" s="11" t="str">
        <f>HYPERLINK(CONCAT("http://leetcode.com/problems/",Github!C$15), Github!B$15)</f>
        <v>Longest Common Prefix</v>
      </c>
      <c r="C73" s="10">
        <f>Github!F$15</f>
        <v>7761</v>
      </c>
      <c r="D73" s="10">
        <f>Github!G$15</f>
        <v>2948</v>
      </c>
      <c r="E73" s="10">
        <f>Github!F$15+Github!G$15</f>
        <v>10709</v>
      </c>
      <c r="F73" s="12">
        <f t="shared" si="1"/>
        <v>2.63</v>
      </c>
      <c r="G73" s="10" t="str">
        <f>Github!H$15</f>
        <v>Algorithms</v>
      </c>
      <c r="H73" s="13" t="str">
        <f>SUBSTITUTE(Github!L$15, ";", ", ")</f>
        <v>String, </v>
      </c>
      <c r="I73" s="10" t="str">
        <f>Github!E$15</f>
        <v>Easy</v>
      </c>
      <c r="J73" s="10" t="str">
        <f>IF(TRIM(Github!D$15)="TRUE","FALSE","TRUE")</f>
        <v>TRUE</v>
      </c>
      <c r="K73" s="10" t="b">
        <f>Github!M$15</f>
        <v>1</v>
      </c>
      <c r="L73" s="10" t="b">
        <f>Github!N$15</f>
        <v>0</v>
      </c>
      <c r="M73" s="10" t="str">
        <f>ROUND(Github!O$15, 2)&amp;"%"</f>
        <v>39.38%</v>
      </c>
      <c r="N73" s="10">
        <f>Github!P$15</f>
        <v>1549501</v>
      </c>
      <c r="O73" s="10">
        <f>Github!Q$15</f>
        <v>3934744</v>
      </c>
    </row>
    <row r="74">
      <c r="A74" s="10">
        <f>Github!J$544</f>
        <v>543</v>
      </c>
      <c r="B74" s="11" t="str">
        <f>HYPERLINK(CONCAT("http://leetcode.com/problems/",Github!C$544), Github!B$544)</f>
        <v>Diameter of Binary Tree</v>
      </c>
      <c r="C74" s="10">
        <f>Github!F$544</f>
        <v>7701</v>
      </c>
      <c r="D74" s="10">
        <f>Github!G$544</f>
        <v>487</v>
      </c>
      <c r="E74" s="10">
        <f>Github!F$544+Github!G$544</f>
        <v>8188</v>
      </c>
      <c r="F74" s="12">
        <f t="shared" si="1"/>
        <v>15.81</v>
      </c>
      <c r="G74" s="10" t="str">
        <f>Github!H$544</f>
        <v>Algorithms</v>
      </c>
      <c r="H74" s="13" t="str">
        <f>SUBSTITUTE(Github!L$544, ";", ", ")</f>
        <v>Tree, Depth-First Search, Binary Tree, </v>
      </c>
      <c r="I74" s="10" t="str">
        <f>Github!E$544</f>
        <v>Easy</v>
      </c>
      <c r="J74" s="10" t="str">
        <f>IF(TRIM(Github!D$544)="TRUE","FALSE","TRUE")</f>
        <v>TRUE</v>
      </c>
      <c r="K74" s="10" t="b">
        <f>Github!M$544</f>
        <v>1</v>
      </c>
      <c r="L74" s="10" t="b">
        <f>Github!N$544</f>
        <v>0</v>
      </c>
      <c r="M74" s="10" t="str">
        <f>ROUND(Github!O$544, 2)&amp;"%"</f>
        <v>54.19%</v>
      </c>
      <c r="N74" s="10">
        <f>Github!P$544</f>
        <v>718750</v>
      </c>
      <c r="O74" s="10">
        <f>Github!Q$544</f>
        <v>1326303</v>
      </c>
    </row>
    <row r="75">
      <c r="A75" s="10">
        <f>Github!J$764</f>
        <v>763</v>
      </c>
      <c r="B75" s="11" t="str">
        <f>HYPERLINK(CONCAT("http://leetcode.com/problems/",Github!C$764), Github!B$764)</f>
        <v>Partition Labels</v>
      </c>
      <c r="C75" s="10">
        <f>Github!F$764</f>
        <v>7593</v>
      </c>
      <c r="D75" s="10">
        <f>Github!G$764</f>
        <v>289</v>
      </c>
      <c r="E75" s="10">
        <f>Github!F$764+Github!G$764</f>
        <v>7882</v>
      </c>
      <c r="F75" s="12">
        <f t="shared" si="1"/>
        <v>26.27</v>
      </c>
      <c r="G75" s="10" t="str">
        <f>Github!H$764</f>
        <v>Algorithms</v>
      </c>
      <c r="H75" s="13" t="str">
        <f>SUBSTITUTE(Github!L$764, ";", ", ")</f>
        <v>Hash Table, Two Pointers, String, Greedy, </v>
      </c>
      <c r="I75" s="10" t="str">
        <f>Github!E$764</f>
        <v>Medium</v>
      </c>
      <c r="J75" s="10" t="str">
        <f>IF(TRIM(Github!D$764)="TRUE","FALSE","TRUE")</f>
        <v>TRUE</v>
      </c>
      <c r="K75" s="10" t="b">
        <f>Github!M$764</f>
        <v>1</v>
      </c>
      <c r="L75" s="10" t="b">
        <f>Github!N$764</f>
        <v>0</v>
      </c>
      <c r="M75" s="10" t="str">
        <f>ROUND(Github!O$764, 2)&amp;"%"</f>
        <v>79.55%</v>
      </c>
      <c r="N75" s="10">
        <f>Github!P$764</f>
        <v>381227</v>
      </c>
      <c r="O75" s="10">
        <f>Github!Q$764</f>
        <v>479240</v>
      </c>
    </row>
    <row r="76">
      <c r="A76" s="10">
        <f>Github!J$33</f>
        <v>32</v>
      </c>
      <c r="B76" s="11" t="str">
        <f>HYPERLINK(CONCAT("http://leetcode.com/problems/",Github!C$33), Github!B$33)</f>
        <v>Longest Valid Parentheses</v>
      </c>
      <c r="C76" s="10">
        <f>Github!F$33</f>
        <v>7599</v>
      </c>
      <c r="D76" s="10">
        <f>Github!G$33</f>
        <v>261</v>
      </c>
      <c r="E76" s="10">
        <f>Github!F$33+Github!G$33</f>
        <v>7860</v>
      </c>
      <c r="F76" s="12">
        <f t="shared" si="1"/>
        <v>29.11</v>
      </c>
      <c r="G76" s="10" t="str">
        <f>Github!H$33</f>
        <v>Algorithms</v>
      </c>
      <c r="H76" s="13" t="str">
        <f>SUBSTITUTE(Github!L$33, ";", ", ")</f>
        <v>String, Dynamic Programming, Stack, </v>
      </c>
      <c r="I76" s="10" t="str">
        <f>Github!E$33</f>
        <v>Hard</v>
      </c>
      <c r="J76" s="10" t="str">
        <f>IF(TRIM(Github!D$33)="TRUE","FALSE","TRUE")</f>
        <v>TRUE</v>
      </c>
      <c r="K76" s="10" t="b">
        <f>Github!M$33</f>
        <v>1</v>
      </c>
      <c r="L76" s="10" t="b">
        <f>Github!N$33</f>
        <v>0</v>
      </c>
      <c r="M76" s="10" t="str">
        <f>ROUND(Github!O$33, 2)&amp;"%"</f>
        <v>31.27%</v>
      </c>
      <c r="N76" s="10">
        <f>Github!P$33</f>
        <v>477993</v>
      </c>
      <c r="O76" s="10">
        <f>Github!Q$33</f>
        <v>1528390</v>
      </c>
    </row>
    <row r="77">
      <c r="A77" s="10">
        <f>Github!J$36</f>
        <v>35</v>
      </c>
      <c r="B77" s="11" t="str">
        <f>HYPERLINK(CONCAT("http://leetcode.com/problems/",Github!C$36), Github!B$36)</f>
        <v>Search Insert Position</v>
      </c>
      <c r="C77" s="10">
        <f>Github!F$36</f>
        <v>7579</v>
      </c>
      <c r="D77" s="10">
        <f>Github!G$36</f>
        <v>403</v>
      </c>
      <c r="E77" s="10">
        <f>Github!F$36+Github!G$36</f>
        <v>7982</v>
      </c>
      <c r="F77" s="12">
        <f t="shared" si="1"/>
        <v>18.81</v>
      </c>
      <c r="G77" s="10" t="str">
        <f>Github!H$36</f>
        <v>Algorithms</v>
      </c>
      <c r="H77" s="13" t="str">
        <f>SUBSTITUTE(Github!L$36, ";", ", ")</f>
        <v>Array, Binary Search, </v>
      </c>
      <c r="I77" s="10" t="str">
        <f>Github!E$36</f>
        <v>Easy</v>
      </c>
      <c r="J77" s="10" t="str">
        <f>IF(TRIM(Github!D$36)="TRUE","FALSE","TRUE")</f>
        <v>TRUE</v>
      </c>
      <c r="K77" s="10" t="b">
        <f>Github!M$36</f>
        <v>1</v>
      </c>
      <c r="L77" s="10" t="b">
        <f>Github!N$36</f>
        <v>0</v>
      </c>
      <c r="M77" s="10" t="str">
        <f>ROUND(Github!O$36, 2)&amp;"%"</f>
        <v>42.32%</v>
      </c>
      <c r="N77" s="10">
        <f>Github!P$36</f>
        <v>1397772</v>
      </c>
      <c r="O77" s="10">
        <f>Github!Q$36</f>
        <v>3302699</v>
      </c>
    </row>
    <row r="78">
      <c r="A78" s="10">
        <f>Github!J$95</f>
        <v>94</v>
      </c>
      <c r="B78" s="11" t="str">
        <f>HYPERLINK(CONCAT("http://leetcode.com/problems/",Github!C$95), Github!B$95)</f>
        <v>Binary Tree Inorder Traversal</v>
      </c>
      <c r="C78" s="10">
        <f>Github!F$95</f>
        <v>7520</v>
      </c>
      <c r="D78" s="10">
        <f>Github!G$95</f>
        <v>341</v>
      </c>
      <c r="E78" s="10">
        <f>Github!F$95+Github!G$95</f>
        <v>7861</v>
      </c>
      <c r="F78" s="12">
        <f t="shared" si="1"/>
        <v>22.05</v>
      </c>
      <c r="G78" s="10" t="str">
        <f>Github!H$95</f>
        <v>Algorithms</v>
      </c>
      <c r="H78" s="13" t="str">
        <f>SUBSTITUTE(Github!L$95, ";", ", ")</f>
        <v>Stack, Tree, Depth-First Search, Binary Tree, </v>
      </c>
      <c r="I78" s="10" t="str">
        <f>Github!E$95</f>
        <v>Easy</v>
      </c>
      <c r="J78" s="10" t="str">
        <f>IF(TRIM(Github!D$95)="TRUE","FALSE","TRUE")</f>
        <v>TRUE</v>
      </c>
      <c r="K78" s="10" t="b">
        <f>Github!M$95</f>
        <v>1</v>
      </c>
      <c r="L78" s="10" t="b">
        <f>Github!N$95</f>
        <v>0</v>
      </c>
      <c r="M78" s="10" t="str">
        <f>ROUND(Github!O$95, 2)&amp;"%"</f>
        <v>70.72%</v>
      </c>
      <c r="N78" s="10">
        <f>Github!P$95</f>
        <v>1443040</v>
      </c>
      <c r="O78" s="10">
        <f>Github!Q$95</f>
        <v>2040525</v>
      </c>
    </row>
    <row r="79">
      <c r="A79" s="10">
        <f>Github!J$438</f>
        <v>437</v>
      </c>
      <c r="B79" s="11" t="str">
        <f>HYPERLINK(CONCAT("http://leetcode.com/problems/",Github!C$438), Github!B$438)</f>
        <v>Path Sum III</v>
      </c>
      <c r="C79" s="10">
        <f>Github!F$438</f>
        <v>7404</v>
      </c>
      <c r="D79" s="10">
        <f>Github!G$438</f>
        <v>359</v>
      </c>
      <c r="E79" s="10">
        <f>Github!F$438+Github!G$438</f>
        <v>7763</v>
      </c>
      <c r="F79" s="12">
        <f t="shared" si="1"/>
        <v>20.62</v>
      </c>
      <c r="G79" s="10" t="str">
        <f>Github!H$438</f>
        <v>Algorithms</v>
      </c>
      <c r="H79" s="13" t="str">
        <f>SUBSTITUTE(Github!L$438, ";", ", ")</f>
        <v>Tree, Depth-First Search, Binary Tree, </v>
      </c>
      <c r="I79" s="10" t="str">
        <f>Github!E$438</f>
        <v>Medium</v>
      </c>
      <c r="J79" s="10" t="str">
        <f>IF(TRIM(Github!D$438)="TRUE","FALSE","TRUE")</f>
        <v>TRUE</v>
      </c>
      <c r="K79" s="10" t="b">
        <f>Github!M$438</f>
        <v>1</v>
      </c>
      <c r="L79" s="10" t="b">
        <f>Github!N$438</f>
        <v>0</v>
      </c>
      <c r="M79" s="10" t="str">
        <f>ROUND(Github!O$438, 2)&amp;"%"</f>
        <v>50.15%</v>
      </c>
      <c r="N79" s="10">
        <f>Github!P$438</f>
        <v>360294</v>
      </c>
      <c r="O79" s="10">
        <f>Github!Q$438</f>
        <v>718377</v>
      </c>
    </row>
    <row r="80">
      <c r="A80" s="10">
        <f>Github!J$123</f>
        <v>122</v>
      </c>
      <c r="B80" s="11" t="str">
        <f>HYPERLINK(CONCAT("http://leetcode.com/problems/",Github!C$123), Github!B$123)</f>
        <v>Best Time to Buy and Sell Stock II</v>
      </c>
      <c r="C80" s="10">
        <f>Github!F$123</f>
        <v>7395</v>
      </c>
      <c r="D80" s="10">
        <f>Github!G$123</f>
        <v>2361</v>
      </c>
      <c r="E80" s="10">
        <f>Github!F$123+Github!G$123</f>
        <v>9756</v>
      </c>
      <c r="F80" s="12">
        <f t="shared" si="1"/>
        <v>3.13</v>
      </c>
      <c r="G80" s="10" t="str">
        <f>Github!H$123</f>
        <v>Algorithms</v>
      </c>
      <c r="H80" s="13" t="str">
        <f>SUBSTITUTE(Github!L$123, ";", ", ")</f>
        <v>Array, Dynamic Programming, Greedy, </v>
      </c>
      <c r="I80" s="10" t="str">
        <f>Github!E$123</f>
        <v>Medium</v>
      </c>
      <c r="J80" s="10" t="str">
        <f>IF(TRIM(Github!D$123)="TRUE","FALSE","TRUE")</f>
        <v>TRUE</v>
      </c>
      <c r="K80" s="10" t="b">
        <f>Github!M$123</f>
        <v>1</v>
      </c>
      <c r="L80" s="10" t="b">
        <f>Github!N$123</f>
        <v>1</v>
      </c>
      <c r="M80" s="10" t="str">
        <f>ROUND(Github!O$123, 2)&amp;"%"</f>
        <v>61.97%</v>
      </c>
      <c r="N80" s="10">
        <f>Github!P$123</f>
        <v>1131914</v>
      </c>
      <c r="O80" s="10">
        <f>Github!Q$123</f>
        <v>1826623</v>
      </c>
    </row>
    <row r="81">
      <c r="A81" s="10">
        <f>Github!J$439</f>
        <v>438</v>
      </c>
      <c r="B81" s="11" t="str">
        <f>HYPERLINK(CONCAT("http://leetcode.com/problems/",Github!C$439), Github!B$439)</f>
        <v>Find All Anagrams in a String</v>
      </c>
      <c r="C81" s="10">
        <f>Github!F$439</f>
        <v>7347</v>
      </c>
      <c r="D81" s="10">
        <f>Github!G$439</f>
        <v>251</v>
      </c>
      <c r="E81" s="10">
        <f>Github!F$439+Github!G$439</f>
        <v>7598</v>
      </c>
      <c r="F81" s="12">
        <f t="shared" si="1"/>
        <v>29.27</v>
      </c>
      <c r="G81" s="10" t="str">
        <f>Github!H$439</f>
        <v>Algorithms</v>
      </c>
      <c r="H81" s="13" t="str">
        <f>SUBSTITUTE(Github!L$439, ";", ", ")</f>
        <v>Hash Table, String, Sliding Window, </v>
      </c>
      <c r="I81" s="10" t="str">
        <f>Github!E$439</f>
        <v>Medium</v>
      </c>
      <c r="J81" s="10" t="str">
        <f>IF(TRIM(Github!D$439)="TRUE","FALSE","TRUE")</f>
        <v>TRUE</v>
      </c>
      <c r="K81" s="10" t="b">
        <f>Github!M$439</f>
        <v>1</v>
      </c>
      <c r="L81" s="10" t="b">
        <f>Github!N$439</f>
        <v>0</v>
      </c>
      <c r="M81" s="10" t="str">
        <f>ROUND(Github!O$439, 2)&amp;"%"</f>
        <v>48.25%</v>
      </c>
      <c r="N81" s="10">
        <f>Github!P$439</f>
        <v>523296</v>
      </c>
      <c r="O81" s="10">
        <f>Github!Q$439</f>
        <v>1084651</v>
      </c>
    </row>
    <row r="82">
      <c r="A82" s="10">
        <f>Github!J$417</f>
        <v>416</v>
      </c>
      <c r="B82" s="11" t="str">
        <f>HYPERLINK(CONCAT("http://leetcode.com/problems/",Github!C$417), Github!B$417)</f>
        <v>Partition Equal Subset Sum</v>
      </c>
      <c r="C82" s="10">
        <f>Github!F$417</f>
        <v>7312</v>
      </c>
      <c r="D82" s="10">
        <f>Github!G$417</f>
        <v>115</v>
      </c>
      <c r="E82" s="10">
        <f>Github!F$417+Github!G$417</f>
        <v>7427</v>
      </c>
      <c r="F82" s="12">
        <f t="shared" si="1"/>
        <v>63.58</v>
      </c>
      <c r="G82" s="10" t="str">
        <f>Github!H$417</f>
        <v>Algorithms</v>
      </c>
      <c r="H82" s="13" t="str">
        <f>SUBSTITUTE(Github!L$417, ";", ", ")</f>
        <v>Array, Dynamic Programming, </v>
      </c>
      <c r="I82" s="10" t="str">
        <f>Github!E$417</f>
        <v>Medium</v>
      </c>
      <c r="J82" s="10" t="str">
        <f>IF(TRIM(Github!D$417)="TRUE","FALSE","TRUE")</f>
        <v>TRUE</v>
      </c>
      <c r="K82" s="10" t="b">
        <f>Github!M$417</f>
        <v>1</v>
      </c>
      <c r="L82" s="10" t="b">
        <f>Github!N$417</f>
        <v>1</v>
      </c>
      <c r="M82" s="10" t="str">
        <f>ROUND(Github!O$417, 2)&amp;"%"</f>
        <v>46.39%</v>
      </c>
      <c r="N82" s="10">
        <f>Github!P$417</f>
        <v>433982</v>
      </c>
      <c r="O82" s="10">
        <f>Github!Q$417</f>
        <v>935561</v>
      </c>
    </row>
    <row r="83">
      <c r="A83" s="10">
        <f>Github!J$75</f>
        <v>74</v>
      </c>
      <c r="B83" s="11" t="str">
        <f>HYPERLINK(CONCAT("http://leetcode.com/problems/",Github!C$75), Github!B$75)</f>
        <v>Search a 2D Matrix</v>
      </c>
      <c r="C83" s="10">
        <f>Github!F$75</f>
        <v>7347</v>
      </c>
      <c r="D83" s="10">
        <f>Github!G$75</f>
        <v>264</v>
      </c>
      <c r="E83" s="10">
        <f>Github!F$75+Github!G$75</f>
        <v>7611</v>
      </c>
      <c r="F83" s="12">
        <f t="shared" si="1"/>
        <v>27.83</v>
      </c>
      <c r="G83" s="10" t="str">
        <f>Github!H$75</f>
        <v>Algorithms</v>
      </c>
      <c r="H83" s="13" t="str">
        <f>SUBSTITUTE(Github!L$75, ";", ", ")</f>
        <v>Array, Binary Search, Matrix, </v>
      </c>
      <c r="I83" s="10" t="str">
        <f>Github!E$75</f>
        <v>Medium</v>
      </c>
      <c r="J83" s="10" t="str">
        <f>IF(TRIM(Github!D$75)="TRUE","FALSE","TRUE")</f>
        <v>TRUE</v>
      </c>
      <c r="K83" s="10" t="b">
        <f>Github!M$75</f>
        <v>1</v>
      </c>
      <c r="L83" s="10" t="b">
        <f>Github!N$75</f>
        <v>0</v>
      </c>
      <c r="M83" s="10" t="str">
        <f>ROUND(Github!O$75, 2)&amp;"%"</f>
        <v>44.34%</v>
      </c>
      <c r="N83" s="10">
        <f>Github!P$75</f>
        <v>770088</v>
      </c>
      <c r="O83" s="10">
        <f>Github!Q$75</f>
        <v>1736594</v>
      </c>
    </row>
    <row r="84">
      <c r="A84" s="10">
        <f>Github!J$241</f>
        <v>240</v>
      </c>
      <c r="B84" s="11" t="str">
        <f>HYPERLINK(CONCAT("http://leetcode.com/problems/",Github!C$241), Github!B$241)</f>
        <v>Search a 2D Matrix II</v>
      </c>
      <c r="C84" s="10">
        <f>Github!F$241</f>
        <v>7223</v>
      </c>
      <c r="D84" s="10">
        <f>Github!G$241</f>
        <v>122</v>
      </c>
      <c r="E84" s="10">
        <f>Github!F$241+Github!G$241</f>
        <v>7345</v>
      </c>
      <c r="F84" s="12">
        <f t="shared" si="1"/>
        <v>59.2</v>
      </c>
      <c r="G84" s="10" t="str">
        <f>Github!H$241</f>
        <v>Algorithms</v>
      </c>
      <c r="H84" s="13" t="str">
        <f>SUBSTITUTE(Github!L$241, ";", ", ")</f>
        <v>Array, Binary Search, Divide and Conquer, Matrix, </v>
      </c>
      <c r="I84" s="10" t="str">
        <f>Github!E$241</f>
        <v>Medium</v>
      </c>
      <c r="J84" s="10" t="str">
        <f>IF(TRIM(Github!D$241)="TRUE","FALSE","TRUE")</f>
        <v>TRUE</v>
      </c>
      <c r="K84" s="10" t="b">
        <f>Github!M$241</f>
        <v>1</v>
      </c>
      <c r="L84" s="10" t="b">
        <f>Github!N$241</f>
        <v>0</v>
      </c>
      <c r="M84" s="10" t="str">
        <f>ROUND(Github!O$241, 2)&amp;"%"</f>
        <v>48.38%</v>
      </c>
      <c r="N84" s="10">
        <f>Github!P$241</f>
        <v>591581</v>
      </c>
      <c r="O84" s="10">
        <f>Github!Q$241</f>
        <v>1222799</v>
      </c>
    </row>
    <row r="85">
      <c r="A85" s="10">
        <f>Github!J$65</f>
        <v>64</v>
      </c>
      <c r="B85" s="11" t="str">
        <f>HYPERLINK(CONCAT("http://leetcode.com/problems/",Github!C$65), Github!B$65)</f>
        <v>Minimum Path Sum</v>
      </c>
      <c r="C85" s="10">
        <f>Github!F$65</f>
        <v>7204</v>
      </c>
      <c r="D85" s="10">
        <f>Github!G$65</f>
        <v>98</v>
      </c>
      <c r="E85" s="10">
        <f>Github!F$65+Github!G$65</f>
        <v>7302</v>
      </c>
      <c r="F85" s="12">
        <f t="shared" si="1"/>
        <v>73.51</v>
      </c>
      <c r="G85" s="10" t="str">
        <f>Github!H$65</f>
        <v>Algorithms</v>
      </c>
      <c r="H85" s="13" t="str">
        <f>SUBSTITUTE(Github!L$65, ";", ", ")</f>
        <v>Array, Dynamic Programming, Matrix, </v>
      </c>
      <c r="I85" s="10" t="str">
        <f>Github!E$65</f>
        <v>Medium</v>
      </c>
      <c r="J85" s="10" t="str">
        <f>IF(TRIM(Github!D$65)="TRUE","FALSE","TRUE")</f>
        <v>TRUE</v>
      </c>
      <c r="K85" s="10" t="b">
        <f>Github!M$65</f>
        <v>1</v>
      </c>
      <c r="L85" s="10" t="b">
        <f>Github!N$65</f>
        <v>0</v>
      </c>
      <c r="M85" s="10" t="str">
        <f>ROUND(Github!O$65, 2)&amp;"%"</f>
        <v>59.33%</v>
      </c>
      <c r="N85" s="10">
        <f>Github!P$65</f>
        <v>698469</v>
      </c>
      <c r="O85" s="10">
        <f>Github!Q$65</f>
        <v>1177347</v>
      </c>
    </row>
    <row r="86">
      <c r="A86" s="10">
        <f>Github!J$143</f>
        <v>142</v>
      </c>
      <c r="B86" s="11" t="str">
        <f>HYPERLINK(CONCAT("http://leetcode.com/problems/",Github!C$143), Github!B$143)</f>
        <v>Linked List Cycle II</v>
      </c>
      <c r="C86" s="10">
        <f>Github!F$143</f>
        <v>7134</v>
      </c>
      <c r="D86" s="10">
        <f>Github!G$143</f>
        <v>465</v>
      </c>
      <c r="E86" s="10">
        <f>Github!F$143+Github!G$143</f>
        <v>7599</v>
      </c>
      <c r="F86" s="12">
        <f t="shared" si="1"/>
        <v>15.34</v>
      </c>
      <c r="G86" s="10" t="str">
        <f>Github!H$143</f>
        <v>Algorithms</v>
      </c>
      <c r="H86" s="13" t="str">
        <f>SUBSTITUTE(Github!L$143, ";", ", ")</f>
        <v>Hash Table, Linked List, Two Pointers, </v>
      </c>
      <c r="I86" s="10" t="str">
        <f>Github!E$143</f>
        <v>Medium</v>
      </c>
      <c r="J86" s="10" t="str">
        <f>IF(TRIM(Github!D$143)="TRUE","FALSE","TRUE")</f>
        <v>TRUE</v>
      </c>
      <c r="K86" s="10" t="b">
        <f>Github!M$143</f>
        <v>1</v>
      </c>
      <c r="L86" s="10" t="b">
        <f>Github!N$143</f>
        <v>0</v>
      </c>
      <c r="M86" s="10" t="str">
        <f>ROUND(Github!O$143, 2)&amp;"%"</f>
        <v>44.2%</v>
      </c>
      <c r="N86" s="10">
        <f>Github!P$143</f>
        <v>662402</v>
      </c>
      <c r="O86" s="10">
        <f>Github!Q$143</f>
        <v>1498559</v>
      </c>
    </row>
    <row r="87">
      <c r="A87" s="10">
        <f>Github!J$97</f>
        <v>96</v>
      </c>
      <c r="B87" s="11" t="str">
        <f>HYPERLINK(CONCAT("http://leetcode.com/problems/",Github!C$97), Github!B$97)</f>
        <v>Unique Binary Search Trees</v>
      </c>
      <c r="C87" s="10">
        <f>Github!F$97</f>
        <v>7117</v>
      </c>
      <c r="D87" s="10">
        <f>Github!G$97</f>
        <v>289</v>
      </c>
      <c r="E87" s="10">
        <f>Github!F$97+Github!G$97</f>
        <v>7406</v>
      </c>
      <c r="F87" s="12">
        <f t="shared" si="1"/>
        <v>24.63</v>
      </c>
      <c r="G87" s="10" t="str">
        <f>Github!H$97</f>
        <v>Algorithms</v>
      </c>
      <c r="H87" s="13" t="str">
        <f>SUBSTITUTE(Github!L$97, ";", ", ")</f>
        <v>Math, Dynamic Programming, Tree, Binary Search Tree, Binary Tree, </v>
      </c>
      <c r="I87" s="10" t="str">
        <f>Github!E$97</f>
        <v>Medium</v>
      </c>
      <c r="J87" s="10" t="str">
        <f>IF(TRIM(Github!D$97)="TRUE","FALSE","TRUE")</f>
        <v>TRUE</v>
      </c>
      <c r="K87" s="10" t="b">
        <f>Github!M$97</f>
        <v>1</v>
      </c>
      <c r="L87" s="10" t="b">
        <f>Github!N$97</f>
        <v>0</v>
      </c>
      <c r="M87" s="10" t="str">
        <f>ROUND(Github!O$97, 2)&amp;"%"</f>
        <v>58.28%</v>
      </c>
      <c r="N87" s="10">
        <f>Github!P$97</f>
        <v>478072</v>
      </c>
      <c r="O87" s="10">
        <f>Github!Q$97</f>
        <v>820287</v>
      </c>
    </row>
    <row r="88">
      <c r="A88" s="10">
        <f>Github!J$222</f>
        <v>221</v>
      </c>
      <c r="B88" s="11" t="str">
        <f>HYPERLINK(CONCAT("http://leetcode.com/problems/",Github!C$222), Github!B$222)</f>
        <v>Maximal Square</v>
      </c>
      <c r="C88" s="10">
        <f>Github!F$222</f>
        <v>7055</v>
      </c>
      <c r="D88" s="10">
        <f>Github!G$222</f>
        <v>146</v>
      </c>
      <c r="E88" s="10">
        <f>Github!F$222+Github!G$222</f>
        <v>7201</v>
      </c>
      <c r="F88" s="12">
        <f t="shared" si="1"/>
        <v>48.32</v>
      </c>
      <c r="G88" s="10" t="str">
        <f>Github!H$222</f>
        <v>Algorithms</v>
      </c>
      <c r="H88" s="13" t="str">
        <f>SUBSTITUTE(Github!L$222, ";", ", ")</f>
        <v>Array, Dynamic Programming, Matrix, </v>
      </c>
      <c r="I88" s="10" t="str">
        <f>Github!E$222</f>
        <v>Medium</v>
      </c>
      <c r="J88" s="10" t="str">
        <f>IF(TRIM(Github!D$222)="TRUE","FALSE","TRUE")</f>
        <v>TRUE</v>
      </c>
      <c r="K88" s="10" t="b">
        <f>Github!M$222</f>
        <v>1</v>
      </c>
      <c r="L88" s="10" t="b">
        <f>Github!N$222</f>
        <v>0</v>
      </c>
      <c r="M88" s="10" t="str">
        <f>ROUND(Github!O$222, 2)&amp;"%"</f>
        <v>43.42%</v>
      </c>
      <c r="N88" s="10">
        <f>Github!P$222</f>
        <v>487306</v>
      </c>
      <c r="O88" s="10">
        <f>Github!Q$222</f>
        <v>1122225</v>
      </c>
    </row>
    <row r="89">
      <c r="A89" s="10">
        <f>Github!J$149</f>
        <v>148</v>
      </c>
      <c r="B89" s="11" t="str">
        <f>HYPERLINK(CONCAT("http://leetcode.com/problems/",Github!C$149), Github!B$149)</f>
        <v>Sort List</v>
      </c>
      <c r="C89" s="10">
        <f>Github!F$149</f>
        <v>7047</v>
      </c>
      <c r="D89" s="10">
        <f>Github!G$149</f>
        <v>230</v>
      </c>
      <c r="E89" s="10">
        <f>Github!F$149+Github!G$149</f>
        <v>7277</v>
      </c>
      <c r="F89" s="12">
        <f t="shared" si="1"/>
        <v>30.64</v>
      </c>
      <c r="G89" s="10" t="str">
        <f>Github!H$149</f>
        <v>Algorithms</v>
      </c>
      <c r="H89" s="13" t="str">
        <f>SUBSTITUTE(Github!L$149, ";", ", ")</f>
        <v>Linked List, Two Pointers, Divide and Conquer, Sorting, Merge Sort, </v>
      </c>
      <c r="I89" s="10" t="str">
        <f>Github!E$149</f>
        <v>Medium</v>
      </c>
      <c r="J89" s="10" t="str">
        <f>IF(TRIM(Github!D$149)="TRUE","FALSE","TRUE")</f>
        <v>TRUE</v>
      </c>
      <c r="K89" s="10" t="b">
        <f>Github!M$149</f>
        <v>1</v>
      </c>
      <c r="L89" s="10" t="b">
        <f>Github!N$149</f>
        <v>0</v>
      </c>
      <c r="M89" s="10" t="str">
        <f>ROUND(Github!O$149, 2)&amp;"%"</f>
        <v>52.05%</v>
      </c>
      <c r="N89" s="10">
        <f>Github!P$149</f>
        <v>487343</v>
      </c>
      <c r="O89" s="10">
        <f>Github!Q$149</f>
        <v>936229</v>
      </c>
    </row>
    <row r="90">
      <c r="A90" s="10">
        <f>Github!J$8</f>
        <v>7</v>
      </c>
      <c r="B90" s="11" t="str">
        <f>HYPERLINK(CONCAT("http://leetcode.com/problems/",Github!C$8), Github!B$8)</f>
        <v>Reverse Integer</v>
      </c>
      <c r="C90" s="10">
        <f>Github!F$8</f>
        <v>7044</v>
      </c>
      <c r="D90" s="10">
        <f>Github!G$8</f>
        <v>9663</v>
      </c>
      <c r="E90" s="10">
        <f>Github!F$8+Github!G$8</f>
        <v>16707</v>
      </c>
      <c r="F90" s="12">
        <f t="shared" si="1"/>
        <v>0.73</v>
      </c>
      <c r="G90" s="10" t="str">
        <f>Github!H$8</f>
        <v>Algorithms</v>
      </c>
      <c r="H90" s="13" t="str">
        <f>SUBSTITUTE(Github!L$8, ";", ", ")</f>
        <v>Math, </v>
      </c>
      <c r="I90" s="10" t="str">
        <f>Github!E$8</f>
        <v>Medium</v>
      </c>
      <c r="J90" s="10" t="str">
        <f>IF(TRIM(Github!D$8)="TRUE","FALSE","TRUE")</f>
        <v>TRUE</v>
      </c>
      <c r="K90" s="10" t="b">
        <f>Github!M$8</f>
        <v>1</v>
      </c>
      <c r="L90" s="10" t="b">
        <f>Github!N$8</f>
        <v>0</v>
      </c>
      <c r="M90" s="10" t="str">
        <f>ROUND(Github!O$8, 2)&amp;"%"</f>
        <v>26.68%</v>
      </c>
      <c r="N90" s="10">
        <f>Github!P$8</f>
        <v>2037080</v>
      </c>
      <c r="O90" s="10">
        <f>Github!Q$8</f>
        <v>7635185</v>
      </c>
    </row>
    <row r="91">
      <c r="A91" s="10">
        <f>Github!J$55</f>
        <v>54</v>
      </c>
      <c r="B91" s="11" t="str">
        <f>HYPERLINK(CONCAT("http://leetcode.com/problems/",Github!C$55), Github!B$55)</f>
        <v>Spiral Matrix</v>
      </c>
      <c r="C91" s="10">
        <f>Github!F$55</f>
        <v>7018</v>
      </c>
      <c r="D91" s="10">
        <f>Github!G$55</f>
        <v>824</v>
      </c>
      <c r="E91" s="10">
        <f>Github!F$55+Github!G$55</f>
        <v>7842</v>
      </c>
      <c r="F91" s="12">
        <f t="shared" si="1"/>
        <v>8.52</v>
      </c>
      <c r="G91" s="10" t="str">
        <f>Github!H$55</f>
        <v>Algorithms</v>
      </c>
      <c r="H91" s="13" t="str">
        <f>SUBSTITUTE(Github!L$55, ";", ", ")</f>
        <v>Array, Matrix, Simulation, </v>
      </c>
      <c r="I91" s="10" t="str">
        <f>Github!E$55</f>
        <v>Medium</v>
      </c>
      <c r="J91" s="10" t="str">
        <f>IF(TRIM(Github!D$55)="TRUE","FALSE","TRUE")</f>
        <v>TRUE</v>
      </c>
      <c r="K91" s="10" t="b">
        <f>Github!M$55</f>
        <v>1</v>
      </c>
      <c r="L91" s="10" t="b">
        <f>Github!N$55</f>
        <v>0</v>
      </c>
      <c r="M91" s="10" t="str">
        <f>ROUND(Github!O$55, 2)&amp;"%"</f>
        <v>41.36%</v>
      </c>
      <c r="N91" s="10">
        <f>Github!P$55</f>
        <v>720791</v>
      </c>
      <c r="O91" s="10">
        <f>Github!Q$55</f>
        <v>1742552</v>
      </c>
    </row>
    <row r="92">
      <c r="A92" s="10">
        <f>Github!J$115</f>
        <v>114</v>
      </c>
      <c r="B92" s="11" t="str">
        <f>HYPERLINK(CONCAT("http://leetcode.com/problems/",Github!C$115), Github!B$115)</f>
        <v>Flatten Binary Tree to Linked List</v>
      </c>
      <c r="C92" s="10">
        <f>Github!F$115</f>
        <v>6972</v>
      </c>
      <c r="D92" s="10">
        <f>Github!G$115</f>
        <v>463</v>
      </c>
      <c r="E92" s="10">
        <f>Github!F$115+Github!G$115</f>
        <v>7435</v>
      </c>
      <c r="F92" s="12">
        <f t="shared" si="1"/>
        <v>15.06</v>
      </c>
      <c r="G92" s="10" t="str">
        <f>Github!H$115</f>
        <v>Algorithms</v>
      </c>
      <c r="H92" s="13" t="str">
        <f>SUBSTITUTE(Github!L$115, ";", ", ")</f>
        <v>Linked List, Stack, Tree, Depth-First Search, Binary Tree, </v>
      </c>
      <c r="I92" s="10" t="str">
        <f>Github!E$115</f>
        <v>Medium</v>
      </c>
      <c r="J92" s="10" t="str">
        <f>IF(TRIM(Github!D$115)="TRUE","FALSE","TRUE")</f>
        <v>TRUE</v>
      </c>
      <c r="K92" s="10" t="b">
        <f>Github!M$115</f>
        <v>1</v>
      </c>
      <c r="L92" s="10" t="b">
        <f>Github!N$115</f>
        <v>0</v>
      </c>
      <c r="M92" s="10" t="str">
        <f>ROUND(Github!O$115, 2)&amp;"%"</f>
        <v>57.77%</v>
      </c>
      <c r="N92" s="10">
        <f>Github!P$115</f>
        <v>596154</v>
      </c>
      <c r="O92" s="10">
        <f>Github!Q$115</f>
        <v>1031924</v>
      </c>
    </row>
    <row r="93">
      <c r="A93" s="10">
        <f>Github!J$231</f>
        <v>230</v>
      </c>
      <c r="B93" s="11" t="str">
        <f>HYPERLINK(CONCAT("http://leetcode.com/problems/",Github!C$231), Github!B$231)</f>
        <v>Kth Smallest Element in a BST</v>
      </c>
      <c r="C93" s="10">
        <f>Github!F$231</f>
        <v>6950</v>
      </c>
      <c r="D93" s="10">
        <f>Github!G$231</f>
        <v>128</v>
      </c>
      <c r="E93" s="10">
        <f>Github!F$231+Github!G$231</f>
        <v>7078</v>
      </c>
      <c r="F93" s="12">
        <f t="shared" si="1"/>
        <v>54.3</v>
      </c>
      <c r="G93" s="10" t="str">
        <f>Github!H$231</f>
        <v>Algorithms</v>
      </c>
      <c r="H93" s="13" t="str">
        <f>SUBSTITUTE(Github!L$231, ";", ", ")</f>
        <v>Tree, Depth-First Search, Binary Search Tree, Binary Tree, </v>
      </c>
      <c r="I93" s="10" t="str">
        <f>Github!E$231</f>
        <v>Medium</v>
      </c>
      <c r="J93" s="10" t="str">
        <f>IF(TRIM(Github!D$231)="TRUE","FALSE","TRUE")</f>
        <v>TRUE</v>
      </c>
      <c r="K93" s="10" t="b">
        <f>Github!M$231</f>
        <v>1</v>
      </c>
      <c r="L93" s="10" t="b">
        <f>Github!N$231</f>
        <v>0</v>
      </c>
      <c r="M93" s="10" t="str">
        <f>ROUND(Github!O$231, 2)&amp;"%"</f>
        <v>67.6%</v>
      </c>
      <c r="N93" s="10">
        <f>Github!P$231</f>
        <v>788390</v>
      </c>
      <c r="O93" s="10">
        <f>Github!Q$231</f>
        <v>1166322</v>
      </c>
    </row>
    <row r="94">
      <c r="A94" s="10">
        <f>Github!J$26</f>
        <v>25</v>
      </c>
      <c r="B94" s="11" t="str">
        <f>HYPERLINK(CONCAT("http://leetcode.com/problems/",Github!C$26), Github!B$26)</f>
        <v>Reverse Nodes in k-Group</v>
      </c>
      <c r="C94" s="10">
        <f>Github!F$26</f>
        <v>6939</v>
      </c>
      <c r="D94" s="10">
        <f>Github!G$26</f>
        <v>487</v>
      </c>
      <c r="E94" s="10">
        <f>Github!F$26+Github!G$26</f>
        <v>7426</v>
      </c>
      <c r="F94" s="12">
        <f t="shared" si="1"/>
        <v>14.25</v>
      </c>
      <c r="G94" s="10" t="str">
        <f>Github!H$26</f>
        <v>Algorithms</v>
      </c>
      <c r="H94" s="13" t="str">
        <f>SUBSTITUTE(Github!L$26, ";", ", ")</f>
        <v>Linked List, Recursion, </v>
      </c>
      <c r="I94" s="10" t="str">
        <f>Github!E$26</f>
        <v>Hard</v>
      </c>
      <c r="J94" s="10" t="str">
        <f>IF(TRIM(Github!D$26)="TRUE","FALSE","TRUE")</f>
        <v>TRUE</v>
      </c>
      <c r="K94" s="10" t="b">
        <f>Github!M$26</f>
        <v>1</v>
      </c>
      <c r="L94" s="10" t="b">
        <f>Github!N$26</f>
        <v>0</v>
      </c>
      <c r="M94" s="10" t="str">
        <f>ROUND(Github!O$26, 2)&amp;"%"</f>
        <v>51%</v>
      </c>
      <c r="N94" s="10">
        <f>Github!P$26</f>
        <v>505521</v>
      </c>
      <c r="O94" s="10">
        <f>Github!Q$26</f>
        <v>991145</v>
      </c>
    </row>
    <row r="95">
      <c r="A95" s="10">
        <f>Github!J$209</f>
        <v>208</v>
      </c>
      <c r="B95" s="11" t="str">
        <f>HYPERLINK(CONCAT("http://leetcode.com/problems/",Github!C$209), Github!B$209)</f>
        <v>Implement Trie (Prefix Tree)</v>
      </c>
      <c r="C95" s="10">
        <f>Github!F$209</f>
        <v>6870</v>
      </c>
      <c r="D95" s="10">
        <f>Github!G$209</f>
        <v>91</v>
      </c>
      <c r="E95" s="10">
        <f>Github!F$209+Github!G$209</f>
        <v>6961</v>
      </c>
      <c r="F95" s="12">
        <f t="shared" si="1"/>
        <v>75.49</v>
      </c>
      <c r="G95" s="10" t="str">
        <f>Github!H$209</f>
        <v>Algorithms</v>
      </c>
      <c r="H95" s="13" t="str">
        <f>SUBSTITUTE(Github!L$209, ";", ", ")</f>
        <v>Hash Table, String, Design, Trie, </v>
      </c>
      <c r="I95" s="10" t="str">
        <f>Github!E$209</f>
        <v>Medium</v>
      </c>
      <c r="J95" s="10" t="str">
        <f>IF(TRIM(Github!D$209)="TRUE","FALSE","TRUE")</f>
        <v>TRUE</v>
      </c>
      <c r="K95" s="10" t="b">
        <f>Github!M$209</f>
        <v>1</v>
      </c>
      <c r="L95" s="10" t="b">
        <f>Github!N$209</f>
        <v>0</v>
      </c>
      <c r="M95" s="10" t="str">
        <f>ROUND(Github!O$209, 2)&amp;"%"</f>
        <v>58.08%</v>
      </c>
      <c r="N95" s="10">
        <f>Github!P$209</f>
        <v>572433</v>
      </c>
      <c r="O95" s="10">
        <f>Github!Q$209</f>
        <v>985517</v>
      </c>
    </row>
    <row r="96">
      <c r="A96" s="10">
        <f>Github!J$25</f>
        <v>24</v>
      </c>
      <c r="B96" s="11" t="str">
        <f>HYPERLINK(CONCAT("http://leetcode.com/problems/",Github!C$25), Github!B$25)</f>
        <v>Swap Nodes in Pairs</v>
      </c>
      <c r="C96" s="10">
        <f>Github!F$25</f>
        <v>6831</v>
      </c>
      <c r="D96" s="10">
        <f>Github!G$25</f>
        <v>293</v>
      </c>
      <c r="E96" s="10">
        <f>Github!F$25+Github!G$25</f>
        <v>7124</v>
      </c>
      <c r="F96" s="12">
        <f t="shared" si="1"/>
        <v>23.31</v>
      </c>
      <c r="G96" s="10" t="str">
        <f>Github!H$25</f>
        <v>Algorithms</v>
      </c>
      <c r="H96" s="13" t="str">
        <f>SUBSTITUTE(Github!L$25, ";", ", ")</f>
        <v>Linked List, Recursion, </v>
      </c>
      <c r="I96" s="10" t="str">
        <f>Github!E$25</f>
        <v>Medium</v>
      </c>
      <c r="J96" s="10" t="str">
        <f>IF(TRIM(Github!D$25)="TRUE","FALSE","TRUE")</f>
        <v>TRUE</v>
      </c>
      <c r="K96" s="10" t="b">
        <f>Github!M$25</f>
        <v>1</v>
      </c>
      <c r="L96" s="10" t="b">
        <f>Github!N$25</f>
        <v>0</v>
      </c>
      <c r="M96" s="10" t="str">
        <f>ROUND(Github!O$25, 2)&amp;"%"</f>
        <v>58.71%</v>
      </c>
      <c r="N96" s="10">
        <f>Github!P$25</f>
        <v>858730</v>
      </c>
      <c r="O96" s="10">
        <f>Github!Q$25</f>
        <v>1462746</v>
      </c>
    </row>
    <row r="97">
      <c r="A97" s="10">
        <f>Github!J$105</f>
        <v>104</v>
      </c>
      <c r="B97" s="11" t="str">
        <f>HYPERLINK(CONCAT("http://leetcode.com/problems/",Github!C$105), Github!B$105)</f>
        <v>Maximum Depth of Binary Tree</v>
      </c>
      <c r="C97" s="10">
        <f>Github!F$105</f>
        <v>6845</v>
      </c>
      <c r="D97" s="10">
        <f>Github!G$105</f>
        <v>124</v>
      </c>
      <c r="E97" s="10">
        <f>Github!F$105+Github!G$105</f>
        <v>6969</v>
      </c>
      <c r="F97" s="12">
        <f t="shared" si="1"/>
        <v>55.2</v>
      </c>
      <c r="G97" s="10" t="str">
        <f>Github!H$105</f>
        <v>Algorithms</v>
      </c>
      <c r="H97" s="13" t="str">
        <f>SUBSTITUTE(Github!L$105, ";", ", ")</f>
        <v>Tree, Depth-First Search, Breadth-First Search, Binary Tree, </v>
      </c>
      <c r="I97" s="10" t="str">
        <f>Github!E$105</f>
        <v>Easy</v>
      </c>
      <c r="J97" s="10" t="str">
        <f>IF(TRIM(Github!D$105)="TRUE","FALSE","TRUE")</f>
        <v>TRUE</v>
      </c>
      <c r="K97" s="10" t="b">
        <f>Github!M$105</f>
        <v>1</v>
      </c>
      <c r="L97" s="10" t="b">
        <f>Github!N$105</f>
        <v>0</v>
      </c>
      <c r="M97" s="10" t="str">
        <f>ROUND(Github!O$105, 2)&amp;"%"</f>
        <v>71.83%</v>
      </c>
      <c r="N97" s="10">
        <f>Github!P$105</f>
        <v>1640521</v>
      </c>
      <c r="O97" s="10">
        <f>Github!Q$105</f>
        <v>2283867</v>
      </c>
    </row>
    <row r="98">
      <c r="A98" s="10">
        <f>Github!J$339</f>
        <v>338</v>
      </c>
      <c r="B98" s="11" t="str">
        <f>HYPERLINK(CONCAT("http://leetcode.com/problems/",Github!C$339), Github!B$339)</f>
        <v>Counting Bits</v>
      </c>
      <c r="C98" s="10">
        <f>Github!F$339</f>
        <v>6822</v>
      </c>
      <c r="D98" s="10">
        <f>Github!G$339</f>
        <v>317</v>
      </c>
      <c r="E98" s="10">
        <f>Github!F$339+Github!G$339</f>
        <v>7139</v>
      </c>
      <c r="F98" s="12">
        <f t="shared" si="1"/>
        <v>21.52</v>
      </c>
      <c r="G98" s="10" t="str">
        <f>Github!H$339</f>
        <v>Algorithms</v>
      </c>
      <c r="H98" s="13" t="str">
        <f>SUBSTITUTE(Github!L$339, ";", ", ")</f>
        <v>Dynamic Programming, Bit Manipulation, </v>
      </c>
      <c r="I98" s="10" t="str">
        <f>Github!E$339</f>
        <v>Easy</v>
      </c>
      <c r="J98" s="10" t="str">
        <f>IF(TRIM(Github!D$339)="TRUE","FALSE","TRUE")</f>
        <v>TRUE</v>
      </c>
      <c r="K98" s="10" t="b">
        <f>Github!M$339</f>
        <v>1</v>
      </c>
      <c r="L98" s="10" t="b">
        <f>Github!N$339</f>
        <v>0</v>
      </c>
      <c r="M98" s="10" t="str">
        <f>ROUND(Github!O$339, 2)&amp;"%"</f>
        <v>74.26%</v>
      </c>
      <c r="N98" s="10">
        <f>Github!P$339</f>
        <v>568664</v>
      </c>
      <c r="O98" s="10">
        <f>Github!Q$339</f>
        <v>765763</v>
      </c>
    </row>
    <row r="99">
      <c r="A99" s="10">
        <f>Github!J$740</f>
        <v>739</v>
      </c>
      <c r="B99" s="11" t="str">
        <f>HYPERLINK(CONCAT("http://leetcode.com/problems/",Github!C$740), Github!B$740)</f>
        <v>Daily Temperatures</v>
      </c>
      <c r="C99" s="10">
        <f>Github!F$740</f>
        <v>6834</v>
      </c>
      <c r="D99" s="10">
        <f>Github!G$740</f>
        <v>158</v>
      </c>
      <c r="E99" s="10">
        <f>Github!F$740+Github!G$740</f>
        <v>6992</v>
      </c>
      <c r="F99" s="12">
        <f t="shared" si="1"/>
        <v>43.25</v>
      </c>
      <c r="G99" s="10" t="str">
        <f>Github!H$740</f>
        <v>Algorithms</v>
      </c>
      <c r="H99" s="13" t="str">
        <f>SUBSTITUTE(Github!L$740, ";", ", ")</f>
        <v>Array, Stack, Monotonic Stack, </v>
      </c>
      <c r="I99" s="10" t="str">
        <f>Github!E$740</f>
        <v>Medium</v>
      </c>
      <c r="J99" s="10" t="str">
        <f>IF(TRIM(Github!D$740)="TRUE","FALSE","TRUE")</f>
        <v>TRUE</v>
      </c>
      <c r="K99" s="10" t="b">
        <f>Github!M$740</f>
        <v>1</v>
      </c>
      <c r="L99" s="10" t="b">
        <f>Github!N$740</f>
        <v>0</v>
      </c>
      <c r="M99" s="10" t="str">
        <f>ROUND(Github!O$740, 2)&amp;"%"</f>
        <v>67.1%</v>
      </c>
      <c r="N99" s="10">
        <f>Github!P$740</f>
        <v>380052</v>
      </c>
      <c r="O99" s="10">
        <f>Github!Q$740</f>
        <v>566360</v>
      </c>
    </row>
    <row r="100">
      <c r="A100" s="10">
        <f>Github!J$74</f>
        <v>73</v>
      </c>
      <c r="B100" s="11" t="str">
        <f>HYPERLINK(CONCAT("http://leetcode.com/problems/",Github!C$74), Github!B$74)</f>
        <v>Set Matrix Zeroes</v>
      </c>
      <c r="C100" s="10">
        <f>Github!F$74</f>
        <v>6792</v>
      </c>
      <c r="D100" s="10">
        <f>Github!G$74</f>
        <v>485</v>
      </c>
      <c r="E100" s="10">
        <f>Github!F$74+Github!G$74</f>
        <v>7277</v>
      </c>
      <c r="F100" s="12">
        <f t="shared" si="1"/>
        <v>14</v>
      </c>
      <c r="G100" s="10" t="str">
        <f>Github!H$74</f>
        <v>Algorithms</v>
      </c>
      <c r="H100" s="13" t="str">
        <f>SUBSTITUTE(Github!L$74, ";", ", ")</f>
        <v>Array, Hash Table, Matrix, </v>
      </c>
      <c r="I100" s="10" t="str">
        <f>Github!E$74</f>
        <v>Medium</v>
      </c>
      <c r="J100" s="10" t="str">
        <f>IF(TRIM(Github!D$74)="TRUE","FALSE","TRUE")</f>
        <v>TRUE</v>
      </c>
      <c r="K100" s="10" t="b">
        <f>Github!M$74</f>
        <v>1</v>
      </c>
      <c r="L100" s="10" t="b">
        <f>Github!N$74</f>
        <v>0</v>
      </c>
      <c r="M100" s="10" t="str">
        <f>ROUND(Github!O$74, 2)&amp;"%"</f>
        <v>48.26%</v>
      </c>
      <c r="N100" s="10">
        <f>Github!P$74</f>
        <v>674826</v>
      </c>
      <c r="O100" s="10">
        <f>Github!Q$74</f>
        <v>1398184</v>
      </c>
    </row>
    <row r="101">
      <c r="A101" s="10">
        <f>Github!J$92</f>
        <v>91</v>
      </c>
      <c r="B101" s="11" t="str">
        <f>HYPERLINK(CONCAT("http://leetcode.com/problems/",Github!C$92), Github!B$92)</f>
        <v>Decode Ways</v>
      </c>
      <c r="C101" s="10">
        <f>Github!F$92</f>
        <v>6750</v>
      </c>
      <c r="D101" s="10">
        <f>Github!G$92</f>
        <v>3807</v>
      </c>
      <c r="E101" s="10">
        <f>Github!F$92+Github!G$92</f>
        <v>10557</v>
      </c>
      <c r="F101" s="12">
        <f t="shared" si="1"/>
        <v>1.77</v>
      </c>
      <c r="G101" s="10" t="str">
        <f>Github!H$92</f>
        <v>Algorithms</v>
      </c>
      <c r="H101" s="13" t="str">
        <f>SUBSTITUTE(Github!L$92, ";", ", ")</f>
        <v>String, Dynamic Programming, </v>
      </c>
      <c r="I101" s="10" t="str">
        <f>Github!E$92</f>
        <v>Medium</v>
      </c>
      <c r="J101" s="10" t="str">
        <f>IF(TRIM(Github!D$92)="TRUE","FALSE","TRUE")</f>
        <v>TRUE</v>
      </c>
      <c r="K101" s="10" t="b">
        <f>Github!M$92</f>
        <v>1</v>
      </c>
      <c r="L101" s="10" t="b">
        <f>Github!N$92</f>
        <v>1</v>
      </c>
      <c r="M101" s="10" t="str">
        <f>ROUND(Github!O$92, 2)&amp;"%"</f>
        <v>30.22%</v>
      </c>
      <c r="N101" s="10">
        <f>Github!P$92</f>
        <v>770994</v>
      </c>
      <c r="O101" s="10">
        <f>Github!Q$92</f>
        <v>2551396</v>
      </c>
    </row>
    <row r="102">
      <c r="A102" s="10">
        <f>Github!J$296</f>
        <v>295</v>
      </c>
      <c r="B102" s="11" t="str">
        <f>HYPERLINK(CONCAT("http://leetcode.com/problems/",Github!C$296), Github!B$296)</f>
        <v>Find Median from Data Stream</v>
      </c>
      <c r="C102" s="10">
        <f>Github!F$296</f>
        <v>6714</v>
      </c>
      <c r="D102" s="10">
        <f>Github!G$296</f>
        <v>124</v>
      </c>
      <c r="E102" s="10">
        <f>Github!F$296+Github!G$296</f>
        <v>6838</v>
      </c>
      <c r="F102" s="12">
        <f t="shared" si="1"/>
        <v>54.15</v>
      </c>
      <c r="G102" s="10" t="str">
        <f>Github!H$296</f>
        <v>Algorithms</v>
      </c>
      <c r="H102" s="13" t="str">
        <f>SUBSTITUTE(Github!L$296, ";", ", ")</f>
        <v>Two Pointers, Design, Sorting, Heap (Priority Queue), Data Stream, </v>
      </c>
      <c r="I102" s="10" t="str">
        <f>Github!E$296</f>
        <v>Hard</v>
      </c>
      <c r="J102" s="10" t="str">
        <f>IF(TRIM(Github!D$296)="TRUE","FALSE","TRUE")</f>
        <v>TRUE</v>
      </c>
      <c r="K102" s="10" t="b">
        <f>Github!M$296</f>
        <v>1</v>
      </c>
      <c r="L102" s="10" t="b">
        <f>Github!N$296</f>
        <v>0</v>
      </c>
      <c r="M102" s="10" t="str">
        <f>ROUND(Github!O$296, 2)&amp;"%"</f>
        <v>50.29%</v>
      </c>
      <c r="N102" s="10">
        <f>Github!P$296</f>
        <v>450411</v>
      </c>
      <c r="O102" s="10">
        <f>Github!Q$296</f>
        <v>895553</v>
      </c>
    </row>
    <row r="103">
      <c r="A103" s="10">
        <f>Github!J$495</f>
        <v>494</v>
      </c>
      <c r="B103" s="11" t="str">
        <f>HYPERLINK(CONCAT("http://leetcode.com/problems/",Github!C$495), Github!B$495)</f>
        <v>Target Sum</v>
      </c>
      <c r="C103" s="10">
        <f>Github!F$495</f>
        <v>6689</v>
      </c>
      <c r="D103" s="10">
        <f>Github!G$495</f>
        <v>256</v>
      </c>
      <c r="E103" s="10">
        <f>Github!F$495+Github!G$495</f>
        <v>6945</v>
      </c>
      <c r="F103" s="12">
        <f t="shared" si="1"/>
        <v>26.13</v>
      </c>
      <c r="G103" s="10" t="str">
        <f>Github!H$495</f>
        <v>Algorithms</v>
      </c>
      <c r="H103" s="13" t="str">
        <f>SUBSTITUTE(Github!L$495, ";", ", ")</f>
        <v>Array, Dynamic Programming, Backtracking, </v>
      </c>
      <c r="I103" s="10" t="str">
        <f>Github!E$495</f>
        <v>Medium</v>
      </c>
      <c r="J103" s="10" t="str">
        <f>IF(TRIM(Github!D$495)="TRUE","FALSE","TRUE")</f>
        <v>TRUE</v>
      </c>
      <c r="K103" s="10" t="b">
        <f>Github!M$495</f>
        <v>1</v>
      </c>
      <c r="L103" s="10" t="b">
        <f>Github!N$495</f>
        <v>0</v>
      </c>
      <c r="M103" s="10" t="str">
        <f>ROUND(Github!O$495, 2)&amp;"%"</f>
        <v>45.42%</v>
      </c>
      <c r="N103" s="10">
        <f>Github!P$495</f>
        <v>344108</v>
      </c>
      <c r="O103" s="10">
        <f>Github!Q$495</f>
        <v>757683</v>
      </c>
    </row>
    <row r="104">
      <c r="A104" s="10">
        <f>Github!J$280</f>
        <v>279</v>
      </c>
      <c r="B104" s="11" t="str">
        <f>HYPERLINK(CONCAT("http://leetcode.com/problems/",Github!C$280), Github!B$280)</f>
        <v>Perfect Squares</v>
      </c>
      <c r="C104" s="10">
        <f>Github!F$280</f>
        <v>6629</v>
      </c>
      <c r="D104" s="10">
        <f>Github!G$280</f>
        <v>292</v>
      </c>
      <c r="E104" s="10">
        <f>Github!F$280+Github!G$280</f>
        <v>6921</v>
      </c>
      <c r="F104" s="12">
        <f t="shared" si="1"/>
        <v>22.7</v>
      </c>
      <c r="G104" s="10" t="str">
        <f>Github!H$280</f>
        <v>Algorithms</v>
      </c>
      <c r="H104" s="13" t="str">
        <f>SUBSTITUTE(Github!L$280, ";", ", ")</f>
        <v>Math, Dynamic Programming, Breadth-First Search, </v>
      </c>
      <c r="I104" s="10" t="str">
        <f>Github!E$280</f>
        <v>Medium</v>
      </c>
      <c r="J104" s="10" t="str">
        <f>IF(TRIM(Github!D$280)="TRUE","FALSE","TRUE")</f>
        <v>TRUE</v>
      </c>
      <c r="K104" s="10" t="b">
        <f>Github!M$280</f>
        <v>1</v>
      </c>
      <c r="L104" s="10" t="b">
        <f>Github!N$280</f>
        <v>0</v>
      </c>
      <c r="M104" s="10" t="str">
        <f>ROUND(Github!O$280, 2)&amp;"%"</f>
        <v>51.84%</v>
      </c>
      <c r="N104" s="10">
        <f>Github!P$280</f>
        <v>522263</v>
      </c>
      <c r="O104" s="10">
        <f>Github!Q$280</f>
        <v>1007511</v>
      </c>
    </row>
    <row r="105">
      <c r="A105" s="10">
        <f>Github!J$154</f>
        <v>153</v>
      </c>
      <c r="B105" s="11" t="str">
        <f>HYPERLINK(CONCAT("http://leetcode.com/problems/",Github!C$154), Github!B$154)</f>
        <v>Find Minimum in Rotated Sorted Array</v>
      </c>
      <c r="C105" s="10">
        <f>Github!F$154</f>
        <v>6624</v>
      </c>
      <c r="D105" s="10">
        <f>Github!G$154</f>
        <v>388</v>
      </c>
      <c r="E105" s="10">
        <f>Github!F$154+Github!G$154</f>
        <v>7012</v>
      </c>
      <c r="F105" s="12">
        <f t="shared" si="1"/>
        <v>17.07</v>
      </c>
      <c r="G105" s="10" t="str">
        <f>Github!H$154</f>
        <v>Algorithms</v>
      </c>
      <c r="H105" s="13" t="str">
        <f>SUBSTITUTE(Github!L$154, ";", ", ")</f>
        <v>Array, Binary Search, </v>
      </c>
      <c r="I105" s="10" t="str">
        <f>Github!E$154</f>
        <v>Medium</v>
      </c>
      <c r="J105" s="10" t="str">
        <f>IF(TRIM(Github!D$154)="TRUE","FALSE","TRUE")</f>
        <v>TRUE</v>
      </c>
      <c r="K105" s="10" t="b">
        <f>Github!M$154</f>
        <v>1</v>
      </c>
      <c r="L105" s="10" t="b">
        <f>Github!N$154</f>
        <v>0</v>
      </c>
      <c r="M105" s="10" t="str">
        <f>ROUND(Github!O$154, 2)&amp;"%"</f>
        <v>47.91%</v>
      </c>
      <c r="N105" s="10">
        <f>Github!P$154</f>
        <v>907917</v>
      </c>
      <c r="O105" s="10">
        <f>Github!Q$154</f>
        <v>1894898</v>
      </c>
    </row>
    <row r="106">
      <c r="A106" s="10">
        <f>Github!J$132</f>
        <v>131</v>
      </c>
      <c r="B106" s="11" t="str">
        <f>HYPERLINK(CONCAT("http://leetcode.com/problems/",Github!C$132), Github!B$132)</f>
        <v>Palindrome Partitioning</v>
      </c>
      <c r="C106" s="10">
        <f>Github!F$132</f>
        <v>6541</v>
      </c>
      <c r="D106" s="10">
        <f>Github!G$132</f>
        <v>208</v>
      </c>
      <c r="E106" s="10">
        <f>Github!F$132+Github!G$132</f>
        <v>6749</v>
      </c>
      <c r="F106" s="12">
        <f t="shared" si="1"/>
        <v>31.45</v>
      </c>
      <c r="G106" s="10" t="str">
        <f>Github!H$132</f>
        <v>Algorithms</v>
      </c>
      <c r="H106" s="13" t="str">
        <f>SUBSTITUTE(Github!L$132, ";", ", ")</f>
        <v>String, Dynamic Programming, Backtracking, </v>
      </c>
      <c r="I106" s="10" t="str">
        <f>Github!E$132</f>
        <v>Medium</v>
      </c>
      <c r="J106" s="10" t="str">
        <f>IF(TRIM(Github!D$132)="TRUE","FALSE","TRUE")</f>
        <v>TRUE</v>
      </c>
      <c r="K106" s="10" t="b">
        <f>Github!M$132</f>
        <v>1</v>
      </c>
      <c r="L106" s="10" t="b">
        <f>Github!N$132</f>
        <v>0</v>
      </c>
      <c r="M106" s="10" t="str">
        <f>ROUND(Github!O$132, 2)&amp;"%"</f>
        <v>59.41%</v>
      </c>
      <c r="N106" s="10">
        <f>Github!P$132</f>
        <v>446240</v>
      </c>
      <c r="O106" s="10">
        <f>Github!Q$132</f>
        <v>751149</v>
      </c>
    </row>
    <row r="107">
      <c r="A107" s="10">
        <f>Github!J$211</f>
        <v>210</v>
      </c>
      <c r="B107" s="11" t="str">
        <f>HYPERLINK(CONCAT("http://leetcode.com/problems/",Github!C$211), Github!B$211)</f>
        <v>Course Schedule II</v>
      </c>
      <c r="C107" s="10">
        <f>Github!F$211</f>
        <v>6536</v>
      </c>
      <c r="D107" s="10">
        <f>Github!G$211</f>
        <v>235</v>
      </c>
      <c r="E107" s="10">
        <f>Github!F$211+Github!G$211</f>
        <v>6771</v>
      </c>
      <c r="F107" s="12">
        <f t="shared" si="1"/>
        <v>27.81</v>
      </c>
      <c r="G107" s="10" t="str">
        <f>Github!H$211</f>
        <v>Algorithms</v>
      </c>
      <c r="H107" s="13" t="str">
        <f>SUBSTITUTE(Github!L$211, ";", ", ")</f>
        <v>Depth-First Search, Breadth-First Search, Graph, Topological Sort, </v>
      </c>
      <c r="I107" s="10" t="str">
        <f>Github!E$211</f>
        <v>Medium</v>
      </c>
      <c r="J107" s="10" t="str">
        <f>IF(TRIM(Github!D$211)="TRUE","FALSE","TRUE")</f>
        <v>TRUE</v>
      </c>
      <c r="K107" s="10" t="b">
        <f>Github!M$211</f>
        <v>1</v>
      </c>
      <c r="L107" s="10" t="b">
        <f>Github!N$211</f>
        <v>0</v>
      </c>
      <c r="M107" s="10" t="str">
        <f>ROUND(Github!O$211, 2)&amp;"%"</f>
        <v>46.52%</v>
      </c>
      <c r="N107" s="10">
        <f>Github!P$211</f>
        <v>612444</v>
      </c>
      <c r="O107" s="10">
        <f>Github!Q$211</f>
        <v>1316474</v>
      </c>
    </row>
    <row r="108">
      <c r="A108" s="10">
        <f>Github!J$86</f>
        <v>85</v>
      </c>
      <c r="B108" s="11" t="str">
        <f>HYPERLINK(CONCAT("http://leetcode.com/problems/",Github!C$86), Github!B$86)</f>
        <v>Maximal Rectangle</v>
      </c>
      <c r="C108" s="10">
        <f>Github!F$86</f>
        <v>6522</v>
      </c>
      <c r="D108" s="10">
        <f>Github!G$86</f>
        <v>106</v>
      </c>
      <c r="E108" s="10">
        <f>Github!F$86+Github!G$86</f>
        <v>6628</v>
      </c>
      <c r="F108" s="12">
        <f t="shared" si="1"/>
        <v>61.53</v>
      </c>
      <c r="G108" s="10" t="str">
        <f>Github!H$86</f>
        <v>Algorithms</v>
      </c>
      <c r="H108" s="13" t="str">
        <f>SUBSTITUTE(Github!L$86, ";", ", ")</f>
        <v>Array, Dynamic Programming, Stack, Matrix, Monotonic Stack, </v>
      </c>
      <c r="I108" s="10" t="str">
        <f>Github!E$86</f>
        <v>Hard</v>
      </c>
      <c r="J108" s="10" t="str">
        <f>IF(TRIM(Github!D$86)="TRUE","FALSE","TRUE")</f>
        <v>TRUE</v>
      </c>
      <c r="K108" s="10" t="b">
        <f>Github!M$86</f>
        <v>1</v>
      </c>
      <c r="L108" s="10" t="b">
        <f>Github!N$86</f>
        <v>0</v>
      </c>
      <c r="M108" s="10" t="str">
        <f>ROUND(Github!O$86, 2)&amp;"%"</f>
        <v>42.75%</v>
      </c>
      <c r="N108" s="10">
        <f>Github!P$86</f>
        <v>292788</v>
      </c>
      <c r="O108" s="10">
        <f>Github!Q$86</f>
        <v>684921</v>
      </c>
    </row>
    <row r="109">
      <c r="A109" s="10">
        <f>Github!J$298</f>
        <v>297</v>
      </c>
      <c r="B109" s="11" t="str">
        <f>HYPERLINK(CONCAT("http://leetcode.com/problems/",Github!C$298), Github!B$298)</f>
        <v>Serialize and Deserialize Binary Tree</v>
      </c>
      <c r="C109" s="10">
        <f>Github!F$298</f>
        <v>6504</v>
      </c>
      <c r="D109" s="10">
        <f>Github!G$298</f>
        <v>254</v>
      </c>
      <c r="E109" s="10">
        <f>Github!F$298+Github!G$298</f>
        <v>6758</v>
      </c>
      <c r="F109" s="12">
        <f t="shared" si="1"/>
        <v>25.61</v>
      </c>
      <c r="G109" s="10" t="str">
        <f>Github!H$298</f>
        <v>Algorithms</v>
      </c>
      <c r="H109" s="13" t="str">
        <f>SUBSTITUTE(Github!L$298, ";", ", ")</f>
        <v>String, Tree, Depth-First Search, Breadth-First Search, Design, Binary Tree, </v>
      </c>
      <c r="I109" s="10" t="str">
        <f>Github!E$298</f>
        <v>Hard</v>
      </c>
      <c r="J109" s="10" t="str">
        <f>IF(TRIM(Github!D$298)="TRUE","FALSE","TRUE")</f>
        <v>TRUE</v>
      </c>
      <c r="K109" s="10" t="b">
        <f>Github!M$298</f>
        <v>1</v>
      </c>
      <c r="L109" s="10" t="b">
        <f>Github!N$298</f>
        <v>0</v>
      </c>
      <c r="M109" s="10" t="str">
        <f>ROUND(Github!O$298, 2)&amp;"%"</f>
        <v>53.7%</v>
      </c>
      <c r="N109" s="10">
        <f>Github!P$298</f>
        <v>600397</v>
      </c>
      <c r="O109" s="10">
        <f>Github!Q$298</f>
        <v>1118060</v>
      </c>
    </row>
    <row r="110">
      <c r="A110" s="10">
        <f>Github!J$618</f>
        <v>617</v>
      </c>
      <c r="B110" s="11" t="str">
        <f>HYPERLINK(CONCAT("http://leetcode.com/problems/",Github!C$618), Github!B$618)</f>
        <v>Merge Two Binary Trees</v>
      </c>
      <c r="C110" s="10">
        <f>Github!F$618</f>
        <v>6463</v>
      </c>
      <c r="D110" s="10">
        <f>Github!G$618</f>
        <v>242</v>
      </c>
      <c r="E110" s="10">
        <f>Github!F$618+Github!G$618</f>
        <v>6705</v>
      </c>
      <c r="F110" s="12">
        <f t="shared" si="1"/>
        <v>26.71</v>
      </c>
      <c r="G110" s="10" t="str">
        <f>Github!H$618</f>
        <v>Algorithms</v>
      </c>
      <c r="H110" s="13" t="str">
        <f>SUBSTITUTE(Github!L$618, ";", ", ")</f>
        <v>Tree, Depth-First Search, Breadth-First Search, Binary Tree, </v>
      </c>
      <c r="I110" s="10" t="str">
        <f>Github!E$618</f>
        <v>Easy</v>
      </c>
      <c r="J110" s="10" t="str">
        <f>IF(TRIM(Github!D$618)="TRUE","FALSE","TRUE")</f>
        <v>TRUE</v>
      </c>
      <c r="K110" s="10" t="b">
        <f>Github!M$618</f>
        <v>1</v>
      </c>
      <c r="L110" s="10" t="b">
        <f>Github!N$618</f>
        <v>0</v>
      </c>
      <c r="M110" s="10" t="str">
        <f>ROUND(Github!O$618, 2)&amp;"%"</f>
        <v>77.91%</v>
      </c>
      <c r="N110" s="10">
        <f>Github!P$618</f>
        <v>555603</v>
      </c>
      <c r="O110" s="10">
        <f>Github!Q$618</f>
        <v>713110</v>
      </c>
    </row>
    <row r="111">
      <c r="A111" s="10">
        <f>Github!J$449</f>
        <v>448</v>
      </c>
      <c r="B111" s="11" t="str">
        <f>HYPERLINK(CONCAT("http://leetcode.com/problems/",Github!C$449), Github!B$449)</f>
        <v>Find All Numbers Disappeared in an Array</v>
      </c>
      <c r="C111" s="10">
        <f>Github!F$449</f>
        <v>6452</v>
      </c>
      <c r="D111" s="10">
        <f>Github!G$449</f>
        <v>379</v>
      </c>
      <c r="E111" s="10">
        <f>Github!F$449+Github!G$449</f>
        <v>6831</v>
      </c>
      <c r="F111" s="12">
        <f t="shared" si="1"/>
        <v>17.02</v>
      </c>
      <c r="G111" s="10" t="str">
        <f>Github!H$449</f>
        <v>Algorithms</v>
      </c>
      <c r="H111" s="13" t="str">
        <f>SUBSTITUTE(Github!L$449, ";", ", ")</f>
        <v>Array, Hash Table, </v>
      </c>
      <c r="I111" s="10" t="str">
        <f>Github!E$449</f>
        <v>Easy</v>
      </c>
      <c r="J111" s="10" t="str">
        <f>IF(TRIM(Github!D$449)="TRUE","FALSE","TRUE")</f>
        <v>TRUE</v>
      </c>
      <c r="K111" s="10" t="b">
        <f>Github!M$449</f>
        <v>1</v>
      </c>
      <c r="L111" s="10" t="b">
        <f>Github!N$449</f>
        <v>0</v>
      </c>
      <c r="M111" s="10" t="str">
        <f>ROUND(Github!O$449, 2)&amp;"%"</f>
        <v>59.06%</v>
      </c>
      <c r="N111" s="10">
        <f>Github!P$449</f>
        <v>566782</v>
      </c>
      <c r="O111" s="10">
        <f>Github!Q$449</f>
        <v>959624</v>
      </c>
    </row>
    <row r="112">
      <c r="A112" s="10">
        <f>Github!J$27</f>
        <v>26</v>
      </c>
      <c r="B112" s="11" t="str">
        <f>HYPERLINK(CONCAT("http://leetcode.com/problems/",Github!C$27), Github!B$27)</f>
        <v>Remove Duplicates from Sorted Array</v>
      </c>
      <c r="C112" s="10">
        <f>Github!F$27</f>
        <v>6467</v>
      </c>
      <c r="D112" s="10">
        <f>Github!G$27</f>
        <v>10025</v>
      </c>
      <c r="E112" s="10">
        <f>Github!F$27+Github!G$27</f>
        <v>16492</v>
      </c>
      <c r="F112" s="12">
        <f t="shared" si="1"/>
        <v>0.65</v>
      </c>
      <c r="G112" s="10" t="str">
        <f>Github!H$27</f>
        <v>Algorithms</v>
      </c>
      <c r="H112" s="13" t="str">
        <f>SUBSTITUTE(Github!L$27, ";", ", ")</f>
        <v>Array, Two Pointers, </v>
      </c>
      <c r="I112" s="10" t="str">
        <f>Github!E$27</f>
        <v>Easy</v>
      </c>
      <c r="J112" s="10" t="str">
        <f>IF(TRIM(Github!D$27)="TRUE","FALSE","TRUE")</f>
        <v>TRUE</v>
      </c>
      <c r="K112" s="10" t="b">
        <f>Github!M$27</f>
        <v>1</v>
      </c>
      <c r="L112" s="10" t="b">
        <f>Github!N$27</f>
        <v>1</v>
      </c>
      <c r="M112" s="10" t="str">
        <f>ROUND(Github!O$27, 2)&amp;"%"</f>
        <v>48.84%</v>
      </c>
      <c r="N112" s="10">
        <f>Github!P$27</f>
        <v>2094357</v>
      </c>
      <c r="O112" s="10">
        <f>Github!Q$27</f>
        <v>4287948</v>
      </c>
    </row>
    <row r="113">
      <c r="A113" s="10">
        <f>Github!J$995</f>
        <v>994</v>
      </c>
      <c r="B113" s="11" t="str">
        <f>HYPERLINK(CONCAT("http://leetcode.com/problems/",Github!C$995), Github!B$995)</f>
        <v>Rotting Oranges</v>
      </c>
      <c r="C113" s="10">
        <f>Github!F$995</f>
        <v>6455</v>
      </c>
      <c r="D113" s="10">
        <f>Github!G$995</f>
        <v>273</v>
      </c>
      <c r="E113" s="10">
        <f>Github!F$995+Github!G$995</f>
        <v>6728</v>
      </c>
      <c r="F113" s="12">
        <f t="shared" si="1"/>
        <v>23.64</v>
      </c>
      <c r="G113" s="10" t="str">
        <f>Github!H$995</f>
        <v>Algorithms</v>
      </c>
      <c r="H113" s="13" t="str">
        <f>SUBSTITUTE(Github!L$995, ";", ", ")</f>
        <v>Array, Breadth-First Search, Matrix, </v>
      </c>
      <c r="I113" s="10" t="str">
        <f>Github!E$995</f>
        <v>Medium</v>
      </c>
      <c r="J113" s="10" t="str">
        <f>IF(TRIM(Github!D$995)="TRUE","FALSE","TRUE")</f>
        <v>TRUE</v>
      </c>
      <c r="K113" s="10" t="b">
        <f>Github!M$995</f>
        <v>1</v>
      </c>
      <c r="L113" s="10" t="b">
        <f>Github!N$995</f>
        <v>0</v>
      </c>
      <c r="M113" s="10" t="str">
        <f>ROUND(Github!O$995, 2)&amp;"%"</f>
        <v>51.7%</v>
      </c>
      <c r="N113" s="10">
        <f>Github!P$995</f>
        <v>375146</v>
      </c>
      <c r="O113" s="10">
        <f>Github!Q$995</f>
        <v>725608</v>
      </c>
    </row>
    <row r="114">
      <c r="A114" s="10">
        <f>Github!J$210</f>
        <v>209</v>
      </c>
      <c r="B114" s="11" t="str">
        <f>HYPERLINK(CONCAT("http://leetcode.com/problems/",Github!C$210), Github!B$210)</f>
        <v>Minimum Size Subarray Sum</v>
      </c>
      <c r="C114" s="10">
        <f>Github!F$210</f>
        <v>6401</v>
      </c>
      <c r="D114" s="10">
        <f>Github!G$210</f>
        <v>186</v>
      </c>
      <c r="E114" s="10">
        <f>Github!F$210+Github!G$210</f>
        <v>6587</v>
      </c>
      <c r="F114" s="12">
        <f t="shared" si="1"/>
        <v>34.41</v>
      </c>
      <c r="G114" s="10" t="str">
        <f>Github!H$210</f>
        <v>Algorithms</v>
      </c>
      <c r="H114" s="13" t="str">
        <f>SUBSTITUTE(Github!L$210, ";", ", ")</f>
        <v>Array, Binary Search, Sliding Window, Prefix Sum, </v>
      </c>
      <c r="I114" s="10" t="str">
        <f>Github!E$210</f>
        <v>Medium</v>
      </c>
      <c r="J114" s="10" t="str">
        <f>IF(TRIM(Github!D$210)="TRUE","FALSE","TRUE")</f>
        <v>TRUE</v>
      </c>
      <c r="K114" s="10" t="b">
        <f>Github!M$210</f>
        <v>1</v>
      </c>
      <c r="L114" s="10" t="b">
        <f>Github!N$210</f>
        <v>0</v>
      </c>
      <c r="M114" s="10" t="str">
        <f>ROUND(Github!O$210, 2)&amp;"%"</f>
        <v>43.27%</v>
      </c>
      <c r="N114" s="10">
        <f>Github!P$210</f>
        <v>514567</v>
      </c>
      <c r="O114" s="10">
        <f>Github!Q$210</f>
        <v>1189141</v>
      </c>
    </row>
    <row r="115">
      <c r="A115" s="10">
        <f>Github!J$117</f>
        <v>116</v>
      </c>
      <c r="B115" s="11" t="str">
        <f>HYPERLINK(CONCAT("http://leetcode.com/problems/",Github!C$117), Github!B$117)</f>
        <v>Populating Next Right Pointers in Each Node</v>
      </c>
      <c r="C115" s="10">
        <f>Github!F$117</f>
        <v>6370</v>
      </c>
      <c r="D115" s="10">
        <f>Github!G$117</f>
        <v>230</v>
      </c>
      <c r="E115" s="10">
        <f>Github!F$117+Github!G$117</f>
        <v>6600</v>
      </c>
      <c r="F115" s="12">
        <f t="shared" si="1"/>
        <v>27.7</v>
      </c>
      <c r="G115" s="10" t="str">
        <f>Github!H$117</f>
        <v>Algorithms</v>
      </c>
      <c r="H115" s="13" t="str">
        <f>SUBSTITUTE(Github!L$117, ";", ", ")</f>
        <v>Linked List, Tree, Depth-First Search, Breadth-First Search, Binary Tree, </v>
      </c>
      <c r="I115" s="10" t="str">
        <f>Github!E$117</f>
        <v>Medium</v>
      </c>
      <c r="J115" s="10" t="str">
        <f>IF(TRIM(Github!D$117)="TRUE","FALSE","TRUE")</f>
        <v>TRUE</v>
      </c>
      <c r="K115" s="10" t="b">
        <f>Github!M$117</f>
        <v>1</v>
      </c>
      <c r="L115" s="10" t="b">
        <f>Github!N$117</f>
        <v>0</v>
      </c>
      <c r="M115" s="10" t="str">
        <f>ROUND(Github!O$117, 2)&amp;"%"</f>
        <v>56.96%</v>
      </c>
      <c r="N115" s="10">
        <f>Github!P$117</f>
        <v>734048</v>
      </c>
      <c r="O115" s="10">
        <f>Github!Q$117</f>
        <v>1288760</v>
      </c>
    </row>
    <row r="116">
      <c r="A116" s="10">
        <f>Github!J$200</f>
        <v>199</v>
      </c>
      <c r="B116" s="11" t="str">
        <f>HYPERLINK(CONCAT("http://leetcode.com/problems/",Github!C$200), Github!B$200)</f>
        <v>Binary Tree Right Side View</v>
      </c>
      <c r="C116" s="10">
        <f>Github!F$200</f>
        <v>6368</v>
      </c>
      <c r="D116" s="10">
        <f>Github!G$200</f>
        <v>347</v>
      </c>
      <c r="E116" s="10">
        <f>Github!F$200+Github!G$200</f>
        <v>6715</v>
      </c>
      <c r="F116" s="12">
        <f t="shared" si="1"/>
        <v>18.35</v>
      </c>
      <c r="G116" s="10" t="str">
        <f>Github!H$200</f>
        <v>Algorithms</v>
      </c>
      <c r="H116" s="13" t="str">
        <f>SUBSTITUTE(Github!L$200, ";", ", ")</f>
        <v>Tree, Depth-First Search, Breadth-First Search, Binary Tree, </v>
      </c>
      <c r="I116" s="10" t="str">
        <f>Github!E$200</f>
        <v>Medium</v>
      </c>
      <c r="J116" s="10" t="str">
        <f>IF(TRIM(Github!D$200)="TRUE","FALSE","TRUE")</f>
        <v>TRUE</v>
      </c>
      <c r="K116" s="10" t="b">
        <f>Github!M$200</f>
        <v>1</v>
      </c>
      <c r="L116" s="10" t="b">
        <f>Github!N$200</f>
        <v>0</v>
      </c>
      <c r="M116" s="10" t="str">
        <f>ROUND(Github!O$200, 2)&amp;"%"</f>
        <v>59.58%</v>
      </c>
      <c r="N116" s="10">
        <f>Github!P$200</f>
        <v>662092</v>
      </c>
      <c r="O116" s="10">
        <f>Github!Q$200</f>
        <v>1111290</v>
      </c>
    </row>
    <row r="117">
      <c r="A117" s="10">
        <f>Github!J$622</f>
        <v>621</v>
      </c>
      <c r="B117" s="11" t="str">
        <f>HYPERLINK(CONCAT("http://leetcode.com/problems/",Github!C$622), Github!B$622)</f>
        <v>Task Scheduler</v>
      </c>
      <c r="C117" s="10">
        <f>Github!F$622</f>
        <v>6315</v>
      </c>
      <c r="D117" s="10">
        <f>Github!G$622</f>
        <v>1217</v>
      </c>
      <c r="E117" s="10">
        <f>Github!F$622+Github!G$622</f>
        <v>7532</v>
      </c>
      <c r="F117" s="12">
        <f t="shared" si="1"/>
        <v>5.19</v>
      </c>
      <c r="G117" s="10" t="str">
        <f>Github!H$622</f>
        <v>Algorithms</v>
      </c>
      <c r="H117" s="13" t="str">
        <f>SUBSTITUTE(Github!L$622, ";", ", ")</f>
        <v>Array, Hash Table, Greedy, Sorting, Heap (Priority Queue), Counting, </v>
      </c>
      <c r="I117" s="10" t="str">
        <f>Github!E$622</f>
        <v>Medium</v>
      </c>
      <c r="J117" s="10" t="str">
        <f>IF(TRIM(Github!D$622)="TRUE","FALSE","TRUE")</f>
        <v>TRUE</v>
      </c>
      <c r="K117" s="10" t="b">
        <f>Github!M$622</f>
        <v>1</v>
      </c>
      <c r="L117" s="10" t="b">
        <f>Github!N$622</f>
        <v>0</v>
      </c>
      <c r="M117" s="10" t="str">
        <f>ROUND(Github!O$622, 2)&amp;"%"</f>
        <v>54.47%</v>
      </c>
      <c r="N117" s="10">
        <f>Github!P$622</f>
        <v>334230</v>
      </c>
      <c r="O117" s="10">
        <f>Github!Q$622</f>
        <v>613556</v>
      </c>
    </row>
    <row r="118">
      <c r="A118" s="10">
        <f>Github!J$1144</f>
        <v>1143</v>
      </c>
      <c r="B118" s="11" t="str">
        <f>HYPERLINK(CONCAT("http://leetcode.com/problems/",Github!C$1144), Github!B$1144)</f>
        <v>Longest Common Subsequence</v>
      </c>
      <c r="C118" s="10">
        <f>Github!F$1144</f>
        <v>6300</v>
      </c>
      <c r="D118" s="10">
        <f>Github!G$1144</f>
        <v>70</v>
      </c>
      <c r="E118" s="10">
        <f>Github!F$1144+Github!G$1144</f>
        <v>6370</v>
      </c>
      <c r="F118" s="12">
        <f t="shared" si="1"/>
        <v>90</v>
      </c>
      <c r="G118" s="10" t="str">
        <f>Github!H$1144</f>
        <v>Algorithms</v>
      </c>
      <c r="H118" s="13" t="str">
        <f>SUBSTITUTE(Github!L$1144, ";", ", ")</f>
        <v>String, Dynamic Programming, </v>
      </c>
      <c r="I118" s="10" t="str">
        <f>Github!E$1144</f>
        <v>Medium</v>
      </c>
      <c r="J118" s="10" t="str">
        <f>IF(TRIM(Github!D$1144)="TRUE","FALSE","TRUE")</f>
        <v>TRUE</v>
      </c>
      <c r="K118" s="10" t="b">
        <f>Github!M$1144</f>
        <v>1</v>
      </c>
      <c r="L118" s="10" t="b">
        <f>Github!N$1144</f>
        <v>0</v>
      </c>
      <c r="M118" s="10" t="str">
        <f>ROUND(Github!O$1144, 2)&amp;"%"</f>
        <v>58.9%</v>
      </c>
      <c r="N118" s="10">
        <f>Github!P$1144</f>
        <v>399395</v>
      </c>
      <c r="O118" s="10">
        <f>Github!Q$1144</f>
        <v>678046</v>
      </c>
    </row>
    <row r="119">
      <c r="A119" s="10">
        <f>Github!J$109</f>
        <v>108</v>
      </c>
      <c r="B119" s="11" t="str">
        <f>HYPERLINK(CONCAT("http://leetcode.com/problems/",Github!C$109), Github!B$109)</f>
        <v>Convert Sorted Array to Binary Search Tree</v>
      </c>
      <c r="C119" s="10">
        <f>Github!F$109</f>
        <v>6241</v>
      </c>
      <c r="D119" s="10">
        <f>Github!G$109</f>
        <v>351</v>
      </c>
      <c r="E119" s="10">
        <f>Github!F$109+Github!G$109</f>
        <v>6592</v>
      </c>
      <c r="F119" s="12">
        <f t="shared" si="1"/>
        <v>17.78</v>
      </c>
      <c r="G119" s="10" t="str">
        <f>Github!H$109</f>
        <v>Algorithms</v>
      </c>
      <c r="H119" s="13" t="str">
        <f>SUBSTITUTE(Github!L$109, ";", ", ")</f>
        <v>Array, Divide and Conquer, Tree, Binary Search Tree, Binary Tree, </v>
      </c>
      <c r="I119" s="10" t="str">
        <f>Github!E$109</f>
        <v>Easy</v>
      </c>
      <c r="J119" s="10" t="str">
        <f>IF(TRIM(Github!D$109)="TRUE","FALSE","TRUE")</f>
        <v>TRUE</v>
      </c>
      <c r="K119" s="10" t="b">
        <f>Github!M$109</f>
        <v>1</v>
      </c>
      <c r="L119" s="10" t="b">
        <f>Github!N$109</f>
        <v>0</v>
      </c>
      <c r="M119" s="10" t="str">
        <f>ROUND(Github!O$109, 2)&amp;"%"</f>
        <v>66%</v>
      </c>
      <c r="N119" s="10">
        <f>Github!P$109</f>
        <v>728621</v>
      </c>
      <c r="O119" s="10">
        <f>Github!Q$109</f>
        <v>1103996</v>
      </c>
    </row>
    <row r="120">
      <c r="A120" s="10">
        <f>Github!J$648</f>
        <v>647</v>
      </c>
      <c r="B120" s="11" t="str">
        <f>HYPERLINK(CONCAT("http://leetcode.com/problems/",Github!C$648), Github!B$648)</f>
        <v>Palindromic Substrings</v>
      </c>
      <c r="C120" s="10">
        <f>Github!F$648</f>
        <v>6190</v>
      </c>
      <c r="D120" s="10">
        <f>Github!G$648</f>
        <v>154</v>
      </c>
      <c r="E120" s="10">
        <f>Github!F$648+Github!G$648</f>
        <v>6344</v>
      </c>
      <c r="F120" s="12">
        <f t="shared" si="1"/>
        <v>40.19</v>
      </c>
      <c r="G120" s="10" t="str">
        <f>Github!H$648</f>
        <v>Algorithms</v>
      </c>
      <c r="H120" s="13" t="str">
        <f>SUBSTITUTE(Github!L$648, ";", ", ")</f>
        <v>String, Dynamic Programming, </v>
      </c>
      <c r="I120" s="10" t="str">
        <f>Github!E$648</f>
        <v>Medium</v>
      </c>
      <c r="J120" s="10" t="str">
        <f>IF(TRIM(Github!D$648)="TRUE","FALSE","TRUE")</f>
        <v>TRUE</v>
      </c>
      <c r="K120" s="10" t="b">
        <f>Github!M$648</f>
        <v>1</v>
      </c>
      <c r="L120" s="10" t="b">
        <f>Github!N$648</f>
        <v>0</v>
      </c>
      <c r="M120" s="10" t="str">
        <f>ROUND(Github!O$648, 2)&amp;"%"</f>
        <v>64.61%</v>
      </c>
      <c r="N120" s="10">
        <f>Github!P$648</f>
        <v>400560</v>
      </c>
      <c r="O120" s="10">
        <f>Github!Q$648</f>
        <v>619942</v>
      </c>
    </row>
    <row r="121">
      <c r="A121" s="10">
        <f>Github!J$338</f>
        <v>337</v>
      </c>
      <c r="B121" s="11" t="str">
        <f>HYPERLINK(CONCAT("http://leetcode.com/problems/",Github!C$338), Github!B$338)</f>
        <v>House Robber III</v>
      </c>
      <c r="C121" s="10">
        <f>Github!F$338</f>
        <v>6165</v>
      </c>
      <c r="D121" s="10">
        <f>Github!G$338</f>
        <v>95</v>
      </c>
      <c r="E121" s="10">
        <f>Github!F$338+Github!G$338</f>
        <v>6260</v>
      </c>
      <c r="F121" s="12">
        <f t="shared" si="1"/>
        <v>64.89</v>
      </c>
      <c r="G121" s="10" t="str">
        <f>Github!H$338</f>
        <v>Algorithms</v>
      </c>
      <c r="H121" s="13" t="str">
        <f>SUBSTITUTE(Github!L$338, ";", ", ")</f>
        <v>Dynamic Programming, Tree, Depth-First Search, Binary Tree, </v>
      </c>
      <c r="I121" s="10" t="str">
        <f>Github!E$338</f>
        <v>Medium</v>
      </c>
      <c r="J121" s="10" t="str">
        <f>IF(TRIM(Github!D$338)="TRUE","FALSE","TRUE")</f>
        <v>TRUE</v>
      </c>
      <c r="K121" s="10" t="b">
        <f>Github!M$338</f>
        <v>1</v>
      </c>
      <c r="L121" s="10" t="b">
        <f>Github!N$338</f>
        <v>0</v>
      </c>
      <c r="M121" s="10" t="str">
        <f>ROUND(Github!O$338, 2)&amp;"%"</f>
        <v>53.5%</v>
      </c>
      <c r="N121" s="10">
        <f>Github!P$338</f>
        <v>284137</v>
      </c>
      <c r="O121" s="10">
        <f>Github!Q$338</f>
        <v>531125</v>
      </c>
    </row>
    <row r="122">
      <c r="A122" s="10">
        <f>Github!J$864</f>
        <v>863</v>
      </c>
      <c r="B122" s="11" t="str">
        <f>HYPERLINK(CONCAT("http://leetcode.com/problems/",Github!C$864), Github!B$864)</f>
        <v>All Nodes Distance K in Binary Tree</v>
      </c>
      <c r="C122" s="10">
        <f>Github!F$864</f>
        <v>6110</v>
      </c>
      <c r="D122" s="10">
        <f>Github!G$864</f>
        <v>124</v>
      </c>
      <c r="E122" s="10">
        <f>Github!F$864+Github!G$864</f>
        <v>6234</v>
      </c>
      <c r="F122" s="12">
        <f t="shared" si="1"/>
        <v>49.27</v>
      </c>
      <c r="G122" s="10" t="str">
        <f>Github!H$864</f>
        <v>Algorithms</v>
      </c>
      <c r="H122" s="13" t="str">
        <f>SUBSTITUTE(Github!L$864, ";", ", ")</f>
        <v>Tree, Depth-First Search, Breadth-First Search, Binary Tree, </v>
      </c>
      <c r="I122" s="10" t="str">
        <f>Github!E$864</f>
        <v>Medium</v>
      </c>
      <c r="J122" s="10" t="str">
        <f>IF(TRIM(Github!D$864)="TRUE","FALSE","TRUE")</f>
        <v>TRUE</v>
      </c>
      <c r="K122" s="10" t="b">
        <f>Github!M$864</f>
        <v>1</v>
      </c>
      <c r="L122" s="10" t="b">
        <f>Github!N$864</f>
        <v>0</v>
      </c>
      <c r="M122" s="10" t="str">
        <f>ROUND(Github!O$864, 2)&amp;"%"</f>
        <v>61.07%</v>
      </c>
      <c r="N122" s="10">
        <f>Github!P$864</f>
        <v>228221</v>
      </c>
      <c r="O122" s="10">
        <f>Github!Q$864</f>
        <v>373680</v>
      </c>
    </row>
    <row r="123">
      <c r="A123" s="10">
        <f>Github!J$19</f>
        <v>18</v>
      </c>
      <c r="B123" s="11" t="str">
        <f>HYPERLINK(CONCAT("http://leetcode.com/problems/",Github!C$19), Github!B$19)</f>
        <v>4Sum</v>
      </c>
      <c r="C123" s="10">
        <f>Github!F$19</f>
        <v>6087</v>
      </c>
      <c r="D123" s="10">
        <f>Github!G$19</f>
        <v>694</v>
      </c>
      <c r="E123" s="10">
        <f>Github!F$19+Github!G$19</f>
        <v>6781</v>
      </c>
      <c r="F123" s="12">
        <f t="shared" si="1"/>
        <v>8.77</v>
      </c>
      <c r="G123" s="10" t="str">
        <f>Github!H$19</f>
        <v>Algorithms</v>
      </c>
      <c r="H123" s="13" t="str">
        <f>SUBSTITUTE(Github!L$19, ";", ", ")</f>
        <v>Array, Two Pointers, Sorting, </v>
      </c>
      <c r="I123" s="10" t="str">
        <f>Github!E$19</f>
        <v>Medium</v>
      </c>
      <c r="J123" s="10" t="str">
        <f>IF(TRIM(Github!D$19)="TRUE","FALSE","TRUE")</f>
        <v>TRUE</v>
      </c>
      <c r="K123" s="10" t="b">
        <f>Github!M$19</f>
        <v>1</v>
      </c>
      <c r="L123" s="10" t="b">
        <f>Github!N$19</f>
        <v>0</v>
      </c>
      <c r="M123" s="10" t="str">
        <f>ROUND(Github!O$19, 2)&amp;"%"</f>
        <v>37.27%</v>
      </c>
      <c r="N123" s="10">
        <f>Github!P$19</f>
        <v>574136</v>
      </c>
      <c r="O123" s="10">
        <f>Github!Q$19</f>
        <v>1540469</v>
      </c>
    </row>
    <row r="124">
      <c r="A124" s="10">
        <f>Github!J$443</f>
        <v>442</v>
      </c>
      <c r="B124" s="11" t="str">
        <f>HYPERLINK(CONCAT("http://leetcode.com/problems/",Github!C$443), Github!B$443)</f>
        <v>Find All Duplicates in an Array</v>
      </c>
      <c r="C124" s="10">
        <f>Github!F$443</f>
        <v>6053</v>
      </c>
      <c r="D124" s="10">
        <f>Github!G$443</f>
        <v>248</v>
      </c>
      <c r="E124" s="10">
        <f>Github!F$443+Github!G$443</f>
        <v>6301</v>
      </c>
      <c r="F124" s="12">
        <f t="shared" si="1"/>
        <v>24.41</v>
      </c>
      <c r="G124" s="10" t="str">
        <f>Github!H$443</f>
        <v>Algorithms</v>
      </c>
      <c r="H124" s="13" t="str">
        <f>SUBSTITUTE(Github!L$443, ";", ", ")</f>
        <v>Array, Hash Table, </v>
      </c>
      <c r="I124" s="10" t="str">
        <f>Github!E$443</f>
        <v>Medium</v>
      </c>
      <c r="J124" s="10" t="str">
        <f>IF(TRIM(Github!D$443)="TRUE","FALSE","TRUE")</f>
        <v>TRUE</v>
      </c>
      <c r="K124" s="10" t="b">
        <f>Github!M$443</f>
        <v>1</v>
      </c>
      <c r="L124" s="10" t="b">
        <f>Github!N$443</f>
        <v>0</v>
      </c>
      <c r="M124" s="10" t="str">
        <f>ROUND(Github!O$443, 2)&amp;"%"</f>
        <v>72.37%</v>
      </c>
      <c r="N124" s="10">
        <f>Github!P$443</f>
        <v>394231</v>
      </c>
      <c r="O124" s="10">
        <f>Github!Q$443</f>
        <v>544753</v>
      </c>
    </row>
    <row r="125">
      <c r="A125" s="10">
        <f>Github!J$403</f>
        <v>402</v>
      </c>
      <c r="B125" s="11" t="str">
        <f>HYPERLINK(CONCAT("http://leetcode.com/problems/",Github!C$403), Github!B$403)</f>
        <v>Remove K Digits</v>
      </c>
      <c r="C125" s="10">
        <f>Github!F$403</f>
        <v>6000</v>
      </c>
      <c r="D125" s="10">
        <f>Github!G$403</f>
        <v>250</v>
      </c>
      <c r="E125" s="10">
        <f>Github!F$403+Github!G$403</f>
        <v>6250</v>
      </c>
      <c r="F125" s="12">
        <f t="shared" si="1"/>
        <v>24</v>
      </c>
      <c r="G125" s="10" t="str">
        <f>Github!H$403</f>
        <v>Algorithms</v>
      </c>
      <c r="H125" s="13" t="str">
        <f>SUBSTITUTE(Github!L$403, ";", ", ")</f>
        <v>String, Stack, Greedy, Monotonic Stack, </v>
      </c>
      <c r="I125" s="10" t="str">
        <f>Github!E$403</f>
        <v>Medium</v>
      </c>
      <c r="J125" s="10" t="str">
        <f>IF(TRIM(Github!D$403)="TRUE","FALSE","TRUE")</f>
        <v>TRUE</v>
      </c>
      <c r="K125" s="10" t="b">
        <f>Github!M$403</f>
        <v>1</v>
      </c>
      <c r="L125" s="10" t="b">
        <f>Github!N$403</f>
        <v>0</v>
      </c>
      <c r="M125" s="10" t="str">
        <f>ROUND(Github!O$403, 2)&amp;"%"</f>
        <v>30.49%</v>
      </c>
      <c r="N125" s="10">
        <f>Github!P$403</f>
        <v>260544</v>
      </c>
      <c r="O125" s="10">
        <f>Github!Q$403</f>
        <v>854429</v>
      </c>
    </row>
    <row r="126">
      <c r="A126" s="10">
        <f>Github!J$93</f>
        <v>92</v>
      </c>
      <c r="B126" s="11" t="str">
        <f>HYPERLINK(CONCAT("http://leetcode.com/problems/",Github!C$93), Github!B$93)</f>
        <v>Reverse Linked List II</v>
      </c>
      <c r="C126" s="10">
        <f>Github!F$93</f>
        <v>6013</v>
      </c>
      <c r="D126" s="10">
        <f>Github!G$93</f>
        <v>284</v>
      </c>
      <c r="E126" s="10">
        <f>Github!F$93+Github!G$93</f>
        <v>6297</v>
      </c>
      <c r="F126" s="12">
        <f t="shared" si="1"/>
        <v>21.17</v>
      </c>
      <c r="G126" s="10" t="str">
        <f>Github!H$93</f>
        <v>Algorithms</v>
      </c>
      <c r="H126" s="13" t="str">
        <f>SUBSTITUTE(Github!L$93, ";", ", ")</f>
        <v>Linked List, </v>
      </c>
      <c r="I126" s="10" t="str">
        <f>Github!E$93</f>
        <v>Medium</v>
      </c>
      <c r="J126" s="10" t="str">
        <f>IF(TRIM(Github!D$93)="TRUE","FALSE","TRUE")</f>
        <v>TRUE</v>
      </c>
      <c r="K126" s="10" t="b">
        <f>Github!M$93</f>
        <v>1</v>
      </c>
      <c r="L126" s="10" t="b">
        <f>Github!N$93</f>
        <v>0</v>
      </c>
      <c r="M126" s="10" t="str">
        <f>ROUND(Github!O$93, 2)&amp;"%"</f>
        <v>43.38%</v>
      </c>
      <c r="N126" s="10">
        <f>Github!P$93</f>
        <v>475095</v>
      </c>
      <c r="O126" s="10">
        <f>Github!Q$93</f>
        <v>1095286</v>
      </c>
    </row>
    <row r="127">
      <c r="A127" s="10">
        <f>Github!J$174</f>
        <v>173</v>
      </c>
      <c r="B127" s="11" t="str">
        <f>HYPERLINK(CONCAT("http://leetcode.com/problems/",Github!C$174), Github!B$174)</f>
        <v>Binary Search Tree Iterator</v>
      </c>
      <c r="C127" s="10">
        <f>Github!F$174</f>
        <v>5930</v>
      </c>
      <c r="D127" s="10">
        <f>Github!G$174</f>
        <v>393</v>
      </c>
      <c r="E127" s="10">
        <f>Github!F$174+Github!G$174</f>
        <v>6323</v>
      </c>
      <c r="F127" s="12">
        <f t="shared" si="1"/>
        <v>15.09</v>
      </c>
      <c r="G127" s="10" t="str">
        <f>Github!H$174</f>
        <v>Algorithms</v>
      </c>
      <c r="H127" s="13" t="str">
        <f>SUBSTITUTE(Github!L$174, ";", ", ")</f>
        <v>Stack, Tree, Design, Binary Search Tree, Binary Tree, Iterator, </v>
      </c>
      <c r="I127" s="10" t="str">
        <f>Github!E$174</f>
        <v>Medium</v>
      </c>
      <c r="J127" s="10" t="str">
        <f>IF(TRIM(Github!D$174)="TRUE","FALSE","TRUE")</f>
        <v>TRUE</v>
      </c>
      <c r="K127" s="10" t="b">
        <f>Github!M$174</f>
        <v>1</v>
      </c>
      <c r="L127" s="10" t="b">
        <f>Github!N$174</f>
        <v>0</v>
      </c>
      <c r="M127" s="10" t="str">
        <f>ROUND(Github!O$174, 2)&amp;"%"</f>
        <v>67.26%</v>
      </c>
      <c r="N127" s="10">
        <f>Github!P$174</f>
        <v>570955</v>
      </c>
      <c r="O127" s="10">
        <f>Github!Q$174</f>
        <v>848900</v>
      </c>
    </row>
    <row r="128">
      <c r="A128" s="10">
        <f>Github!J$163</f>
        <v>162</v>
      </c>
      <c r="B128" s="11" t="str">
        <f>HYPERLINK(CONCAT("http://leetcode.com/problems/",Github!C$163), Github!B$163)</f>
        <v>Find Peak Element</v>
      </c>
      <c r="C128" s="10">
        <f>Github!F$163</f>
        <v>5903</v>
      </c>
      <c r="D128" s="10">
        <f>Github!G$163</f>
        <v>3691</v>
      </c>
      <c r="E128" s="10">
        <f>Github!F$163+Github!G$163</f>
        <v>9594</v>
      </c>
      <c r="F128" s="12">
        <f t="shared" si="1"/>
        <v>1.6</v>
      </c>
      <c r="G128" s="10" t="str">
        <f>Github!H$163</f>
        <v>Algorithms</v>
      </c>
      <c r="H128" s="13" t="str">
        <f>SUBSTITUTE(Github!L$163, ";", ", ")</f>
        <v>Array, Binary Search, </v>
      </c>
      <c r="I128" s="10" t="str">
        <f>Github!E$163</f>
        <v>Medium</v>
      </c>
      <c r="J128" s="10" t="str">
        <f>IF(TRIM(Github!D$163)="TRUE","FALSE","TRUE")</f>
        <v>TRUE</v>
      </c>
      <c r="K128" s="10" t="b">
        <f>Github!M$163</f>
        <v>1</v>
      </c>
      <c r="L128" s="10" t="b">
        <f>Github!N$163</f>
        <v>0</v>
      </c>
      <c r="M128" s="10" t="str">
        <f>ROUND(Github!O$163, 2)&amp;"%"</f>
        <v>45.94%</v>
      </c>
      <c r="N128" s="10">
        <f>Github!P$163</f>
        <v>773824</v>
      </c>
      <c r="O128" s="10">
        <f>Github!Q$163</f>
        <v>1684259</v>
      </c>
    </row>
    <row r="129">
      <c r="A129" s="10">
        <f>Github!J$213</f>
        <v>212</v>
      </c>
      <c r="B129" s="11" t="str">
        <f>HYPERLINK(CONCAT("http://leetcode.com/problems/",Github!C$213), Github!B$213)</f>
        <v>Word Search II</v>
      </c>
      <c r="C129" s="10">
        <f>Github!F$213</f>
        <v>5870</v>
      </c>
      <c r="D129" s="10">
        <f>Github!G$213</f>
        <v>218</v>
      </c>
      <c r="E129" s="10">
        <f>Github!F$213+Github!G$213</f>
        <v>6088</v>
      </c>
      <c r="F129" s="12">
        <f t="shared" si="1"/>
        <v>26.93</v>
      </c>
      <c r="G129" s="10" t="str">
        <f>Github!H$213</f>
        <v>Algorithms</v>
      </c>
      <c r="H129" s="13" t="str">
        <f>SUBSTITUTE(Github!L$213, ";", ", ")</f>
        <v>Array, String, Backtracking, Trie, Matrix, </v>
      </c>
      <c r="I129" s="10" t="str">
        <f>Github!E$213</f>
        <v>Hard</v>
      </c>
      <c r="J129" s="10" t="str">
        <f>IF(TRIM(Github!D$213)="TRUE","FALSE","TRUE")</f>
        <v>TRUE</v>
      </c>
      <c r="K129" s="10" t="b">
        <f>Github!M$213</f>
        <v>1</v>
      </c>
      <c r="L129" s="10" t="b">
        <f>Github!N$213</f>
        <v>0</v>
      </c>
      <c r="M129" s="10" t="str">
        <f>ROUND(Github!O$213, 2)&amp;"%"</f>
        <v>37.99%</v>
      </c>
      <c r="N129" s="10">
        <f>Github!P$213</f>
        <v>430269</v>
      </c>
      <c r="O129" s="10">
        <f>Github!Q$213</f>
        <v>1132516</v>
      </c>
    </row>
    <row r="130">
      <c r="A130" s="10">
        <f>Github!J$313</f>
        <v>312</v>
      </c>
      <c r="B130" s="11" t="str">
        <f>HYPERLINK(CONCAT("http://leetcode.com/problems/",Github!C$313), Github!B$313)</f>
        <v>Burst Balloons</v>
      </c>
      <c r="C130" s="10">
        <f>Github!F$313</f>
        <v>5846</v>
      </c>
      <c r="D130" s="10">
        <f>Github!G$313</f>
        <v>156</v>
      </c>
      <c r="E130" s="10">
        <f>Github!F$313+Github!G$313</f>
        <v>6002</v>
      </c>
      <c r="F130" s="12">
        <f t="shared" si="1"/>
        <v>37.47</v>
      </c>
      <c r="G130" s="10" t="str">
        <f>Github!H$313</f>
        <v>Algorithms</v>
      </c>
      <c r="H130" s="13" t="str">
        <f>SUBSTITUTE(Github!L$313, ";", ", ")</f>
        <v>Array, Dynamic Programming, </v>
      </c>
      <c r="I130" s="10" t="str">
        <f>Github!E$313</f>
        <v>Hard</v>
      </c>
      <c r="J130" s="10" t="str">
        <f>IF(TRIM(Github!D$313)="TRUE","FALSE","TRUE")</f>
        <v>TRUE</v>
      </c>
      <c r="K130" s="10" t="b">
        <f>Github!M$313</f>
        <v>1</v>
      </c>
      <c r="L130" s="10" t="b">
        <f>Github!N$313</f>
        <v>0</v>
      </c>
      <c r="M130" s="10" t="str">
        <f>ROUND(Github!O$313, 2)&amp;"%"</f>
        <v>56.29%</v>
      </c>
      <c r="N130" s="10">
        <f>Github!P$313</f>
        <v>184155</v>
      </c>
      <c r="O130" s="10">
        <f>Github!Q$313</f>
        <v>327169</v>
      </c>
    </row>
    <row r="131">
      <c r="A131" s="10">
        <f>Github!J$696</f>
        <v>695</v>
      </c>
      <c r="B131" s="11" t="str">
        <f>HYPERLINK(CONCAT("http://leetcode.com/problems/",Github!C$696), Github!B$696)</f>
        <v>Max Area of Island</v>
      </c>
      <c r="C131" s="10">
        <f>Github!F$696</f>
        <v>5847</v>
      </c>
      <c r="D131" s="10">
        <f>Github!G$696</f>
        <v>146</v>
      </c>
      <c r="E131" s="10">
        <f>Github!F$696+Github!G$696</f>
        <v>5993</v>
      </c>
      <c r="F131" s="12">
        <f t="shared" si="1"/>
        <v>40.05</v>
      </c>
      <c r="G131" s="10" t="str">
        <f>Github!H$696</f>
        <v>Algorithms</v>
      </c>
      <c r="H131" s="13" t="str">
        <f>SUBSTITUTE(Github!L$696, ";", ", ")</f>
        <v>Array, Depth-First Search, Breadth-First Search, Union Find, Matrix, </v>
      </c>
      <c r="I131" s="10" t="str">
        <f>Github!E$696</f>
        <v>Medium</v>
      </c>
      <c r="J131" s="10" t="str">
        <f>IF(TRIM(Github!D$696)="TRUE","FALSE","TRUE")</f>
        <v>TRUE</v>
      </c>
      <c r="K131" s="10" t="b">
        <f>Github!M$696</f>
        <v>1</v>
      </c>
      <c r="L131" s="10" t="b">
        <f>Github!N$696</f>
        <v>0</v>
      </c>
      <c r="M131" s="10" t="str">
        <f>ROUND(Github!O$696, 2)&amp;"%"</f>
        <v>69.66%</v>
      </c>
      <c r="N131" s="10">
        <f>Github!P$696</f>
        <v>458083</v>
      </c>
      <c r="O131" s="10">
        <f>Github!Q$696</f>
        <v>657613</v>
      </c>
    </row>
    <row r="132">
      <c r="A132" s="10">
        <f>Github!J$411</f>
        <v>410</v>
      </c>
      <c r="B132" s="11" t="str">
        <f>HYPERLINK(CONCAT("http://leetcode.com/problems/",Github!C$411), Github!B$411)</f>
        <v>Split Array Largest Sum</v>
      </c>
      <c r="C132" s="10">
        <f>Github!F$411</f>
        <v>5792</v>
      </c>
      <c r="D132" s="10">
        <f>Github!G$411</f>
        <v>150</v>
      </c>
      <c r="E132" s="10">
        <f>Github!F$411+Github!G$411</f>
        <v>5942</v>
      </c>
      <c r="F132" s="12">
        <f t="shared" si="1"/>
        <v>38.61</v>
      </c>
      <c r="G132" s="10" t="str">
        <f>Github!H$411</f>
        <v>Algorithms</v>
      </c>
      <c r="H132" s="13" t="str">
        <f>SUBSTITUTE(Github!L$411, ";", ", ")</f>
        <v>Array, Binary Search, Dynamic Programming, Greedy, </v>
      </c>
      <c r="I132" s="10" t="str">
        <f>Github!E$411</f>
        <v>Hard</v>
      </c>
      <c r="J132" s="10" t="str">
        <f>IF(TRIM(Github!D$411)="TRUE","FALSE","TRUE")</f>
        <v>TRUE</v>
      </c>
      <c r="K132" s="10" t="b">
        <f>Github!M$411</f>
        <v>1</v>
      </c>
      <c r="L132" s="10" t="b">
        <f>Github!N$411</f>
        <v>0</v>
      </c>
      <c r="M132" s="10" t="str">
        <f>ROUND(Github!O$411, 2)&amp;"%"</f>
        <v>52.02%</v>
      </c>
      <c r="N132" s="10">
        <f>Github!P$411</f>
        <v>206356</v>
      </c>
      <c r="O132" s="10">
        <f>Github!Q$411</f>
        <v>396704</v>
      </c>
    </row>
    <row r="133">
      <c r="A133" s="10">
        <f>Github!J$747</f>
        <v>746</v>
      </c>
      <c r="B133" s="11" t="str">
        <f>HYPERLINK(CONCAT("http://leetcode.com/problems/",Github!C$747), Github!B$747)</f>
        <v>Min Cost Climbing Stairs</v>
      </c>
      <c r="C133" s="10">
        <f>Github!F$747</f>
        <v>5778</v>
      </c>
      <c r="D133" s="10">
        <f>Github!G$747</f>
        <v>1003</v>
      </c>
      <c r="E133" s="10">
        <f>Github!F$747+Github!G$747</f>
        <v>6781</v>
      </c>
      <c r="F133" s="12">
        <f t="shared" si="1"/>
        <v>5.76</v>
      </c>
      <c r="G133" s="10" t="str">
        <f>Github!H$747</f>
        <v>Algorithms</v>
      </c>
      <c r="H133" s="13" t="str">
        <f>SUBSTITUTE(Github!L$747, ";", ", ")</f>
        <v>Array, Dynamic Programming, </v>
      </c>
      <c r="I133" s="10" t="str">
        <f>Github!E$747</f>
        <v>Easy</v>
      </c>
      <c r="J133" s="10" t="str">
        <f>IF(TRIM(Github!D$747)="TRUE","FALSE","TRUE")</f>
        <v>TRUE</v>
      </c>
      <c r="K133" s="10" t="b">
        <f>Github!M$747</f>
        <v>1</v>
      </c>
      <c r="L133" s="10" t="b">
        <f>Github!N$747</f>
        <v>0</v>
      </c>
      <c r="M133" s="10" t="str">
        <f>ROUND(Github!O$747, 2)&amp;"%"</f>
        <v>58.72%</v>
      </c>
      <c r="N133" s="10">
        <f>Github!P$747</f>
        <v>458064</v>
      </c>
      <c r="O133" s="10">
        <f>Github!Q$747</f>
        <v>780110</v>
      </c>
    </row>
    <row r="134">
      <c r="A134" s="10">
        <f>Github!J$379</f>
        <v>378</v>
      </c>
      <c r="B134" s="11" t="str">
        <f>HYPERLINK(CONCAT("http://leetcode.com/problems/",Github!C$379), Github!B$379)</f>
        <v>Kth Smallest Element in a Sorted Matrix</v>
      </c>
      <c r="C134" s="10">
        <f>Github!F$379</f>
        <v>5758</v>
      </c>
      <c r="D134" s="10">
        <f>Github!G$379</f>
        <v>237</v>
      </c>
      <c r="E134" s="10">
        <f>Github!F$379+Github!G$379</f>
        <v>5995</v>
      </c>
      <c r="F134" s="12">
        <f t="shared" si="1"/>
        <v>24.3</v>
      </c>
      <c r="G134" s="10" t="str">
        <f>Github!H$379</f>
        <v>Algorithms</v>
      </c>
      <c r="H134" s="13" t="str">
        <f>SUBSTITUTE(Github!L$379, ";", ", ")</f>
        <v>Array, Binary Search, Sorting, Heap (Priority Queue), Matrix, </v>
      </c>
      <c r="I134" s="10" t="str">
        <f>Github!E$379</f>
        <v>Medium</v>
      </c>
      <c r="J134" s="10" t="str">
        <f>IF(TRIM(Github!D$379)="TRUE","FALSE","TRUE")</f>
        <v>TRUE</v>
      </c>
      <c r="K134" s="10" t="b">
        <f>Github!M$379</f>
        <v>1</v>
      </c>
      <c r="L134" s="10" t="b">
        <f>Github!N$379</f>
        <v>0</v>
      </c>
      <c r="M134" s="10" t="str">
        <f>ROUND(Github!O$379, 2)&amp;"%"</f>
        <v>59.65%</v>
      </c>
      <c r="N134" s="10">
        <f>Github!P$379</f>
        <v>380272</v>
      </c>
      <c r="O134" s="10">
        <f>Github!Q$379</f>
        <v>637551</v>
      </c>
    </row>
    <row r="135">
      <c r="A135" s="10">
        <f>Github!J$135</f>
        <v>134</v>
      </c>
      <c r="B135" s="11" t="str">
        <f>HYPERLINK(CONCAT("http://leetcode.com/problems/",Github!C$135), Github!B$135)</f>
        <v>Gas Station</v>
      </c>
      <c r="C135" s="10">
        <f>Github!F$135</f>
        <v>5759</v>
      </c>
      <c r="D135" s="10">
        <f>Github!G$135</f>
        <v>600</v>
      </c>
      <c r="E135" s="10">
        <f>Github!F$135+Github!G$135</f>
        <v>6359</v>
      </c>
      <c r="F135" s="12">
        <f t="shared" si="1"/>
        <v>9.6</v>
      </c>
      <c r="G135" s="10" t="str">
        <f>Github!H$135</f>
        <v>Algorithms</v>
      </c>
      <c r="H135" s="13" t="str">
        <f>SUBSTITUTE(Github!L$135, ";", ", ")</f>
        <v>Array, Greedy, </v>
      </c>
      <c r="I135" s="10" t="str">
        <f>Github!E$135</f>
        <v>Medium</v>
      </c>
      <c r="J135" s="10" t="str">
        <f>IF(TRIM(Github!D$135)="TRUE","FALSE","TRUE")</f>
        <v>TRUE</v>
      </c>
      <c r="K135" s="10" t="b">
        <f>Github!M$135</f>
        <v>1</v>
      </c>
      <c r="L135" s="10" t="b">
        <f>Github!N$135</f>
        <v>0</v>
      </c>
      <c r="M135" s="10" t="str">
        <f>ROUND(Github!O$135, 2)&amp;"%"</f>
        <v>44.44%</v>
      </c>
      <c r="N135" s="10">
        <f>Github!P$135</f>
        <v>402795</v>
      </c>
      <c r="O135" s="10">
        <f>Github!Q$135</f>
        <v>906439</v>
      </c>
    </row>
    <row r="136">
      <c r="A136" s="10">
        <f>Github!J$144</f>
        <v>143</v>
      </c>
      <c r="B136" s="11" t="str">
        <f>HYPERLINK(CONCAT("http://leetcode.com/problems/",Github!C$144), Github!B$144)</f>
        <v>Reorder List</v>
      </c>
      <c r="C136" s="10">
        <f>Github!F$144</f>
        <v>5761</v>
      </c>
      <c r="D136" s="10">
        <f>Github!G$144</f>
        <v>210</v>
      </c>
      <c r="E136" s="10">
        <f>Github!F$144+Github!G$144</f>
        <v>5971</v>
      </c>
      <c r="F136" s="12">
        <f t="shared" si="1"/>
        <v>27.43</v>
      </c>
      <c r="G136" s="10" t="str">
        <f>Github!H$144</f>
        <v>Algorithms</v>
      </c>
      <c r="H136" s="13" t="str">
        <f>SUBSTITUTE(Github!L$144, ";", ", ")</f>
        <v>Linked List, Two Pointers, Stack, Recursion, </v>
      </c>
      <c r="I136" s="10" t="str">
        <f>Github!E$144</f>
        <v>Medium</v>
      </c>
      <c r="J136" s="10" t="str">
        <f>IF(TRIM(Github!D$144)="TRUE","FALSE","TRUE")</f>
        <v>TRUE</v>
      </c>
      <c r="K136" s="10" t="b">
        <f>Github!M$144</f>
        <v>1</v>
      </c>
      <c r="L136" s="10" t="b">
        <f>Github!N$144</f>
        <v>0</v>
      </c>
      <c r="M136" s="10" t="str">
        <f>ROUND(Github!O$144, 2)&amp;"%"</f>
        <v>47.84%</v>
      </c>
      <c r="N136" s="10">
        <f>Github!P$144</f>
        <v>474421</v>
      </c>
      <c r="O136" s="10">
        <f>Github!Q$144</f>
        <v>991740</v>
      </c>
    </row>
    <row r="137">
      <c r="A137" s="10">
        <f>Github!J$104</f>
        <v>103</v>
      </c>
      <c r="B137" s="11" t="str">
        <f>HYPERLINK(CONCAT("http://leetcode.com/problems/",Github!C$104), Github!B$104)</f>
        <v>Binary Tree Zigzag Level Order Traversal</v>
      </c>
      <c r="C137" s="10">
        <f>Github!F$104</f>
        <v>5755</v>
      </c>
      <c r="D137" s="10">
        <f>Github!G$104</f>
        <v>169</v>
      </c>
      <c r="E137" s="10">
        <f>Github!F$104+Github!G$104</f>
        <v>5924</v>
      </c>
      <c r="F137" s="12">
        <f t="shared" si="1"/>
        <v>34.05</v>
      </c>
      <c r="G137" s="10" t="str">
        <f>Github!H$104</f>
        <v>Algorithms</v>
      </c>
      <c r="H137" s="13" t="str">
        <f>SUBSTITUTE(Github!L$104, ";", ", ")</f>
        <v>Tree, Breadth-First Search, Binary Tree, </v>
      </c>
      <c r="I137" s="10" t="str">
        <f>Github!E$104</f>
        <v>Medium</v>
      </c>
      <c r="J137" s="10" t="str">
        <f>IF(TRIM(Github!D$104)="TRUE","FALSE","TRUE")</f>
        <v>TRUE</v>
      </c>
      <c r="K137" s="10" t="b">
        <f>Github!M$104</f>
        <v>1</v>
      </c>
      <c r="L137" s="10" t="b">
        <f>Github!N$104</f>
        <v>0</v>
      </c>
      <c r="M137" s="10" t="str">
        <f>ROUND(Github!O$104, 2)&amp;"%"</f>
        <v>53.58%</v>
      </c>
      <c r="N137" s="10">
        <f>Github!P$104</f>
        <v>701748</v>
      </c>
      <c r="O137" s="10">
        <f>Github!Q$104</f>
        <v>1309828</v>
      </c>
    </row>
    <row r="138">
      <c r="A138" s="10">
        <f>Github!J$568</f>
        <v>567</v>
      </c>
      <c r="B138" s="11" t="str">
        <f>HYPERLINK(CONCAT("http://leetcode.com/problems/",Github!C$568), Github!B$568)</f>
        <v>Permutation in String</v>
      </c>
      <c r="C138" s="10">
        <f>Github!F$568</f>
        <v>5752</v>
      </c>
      <c r="D138" s="10">
        <f>Github!G$568</f>
        <v>171</v>
      </c>
      <c r="E138" s="10">
        <f>Github!F$568+Github!G$568</f>
        <v>5923</v>
      </c>
      <c r="F138" s="12">
        <f t="shared" si="1"/>
        <v>33.64</v>
      </c>
      <c r="G138" s="10" t="str">
        <f>Github!H$568</f>
        <v>Algorithms</v>
      </c>
      <c r="H138" s="13" t="str">
        <f>SUBSTITUTE(Github!L$568, ";", ", ")</f>
        <v>Hash Table, Two Pointers, String, Sliding Window, </v>
      </c>
      <c r="I138" s="10" t="str">
        <f>Github!E$568</f>
        <v>Medium</v>
      </c>
      <c r="J138" s="10" t="str">
        <f>IF(TRIM(Github!D$568)="TRUE","FALSE","TRUE")</f>
        <v>TRUE</v>
      </c>
      <c r="K138" s="10" t="b">
        <f>Github!M$568</f>
        <v>1</v>
      </c>
      <c r="L138" s="10" t="b">
        <f>Github!N$568</f>
        <v>0</v>
      </c>
      <c r="M138" s="10" t="str">
        <f>ROUND(Github!O$568, 2)&amp;"%"</f>
        <v>44.77%</v>
      </c>
      <c r="N138" s="10">
        <f>Github!P$568</f>
        <v>376549</v>
      </c>
      <c r="O138" s="10">
        <f>Github!Q$568</f>
        <v>840996</v>
      </c>
    </row>
    <row r="139">
      <c r="A139" s="10">
        <f>Github!J$17</f>
        <v>16</v>
      </c>
      <c r="B139" s="11" t="str">
        <f>HYPERLINK(CONCAT("http://leetcode.com/problems/",Github!C$17), Github!B$17)</f>
        <v>3Sum Closest</v>
      </c>
      <c r="C139" s="10">
        <f>Github!F$17</f>
        <v>5732</v>
      </c>
      <c r="D139" s="10">
        <f>Github!G$17</f>
        <v>245</v>
      </c>
      <c r="E139" s="10">
        <f>Github!F$17+Github!G$17</f>
        <v>5977</v>
      </c>
      <c r="F139" s="12">
        <f t="shared" si="1"/>
        <v>23.4</v>
      </c>
      <c r="G139" s="10" t="str">
        <f>Github!H$17</f>
        <v>Algorithms</v>
      </c>
      <c r="H139" s="13" t="str">
        <f>SUBSTITUTE(Github!L$17, ";", ", ")</f>
        <v>Array, Two Pointers, Sorting, </v>
      </c>
      <c r="I139" s="10" t="str">
        <f>Github!E$17</f>
        <v>Medium</v>
      </c>
      <c r="J139" s="10" t="str">
        <f>IF(TRIM(Github!D$17)="TRUE","FALSE","TRUE")</f>
        <v>TRUE</v>
      </c>
      <c r="K139" s="10" t="b">
        <f>Github!M$17</f>
        <v>1</v>
      </c>
      <c r="L139" s="10" t="b">
        <f>Github!N$17</f>
        <v>0</v>
      </c>
      <c r="M139" s="10" t="str">
        <f>ROUND(Github!O$17, 2)&amp;"%"</f>
        <v>47.06%</v>
      </c>
      <c r="N139" s="10">
        <f>Github!P$17</f>
        <v>790742</v>
      </c>
      <c r="O139" s="10">
        <f>Github!Q$17</f>
        <v>1680241</v>
      </c>
    </row>
    <row r="140">
      <c r="A140" s="10">
        <f>Github!J$124</f>
        <v>123</v>
      </c>
      <c r="B140" s="11" t="str">
        <f>HYPERLINK(CONCAT("http://leetcode.com/problems/",Github!C$124), Github!B$124)</f>
        <v>Best Time to Buy and Sell Stock III</v>
      </c>
      <c r="C140" s="10">
        <f>Github!F$124</f>
        <v>5712</v>
      </c>
      <c r="D140" s="10">
        <f>Github!G$124</f>
        <v>117</v>
      </c>
      <c r="E140" s="10">
        <f>Github!F$124+Github!G$124</f>
        <v>5829</v>
      </c>
      <c r="F140" s="12">
        <f t="shared" si="1"/>
        <v>48.82</v>
      </c>
      <c r="G140" s="10" t="str">
        <f>Github!H$124</f>
        <v>Algorithms</v>
      </c>
      <c r="H140" s="13" t="str">
        <f>SUBSTITUTE(Github!L$124, ";", ", ")</f>
        <v>Array, Dynamic Programming, </v>
      </c>
      <c r="I140" s="10" t="str">
        <f>Github!E$124</f>
        <v>Hard</v>
      </c>
      <c r="J140" s="10" t="str">
        <f>IF(TRIM(Github!D$124)="TRUE","FALSE","TRUE")</f>
        <v>TRUE</v>
      </c>
      <c r="K140" s="10" t="b">
        <f>Github!M$124</f>
        <v>1</v>
      </c>
      <c r="L140" s="10" t="b">
        <f>Github!N$124</f>
        <v>0</v>
      </c>
      <c r="M140" s="10" t="str">
        <f>ROUND(Github!O$124, 2)&amp;"%"</f>
        <v>43.17%</v>
      </c>
      <c r="N140" s="10">
        <f>Github!P$124</f>
        <v>378026</v>
      </c>
      <c r="O140" s="10">
        <f>Github!Q$124</f>
        <v>875691</v>
      </c>
    </row>
    <row r="141">
      <c r="A141" s="10">
        <f>Github!J$52</f>
        <v>51</v>
      </c>
      <c r="B141" s="11" t="str">
        <f>HYPERLINK(CONCAT("http://leetcode.com/problems/",Github!C$52), Github!B$52)</f>
        <v>N-Queens</v>
      </c>
      <c r="C141" s="10">
        <f>Github!F$52</f>
        <v>5691</v>
      </c>
      <c r="D141" s="10">
        <f>Github!G$52</f>
        <v>152</v>
      </c>
      <c r="E141" s="10">
        <f>Github!F$52+Github!G$52</f>
        <v>5843</v>
      </c>
      <c r="F141" s="12">
        <f t="shared" si="1"/>
        <v>37.44</v>
      </c>
      <c r="G141" s="10" t="str">
        <f>Github!H$52</f>
        <v>Algorithms</v>
      </c>
      <c r="H141" s="13" t="str">
        <f>SUBSTITUTE(Github!L$52, ";", ", ")</f>
        <v>Array, Backtracking, </v>
      </c>
      <c r="I141" s="10" t="str">
        <f>Github!E$52</f>
        <v>Hard</v>
      </c>
      <c r="J141" s="10" t="str">
        <f>IF(TRIM(Github!D$52)="TRUE","FALSE","TRUE")</f>
        <v>TRUE</v>
      </c>
      <c r="K141" s="10" t="b">
        <f>Github!M$52</f>
        <v>1</v>
      </c>
      <c r="L141" s="10" t="b">
        <f>Github!N$52</f>
        <v>0</v>
      </c>
      <c r="M141" s="10" t="str">
        <f>ROUND(Github!O$52, 2)&amp;"%"</f>
        <v>57.35%</v>
      </c>
      <c r="N141" s="10">
        <f>Github!P$52</f>
        <v>360931</v>
      </c>
      <c r="O141" s="10">
        <f>Github!Q$52</f>
        <v>629323</v>
      </c>
    </row>
    <row r="142">
      <c r="A142" s="10">
        <f>Github!J$83</f>
        <v>82</v>
      </c>
      <c r="B142" s="11" t="str">
        <f>HYPERLINK(CONCAT("http://leetcode.com/problems/",Github!C$83), Github!B$83)</f>
        <v>Remove Duplicates from Sorted List II</v>
      </c>
      <c r="C142" s="10">
        <f>Github!F$83</f>
        <v>5653</v>
      </c>
      <c r="D142" s="10">
        <f>Github!G$83</f>
        <v>165</v>
      </c>
      <c r="E142" s="10">
        <f>Github!F$83+Github!G$83</f>
        <v>5818</v>
      </c>
      <c r="F142" s="12">
        <f t="shared" si="1"/>
        <v>34.26</v>
      </c>
      <c r="G142" s="10" t="str">
        <f>Github!H$83</f>
        <v>Algorithms</v>
      </c>
      <c r="H142" s="13" t="str">
        <f>SUBSTITUTE(Github!L$83, ";", ", ")</f>
        <v>Linked List, Two Pointers, </v>
      </c>
      <c r="I142" s="10" t="str">
        <f>Github!E$83</f>
        <v>Medium</v>
      </c>
      <c r="J142" s="10" t="str">
        <f>IF(TRIM(Github!D$83)="TRUE","FALSE","TRUE")</f>
        <v>TRUE</v>
      </c>
      <c r="K142" s="10" t="b">
        <f>Github!M$83</f>
        <v>1</v>
      </c>
      <c r="L142" s="10" t="b">
        <f>Github!N$83</f>
        <v>0</v>
      </c>
      <c r="M142" s="10" t="str">
        <f>ROUND(Github!O$83, 2)&amp;"%"</f>
        <v>44.28%</v>
      </c>
      <c r="N142" s="10">
        <f>Github!P$83</f>
        <v>483954</v>
      </c>
      <c r="O142" s="10">
        <f>Github!Q$83</f>
        <v>1092857</v>
      </c>
    </row>
    <row r="143">
      <c r="A143" s="10">
        <f>Github!J$10</f>
        <v>9</v>
      </c>
      <c r="B143" s="11" t="str">
        <f>HYPERLINK(CONCAT("http://leetcode.com/problems/",Github!C$10), Github!B$10)</f>
        <v>Palindrome Number</v>
      </c>
      <c r="C143" s="10">
        <f>Github!F$10</f>
        <v>5675</v>
      </c>
      <c r="D143" s="10">
        <f>Github!G$10</f>
        <v>2111</v>
      </c>
      <c r="E143" s="10">
        <f>Github!F$10+Github!G$10</f>
        <v>7786</v>
      </c>
      <c r="F143" s="12">
        <f t="shared" si="1"/>
        <v>2.69</v>
      </c>
      <c r="G143" s="10" t="str">
        <f>Github!H$10</f>
        <v>Algorithms</v>
      </c>
      <c r="H143" s="13" t="str">
        <f>SUBSTITUTE(Github!L$10, ";", ", ")</f>
        <v>Math, </v>
      </c>
      <c r="I143" s="10" t="str">
        <f>Github!E$10</f>
        <v>Easy</v>
      </c>
      <c r="J143" s="10" t="str">
        <f>IF(TRIM(Github!D$10)="TRUE","FALSE","TRUE")</f>
        <v>TRUE</v>
      </c>
      <c r="K143" s="10" t="b">
        <f>Github!M$10</f>
        <v>1</v>
      </c>
      <c r="L143" s="10" t="b">
        <f>Github!N$10</f>
        <v>0</v>
      </c>
      <c r="M143" s="10" t="str">
        <f>ROUND(Github!O$10, 2)&amp;"%"</f>
        <v>52.37%</v>
      </c>
      <c r="N143" s="10">
        <f>Github!P$10</f>
        <v>2030651</v>
      </c>
      <c r="O143" s="10">
        <f>Github!Q$10</f>
        <v>3877461</v>
      </c>
    </row>
    <row r="144">
      <c r="A144" s="10">
        <f>Github!J$111</f>
        <v>110</v>
      </c>
      <c r="B144" s="11" t="str">
        <f>HYPERLINK(CONCAT("http://leetcode.com/problems/",Github!C$111), Github!B$111)</f>
        <v>Balanced Binary Tree</v>
      </c>
      <c r="C144" s="10">
        <f>Github!F$111</f>
        <v>5664</v>
      </c>
      <c r="D144" s="10">
        <f>Github!G$111</f>
        <v>312</v>
      </c>
      <c r="E144" s="10">
        <f>Github!F$111+Github!G$111</f>
        <v>5976</v>
      </c>
      <c r="F144" s="12">
        <f t="shared" si="1"/>
        <v>18.15</v>
      </c>
      <c r="G144" s="10" t="str">
        <f>Github!H$111</f>
        <v>Algorithms</v>
      </c>
      <c r="H144" s="13" t="str">
        <f>SUBSTITUTE(Github!L$111, ";", ", ")</f>
        <v>Tree, Depth-First Search, Binary Tree, </v>
      </c>
      <c r="I144" s="10" t="str">
        <f>Github!E$111</f>
        <v>Easy</v>
      </c>
      <c r="J144" s="10" t="str">
        <f>IF(TRIM(Github!D$111)="TRUE","FALSE","TRUE")</f>
        <v>TRUE</v>
      </c>
      <c r="K144" s="10" t="b">
        <f>Github!M$111</f>
        <v>1</v>
      </c>
      <c r="L144" s="10" t="b">
        <f>Github!N$111</f>
        <v>0</v>
      </c>
      <c r="M144" s="10" t="str">
        <f>ROUND(Github!O$111, 2)&amp;"%"</f>
        <v>46.76%</v>
      </c>
      <c r="N144" s="10">
        <f>Github!P$111</f>
        <v>751178</v>
      </c>
      <c r="O144" s="10">
        <f>Github!Q$111</f>
        <v>1606398</v>
      </c>
    </row>
    <row r="145">
      <c r="A145" s="10">
        <f>Github!J$310</f>
        <v>309</v>
      </c>
      <c r="B145" s="11" t="str">
        <f>HYPERLINK(CONCAT("http://leetcode.com/problems/",Github!C$310), Github!B$310)</f>
        <v>Best Time to Buy and Sell Stock with Cooldown</v>
      </c>
      <c r="C145" s="10">
        <f>Github!F$310</f>
        <v>5625</v>
      </c>
      <c r="D145" s="10">
        <f>Github!G$310</f>
        <v>200</v>
      </c>
      <c r="E145" s="10">
        <f>Github!F$310+Github!G$310</f>
        <v>5825</v>
      </c>
      <c r="F145" s="12">
        <f t="shared" si="1"/>
        <v>28.13</v>
      </c>
      <c r="G145" s="10" t="str">
        <f>Github!H$310</f>
        <v>Algorithms</v>
      </c>
      <c r="H145" s="13" t="str">
        <f>SUBSTITUTE(Github!L$310, ";", ", ")</f>
        <v>Array, Dynamic Programming, </v>
      </c>
      <c r="I145" s="10" t="str">
        <f>Github!E$310</f>
        <v>Medium</v>
      </c>
      <c r="J145" s="10" t="str">
        <f>IF(TRIM(Github!D$310)="TRUE","FALSE","TRUE")</f>
        <v>TRUE</v>
      </c>
      <c r="K145" s="10" t="b">
        <f>Github!M$310</f>
        <v>1</v>
      </c>
      <c r="L145" s="10" t="b">
        <f>Github!N$310</f>
        <v>0</v>
      </c>
      <c r="M145" s="10" t="str">
        <f>ROUND(Github!O$310, 2)&amp;"%"</f>
        <v>52.41%</v>
      </c>
      <c r="N145" s="10">
        <f>Github!P$310</f>
        <v>274432</v>
      </c>
      <c r="O145" s="10">
        <f>Github!Q$310</f>
        <v>523675</v>
      </c>
    </row>
    <row r="146">
      <c r="A146" s="10">
        <f>Github!J$134</f>
        <v>133</v>
      </c>
      <c r="B146" s="11" t="str">
        <f>HYPERLINK(CONCAT("http://leetcode.com/problems/",Github!C$134), Github!B$134)</f>
        <v>Clone Graph</v>
      </c>
      <c r="C146" s="10">
        <f>Github!F$134</f>
        <v>5600</v>
      </c>
      <c r="D146" s="10">
        <f>Github!G$134</f>
        <v>2483</v>
      </c>
      <c r="E146" s="10">
        <f>Github!F$134+Github!G$134</f>
        <v>8083</v>
      </c>
      <c r="F146" s="12">
        <f t="shared" si="1"/>
        <v>2.26</v>
      </c>
      <c r="G146" s="10" t="str">
        <f>Github!H$134</f>
        <v>Algorithms</v>
      </c>
      <c r="H146" s="13" t="str">
        <f>SUBSTITUTE(Github!L$134, ";", ", ")</f>
        <v>Hash Table, Depth-First Search, Breadth-First Search, Graph, </v>
      </c>
      <c r="I146" s="10" t="str">
        <f>Github!E$134</f>
        <v>Medium</v>
      </c>
      <c r="J146" s="10" t="str">
        <f>IF(TRIM(Github!D$134)="TRUE","FALSE","TRUE")</f>
        <v>TRUE</v>
      </c>
      <c r="K146" s="10" t="b">
        <f>Github!M$134</f>
        <v>1</v>
      </c>
      <c r="L146" s="10" t="b">
        <f>Github!N$134</f>
        <v>0</v>
      </c>
      <c r="M146" s="10" t="str">
        <f>ROUND(Github!O$134, 2)&amp;"%"</f>
        <v>47.6%</v>
      </c>
      <c r="N146" s="10">
        <f>Github!P$134</f>
        <v>707877</v>
      </c>
      <c r="O146" s="10">
        <f>Github!Q$134</f>
        <v>1487019</v>
      </c>
    </row>
    <row r="147">
      <c r="A147" s="10">
        <f>Github!J$119</f>
        <v>118</v>
      </c>
      <c r="B147" s="11" t="str">
        <f>HYPERLINK(CONCAT("http://leetcode.com/problems/",Github!C$119), Github!B$119)</f>
        <v>Pascal's Triangle</v>
      </c>
      <c r="C147" s="10">
        <f>Github!F$119</f>
        <v>5587</v>
      </c>
      <c r="D147" s="10">
        <f>Github!G$119</f>
        <v>206</v>
      </c>
      <c r="E147" s="10">
        <f>Github!F$119+Github!G$119</f>
        <v>5793</v>
      </c>
      <c r="F147" s="12">
        <f t="shared" si="1"/>
        <v>27.12</v>
      </c>
      <c r="G147" s="10" t="str">
        <f>Github!H$119</f>
        <v>Algorithms</v>
      </c>
      <c r="H147" s="13" t="str">
        <f>SUBSTITUTE(Github!L$119, ";", ", ")</f>
        <v>Array, Dynamic Programming, </v>
      </c>
      <c r="I147" s="10" t="str">
        <f>Github!E$119</f>
        <v>Easy</v>
      </c>
      <c r="J147" s="10" t="str">
        <f>IF(TRIM(Github!D$119)="TRUE","FALSE","TRUE")</f>
        <v>TRUE</v>
      </c>
      <c r="K147" s="10" t="b">
        <f>Github!M$119</f>
        <v>1</v>
      </c>
      <c r="L147" s="10" t="b">
        <f>Github!N$119</f>
        <v>1</v>
      </c>
      <c r="M147" s="10" t="str">
        <f>ROUND(Github!O$119, 2)&amp;"%"</f>
        <v>64.43%</v>
      </c>
      <c r="N147" s="10">
        <f>Github!P$119</f>
        <v>778383</v>
      </c>
      <c r="O147" s="10">
        <f>Github!Q$119</f>
        <v>1208133</v>
      </c>
    </row>
    <row r="148">
      <c r="A148" s="10">
        <f>Github!J$101</f>
        <v>100</v>
      </c>
      <c r="B148" s="11" t="str">
        <f>HYPERLINK(CONCAT("http://leetcode.com/problems/",Github!C$101), Github!B$101)</f>
        <v>Same Tree</v>
      </c>
      <c r="C148" s="10">
        <f>Github!F$101</f>
        <v>5557</v>
      </c>
      <c r="D148" s="10">
        <f>Github!G$101</f>
        <v>133</v>
      </c>
      <c r="E148" s="10">
        <f>Github!F$101+Github!G$101</f>
        <v>5690</v>
      </c>
      <c r="F148" s="12">
        <f t="shared" si="1"/>
        <v>41.78</v>
      </c>
      <c r="G148" s="10" t="str">
        <f>Github!H$101</f>
        <v>Algorithms</v>
      </c>
      <c r="H148" s="13" t="str">
        <f>SUBSTITUTE(Github!L$101, ";", ", ")</f>
        <v>Tree, Depth-First Search, Breadth-First Search, Binary Tree, </v>
      </c>
      <c r="I148" s="10" t="str">
        <f>Github!E$101</f>
        <v>Easy</v>
      </c>
      <c r="J148" s="10" t="str">
        <f>IF(TRIM(Github!D$101)="TRUE","FALSE","TRUE")</f>
        <v>TRUE</v>
      </c>
      <c r="K148" s="10" t="b">
        <f>Github!M$101</f>
        <v>1</v>
      </c>
      <c r="L148" s="10" t="b">
        <f>Github!N$101</f>
        <v>0</v>
      </c>
      <c r="M148" s="10" t="str">
        <f>ROUND(Github!O$101, 2)&amp;"%"</f>
        <v>55.52%</v>
      </c>
      <c r="N148" s="10">
        <f>Github!P$101</f>
        <v>1020843</v>
      </c>
      <c r="O148" s="10">
        <f>Github!Q$101</f>
        <v>1838820</v>
      </c>
    </row>
    <row r="149">
      <c r="A149" s="10">
        <f>Github!J$236</f>
        <v>235</v>
      </c>
      <c r="B149" s="11" t="str">
        <f>HYPERLINK(CONCAT("http://leetcode.com/problems/",Github!C$236), Github!B$236)</f>
        <v>Lowest Common Ancestor of a Binary Search Tree</v>
      </c>
      <c r="C149" s="10">
        <f>Github!F$236</f>
        <v>5546</v>
      </c>
      <c r="D149" s="10">
        <f>Github!G$236</f>
        <v>185</v>
      </c>
      <c r="E149" s="10">
        <f>Github!F$236+Github!G$236</f>
        <v>5731</v>
      </c>
      <c r="F149" s="12">
        <f t="shared" si="1"/>
        <v>29.98</v>
      </c>
      <c r="G149" s="10" t="str">
        <f>Github!H$236</f>
        <v>Algorithms</v>
      </c>
      <c r="H149" s="13" t="str">
        <f>SUBSTITUTE(Github!L$236, ";", ", ")</f>
        <v>Tree, Depth-First Search, Binary Search Tree, Binary Tree, </v>
      </c>
      <c r="I149" s="10" t="str">
        <f>Github!E$236</f>
        <v>Easy</v>
      </c>
      <c r="J149" s="10" t="str">
        <f>IF(TRIM(Github!D$236)="TRUE","FALSE","TRUE")</f>
        <v>TRUE</v>
      </c>
      <c r="K149" s="10" t="b">
        <f>Github!M$236</f>
        <v>1</v>
      </c>
      <c r="L149" s="10" t="b">
        <f>Github!N$236</f>
        <v>0</v>
      </c>
      <c r="M149" s="10" t="str">
        <f>ROUND(Github!O$236, 2)&amp;"%"</f>
        <v>56.97%</v>
      </c>
      <c r="N149" s="10">
        <f>Github!P$236</f>
        <v>739647</v>
      </c>
      <c r="O149" s="10">
        <f>Github!Q$236</f>
        <v>1298254</v>
      </c>
    </row>
    <row r="150">
      <c r="A150" s="10">
        <f>Github!J$681</f>
        <v>680</v>
      </c>
      <c r="B150" s="11" t="str">
        <f>HYPERLINK(CONCAT("http://leetcode.com/problems/",Github!C$681), Github!B$681)</f>
        <v>Valid Palindrome II</v>
      </c>
      <c r="C150" s="10">
        <f>Github!F$681</f>
        <v>5543</v>
      </c>
      <c r="D150" s="10">
        <f>Github!G$681</f>
        <v>300</v>
      </c>
      <c r="E150" s="10">
        <f>Github!F$681+Github!G$681</f>
        <v>5843</v>
      </c>
      <c r="F150" s="12">
        <f t="shared" si="1"/>
        <v>18.48</v>
      </c>
      <c r="G150" s="10" t="str">
        <f>Github!H$681</f>
        <v>Algorithms</v>
      </c>
      <c r="H150" s="13" t="str">
        <f>SUBSTITUTE(Github!L$681, ";", ", ")</f>
        <v>Two Pointers, String, Greedy, </v>
      </c>
      <c r="I150" s="10" t="str">
        <f>Github!E$681</f>
        <v>Easy</v>
      </c>
      <c r="J150" s="10" t="str">
        <f>IF(TRIM(Github!D$681)="TRUE","FALSE","TRUE")</f>
        <v>TRUE</v>
      </c>
      <c r="K150" s="10" t="b">
        <f>Github!M$681</f>
        <v>1</v>
      </c>
      <c r="L150" s="10" t="b">
        <f>Github!N$681</f>
        <v>0</v>
      </c>
      <c r="M150" s="10" t="str">
        <f>ROUND(Github!O$681, 2)&amp;"%"</f>
        <v>39.4%</v>
      </c>
      <c r="N150" s="10">
        <f>Github!P$681</f>
        <v>489814</v>
      </c>
      <c r="O150" s="10">
        <f>Github!Q$681</f>
        <v>1243247</v>
      </c>
    </row>
    <row r="151">
      <c r="A151" s="10">
        <f>Github!J$316</f>
        <v>315</v>
      </c>
      <c r="B151" s="11" t="str">
        <f>HYPERLINK(CONCAT("http://leetcode.com/problems/",Github!C$316), Github!B$316)</f>
        <v>Count of Smaller Numbers After Self</v>
      </c>
      <c r="C151" s="10">
        <f>Github!F$316</f>
        <v>5435</v>
      </c>
      <c r="D151" s="10">
        <f>Github!G$316</f>
        <v>154</v>
      </c>
      <c r="E151" s="10">
        <f>Github!F$316+Github!G$316</f>
        <v>5589</v>
      </c>
      <c r="F151" s="12">
        <f t="shared" si="1"/>
        <v>35.29</v>
      </c>
      <c r="G151" s="10" t="str">
        <f>Github!H$316</f>
        <v>Algorithms</v>
      </c>
      <c r="H151" s="13" t="str">
        <f>SUBSTITUTE(Github!L$316, ";", ", ")</f>
        <v>Array, Binary Search, Divide and Conquer, Binary Indexed Tree, Segment Tree, Merge Sort, Ordered Set, </v>
      </c>
      <c r="I151" s="10" t="str">
        <f>Github!E$316</f>
        <v>Hard</v>
      </c>
      <c r="J151" s="10" t="str">
        <f>IF(TRIM(Github!D$316)="TRUE","FALSE","TRUE")</f>
        <v>TRUE</v>
      </c>
      <c r="K151" s="10" t="b">
        <f>Github!M$316</f>
        <v>1</v>
      </c>
      <c r="L151" s="10" t="b">
        <f>Github!N$316</f>
        <v>0</v>
      </c>
      <c r="M151" s="10" t="str">
        <f>ROUND(Github!O$316, 2)&amp;"%"</f>
        <v>42.05%</v>
      </c>
      <c r="N151" s="10">
        <f>Github!P$316</f>
        <v>224659</v>
      </c>
      <c r="O151" s="10">
        <f>Github!Q$316</f>
        <v>534302</v>
      </c>
    </row>
    <row r="152">
      <c r="A152" s="10">
        <f>Github!J$254</f>
        <v>253</v>
      </c>
      <c r="B152" s="11" t="str">
        <f>HYPERLINK(CONCAT("http://leetcode.com/problems/",Github!C$254), Github!B$254)</f>
        <v>Meeting Rooms II</v>
      </c>
      <c r="C152" s="10">
        <f>Github!F$254</f>
        <v>5431</v>
      </c>
      <c r="D152" s="10">
        <f>Github!G$254</f>
        <v>105</v>
      </c>
      <c r="E152" s="10">
        <f>Github!F$254+Github!G$254</f>
        <v>5536</v>
      </c>
      <c r="F152" s="12">
        <f t="shared" si="1"/>
        <v>51.72</v>
      </c>
      <c r="G152" s="10" t="str">
        <f>Github!H$254</f>
        <v>Algorithms</v>
      </c>
      <c r="H152" s="13" t="str">
        <f>SUBSTITUTE(Github!L$254, ";", ", ")</f>
        <v>Array, Two Pointers, Greedy, Sorting, Heap (Priority Queue), </v>
      </c>
      <c r="I152" s="10" t="str">
        <f>Github!E$254</f>
        <v>Medium</v>
      </c>
      <c r="J152" s="10" t="str">
        <f>IF(TRIM(Github!D$254)="TRUE","FALSE","TRUE")</f>
        <v>FALSE</v>
      </c>
      <c r="K152" s="10" t="b">
        <f>Github!M$254</f>
        <v>1</v>
      </c>
      <c r="L152" s="10" t="b">
        <f>Github!N$254</f>
        <v>0</v>
      </c>
      <c r="M152" s="10" t="str">
        <f>ROUND(Github!O$254, 2)&amp;"%"</f>
        <v>49.68%</v>
      </c>
      <c r="N152" s="10">
        <f>Github!P$254</f>
        <v>627361</v>
      </c>
      <c r="O152" s="10">
        <f>Github!Q$254</f>
        <v>1262824</v>
      </c>
    </row>
    <row r="153">
      <c r="A153" s="10">
        <f>Github!J$974</f>
        <v>973</v>
      </c>
      <c r="B153" s="11" t="str">
        <f>HYPERLINK(CONCAT("http://leetcode.com/problems/",Github!C$974), Github!B$974)</f>
        <v>K Closest Points to Origin</v>
      </c>
      <c r="C153" s="10">
        <f>Github!F$974</f>
        <v>5421</v>
      </c>
      <c r="D153" s="10">
        <f>Github!G$974</f>
        <v>206</v>
      </c>
      <c r="E153" s="10">
        <f>Github!F$974+Github!G$974</f>
        <v>5627</v>
      </c>
      <c r="F153" s="12">
        <f t="shared" si="1"/>
        <v>26.32</v>
      </c>
      <c r="G153" s="10" t="str">
        <f>Github!H$974</f>
        <v>Algorithms</v>
      </c>
      <c r="H153" s="13" t="str">
        <f>SUBSTITUTE(Github!L$974, ";", ", ")</f>
        <v>Array, Math, Divide and Conquer, Geometry, Sorting, Heap (Priority Queue), Quickselect, </v>
      </c>
      <c r="I153" s="10" t="str">
        <f>Github!E$974</f>
        <v>Medium</v>
      </c>
      <c r="J153" s="10" t="str">
        <f>IF(TRIM(Github!D$974)="TRUE","FALSE","TRUE")</f>
        <v>TRUE</v>
      </c>
      <c r="K153" s="10" t="b">
        <f>Github!M$974</f>
        <v>1</v>
      </c>
      <c r="L153" s="10" t="b">
        <f>Github!N$974</f>
        <v>0</v>
      </c>
      <c r="M153" s="10" t="str">
        <f>ROUND(Github!O$974, 2)&amp;"%"</f>
        <v>65.97%</v>
      </c>
      <c r="N153" s="10">
        <f>Github!P$974</f>
        <v>745737</v>
      </c>
      <c r="O153" s="10">
        <f>Github!Q$974</f>
        <v>1130495</v>
      </c>
    </row>
    <row r="154">
      <c r="A154" s="10">
        <f>Github!J$269</f>
        <v>268</v>
      </c>
      <c r="B154" s="11" t="str">
        <f>HYPERLINK(CONCAT("http://leetcode.com/problems/",Github!C$269), Github!B$269)</f>
        <v>Missing Number</v>
      </c>
      <c r="C154" s="10">
        <f>Github!F$269</f>
        <v>5399</v>
      </c>
      <c r="D154" s="10">
        <f>Github!G$269</f>
        <v>2836</v>
      </c>
      <c r="E154" s="10">
        <f>Github!F$269+Github!G$269</f>
        <v>8235</v>
      </c>
      <c r="F154" s="12">
        <f t="shared" si="1"/>
        <v>1.9</v>
      </c>
      <c r="G154" s="10" t="str">
        <f>Github!H$269</f>
        <v>Algorithms</v>
      </c>
      <c r="H154" s="13" t="str">
        <f>SUBSTITUTE(Github!L$269, ";", ", ")</f>
        <v>Array, Hash Table, Math, Bit Manipulation, Sorting, </v>
      </c>
      <c r="I154" s="10" t="str">
        <f>Github!E$269</f>
        <v>Easy</v>
      </c>
      <c r="J154" s="10" t="str">
        <f>IF(TRIM(Github!D$269)="TRUE","FALSE","TRUE")</f>
        <v>TRUE</v>
      </c>
      <c r="K154" s="10" t="b">
        <f>Github!M$269</f>
        <v>1</v>
      </c>
      <c r="L154" s="10" t="b">
        <f>Github!N$269</f>
        <v>0</v>
      </c>
      <c r="M154" s="10" t="str">
        <f>ROUND(Github!O$269, 2)&amp;"%"</f>
        <v>59.37%</v>
      </c>
      <c r="N154" s="10">
        <f>Github!P$269</f>
        <v>989288</v>
      </c>
      <c r="O154" s="10">
        <f>Github!Q$269</f>
        <v>1666269</v>
      </c>
    </row>
    <row r="155">
      <c r="A155" s="10">
        <f>Github!J$113</f>
        <v>112</v>
      </c>
      <c r="B155" s="11" t="str">
        <f>HYPERLINK(CONCAT("http://leetcode.com/problems/",Github!C$113), Github!B$113)</f>
        <v>Path Sum</v>
      </c>
      <c r="C155" s="10">
        <f>Github!F$113</f>
        <v>5359</v>
      </c>
      <c r="D155" s="10">
        <f>Github!G$113</f>
        <v>780</v>
      </c>
      <c r="E155" s="10">
        <f>Github!F$113+Github!G$113</f>
        <v>6139</v>
      </c>
      <c r="F155" s="12">
        <f t="shared" si="1"/>
        <v>6.87</v>
      </c>
      <c r="G155" s="10" t="str">
        <f>Github!H$113</f>
        <v>Algorithms</v>
      </c>
      <c r="H155" s="13" t="str">
        <f>SUBSTITUTE(Github!L$113, ";", ", ")</f>
        <v>Tree, Depth-First Search, Breadth-First Search, Binary Tree, </v>
      </c>
      <c r="I155" s="10" t="str">
        <f>Github!E$113</f>
        <v>Easy</v>
      </c>
      <c r="J155" s="10" t="str">
        <f>IF(TRIM(Github!D$113)="TRUE","FALSE","TRUE")</f>
        <v>TRUE</v>
      </c>
      <c r="K155" s="10" t="b">
        <f>Github!M$113</f>
        <v>1</v>
      </c>
      <c r="L155" s="10" t="b">
        <f>Github!N$113</f>
        <v>0</v>
      </c>
      <c r="M155" s="10" t="str">
        <f>ROUND(Github!O$113, 2)&amp;"%"</f>
        <v>45.5%</v>
      </c>
      <c r="N155" s="10">
        <f>Github!P$113</f>
        <v>864482</v>
      </c>
      <c r="O155" s="10">
        <f>Github!Q$113</f>
        <v>1899918</v>
      </c>
    </row>
    <row r="156">
      <c r="A156" s="10">
        <f>Github!J$381</f>
        <v>380</v>
      </c>
      <c r="B156" s="11" t="str">
        <f>HYPERLINK(CONCAT("http://leetcode.com/problems/",Github!C$381), Github!B$381)</f>
        <v>Insert Delete GetRandom O(1)</v>
      </c>
      <c r="C156" s="10">
        <f>Github!F$381</f>
        <v>5358</v>
      </c>
      <c r="D156" s="10">
        <f>Github!G$381</f>
        <v>289</v>
      </c>
      <c r="E156" s="10">
        <f>Github!F$381+Github!G$381</f>
        <v>5647</v>
      </c>
      <c r="F156" s="12">
        <f t="shared" si="1"/>
        <v>18.54</v>
      </c>
      <c r="G156" s="10" t="str">
        <f>Github!H$381</f>
        <v>Algorithms</v>
      </c>
      <c r="H156" s="13" t="str">
        <f>SUBSTITUTE(Github!L$381, ";", ", ")</f>
        <v>Array, Hash Table, Math, Design, Randomized, </v>
      </c>
      <c r="I156" s="10" t="str">
        <f>Github!E$381</f>
        <v>Medium</v>
      </c>
      <c r="J156" s="10" t="str">
        <f>IF(TRIM(Github!D$381)="TRUE","FALSE","TRUE")</f>
        <v>TRUE</v>
      </c>
      <c r="K156" s="10" t="b">
        <f>Github!M$381</f>
        <v>1</v>
      </c>
      <c r="L156" s="10" t="b">
        <f>Github!N$381</f>
        <v>0</v>
      </c>
      <c r="M156" s="10" t="str">
        <f>ROUND(Github!O$381, 2)&amp;"%"</f>
        <v>51.35%</v>
      </c>
      <c r="N156" s="10">
        <f>Github!P$381</f>
        <v>472836</v>
      </c>
      <c r="O156" s="10">
        <f>Github!Q$381</f>
        <v>920883</v>
      </c>
    </row>
    <row r="157">
      <c r="A157" s="10">
        <f>Github!J$214</f>
        <v>213</v>
      </c>
      <c r="B157" s="11" t="str">
        <f>HYPERLINK(CONCAT("http://leetcode.com/problems/",Github!C$214), Github!B$214)</f>
        <v>House Robber II</v>
      </c>
      <c r="C157" s="10">
        <f>Github!F$214</f>
        <v>5346</v>
      </c>
      <c r="D157" s="10">
        <f>Github!G$214</f>
        <v>91</v>
      </c>
      <c r="E157" s="10">
        <f>Github!F$214+Github!G$214</f>
        <v>5437</v>
      </c>
      <c r="F157" s="12">
        <f t="shared" si="1"/>
        <v>58.75</v>
      </c>
      <c r="G157" s="10" t="str">
        <f>Github!H$214</f>
        <v>Algorithms</v>
      </c>
      <c r="H157" s="13" t="str">
        <f>SUBSTITUTE(Github!L$214, ";", ", ")</f>
        <v>Array, Dynamic Programming, </v>
      </c>
      <c r="I157" s="10" t="str">
        <f>Github!E$214</f>
        <v>Medium</v>
      </c>
      <c r="J157" s="10" t="str">
        <f>IF(TRIM(Github!D$214)="TRUE","FALSE","TRUE")</f>
        <v>TRUE</v>
      </c>
      <c r="K157" s="10" t="b">
        <f>Github!M$214</f>
        <v>1</v>
      </c>
      <c r="L157" s="10" t="b">
        <f>Github!N$214</f>
        <v>0</v>
      </c>
      <c r="M157" s="10" t="str">
        <f>ROUND(Github!O$214, 2)&amp;"%"</f>
        <v>39.85%</v>
      </c>
      <c r="N157" s="10">
        <f>Github!P$214</f>
        <v>387683</v>
      </c>
      <c r="O157" s="10">
        <f>Github!Q$214</f>
        <v>972754</v>
      </c>
    </row>
    <row r="158">
      <c r="A158" s="10">
        <f>Github!J$526</f>
        <v>525</v>
      </c>
      <c r="B158" s="11" t="str">
        <f>HYPERLINK(CONCAT("http://leetcode.com/problems/",Github!C$526), Github!B$526)</f>
        <v>Contiguous Array</v>
      </c>
      <c r="C158" s="10">
        <f>Github!F$526</f>
        <v>5269</v>
      </c>
      <c r="D158" s="10">
        <f>Github!G$526</f>
        <v>229</v>
      </c>
      <c r="E158" s="10">
        <f>Github!F$526+Github!G$526</f>
        <v>5498</v>
      </c>
      <c r="F158" s="12">
        <f t="shared" si="1"/>
        <v>23.01</v>
      </c>
      <c r="G158" s="10" t="str">
        <f>Github!H$526</f>
        <v>Algorithms</v>
      </c>
      <c r="H158" s="13" t="str">
        <f>SUBSTITUTE(Github!L$526, ";", ", ")</f>
        <v>Array, Hash Table, Prefix Sum, </v>
      </c>
      <c r="I158" s="10" t="str">
        <f>Github!E$526</f>
        <v>Medium</v>
      </c>
      <c r="J158" s="10" t="str">
        <f>IF(TRIM(Github!D$526)="TRUE","FALSE","TRUE")</f>
        <v>TRUE</v>
      </c>
      <c r="K158" s="10" t="b">
        <f>Github!M$526</f>
        <v>1</v>
      </c>
      <c r="L158" s="10" t="b">
        <f>Github!N$526</f>
        <v>0</v>
      </c>
      <c r="M158" s="10" t="str">
        <f>ROUND(Github!O$526, 2)&amp;"%"</f>
        <v>46.31%</v>
      </c>
      <c r="N158" s="10">
        <f>Github!P$526</f>
        <v>259531</v>
      </c>
      <c r="O158" s="10">
        <f>Github!Q$526</f>
        <v>560383</v>
      </c>
    </row>
    <row r="159">
      <c r="A159" s="10">
        <f>Github!J$203</f>
        <v>202</v>
      </c>
      <c r="B159" s="11" t="str">
        <f>HYPERLINK(CONCAT("http://leetcode.com/problems/",Github!C$203), Github!B$203)</f>
        <v>Happy Number</v>
      </c>
      <c r="C159" s="10">
        <f>Github!F$203</f>
        <v>5290</v>
      </c>
      <c r="D159" s="10">
        <f>Github!G$203</f>
        <v>702</v>
      </c>
      <c r="E159" s="10">
        <f>Github!F$203+Github!G$203</f>
        <v>5992</v>
      </c>
      <c r="F159" s="12">
        <f t="shared" si="1"/>
        <v>7.54</v>
      </c>
      <c r="G159" s="10" t="str">
        <f>Github!H$203</f>
        <v>Algorithms</v>
      </c>
      <c r="H159" s="13" t="str">
        <f>SUBSTITUTE(Github!L$203, ";", ", ")</f>
        <v>Hash Table, Math, Two Pointers, </v>
      </c>
      <c r="I159" s="10" t="str">
        <f>Github!E$203</f>
        <v>Easy</v>
      </c>
      <c r="J159" s="10" t="str">
        <f>IF(TRIM(Github!D$203)="TRUE","FALSE","TRUE")</f>
        <v>TRUE</v>
      </c>
      <c r="K159" s="10" t="b">
        <f>Github!M$203</f>
        <v>1</v>
      </c>
      <c r="L159" s="10" t="b">
        <f>Github!N$203</f>
        <v>0</v>
      </c>
      <c r="M159" s="10" t="str">
        <f>ROUND(Github!O$203, 2)&amp;"%"</f>
        <v>53.2%</v>
      </c>
      <c r="N159" s="10">
        <f>Github!P$203</f>
        <v>802898</v>
      </c>
      <c r="O159" s="10">
        <f>Github!Q$203</f>
        <v>1509079</v>
      </c>
    </row>
    <row r="160">
      <c r="A160" s="10">
        <f>Github!J$451</f>
        <v>450</v>
      </c>
      <c r="B160" s="11" t="str">
        <f>HYPERLINK(CONCAT("http://leetcode.com/problems/",Github!C$451), Github!B$451)</f>
        <v>Delete Node in a BST</v>
      </c>
      <c r="C160" s="10">
        <f>Github!F$451</f>
        <v>5265</v>
      </c>
      <c r="D160" s="10">
        <f>Github!G$451</f>
        <v>155</v>
      </c>
      <c r="E160" s="10">
        <f>Github!F$451+Github!G$451</f>
        <v>5420</v>
      </c>
      <c r="F160" s="12">
        <f t="shared" si="1"/>
        <v>33.97</v>
      </c>
      <c r="G160" s="10" t="str">
        <f>Github!H$451</f>
        <v>Algorithms</v>
      </c>
      <c r="H160" s="13" t="str">
        <f>SUBSTITUTE(Github!L$451, ";", ", ")</f>
        <v>Tree, Binary Search Tree, Binary Tree, </v>
      </c>
      <c r="I160" s="10" t="str">
        <f>Github!E$451</f>
        <v>Medium</v>
      </c>
      <c r="J160" s="10" t="str">
        <f>IF(TRIM(Github!D$451)="TRUE","FALSE","TRUE")</f>
        <v>TRUE</v>
      </c>
      <c r="K160" s="10" t="b">
        <f>Github!M$451</f>
        <v>1</v>
      </c>
      <c r="L160" s="10" t="b">
        <f>Github!N$451</f>
        <v>0</v>
      </c>
      <c r="M160" s="10" t="str">
        <f>ROUND(Github!O$451, 2)&amp;"%"</f>
        <v>48.98%</v>
      </c>
      <c r="N160" s="10">
        <f>Github!P$451</f>
        <v>270612</v>
      </c>
      <c r="O160" s="10">
        <f>Github!Q$451</f>
        <v>552495</v>
      </c>
    </row>
    <row r="161">
      <c r="A161" s="10">
        <f>Github!J$168</f>
        <v>167</v>
      </c>
      <c r="B161" s="11" t="str">
        <f>HYPERLINK(CONCAT("http://leetcode.com/problems/",Github!C$168), Github!B$168)</f>
        <v>Two Sum II - Input Array Is Sorted</v>
      </c>
      <c r="C161" s="10">
        <f>Github!F$168</f>
        <v>5268</v>
      </c>
      <c r="D161" s="10">
        <f>Github!G$168</f>
        <v>929</v>
      </c>
      <c r="E161" s="10">
        <f>Github!F$168+Github!G$168</f>
        <v>6197</v>
      </c>
      <c r="F161" s="12">
        <f t="shared" si="1"/>
        <v>5.67</v>
      </c>
      <c r="G161" s="10" t="str">
        <f>Github!H$168</f>
        <v>Algorithms</v>
      </c>
      <c r="H161" s="13" t="str">
        <f>SUBSTITUTE(Github!L$168, ";", ", ")</f>
        <v>Array, Two Pointers, Binary Search, </v>
      </c>
      <c r="I161" s="10" t="str">
        <f>Github!E$168</f>
        <v>Medium</v>
      </c>
      <c r="J161" s="10" t="str">
        <f>IF(TRIM(Github!D$168)="TRUE","FALSE","TRUE")</f>
        <v>TRUE</v>
      </c>
      <c r="K161" s="10" t="b">
        <f>Github!M$168</f>
        <v>1</v>
      </c>
      <c r="L161" s="10" t="b">
        <f>Github!N$168</f>
        <v>0</v>
      </c>
      <c r="M161" s="10" t="str">
        <f>ROUND(Github!O$168, 2)&amp;"%"</f>
        <v>58.7%</v>
      </c>
      <c r="N161" s="10">
        <f>Github!P$168</f>
        <v>943414</v>
      </c>
      <c r="O161" s="10">
        <f>Github!Q$168</f>
        <v>1607143</v>
      </c>
    </row>
    <row r="162">
      <c r="A162" s="10">
        <f>Github!J$329</f>
        <v>328</v>
      </c>
      <c r="B162" s="11" t="str">
        <f>HYPERLINK(CONCAT("http://leetcode.com/problems/",Github!C$329), Github!B$329)</f>
        <v>Odd Even Linked List</v>
      </c>
      <c r="C162" s="10">
        <f>Github!F$329</f>
        <v>5239</v>
      </c>
      <c r="D162" s="10">
        <f>Github!G$329</f>
        <v>384</v>
      </c>
      <c r="E162" s="10">
        <f>Github!F$329+Github!G$329</f>
        <v>5623</v>
      </c>
      <c r="F162" s="12">
        <f t="shared" si="1"/>
        <v>13.64</v>
      </c>
      <c r="G162" s="10" t="str">
        <f>Github!H$329</f>
        <v>Algorithms</v>
      </c>
      <c r="H162" s="13" t="str">
        <f>SUBSTITUTE(Github!L$329, ";", ", ")</f>
        <v>Linked List, </v>
      </c>
      <c r="I162" s="10" t="str">
        <f>Github!E$329</f>
        <v>Medium</v>
      </c>
      <c r="J162" s="10" t="str">
        <f>IF(TRIM(Github!D$329)="TRUE","FALSE","TRUE")</f>
        <v>TRUE</v>
      </c>
      <c r="K162" s="10" t="b">
        <f>Github!M$329</f>
        <v>1</v>
      </c>
      <c r="L162" s="10" t="b">
        <f>Github!N$329</f>
        <v>0</v>
      </c>
      <c r="M162" s="10" t="str">
        <f>ROUND(Github!O$329, 2)&amp;"%"</f>
        <v>59.52%</v>
      </c>
      <c r="N162" s="10">
        <f>Github!P$329</f>
        <v>522114</v>
      </c>
      <c r="O162" s="10">
        <f>Github!Q$329</f>
        <v>877218</v>
      </c>
    </row>
    <row r="163">
      <c r="A163" s="10">
        <f>Github!J$317</f>
        <v>316</v>
      </c>
      <c r="B163" s="11" t="str">
        <f>HYPERLINK(CONCAT("http://leetcode.com/problems/",Github!C$317), Github!B$317)</f>
        <v>Remove Duplicate Letters</v>
      </c>
      <c r="C163" s="10">
        <f>Github!F$317</f>
        <v>5221</v>
      </c>
      <c r="D163" s="10">
        <f>Github!G$317</f>
        <v>341</v>
      </c>
      <c r="E163" s="10">
        <f>Github!F$317+Github!G$317</f>
        <v>5562</v>
      </c>
      <c r="F163" s="12">
        <f t="shared" si="1"/>
        <v>15.31</v>
      </c>
      <c r="G163" s="10" t="str">
        <f>Github!H$317</f>
        <v>Algorithms</v>
      </c>
      <c r="H163" s="13" t="str">
        <f>SUBSTITUTE(Github!L$317, ";", ", ")</f>
        <v>String, Stack, Greedy, Monotonic Stack, </v>
      </c>
      <c r="I163" s="10" t="str">
        <f>Github!E$317</f>
        <v>Medium</v>
      </c>
      <c r="J163" s="10" t="str">
        <f>IF(TRIM(Github!D$317)="TRUE","FALSE","TRUE")</f>
        <v>TRUE</v>
      </c>
      <c r="K163" s="10" t="b">
        <f>Github!M$317</f>
        <v>1</v>
      </c>
      <c r="L163" s="10" t="b">
        <f>Github!N$317</f>
        <v>0</v>
      </c>
      <c r="M163" s="10" t="str">
        <f>ROUND(Github!O$317, 2)&amp;"%"</f>
        <v>43.88%</v>
      </c>
      <c r="N163" s="10">
        <f>Github!P$317</f>
        <v>190735</v>
      </c>
      <c r="O163" s="10">
        <f>Github!Q$317</f>
        <v>434672</v>
      </c>
    </row>
    <row r="164">
      <c r="A164" s="10">
        <f>Github!J$330</f>
        <v>329</v>
      </c>
      <c r="B164" s="11" t="str">
        <f>HYPERLINK(CONCAT("http://leetcode.com/problems/",Github!C$330), Github!B$330)</f>
        <v>Longest Increasing Path in a Matrix</v>
      </c>
      <c r="C164" s="10">
        <f>Github!F$330</f>
        <v>5216</v>
      </c>
      <c r="D164" s="10">
        <f>Github!G$330</f>
        <v>89</v>
      </c>
      <c r="E164" s="10">
        <f>Github!F$330+Github!G$330</f>
        <v>5305</v>
      </c>
      <c r="F164" s="12">
        <f t="shared" si="1"/>
        <v>58.61</v>
      </c>
      <c r="G164" s="10" t="str">
        <f>Github!H$330</f>
        <v>Algorithms</v>
      </c>
      <c r="H164" s="13" t="str">
        <f>SUBSTITUTE(Github!L$330, ";", ", ")</f>
        <v>Dynamic Programming, Depth-First Search, Breadth-First Search, Graph, Topological Sort, Memoization, </v>
      </c>
      <c r="I164" s="10" t="str">
        <f>Github!E$330</f>
        <v>Hard</v>
      </c>
      <c r="J164" s="10" t="str">
        <f>IF(TRIM(Github!D$330)="TRUE","FALSE","TRUE")</f>
        <v>TRUE</v>
      </c>
      <c r="K164" s="10" t="b">
        <f>Github!M$330</f>
        <v>1</v>
      </c>
      <c r="L164" s="10" t="b">
        <f>Github!N$330</f>
        <v>0</v>
      </c>
      <c r="M164" s="10" t="str">
        <f>ROUND(Github!O$330, 2)&amp;"%"</f>
        <v>49.68%</v>
      </c>
      <c r="N164" s="10">
        <f>Github!P$330</f>
        <v>320521</v>
      </c>
      <c r="O164" s="10">
        <f>Github!Q$330</f>
        <v>645177</v>
      </c>
    </row>
    <row r="165">
      <c r="A165" s="10">
        <f>Github!J$100</f>
        <v>99</v>
      </c>
      <c r="B165" s="11" t="str">
        <f>HYPERLINK(CONCAT("http://leetcode.com/problems/",Github!C$100), Github!B$100)</f>
        <v>Recover Binary Search Tree</v>
      </c>
      <c r="C165" s="10">
        <f>Github!F$100</f>
        <v>5220</v>
      </c>
      <c r="D165" s="10">
        <f>Github!G$100</f>
        <v>177</v>
      </c>
      <c r="E165" s="10">
        <f>Github!F$100+Github!G$100</f>
        <v>5397</v>
      </c>
      <c r="F165" s="12">
        <f t="shared" si="1"/>
        <v>29.49</v>
      </c>
      <c r="G165" s="10" t="str">
        <f>Github!H$100</f>
        <v>Algorithms</v>
      </c>
      <c r="H165" s="13" t="str">
        <f>SUBSTITUTE(Github!L$100, ";", ", ")</f>
        <v>Tree, Depth-First Search, Binary Search Tree, Binary Tree, </v>
      </c>
      <c r="I165" s="10" t="str">
        <f>Github!E$100</f>
        <v>Medium</v>
      </c>
      <c r="J165" s="10" t="str">
        <f>IF(TRIM(Github!D$100)="TRUE","FALSE","TRUE")</f>
        <v>TRUE</v>
      </c>
      <c r="K165" s="10" t="b">
        <f>Github!M$100</f>
        <v>1</v>
      </c>
      <c r="L165" s="10" t="b">
        <f>Github!N$100</f>
        <v>0</v>
      </c>
      <c r="M165" s="10" t="str">
        <f>ROUND(Github!O$100, 2)&amp;"%"</f>
        <v>48.64%</v>
      </c>
      <c r="N165" s="10">
        <f>Github!P$100</f>
        <v>321832</v>
      </c>
      <c r="O165" s="10">
        <f>Github!Q$100</f>
        <v>661670</v>
      </c>
    </row>
    <row r="166">
      <c r="A166" s="10">
        <f>Github!J$978</f>
        <v>977</v>
      </c>
      <c r="B166" s="11" t="str">
        <f>HYPERLINK(CONCAT("http://leetcode.com/problems/",Github!C$978), Github!B$978)</f>
        <v>Squares of a Sorted Array</v>
      </c>
      <c r="C166" s="10">
        <f>Github!F$978</f>
        <v>5192</v>
      </c>
      <c r="D166" s="10">
        <f>Github!G$978</f>
        <v>152</v>
      </c>
      <c r="E166" s="10">
        <f>Github!F$978+Github!G$978</f>
        <v>5344</v>
      </c>
      <c r="F166" s="12">
        <f t="shared" si="1"/>
        <v>34.16</v>
      </c>
      <c r="G166" s="10" t="str">
        <f>Github!H$978</f>
        <v>Algorithms</v>
      </c>
      <c r="H166" s="13" t="str">
        <f>SUBSTITUTE(Github!L$978, ";", ", ")</f>
        <v>Array, Two Pointers, Sorting, </v>
      </c>
      <c r="I166" s="10" t="str">
        <f>Github!E$978</f>
        <v>Easy</v>
      </c>
      <c r="J166" s="10" t="str">
        <f>IF(TRIM(Github!D$978)="TRUE","FALSE","TRUE")</f>
        <v>TRUE</v>
      </c>
      <c r="K166" s="10" t="b">
        <f>Github!M$978</f>
        <v>1</v>
      </c>
      <c r="L166" s="10" t="b">
        <f>Github!N$978</f>
        <v>1</v>
      </c>
      <c r="M166" s="10" t="str">
        <f>ROUND(Github!O$978, 2)&amp;"%"</f>
        <v>71.63%</v>
      </c>
      <c r="N166" s="10">
        <f>Github!P$978</f>
        <v>963392</v>
      </c>
      <c r="O166" s="10">
        <f>Github!Q$978</f>
        <v>1344959</v>
      </c>
    </row>
    <row r="167">
      <c r="A167" s="10">
        <f>Github!J$877</f>
        <v>876</v>
      </c>
      <c r="B167" s="11" t="str">
        <f>HYPERLINK(CONCAT("http://leetcode.com/problems/",Github!C$877), Github!B$877)</f>
        <v>Middle of the Linked List</v>
      </c>
      <c r="C167" s="10">
        <f>Github!F$877</f>
        <v>5192</v>
      </c>
      <c r="D167" s="10">
        <f>Github!G$877</f>
        <v>131</v>
      </c>
      <c r="E167" s="10">
        <f>Github!F$877+Github!G$877</f>
        <v>5323</v>
      </c>
      <c r="F167" s="12">
        <f t="shared" si="1"/>
        <v>39.63</v>
      </c>
      <c r="G167" s="10" t="str">
        <f>Github!H$877</f>
        <v>Algorithms</v>
      </c>
      <c r="H167" s="13" t="str">
        <f>SUBSTITUTE(Github!L$877, ";", ", ")</f>
        <v>Linked List, Two Pointers, </v>
      </c>
      <c r="I167" s="10" t="str">
        <f>Github!E$877</f>
        <v>Easy</v>
      </c>
      <c r="J167" s="10" t="str">
        <f>IF(TRIM(Github!D$877)="TRUE","FALSE","TRUE")</f>
        <v>TRUE</v>
      </c>
      <c r="K167" s="10" t="b">
        <f>Github!M$877</f>
        <v>1</v>
      </c>
      <c r="L167" s="10" t="b">
        <f>Github!N$877</f>
        <v>0</v>
      </c>
      <c r="M167" s="10" t="str">
        <f>ROUND(Github!O$877, 2)&amp;"%"</f>
        <v>72.62%</v>
      </c>
      <c r="N167" s="10">
        <f>Github!P$877</f>
        <v>637292</v>
      </c>
      <c r="O167" s="10">
        <f>Github!Q$877</f>
        <v>877600</v>
      </c>
    </row>
    <row r="168">
      <c r="A168" s="10">
        <f>Github!J$573</f>
        <v>572</v>
      </c>
      <c r="B168" s="11" t="str">
        <f>HYPERLINK(CONCAT("http://leetcode.com/problems/",Github!C$573), Github!B$573)</f>
        <v>Subtree of Another Tree</v>
      </c>
      <c r="C168" s="10">
        <f>Github!F$573</f>
        <v>5163</v>
      </c>
      <c r="D168" s="10">
        <f>Github!G$573</f>
        <v>270</v>
      </c>
      <c r="E168" s="10">
        <f>Github!F$573+Github!G$573</f>
        <v>5433</v>
      </c>
      <c r="F168" s="12">
        <f t="shared" si="1"/>
        <v>19.12</v>
      </c>
      <c r="G168" s="10" t="str">
        <f>Github!H$573</f>
        <v>Algorithms</v>
      </c>
      <c r="H168" s="13" t="str">
        <f>SUBSTITUTE(Github!L$573, ";", ", ")</f>
        <v>Tree, Depth-First Search, String Matching, Binary Tree, Hash Function, </v>
      </c>
      <c r="I168" s="10" t="str">
        <f>Github!E$573</f>
        <v>Easy</v>
      </c>
      <c r="J168" s="10" t="str">
        <f>IF(TRIM(Github!D$573)="TRUE","FALSE","TRUE")</f>
        <v>TRUE</v>
      </c>
      <c r="K168" s="10" t="b">
        <f>Github!M$573</f>
        <v>0</v>
      </c>
      <c r="L168" s="10" t="b">
        <f>Github!N$573</f>
        <v>0</v>
      </c>
      <c r="M168" s="10" t="str">
        <f>ROUND(Github!O$573, 2)&amp;"%"</f>
        <v>45.34%</v>
      </c>
      <c r="N168" s="10">
        <f>Github!P$573</f>
        <v>457926</v>
      </c>
      <c r="O168" s="10">
        <f>Github!Q$573</f>
        <v>1009911</v>
      </c>
    </row>
    <row r="169">
      <c r="A169" s="10">
        <f>Github!J$311</f>
        <v>310</v>
      </c>
      <c r="B169" s="11" t="str">
        <f>HYPERLINK(CONCAT("http://leetcode.com/problems/",Github!C$311), Github!B$311)</f>
        <v>Minimum Height Trees</v>
      </c>
      <c r="C169" s="10">
        <f>Github!F$311</f>
        <v>5140</v>
      </c>
      <c r="D169" s="10">
        <f>Github!G$311</f>
        <v>212</v>
      </c>
      <c r="E169" s="10">
        <f>Github!F$311+Github!G$311</f>
        <v>5352</v>
      </c>
      <c r="F169" s="12">
        <f t="shared" si="1"/>
        <v>24.25</v>
      </c>
      <c r="G169" s="10" t="str">
        <f>Github!H$311</f>
        <v>Algorithms</v>
      </c>
      <c r="H169" s="13" t="str">
        <f>SUBSTITUTE(Github!L$311, ";", ", ")</f>
        <v>Depth-First Search, Breadth-First Search, Graph, Topological Sort, </v>
      </c>
      <c r="I169" s="10" t="str">
        <f>Github!E$311</f>
        <v>Medium</v>
      </c>
      <c r="J169" s="10" t="str">
        <f>IF(TRIM(Github!D$311)="TRUE","FALSE","TRUE")</f>
        <v>TRUE</v>
      </c>
      <c r="K169" s="10" t="b">
        <f>Github!M$311</f>
        <v>1</v>
      </c>
      <c r="L169" s="10" t="b">
        <f>Github!N$311</f>
        <v>0</v>
      </c>
      <c r="M169" s="10" t="str">
        <f>ROUND(Github!O$311, 2)&amp;"%"</f>
        <v>38.12%</v>
      </c>
      <c r="N169" s="10">
        <f>Github!P$311</f>
        <v>194864</v>
      </c>
      <c r="O169" s="10">
        <f>Github!Q$311</f>
        <v>511233</v>
      </c>
    </row>
    <row r="170">
      <c r="A170" s="10">
        <f>Github!J$41</f>
        <v>40</v>
      </c>
      <c r="B170" s="11" t="str">
        <f>HYPERLINK(CONCAT("http://leetcode.com/problems/",Github!C$41), Github!B$41)</f>
        <v>Combination Sum II</v>
      </c>
      <c r="C170" s="10">
        <f>Github!F$41</f>
        <v>5125</v>
      </c>
      <c r="D170" s="10">
        <f>Github!G$41</f>
        <v>135</v>
      </c>
      <c r="E170" s="10">
        <f>Github!F$41+Github!G$41</f>
        <v>5260</v>
      </c>
      <c r="F170" s="12">
        <f t="shared" si="1"/>
        <v>37.96</v>
      </c>
      <c r="G170" s="10" t="str">
        <f>Github!H$41</f>
        <v>Algorithms</v>
      </c>
      <c r="H170" s="13" t="str">
        <f>SUBSTITUTE(Github!L$41, ";", ", ")</f>
        <v>Array, Backtracking, </v>
      </c>
      <c r="I170" s="10" t="str">
        <f>Github!E$41</f>
        <v>Medium</v>
      </c>
      <c r="J170" s="10" t="str">
        <f>IF(TRIM(Github!D$41)="TRUE","FALSE","TRUE")</f>
        <v>TRUE</v>
      </c>
      <c r="K170" s="10" t="b">
        <f>Github!M$41</f>
        <v>1</v>
      </c>
      <c r="L170" s="10" t="b">
        <f>Github!N$41</f>
        <v>0</v>
      </c>
      <c r="M170" s="10" t="str">
        <f>ROUND(Github!O$41, 2)&amp;"%"</f>
        <v>52.32%</v>
      </c>
      <c r="N170" s="10">
        <f>Github!P$41</f>
        <v>546293</v>
      </c>
      <c r="O170" s="10">
        <f>Github!Q$41</f>
        <v>1044078</v>
      </c>
    </row>
    <row r="171">
      <c r="A171" s="10">
        <f>Github!J$517</f>
        <v>516</v>
      </c>
      <c r="B171" s="11" t="str">
        <f>HYPERLINK(CONCAT("http://leetcode.com/problems/",Github!C$517), Github!B$517)</f>
        <v>Longest Palindromic Subsequence</v>
      </c>
      <c r="C171" s="10">
        <f>Github!F$517</f>
        <v>5085</v>
      </c>
      <c r="D171" s="10">
        <f>Github!G$517</f>
        <v>246</v>
      </c>
      <c r="E171" s="10">
        <f>Github!F$517+Github!G$517</f>
        <v>5331</v>
      </c>
      <c r="F171" s="12">
        <f t="shared" si="1"/>
        <v>20.67</v>
      </c>
      <c r="G171" s="10" t="str">
        <f>Github!H$517</f>
        <v>Algorithms</v>
      </c>
      <c r="H171" s="13" t="str">
        <f>SUBSTITUTE(Github!L$517, ";", ", ")</f>
        <v>String, Dynamic Programming, </v>
      </c>
      <c r="I171" s="10" t="str">
        <f>Github!E$517</f>
        <v>Medium</v>
      </c>
      <c r="J171" s="10" t="str">
        <f>IF(TRIM(Github!D$517)="TRUE","FALSE","TRUE")</f>
        <v>TRUE</v>
      </c>
      <c r="K171" s="10" t="b">
        <f>Github!M$517</f>
        <v>0</v>
      </c>
      <c r="L171" s="10" t="b">
        <f>Github!N$517</f>
        <v>0</v>
      </c>
      <c r="M171" s="10" t="str">
        <f>ROUND(Github!O$517, 2)&amp;"%"</f>
        <v>59.31%</v>
      </c>
      <c r="N171" s="10">
        <f>Github!P$517</f>
        <v>250326</v>
      </c>
      <c r="O171" s="10">
        <f>Github!Q$517</f>
        <v>422049</v>
      </c>
    </row>
    <row r="172">
      <c r="A172" s="10">
        <f>Github!J$519</f>
        <v>518</v>
      </c>
      <c r="B172" s="11" t="str">
        <f>HYPERLINK(CONCAT("http://leetcode.com/problems/",Github!C$519), Github!B$519)</f>
        <v>Coin Change 2</v>
      </c>
      <c r="C172" s="10">
        <f>Github!F$519</f>
        <v>5054</v>
      </c>
      <c r="D172" s="10">
        <f>Github!G$519</f>
        <v>100</v>
      </c>
      <c r="E172" s="10">
        <f>Github!F$519+Github!G$519</f>
        <v>5154</v>
      </c>
      <c r="F172" s="12">
        <f t="shared" si="1"/>
        <v>50.54</v>
      </c>
      <c r="G172" s="10" t="str">
        <f>Github!H$519</f>
        <v>Algorithms</v>
      </c>
      <c r="H172" s="13" t="str">
        <f>SUBSTITUTE(Github!L$519, ";", ", ")</f>
        <v>Array, Dynamic Programming, </v>
      </c>
      <c r="I172" s="10" t="str">
        <f>Github!E$519</f>
        <v>Medium</v>
      </c>
      <c r="J172" s="10" t="str">
        <f>IF(TRIM(Github!D$519)="TRUE","FALSE","TRUE")</f>
        <v>TRUE</v>
      </c>
      <c r="K172" s="10" t="b">
        <f>Github!M$519</f>
        <v>1</v>
      </c>
      <c r="L172" s="10" t="b">
        <f>Github!N$519</f>
        <v>0</v>
      </c>
      <c r="M172" s="10" t="str">
        <f>ROUND(Github!O$519, 2)&amp;"%"</f>
        <v>57.47%</v>
      </c>
      <c r="N172" s="10">
        <f>Github!P$519</f>
        <v>288892</v>
      </c>
      <c r="O172" s="10">
        <f>Github!Q$519</f>
        <v>502708</v>
      </c>
    </row>
    <row r="173">
      <c r="A173" s="10">
        <f>Github!J$548</f>
        <v>547</v>
      </c>
      <c r="B173" s="11" t="str">
        <f>HYPERLINK(CONCAT("http://leetcode.com/problems/",Github!C$548), Github!B$548)</f>
        <v>Number of Provinces</v>
      </c>
      <c r="C173" s="10">
        <f>Github!F$548</f>
        <v>5045</v>
      </c>
      <c r="D173" s="10">
        <f>Github!G$548</f>
        <v>236</v>
      </c>
      <c r="E173" s="10">
        <f>Github!F$548+Github!G$548</f>
        <v>5281</v>
      </c>
      <c r="F173" s="12">
        <f t="shared" si="1"/>
        <v>21.38</v>
      </c>
      <c r="G173" s="10" t="str">
        <f>Github!H$548</f>
        <v>Algorithms</v>
      </c>
      <c r="H173" s="13" t="str">
        <f>SUBSTITUTE(Github!L$548, ";", ", ")</f>
        <v>Depth-First Search, Breadth-First Search, Union Find, Graph, </v>
      </c>
      <c r="I173" s="10" t="str">
        <f>Github!E$548</f>
        <v>Medium</v>
      </c>
      <c r="J173" s="10" t="str">
        <f>IF(TRIM(Github!D$548)="TRUE","FALSE","TRUE")</f>
        <v>TRUE</v>
      </c>
      <c r="K173" s="10" t="b">
        <f>Github!M$548</f>
        <v>1</v>
      </c>
      <c r="L173" s="10" t="b">
        <f>Github!N$548</f>
        <v>0</v>
      </c>
      <c r="M173" s="10" t="str">
        <f>ROUND(Github!O$548, 2)&amp;"%"</f>
        <v>62.59%</v>
      </c>
      <c r="N173" s="10">
        <f>Github!P$548</f>
        <v>452496</v>
      </c>
      <c r="O173" s="10">
        <f>Github!Q$548</f>
        <v>722915</v>
      </c>
    </row>
    <row r="174">
      <c r="A174" s="10">
        <f>Github!J$62</f>
        <v>61</v>
      </c>
      <c r="B174" s="11" t="str">
        <f>HYPERLINK(CONCAT("http://leetcode.com/problems/",Github!C$62), Github!B$62)</f>
        <v>Rotate List</v>
      </c>
      <c r="C174" s="10">
        <f>Github!F$62</f>
        <v>5035</v>
      </c>
      <c r="D174" s="10">
        <f>Github!G$62</f>
        <v>1266</v>
      </c>
      <c r="E174" s="10">
        <f>Github!F$62+Github!G$62</f>
        <v>6301</v>
      </c>
      <c r="F174" s="12">
        <f t="shared" si="1"/>
        <v>3.98</v>
      </c>
      <c r="G174" s="10" t="str">
        <f>Github!H$62</f>
        <v>Algorithms</v>
      </c>
      <c r="H174" s="13" t="str">
        <f>SUBSTITUTE(Github!L$62, ";", ", ")</f>
        <v>Linked List, Two Pointers, </v>
      </c>
      <c r="I174" s="10" t="str">
        <f>Github!E$62</f>
        <v>Medium</v>
      </c>
      <c r="J174" s="10" t="str">
        <f>IF(TRIM(Github!D$62)="TRUE","FALSE","TRUE")</f>
        <v>TRUE</v>
      </c>
      <c r="K174" s="10" t="b">
        <f>Github!M$62</f>
        <v>1</v>
      </c>
      <c r="L174" s="10" t="b">
        <f>Github!N$62</f>
        <v>0</v>
      </c>
      <c r="M174" s="10" t="str">
        <f>ROUND(Github!O$62, 2)&amp;"%"</f>
        <v>34.88%</v>
      </c>
      <c r="N174" s="10">
        <f>Github!P$62</f>
        <v>550409</v>
      </c>
      <c r="O174" s="10">
        <f>Github!Q$62</f>
        <v>1578181</v>
      </c>
    </row>
    <row r="175">
      <c r="A175" s="10">
        <f>Github!J$541</f>
        <v>540</v>
      </c>
      <c r="B175" s="11" t="str">
        <f>HYPERLINK(CONCAT("http://leetcode.com/problems/",Github!C$541), Github!B$541)</f>
        <v>Single Element in a Sorted Array</v>
      </c>
      <c r="C175" s="10">
        <f>Github!F$541</f>
        <v>5029</v>
      </c>
      <c r="D175" s="10">
        <f>Github!G$541</f>
        <v>110</v>
      </c>
      <c r="E175" s="10">
        <f>Github!F$541+Github!G$541</f>
        <v>5139</v>
      </c>
      <c r="F175" s="12">
        <f t="shared" si="1"/>
        <v>45.72</v>
      </c>
      <c r="G175" s="10" t="str">
        <f>Github!H$541</f>
        <v>Algorithms</v>
      </c>
      <c r="H175" s="13" t="str">
        <f>SUBSTITUTE(Github!L$541, ";", ", ")</f>
        <v>Array, Binary Search, </v>
      </c>
      <c r="I175" s="10" t="str">
        <f>Github!E$541</f>
        <v>Medium</v>
      </c>
      <c r="J175" s="10" t="str">
        <f>IF(TRIM(Github!D$541)="TRUE","FALSE","TRUE")</f>
        <v>TRUE</v>
      </c>
      <c r="K175" s="10" t="b">
        <f>Github!M$541</f>
        <v>1</v>
      </c>
      <c r="L175" s="10" t="b">
        <f>Github!N$541</f>
        <v>0</v>
      </c>
      <c r="M175" s="10" t="str">
        <f>ROUND(Github!O$541, 2)&amp;"%"</f>
        <v>58.68%</v>
      </c>
      <c r="N175" s="10">
        <f>Github!P$541</f>
        <v>287121</v>
      </c>
      <c r="O175" s="10">
        <f>Github!Q$541</f>
        <v>489270</v>
      </c>
    </row>
    <row r="176">
      <c r="A176" s="10">
        <f>Github!J$38</f>
        <v>37</v>
      </c>
      <c r="B176" s="11" t="str">
        <f>HYPERLINK(CONCAT("http://leetcode.com/problems/",Github!C$38), Github!B$38)</f>
        <v>Sudoku Solver</v>
      </c>
      <c r="C176" s="10">
        <f>Github!F$38</f>
        <v>5030</v>
      </c>
      <c r="D176" s="10">
        <f>Github!G$38</f>
        <v>151</v>
      </c>
      <c r="E176" s="10">
        <f>Github!F$38+Github!G$38</f>
        <v>5181</v>
      </c>
      <c r="F176" s="12">
        <f t="shared" si="1"/>
        <v>33.31</v>
      </c>
      <c r="G176" s="10" t="str">
        <f>Github!H$38</f>
        <v>Algorithms</v>
      </c>
      <c r="H176" s="13" t="str">
        <f>SUBSTITUTE(Github!L$38, ";", ", ")</f>
        <v>Array, Backtracking, Matrix, </v>
      </c>
      <c r="I176" s="10" t="str">
        <f>Github!E$38</f>
        <v>Hard</v>
      </c>
      <c r="J176" s="10" t="str">
        <f>IF(TRIM(Github!D$38)="TRUE","FALSE","TRUE")</f>
        <v>TRUE</v>
      </c>
      <c r="K176" s="10" t="b">
        <f>Github!M$38</f>
        <v>1</v>
      </c>
      <c r="L176" s="10" t="b">
        <f>Github!N$38</f>
        <v>0</v>
      </c>
      <c r="M176" s="10" t="str">
        <f>ROUND(Github!O$38, 2)&amp;"%"</f>
        <v>53.89%</v>
      </c>
      <c r="N176" s="10">
        <f>Github!P$38</f>
        <v>344348</v>
      </c>
      <c r="O176" s="10">
        <f>Github!Q$38</f>
        <v>639042</v>
      </c>
    </row>
    <row r="177">
      <c r="A177" s="10">
        <f>Github!J$582</f>
        <v>581</v>
      </c>
      <c r="B177" s="11" t="str">
        <f>HYPERLINK(CONCAT("http://leetcode.com/problems/",Github!C$582), Github!B$582)</f>
        <v>Shortest Unsorted Continuous Subarray</v>
      </c>
      <c r="C177" s="10">
        <f>Github!F$582</f>
        <v>4981</v>
      </c>
      <c r="D177" s="10">
        <f>Github!G$582</f>
        <v>202</v>
      </c>
      <c r="E177" s="10">
        <f>Github!F$582+Github!G$582</f>
        <v>5183</v>
      </c>
      <c r="F177" s="12">
        <f t="shared" si="1"/>
        <v>24.66</v>
      </c>
      <c r="G177" s="10" t="str">
        <f>Github!H$582</f>
        <v>Algorithms</v>
      </c>
      <c r="H177" s="13" t="str">
        <f>SUBSTITUTE(Github!L$582, ";", ", ")</f>
        <v>Array, Two Pointers, Stack, Greedy, Sorting, Monotonic Stack, </v>
      </c>
      <c r="I177" s="10" t="str">
        <f>Github!E$582</f>
        <v>Medium</v>
      </c>
      <c r="J177" s="10" t="str">
        <f>IF(TRIM(Github!D$582)="TRUE","FALSE","TRUE")</f>
        <v>TRUE</v>
      </c>
      <c r="K177" s="10" t="b">
        <f>Github!M$582</f>
        <v>1</v>
      </c>
      <c r="L177" s="10" t="b">
        <f>Github!N$582</f>
        <v>0</v>
      </c>
      <c r="M177" s="10" t="str">
        <f>ROUND(Github!O$582, 2)&amp;"%"</f>
        <v>34.17%</v>
      </c>
      <c r="N177" s="10">
        <f>Github!P$582</f>
        <v>216583</v>
      </c>
      <c r="O177" s="10">
        <f>Github!Q$582</f>
        <v>633878</v>
      </c>
    </row>
    <row r="178">
      <c r="A178" s="10">
        <f>Github!J$400</f>
        <v>399</v>
      </c>
      <c r="B178" s="11" t="str">
        <f>HYPERLINK(CONCAT("http://leetcode.com/problems/",Github!C$400), Github!B$400)</f>
        <v>Evaluate Division</v>
      </c>
      <c r="C178" s="10">
        <f>Github!F$400</f>
        <v>4956</v>
      </c>
      <c r="D178" s="10">
        <f>Github!G$400</f>
        <v>422</v>
      </c>
      <c r="E178" s="10">
        <f>Github!F$400+Github!G$400</f>
        <v>5378</v>
      </c>
      <c r="F178" s="12">
        <f t="shared" si="1"/>
        <v>11.74</v>
      </c>
      <c r="G178" s="10" t="str">
        <f>Github!H$400</f>
        <v>Algorithms</v>
      </c>
      <c r="H178" s="13" t="str">
        <f>SUBSTITUTE(Github!L$400, ";", ", ")</f>
        <v>Array, Depth-First Search, Breadth-First Search, Union Find, Graph, Shortest Path, </v>
      </c>
      <c r="I178" s="10" t="str">
        <f>Github!E$400</f>
        <v>Medium</v>
      </c>
      <c r="J178" s="10" t="str">
        <f>IF(TRIM(Github!D$400)="TRUE","FALSE","TRUE")</f>
        <v>TRUE</v>
      </c>
      <c r="K178" s="10" t="b">
        <f>Github!M$400</f>
        <v>1</v>
      </c>
      <c r="L178" s="10" t="b">
        <f>Github!N$400</f>
        <v>0</v>
      </c>
      <c r="M178" s="10" t="str">
        <f>ROUND(Github!O$400, 2)&amp;"%"</f>
        <v>57.13%</v>
      </c>
      <c r="N178" s="10">
        <f>Github!P$400</f>
        <v>249108</v>
      </c>
      <c r="O178" s="10">
        <f>Github!Q$400</f>
        <v>436049</v>
      </c>
    </row>
    <row r="179">
      <c r="A179" s="10">
        <f>Github!J$37</f>
        <v>36</v>
      </c>
      <c r="B179" s="11" t="str">
        <f>HYPERLINK(CONCAT("http://leetcode.com/problems/",Github!C$37), Github!B$37)</f>
        <v>Valid Sudoku</v>
      </c>
      <c r="C179" s="10">
        <f>Github!F$37</f>
        <v>4948</v>
      </c>
      <c r="D179" s="10">
        <f>Github!G$37</f>
        <v>703</v>
      </c>
      <c r="E179" s="10">
        <f>Github!F$37+Github!G$37</f>
        <v>5651</v>
      </c>
      <c r="F179" s="12">
        <f t="shared" si="1"/>
        <v>7.04</v>
      </c>
      <c r="G179" s="10" t="str">
        <f>Github!H$37</f>
        <v>Algorithms</v>
      </c>
      <c r="H179" s="13" t="str">
        <f>SUBSTITUTE(Github!L$37, ";", ", ")</f>
        <v>Array, Hash Table, Matrix, </v>
      </c>
      <c r="I179" s="10" t="str">
        <f>Github!E$37</f>
        <v>Medium</v>
      </c>
      <c r="J179" s="10" t="str">
        <f>IF(TRIM(Github!D$37)="TRUE","FALSE","TRUE")</f>
        <v>TRUE</v>
      </c>
      <c r="K179" s="10" t="b">
        <f>Github!M$37</f>
        <v>1</v>
      </c>
      <c r="L179" s="10" t="b">
        <f>Github!N$37</f>
        <v>0</v>
      </c>
      <c r="M179" s="10" t="str">
        <f>ROUND(Github!O$37, 2)&amp;"%"</f>
        <v>55.01%</v>
      </c>
      <c r="N179" s="10">
        <f>Github!P$37</f>
        <v>720005</v>
      </c>
      <c r="O179" s="10">
        <f>Github!Q$37</f>
        <v>1308918</v>
      </c>
    </row>
    <row r="180">
      <c r="A180" s="10">
        <f>Github!J$68</f>
        <v>67</v>
      </c>
      <c r="B180" s="11" t="str">
        <f>HYPERLINK(CONCAT("http://leetcode.com/problems/",Github!C$68), Github!B$68)</f>
        <v>Add Binary</v>
      </c>
      <c r="C180" s="10">
        <f>Github!F$68</f>
        <v>4921</v>
      </c>
      <c r="D180" s="10">
        <f>Github!G$68</f>
        <v>538</v>
      </c>
      <c r="E180" s="10">
        <f>Github!F$68+Github!G$68</f>
        <v>5459</v>
      </c>
      <c r="F180" s="12">
        <f t="shared" si="1"/>
        <v>9.15</v>
      </c>
      <c r="G180" s="10" t="str">
        <f>Github!H$68</f>
        <v>Algorithms</v>
      </c>
      <c r="H180" s="13" t="str">
        <f>SUBSTITUTE(Github!L$68, ";", ", ")</f>
        <v>Math, String, Bit Manipulation, Simulation, </v>
      </c>
      <c r="I180" s="10" t="str">
        <f>Github!E$68</f>
        <v>Easy</v>
      </c>
      <c r="J180" s="10" t="str">
        <f>IF(TRIM(Github!D$68)="TRUE","FALSE","TRUE")</f>
        <v>TRUE</v>
      </c>
      <c r="K180" s="10" t="b">
        <f>Github!M$68</f>
        <v>1</v>
      </c>
      <c r="L180" s="10" t="b">
        <f>Github!N$68</f>
        <v>0</v>
      </c>
      <c r="M180" s="10" t="str">
        <f>ROUND(Github!O$68, 2)&amp;"%"</f>
        <v>50.43%</v>
      </c>
      <c r="N180" s="10">
        <f>Github!P$68</f>
        <v>825738</v>
      </c>
      <c r="O180" s="10">
        <f>Github!Q$68</f>
        <v>1637468</v>
      </c>
    </row>
    <row r="181">
      <c r="A181" s="10">
        <f>Github!J$91</f>
        <v>90</v>
      </c>
      <c r="B181" s="11" t="str">
        <f>HYPERLINK(CONCAT("http://leetcode.com/problems/",Github!C$91), Github!B$91)</f>
        <v>Subsets II</v>
      </c>
      <c r="C181" s="10">
        <f>Github!F$91</f>
        <v>4913</v>
      </c>
      <c r="D181" s="10">
        <f>Github!G$91</f>
        <v>150</v>
      </c>
      <c r="E181" s="10">
        <f>Github!F$91+Github!G$91</f>
        <v>5063</v>
      </c>
      <c r="F181" s="12">
        <f t="shared" si="1"/>
        <v>32.75</v>
      </c>
      <c r="G181" s="10" t="str">
        <f>Github!H$91</f>
        <v>Algorithms</v>
      </c>
      <c r="H181" s="13" t="str">
        <f>SUBSTITUTE(Github!L$91, ";", ", ")</f>
        <v>Array, Backtracking, Bit Manipulation, </v>
      </c>
      <c r="I181" s="10" t="str">
        <f>Github!E$91</f>
        <v>Medium</v>
      </c>
      <c r="J181" s="10" t="str">
        <f>IF(TRIM(Github!D$91)="TRUE","FALSE","TRUE")</f>
        <v>TRUE</v>
      </c>
      <c r="K181" s="10" t="b">
        <f>Github!M$91</f>
        <v>1</v>
      </c>
      <c r="L181" s="10" t="b">
        <f>Github!N$91</f>
        <v>0</v>
      </c>
      <c r="M181" s="10" t="str">
        <f>ROUND(Github!O$91, 2)&amp;"%"</f>
        <v>53.2%</v>
      </c>
      <c r="N181" s="10">
        <f>Github!P$91</f>
        <v>496193</v>
      </c>
      <c r="O181" s="10">
        <f>Github!Q$91</f>
        <v>932615</v>
      </c>
    </row>
    <row r="182">
      <c r="A182" s="10">
        <f>Github!J$345</f>
        <v>344</v>
      </c>
      <c r="B182" s="11" t="str">
        <f>HYPERLINK(CONCAT("http://leetcode.com/problems/",Github!C$345), Github!B$345)</f>
        <v>Reverse String</v>
      </c>
      <c r="C182" s="10">
        <f>Github!F$345</f>
        <v>4917</v>
      </c>
      <c r="D182" s="10">
        <f>Github!G$345</f>
        <v>940</v>
      </c>
      <c r="E182" s="10">
        <f>Github!F$345+Github!G$345</f>
        <v>5857</v>
      </c>
      <c r="F182" s="12">
        <f t="shared" si="1"/>
        <v>5.23</v>
      </c>
      <c r="G182" s="10" t="str">
        <f>Github!H$345</f>
        <v>Algorithms</v>
      </c>
      <c r="H182" s="13" t="str">
        <f>SUBSTITUTE(Github!L$345, ";", ", ")</f>
        <v>Two Pointers, String, Recursion, </v>
      </c>
      <c r="I182" s="10" t="str">
        <f>Github!E$345</f>
        <v>Easy</v>
      </c>
      <c r="J182" s="10" t="str">
        <f>IF(TRIM(Github!D$345)="TRUE","FALSE","TRUE")</f>
        <v>TRUE</v>
      </c>
      <c r="K182" s="10" t="b">
        <f>Github!M$345</f>
        <v>1</v>
      </c>
      <c r="L182" s="10" t="b">
        <f>Github!N$345</f>
        <v>1</v>
      </c>
      <c r="M182" s="10" t="str">
        <f>ROUND(Github!O$345, 2)&amp;"%"</f>
        <v>74.84%</v>
      </c>
      <c r="N182" s="10">
        <f>Github!P$345</f>
        <v>1570721</v>
      </c>
      <c r="O182" s="10">
        <f>Github!Q$345</f>
        <v>2098908</v>
      </c>
    </row>
    <row r="183">
      <c r="A183" s="10">
        <f>Github!J$388</f>
        <v>387</v>
      </c>
      <c r="B183" s="11" t="str">
        <f>HYPERLINK(CONCAT("http://leetcode.com/problems/",Github!C$388), Github!B$388)</f>
        <v>First Unique Character in a String</v>
      </c>
      <c r="C183" s="10">
        <f>Github!F$388</f>
        <v>4888</v>
      </c>
      <c r="D183" s="10">
        <f>Github!G$388</f>
        <v>194</v>
      </c>
      <c r="E183" s="10">
        <f>Github!F$388+Github!G$388</f>
        <v>5082</v>
      </c>
      <c r="F183" s="12">
        <f t="shared" si="1"/>
        <v>25.2</v>
      </c>
      <c r="G183" s="10" t="str">
        <f>Github!H$388</f>
        <v>Algorithms</v>
      </c>
      <c r="H183" s="13" t="str">
        <f>SUBSTITUTE(Github!L$388, ";", ", ")</f>
        <v>Hash Table, String, Queue, Counting, </v>
      </c>
      <c r="I183" s="10" t="str">
        <f>Github!E$388</f>
        <v>Easy</v>
      </c>
      <c r="J183" s="10" t="str">
        <f>IF(TRIM(Github!D$388)="TRUE","FALSE","TRUE")</f>
        <v>TRUE</v>
      </c>
      <c r="K183" s="10" t="b">
        <f>Github!M$388</f>
        <v>1</v>
      </c>
      <c r="L183" s="10" t="b">
        <f>Github!N$388</f>
        <v>0</v>
      </c>
      <c r="M183" s="10" t="str">
        <f>ROUND(Github!O$388, 2)&amp;"%"</f>
        <v>57.07%</v>
      </c>
      <c r="N183" s="10">
        <f>Github!P$388</f>
        <v>1035052</v>
      </c>
      <c r="O183" s="10">
        <f>Github!Q$388</f>
        <v>1813669</v>
      </c>
    </row>
    <row r="184">
      <c r="A184" s="10">
        <f>Github!J$204</f>
        <v>203</v>
      </c>
      <c r="B184" s="11" t="str">
        <f>HYPERLINK(CONCAT("http://leetcode.com/problems/",Github!C$204), Github!B$204)</f>
        <v>Remove Linked List Elements</v>
      </c>
      <c r="C184" s="10">
        <f>Github!F$204</f>
        <v>4853</v>
      </c>
      <c r="D184" s="10">
        <f>Github!G$204</f>
        <v>164</v>
      </c>
      <c r="E184" s="10">
        <f>Github!F$204+Github!G$204</f>
        <v>5017</v>
      </c>
      <c r="F184" s="12">
        <f t="shared" si="1"/>
        <v>29.59</v>
      </c>
      <c r="G184" s="10" t="str">
        <f>Github!H$204</f>
        <v>Algorithms</v>
      </c>
      <c r="H184" s="13" t="str">
        <f>SUBSTITUTE(Github!L$204, ";", ", ")</f>
        <v>Linked List, Recursion, </v>
      </c>
      <c r="I184" s="10" t="str">
        <f>Github!E$204</f>
        <v>Easy</v>
      </c>
      <c r="J184" s="10" t="str">
        <f>IF(TRIM(Github!D$204)="TRUE","FALSE","TRUE")</f>
        <v>TRUE</v>
      </c>
      <c r="K184" s="10" t="b">
        <f>Github!M$204</f>
        <v>1</v>
      </c>
      <c r="L184" s="10" t="b">
        <f>Github!N$204</f>
        <v>0</v>
      </c>
      <c r="M184" s="10" t="str">
        <f>ROUND(Github!O$204, 2)&amp;"%"</f>
        <v>43.45%</v>
      </c>
      <c r="N184" s="10">
        <f>Github!P$204</f>
        <v>692994</v>
      </c>
      <c r="O184" s="10">
        <f>Github!Q$204</f>
        <v>1594781</v>
      </c>
    </row>
    <row r="185">
      <c r="A185" s="10">
        <f>Github!J$48</f>
        <v>47</v>
      </c>
      <c r="B185" s="11" t="str">
        <f>HYPERLINK(CONCAT("http://leetcode.com/problems/",Github!C$48), Github!B$48)</f>
        <v>Permutations II</v>
      </c>
      <c r="C185" s="10">
        <f>Github!F$48</f>
        <v>4840</v>
      </c>
      <c r="D185" s="10">
        <f>Github!G$48</f>
        <v>90</v>
      </c>
      <c r="E185" s="10">
        <f>Github!F$48+Github!G$48</f>
        <v>4930</v>
      </c>
      <c r="F185" s="12">
        <f t="shared" si="1"/>
        <v>53.78</v>
      </c>
      <c r="G185" s="10" t="str">
        <f>Github!H$48</f>
        <v>Algorithms</v>
      </c>
      <c r="H185" s="13" t="str">
        <f>SUBSTITUTE(Github!L$48, ";", ", ")</f>
        <v>Array, Backtracking, </v>
      </c>
      <c r="I185" s="10" t="str">
        <f>Github!E$48</f>
        <v>Medium</v>
      </c>
      <c r="J185" s="10" t="str">
        <f>IF(TRIM(Github!D$48)="TRUE","FALSE","TRUE")</f>
        <v>TRUE</v>
      </c>
      <c r="K185" s="10" t="b">
        <f>Github!M$48</f>
        <v>1</v>
      </c>
      <c r="L185" s="10" t="b">
        <f>Github!N$48</f>
        <v>0</v>
      </c>
      <c r="M185" s="10" t="str">
        <f>ROUND(Github!O$48, 2)&amp;"%"</f>
        <v>54.08%</v>
      </c>
      <c r="N185" s="10">
        <f>Github!P$48</f>
        <v>601733</v>
      </c>
      <c r="O185" s="10">
        <f>Github!Q$48</f>
        <v>1112614</v>
      </c>
    </row>
    <row r="186">
      <c r="A186" s="10">
        <f>Github!J$121</f>
        <v>120</v>
      </c>
      <c r="B186" s="11" t="str">
        <f>HYPERLINK(CONCAT("http://leetcode.com/problems/",Github!C$121), Github!B$121)</f>
        <v>Triangle</v>
      </c>
      <c r="C186" s="10">
        <f>Github!F$121</f>
        <v>4827</v>
      </c>
      <c r="D186" s="10">
        <f>Github!G$121</f>
        <v>380</v>
      </c>
      <c r="E186" s="10">
        <f>Github!F$121+Github!G$121</f>
        <v>5207</v>
      </c>
      <c r="F186" s="12">
        <f t="shared" si="1"/>
        <v>12.7</v>
      </c>
      <c r="G186" s="10" t="str">
        <f>Github!H$121</f>
        <v>Algorithms</v>
      </c>
      <c r="H186" s="13" t="str">
        <f>SUBSTITUTE(Github!L$121, ";", ", ")</f>
        <v>Array, Dynamic Programming, </v>
      </c>
      <c r="I186" s="10" t="str">
        <f>Github!E$121</f>
        <v>Medium</v>
      </c>
      <c r="J186" s="10" t="str">
        <f>IF(TRIM(Github!D$121)="TRUE","FALSE","TRUE")</f>
        <v>TRUE</v>
      </c>
      <c r="K186" s="10" t="b">
        <f>Github!M$121</f>
        <v>1</v>
      </c>
      <c r="L186" s="10" t="b">
        <f>Github!N$121</f>
        <v>0</v>
      </c>
      <c r="M186" s="10" t="str">
        <f>ROUND(Github!O$121, 2)&amp;"%"</f>
        <v>50.76%</v>
      </c>
      <c r="N186" s="10">
        <f>Github!P$121</f>
        <v>412607</v>
      </c>
      <c r="O186" s="10">
        <f>Github!Q$121</f>
        <v>812810</v>
      </c>
    </row>
    <row r="187">
      <c r="A187" s="10">
        <f>Github!J$407</f>
        <v>406</v>
      </c>
      <c r="B187" s="11" t="str">
        <f>HYPERLINK(CONCAT("http://leetcode.com/problems/",Github!C$407), Github!B$407)</f>
        <v>Queue Reconstruction by Height</v>
      </c>
      <c r="C187" s="10">
        <f>Github!F$407</f>
        <v>4802</v>
      </c>
      <c r="D187" s="10">
        <f>Github!G$407</f>
        <v>514</v>
      </c>
      <c r="E187" s="10">
        <f>Github!F$407+Github!G$407</f>
        <v>5316</v>
      </c>
      <c r="F187" s="12">
        <f t="shared" si="1"/>
        <v>9.34</v>
      </c>
      <c r="G187" s="10" t="str">
        <f>Github!H$407</f>
        <v>Algorithms</v>
      </c>
      <c r="H187" s="13" t="str">
        <f>SUBSTITUTE(Github!L$407, ";", ", ")</f>
        <v>Array, Greedy, Binary Indexed Tree, Segment Tree, Sorting, </v>
      </c>
      <c r="I187" s="10" t="str">
        <f>Github!E$407</f>
        <v>Medium</v>
      </c>
      <c r="J187" s="10" t="str">
        <f>IF(TRIM(Github!D$407)="TRUE","FALSE","TRUE")</f>
        <v>TRUE</v>
      </c>
      <c r="K187" s="10" t="b">
        <f>Github!M$407</f>
        <v>1</v>
      </c>
      <c r="L187" s="10" t="b">
        <f>Github!N$407</f>
        <v>0</v>
      </c>
      <c r="M187" s="10" t="str">
        <f>ROUND(Github!O$407, 2)&amp;"%"</f>
        <v>70.12%</v>
      </c>
      <c r="N187" s="10">
        <f>Github!P$407</f>
        <v>221682</v>
      </c>
      <c r="O187" s="10">
        <f>Github!Q$407</f>
        <v>316130</v>
      </c>
    </row>
    <row r="188">
      <c r="A188" s="10">
        <f>Github!J$788</f>
        <v>787</v>
      </c>
      <c r="B188" s="11" t="str">
        <f>HYPERLINK(CONCAT("http://leetcode.com/problems/",Github!C$788), Github!B$788)</f>
        <v>Cheapest Flights Within K Stops</v>
      </c>
      <c r="C188" s="10">
        <f>Github!F$788</f>
        <v>4805</v>
      </c>
      <c r="D188" s="10">
        <f>Github!G$788</f>
        <v>215</v>
      </c>
      <c r="E188" s="10">
        <f>Github!F$788+Github!G$788</f>
        <v>5020</v>
      </c>
      <c r="F188" s="12">
        <f t="shared" si="1"/>
        <v>22.35</v>
      </c>
      <c r="G188" s="10" t="str">
        <f>Github!H$788</f>
        <v>Algorithms</v>
      </c>
      <c r="H188" s="13" t="str">
        <f>SUBSTITUTE(Github!L$788, ";", ", ")</f>
        <v>Dynamic Programming, Depth-First Search, Breadth-First Search, Graph, Heap (Priority Queue), Shortest Path, </v>
      </c>
      <c r="I188" s="10" t="str">
        <f>Github!E$788</f>
        <v>Medium</v>
      </c>
      <c r="J188" s="10" t="str">
        <f>IF(TRIM(Github!D$788)="TRUE","FALSE","TRUE")</f>
        <v>TRUE</v>
      </c>
      <c r="K188" s="10" t="b">
        <f>Github!M$788</f>
        <v>1</v>
      </c>
      <c r="L188" s="10" t="b">
        <f>Github!N$788</f>
        <v>0</v>
      </c>
      <c r="M188" s="10" t="str">
        <f>ROUND(Github!O$788, 2)&amp;"%"</f>
        <v>36%</v>
      </c>
      <c r="N188" s="10">
        <f>Github!P$788</f>
        <v>230226</v>
      </c>
      <c r="O188" s="10">
        <f>Github!Q$788</f>
        <v>639439</v>
      </c>
    </row>
    <row r="189">
      <c r="A189" s="10">
        <f>Github!J$212</f>
        <v>211</v>
      </c>
      <c r="B189" s="11" t="str">
        <f>HYPERLINK(CONCAT("http://leetcode.com/problems/",Github!C$212), Github!B$212)</f>
        <v>Design Add and Search Words Data Structure</v>
      </c>
      <c r="C189" s="10">
        <f>Github!F$212</f>
        <v>4796</v>
      </c>
      <c r="D189" s="10">
        <f>Github!G$212</f>
        <v>199</v>
      </c>
      <c r="E189" s="10">
        <f>Github!F$212+Github!G$212</f>
        <v>4995</v>
      </c>
      <c r="F189" s="12">
        <f t="shared" si="1"/>
        <v>24.1</v>
      </c>
      <c r="G189" s="10" t="str">
        <f>Github!H$212</f>
        <v>Algorithms</v>
      </c>
      <c r="H189" s="13" t="str">
        <f>SUBSTITUTE(Github!L$212, ";", ", ")</f>
        <v>String, Depth-First Search, Design, Trie, </v>
      </c>
      <c r="I189" s="10" t="str">
        <f>Github!E$212</f>
        <v>Medium</v>
      </c>
      <c r="J189" s="10" t="str">
        <f>IF(TRIM(Github!D$212)="TRUE","FALSE","TRUE")</f>
        <v>TRUE</v>
      </c>
      <c r="K189" s="10" t="b">
        <f>Github!M$212</f>
        <v>1</v>
      </c>
      <c r="L189" s="10" t="b">
        <f>Github!N$212</f>
        <v>0</v>
      </c>
      <c r="M189" s="10" t="str">
        <f>ROUND(Github!O$212, 2)&amp;"%"</f>
        <v>43.98%</v>
      </c>
      <c r="N189" s="10">
        <f>Github!P$212</f>
        <v>397245</v>
      </c>
      <c r="O189" s="10">
        <f>Github!Q$212</f>
        <v>903192</v>
      </c>
    </row>
    <row r="190">
      <c r="A190" s="10">
        <f>Github!J$180</f>
        <v>179</v>
      </c>
      <c r="B190" s="11" t="str">
        <f>HYPERLINK(CONCAT("http://leetcode.com/problems/",Github!C$180), Github!B$180)</f>
        <v>Largest Number</v>
      </c>
      <c r="C190" s="10">
        <f>Github!F$180</f>
        <v>4793</v>
      </c>
      <c r="D190" s="10">
        <f>Github!G$180</f>
        <v>403</v>
      </c>
      <c r="E190" s="10">
        <f>Github!F$180+Github!G$180</f>
        <v>5196</v>
      </c>
      <c r="F190" s="12">
        <f t="shared" si="1"/>
        <v>11.89</v>
      </c>
      <c r="G190" s="10" t="str">
        <f>Github!H$180</f>
        <v>Algorithms</v>
      </c>
      <c r="H190" s="13" t="str">
        <f>SUBSTITUTE(Github!L$180, ";", ", ")</f>
        <v>String, Greedy, Sorting, </v>
      </c>
      <c r="I190" s="10" t="str">
        <f>Github!E$180</f>
        <v>Medium</v>
      </c>
      <c r="J190" s="10" t="str">
        <f>IF(TRIM(Github!D$180)="TRUE","FALSE","TRUE")</f>
        <v>TRUE</v>
      </c>
      <c r="K190" s="10" t="b">
        <f>Github!M$180</f>
        <v>1</v>
      </c>
      <c r="L190" s="10" t="b">
        <f>Github!N$180</f>
        <v>0</v>
      </c>
      <c r="M190" s="10" t="str">
        <f>ROUND(Github!O$180, 2)&amp;"%"</f>
        <v>32.9%</v>
      </c>
      <c r="N190" s="10">
        <f>Github!P$180</f>
        <v>314366</v>
      </c>
      <c r="O190" s="10">
        <f>Github!Q$180</f>
        <v>955626</v>
      </c>
    </row>
    <row r="191">
      <c r="A191" s="10">
        <f>Github!J$223</f>
        <v>222</v>
      </c>
      <c r="B191" s="11" t="str">
        <f>HYPERLINK(CONCAT("http://leetcode.com/problems/",Github!C$223), Github!B$223)</f>
        <v>Count Complete Tree Nodes</v>
      </c>
      <c r="C191" s="10">
        <f>Github!F$223</f>
        <v>4790</v>
      </c>
      <c r="D191" s="10">
        <f>Github!G$223</f>
        <v>313</v>
      </c>
      <c r="E191" s="10">
        <f>Github!F$223+Github!G$223</f>
        <v>5103</v>
      </c>
      <c r="F191" s="12">
        <f t="shared" si="1"/>
        <v>15.3</v>
      </c>
      <c r="G191" s="10" t="str">
        <f>Github!H$223</f>
        <v>Algorithms</v>
      </c>
      <c r="H191" s="13" t="str">
        <f>SUBSTITUTE(Github!L$223, ";", ", ")</f>
        <v>Binary Search, Tree, Depth-First Search, Binary Tree, </v>
      </c>
      <c r="I191" s="10" t="str">
        <f>Github!E$223</f>
        <v>Medium</v>
      </c>
      <c r="J191" s="10" t="str">
        <f>IF(TRIM(Github!D$223)="TRUE","FALSE","TRUE")</f>
        <v>TRUE</v>
      </c>
      <c r="K191" s="10" t="b">
        <f>Github!M$223</f>
        <v>1</v>
      </c>
      <c r="L191" s="10" t="b">
        <f>Github!N$223</f>
        <v>0</v>
      </c>
      <c r="M191" s="10" t="str">
        <f>ROUND(Github!O$223, 2)&amp;"%"</f>
        <v>55.2%</v>
      </c>
      <c r="N191" s="10">
        <f>Github!P$223</f>
        <v>399358</v>
      </c>
      <c r="O191" s="10">
        <f>Github!Q$223</f>
        <v>723469</v>
      </c>
    </row>
    <row r="192">
      <c r="A192" s="10">
        <f>Github!J$205</f>
        <v>204</v>
      </c>
      <c r="B192" s="11" t="str">
        <f>HYPERLINK(CONCAT("http://leetcode.com/problems/",Github!C$205), Github!B$205)</f>
        <v>Count Primes</v>
      </c>
      <c r="C192" s="10">
        <f>Github!F$205</f>
        <v>4740</v>
      </c>
      <c r="D192" s="10">
        <f>Github!G$205</f>
        <v>990</v>
      </c>
      <c r="E192" s="10">
        <f>Github!F$205+Github!G$205</f>
        <v>5730</v>
      </c>
      <c r="F192" s="12">
        <f t="shared" si="1"/>
        <v>4.79</v>
      </c>
      <c r="G192" s="10" t="str">
        <f>Github!H$205</f>
        <v>Algorithms</v>
      </c>
      <c r="H192" s="13" t="str">
        <f>SUBSTITUTE(Github!L$205, ";", ", ")</f>
        <v>Array, Math, Enumeration, Number Theory, </v>
      </c>
      <c r="I192" s="10" t="str">
        <f>Github!E$205</f>
        <v>Medium</v>
      </c>
      <c r="J192" s="10" t="str">
        <f>IF(TRIM(Github!D$205)="TRUE","FALSE","TRUE")</f>
        <v>TRUE</v>
      </c>
      <c r="K192" s="10" t="b">
        <f>Github!M$205</f>
        <v>1</v>
      </c>
      <c r="L192" s="10" t="b">
        <f>Github!N$205</f>
        <v>0</v>
      </c>
      <c r="M192" s="10" t="str">
        <f>ROUND(Github!O$205, 2)&amp;"%"</f>
        <v>33%</v>
      </c>
      <c r="N192" s="10">
        <f>Github!P$205</f>
        <v>603627</v>
      </c>
      <c r="O192" s="10">
        <f>Github!Q$205</f>
        <v>1829348</v>
      </c>
    </row>
    <row r="193">
      <c r="A193" s="10">
        <f>Github!J$230</f>
        <v>229</v>
      </c>
      <c r="B193" s="11" t="str">
        <f>HYPERLINK(CONCAT("http://leetcode.com/problems/",Github!C$230), Github!B$230)</f>
        <v>Majority Element II</v>
      </c>
      <c r="C193" s="10">
        <f>Github!F$230</f>
        <v>4740</v>
      </c>
      <c r="D193" s="10">
        <f>Github!G$230</f>
        <v>279</v>
      </c>
      <c r="E193" s="10">
        <f>Github!F$230+Github!G$230</f>
        <v>5019</v>
      </c>
      <c r="F193" s="12">
        <f t="shared" si="1"/>
        <v>16.99</v>
      </c>
      <c r="G193" s="10" t="str">
        <f>Github!H$230</f>
        <v>Algorithms</v>
      </c>
      <c r="H193" s="13" t="str">
        <f>SUBSTITUTE(Github!L$230, ";", ", ")</f>
        <v>Array, Hash Table, Sorting, Counting, </v>
      </c>
      <c r="I193" s="10" t="str">
        <f>Github!E$230</f>
        <v>Medium</v>
      </c>
      <c r="J193" s="10" t="str">
        <f>IF(TRIM(Github!D$230)="TRUE","FALSE","TRUE")</f>
        <v>TRUE</v>
      </c>
      <c r="K193" s="10" t="b">
        <f>Github!M$230</f>
        <v>1</v>
      </c>
      <c r="L193" s="10" t="b">
        <f>Github!N$230</f>
        <v>0</v>
      </c>
      <c r="M193" s="10" t="str">
        <f>ROUND(Github!O$230, 2)&amp;"%"</f>
        <v>42.34%</v>
      </c>
      <c r="N193" s="10">
        <f>Github!P$230</f>
        <v>285149</v>
      </c>
      <c r="O193" s="10">
        <f>Github!Q$230</f>
        <v>673528</v>
      </c>
    </row>
    <row r="194">
      <c r="A194" s="10">
        <f>Github!J$131</f>
        <v>130</v>
      </c>
      <c r="B194" s="11" t="str">
        <f>HYPERLINK(CONCAT("http://leetcode.com/problems/",Github!C$131), Github!B$131)</f>
        <v>Surrounded Regions</v>
      </c>
      <c r="C194" s="10">
        <f>Github!F$131</f>
        <v>4733</v>
      </c>
      <c r="D194" s="10">
        <f>Github!G$131</f>
        <v>1186</v>
      </c>
      <c r="E194" s="10">
        <f>Github!F$131+Github!G$131</f>
        <v>5919</v>
      </c>
      <c r="F194" s="12">
        <f t="shared" si="1"/>
        <v>3.99</v>
      </c>
      <c r="G194" s="10" t="str">
        <f>Github!H$131</f>
        <v>Algorithms</v>
      </c>
      <c r="H194" s="13" t="str">
        <f>SUBSTITUTE(Github!L$131, ";", ", ")</f>
        <v>Array, Depth-First Search, Breadth-First Search, Union Find, Matrix, </v>
      </c>
      <c r="I194" s="10" t="str">
        <f>Github!E$131</f>
        <v>Medium</v>
      </c>
      <c r="J194" s="10" t="str">
        <f>IF(TRIM(Github!D$131)="TRUE","FALSE","TRUE")</f>
        <v>TRUE</v>
      </c>
      <c r="K194" s="10" t="b">
        <f>Github!M$131</f>
        <v>1</v>
      </c>
      <c r="L194" s="10" t="b">
        <f>Github!N$131</f>
        <v>0</v>
      </c>
      <c r="M194" s="10" t="str">
        <f>ROUND(Github!O$131, 2)&amp;"%"</f>
        <v>33.98%</v>
      </c>
      <c r="N194" s="10">
        <f>Github!P$131</f>
        <v>408631</v>
      </c>
      <c r="O194" s="10">
        <f>Github!Q$131</f>
        <v>1202689</v>
      </c>
    </row>
    <row r="195">
      <c r="A195" s="10">
        <f>Github!J$670</f>
        <v>669</v>
      </c>
      <c r="B195" s="11" t="str">
        <f>HYPERLINK(CONCAT("http://leetcode.com/problems/",Github!C$670), Github!B$670)</f>
        <v>Trim a Binary Search Tree</v>
      </c>
      <c r="C195" s="10">
        <f>Github!F$670</f>
        <v>4720</v>
      </c>
      <c r="D195" s="10">
        <f>Github!G$670</f>
        <v>236</v>
      </c>
      <c r="E195" s="10">
        <f>Github!F$670+Github!G$670</f>
        <v>4956</v>
      </c>
      <c r="F195" s="12">
        <f t="shared" si="1"/>
        <v>20</v>
      </c>
      <c r="G195" s="10" t="str">
        <f>Github!H$670</f>
        <v>Algorithms</v>
      </c>
      <c r="H195" s="13" t="str">
        <f>SUBSTITUTE(Github!L$670, ";", ", ")</f>
        <v>Tree, Depth-First Search, Binary Search Tree, Binary Tree, </v>
      </c>
      <c r="I195" s="10" t="str">
        <f>Github!E$670</f>
        <v>Medium</v>
      </c>
      <c r="J195" s="10" t="str">
        <f>IF(TRIM(Github!D$670)="TRUE","FALSE","TRUE")</f>
        <v>TRUE</v>
      </c>
      <c r="K195" s="10" t="b">
        <f>Github!M$670</f>
        <v>1</v>
      </c>
      <c r="L195" s="10" t="b">
        <f>Github!N$670</f>
        <v>0</v>
      </c>
      <c r="M195" s="10" t="str">
        <f>ROUND(Github!O$670, 2)&amp;"%"</f>
        <v>66.26%</v>
      </c>
      <c r="N195" s="10">
        <f>Github!P$670</f>
        <v>231651</v>
      </c>
      <c r="O195" s="10">
        <f>Github!Q$670</f>
        <v>349632</v>
      </c>
    </row>
    <row r="196">
      <c r="A196" s="10">
        <f>Github!J$279</f>
        <v>278</v>
      </c>
      <c r="B196" s="11" t="str">
        <f>HYPERLINK(CONCAT("http://leetcode.com/problems/",Github!C$279), Github!B$279)</f>
        <v>First Bad Version</v>
      </c>
      <c r="C196" s="10">
        <f>Github!F$279</f>
        <v>4728</v>
      </c>
      <c r="D196" s="10">
        <f>Github!G$279</f>
        <v>1773</v>
      </c>
      <c r="E196" s="10">
        <f>Github!F$279+Github!G$279</f>
        <v>6501</v>
      </c>
      <c r="F196" s="12">
        <f t="shared" si="1"/>
        <v>2.67</v>
      </c>
      <c r="G196" s="10" t="str">
        <f>Github!H$279</f>
        <v>Algorithms</v>
      </c>
      <c r="H196" s="13" t="str">
        <f>SUBSTITUTE(Github!L$279, ";", ", ")</f>
        <v>Binary Search, Interactive, </v>
      </c>
      <c r="I196" s="10" t="str">
        <f>Github!E$279</f>
        <v>Easy</v>
      </c>
      <c r="J196" s="10" t="str">
        <f>IF(TRIM(Github!D$279)="TRUE","FALSE","TRUE")</f>
        <v>TRUE</v>
      </c>
      <c r="K196" s="10" t="b">
        <f>Github!M$279</f>
        <v>1</v>
      </c>
      <c r="L196" s="10" t="b">
        <f>Github!N$279</f>
        <v>1</v>
      </c>
      <c r="M196" s="10" t="str">
        <f>ROUND(Github!O$279, 2)&amp;"%"</f>
        <v>41.62%</v>
      </c>
      <c r="N196" s="10">
        <f>Github!P$279</f>
        <v>972472</v>
      </c>
      <c r="O196" s="10">
        <f>Github!Q$279</f>
        <v>2336601</v>
      </c>
    </row>
    <row r="197">
      <c r="A197" s="10">
        <f>Github!J$699</f>
        <v>698</v>
      </c>
      <c r="B197" s="11" t="str">
        <f>HYPERLINK(CONCAT("http://leetcode.com/problems/",Github!C$699), Github!B$699)</f>
        <v>Partition to K Equal Sum Subsets</v>
      </c>
      <c r="C197" s="10">
        <f>Github!F$699</f>
        <v>4720</v>
      </c>
      <c r="D197" s="10">
        <f>Github!G$699</f>
        <v>302</v>
      </c>
      <c r="E197" s="10">
        <f>Github!F$699+Github!G$699</f>
        <v>5022</v>
      </c>
      <c r="F197" s="12">
        <f t="shared" si="1"/>
        <v>15.63</v>
      </c>
      <c r="G197" s="10" t="str">
        <f>Github!H$699</f>
        <v>Algorithms</v>
      </c>
      <c r="H197" s="13" t="str">
        <f>SUBSTITUTE(Github!L$699, ";", ", ")</f>
        <v>Array, Dynamic Programming, Backtracking, Bit Manipulation, Memoization, Bitmask, </v>
      </c>
      <c r="I197" s="10" t="str">
        <f>Github!E$699</f>
        <v>Medium</v>
      </c>
      <c r="J197" s="10" t="str">
        <f>IF(TRIM(Github!D$699)="TRUE","FALSE","TRUE")</f>
        <v>TRUE</v>
      </c>
      <c r="K197" s="10" t="b">
        <f>Github!M$699</f>
        <v>1</v>
      </c>
      <c r="L197" s="10" t="b">
        <f>Github!N$699</f>
        <v>0</v>
      </c>
      <c r="M197" s="10" t="str">
        <f>ROUND(Github!O$699, 2)&amp;"%"</f>
        <v>44%</v>
      </c>
      <c r="N197" s="10">
        <f>Github!P$699</f>
        <v>194909</v>
      </c>
      <c r="O197" s="10">
        <f>Github!Q$699</f>
        <v>442949</v>
      </c>
    </row>
    <row r="198">
      <c r="A198" s="10">
        <f>Github!J$1250</f>
        <v>1249</v>
      </c>
      <c r="B198" s="11" t="str">
        <f>HYPERLINK(CONCAT("http://leetcode.com/problems/",Github!C$1250), Github!B$1250)</f>
        <v>Minimum Remove to Make Valid Parentheses</v>
      </c>
      <c r="C198" s="10">
        <f>Github!F$1250</f>
        <v>4725</v>
      </c>
      <c r="D198" s="10">
        <f>Github!G$1250</f>
        <v>79</v>
      </c>
      <c r="E198" s="10">
        <f>Github!F$1250+Github!G$1250</f>
        <v>4804</v>
      </c>
      <c r="F198" s="12">
        <f t="shared" si="1"/>
        <v>59.81</v>
      </c>
      <c r="G198" s="10" t="str">
        <f>Github!H$1250</f>
        <v>Algorithms</v>
      </c>
      <c r="H198" s="13" t="str">
        <f>SUBSTITUTE(Github!L$1250, ";", ", ")</f>
        <v>String, Stack, </v>
      </c>
      <c r="I198" s="10" t="str">
        <f>Github!E$1250</f>
        <v>Medium</v>
      </c>
      <c r="J198" s="10" t="str">
        <f>IF(TRIM(Github!D$1250)="TRUE","FALSE","TRUE")</f>
        <v>TRUE</v>
      </c>
      <c r="K198" s="10" t="b">
        <f>Github!M$1250</f>
        <v>1</v>
      </c>
      <c r="L198" s="10" t="b">
        <f>Github!N$1250</f>
        <v>0</v>
      </c>
      <c r="M198" s="10" t="str">
        <f>ROUND(Github!O$1250, 2)&amp;"%"</f>
        <v>65.74%</v>
      </c>
      <c r="N198" s="10">
        <f>Github!P$1250</f>
        <v>419301</v>
      </c>
      <c r="O198" s="10">
        <f>Github!Q$1250</f>
        <v>637836</v>
      </c>
    </row>
    <row r="199">
      <c r="A199" s="10">
        <f>Github!J$290</f>
        <v>289</v>
      </c>
      <c r="B199" s="11" t="str">
        <f>HYPERLINK(CONCAT("http://leetcode.com/problems/",Github!C$290), Github!B$290)</f>
        <v>Game of Life</v>
      </c>
      <c r="C199" s="10">
        <f>Github!F$290</f>
        <v>4685</v>
      </c>
      <c r="D199" s="10">
        <f>Github!G$290</f>
        <v>438</v>
      </c>
      <c r="E199" s="10">
        <f>Github!F$290+Github!G$290</f>
        <v>5123</v>
      </c>
      <c r="F199" s="12">
        <f t="shared" si="1"/>
        <v>10.7</v>
      </c>
      <c r="G199" s="10" t="str">
        <f>Github!H$290</f>
        <v>Algorithms</v>
      </c>
      <c r="H199" s="13" t="str">
        <f>SUBSTITUTE(Github!L$290, ";", ", ")</f>
        <v>Array, Matrix, Simulation, </v>
      </c>
      <c r="I199" s="10" t="str">
        <f>Github!E$290</f>
        <v>Medium</v>
      </c>
      <c r="J199" s="10" t="str">
        <f>IF(TRIM(Github!D$290)="TRUE","FALSE","TRUE")</f>
        <v>TRUE</v>
      </c>
      <c r="K199" s="10" t="b">
        <f>Github!M$290</f>
        <v>1</v>
      </c>
      <c r="L199" s="10" t="b">
        <f>Github!N$290</f>
        <v>1</v>
      </c>
      <c r="M199" s="10" t="str">
        <f>ROUND(Github!O$290, 2)&amp;"%"</f>
        <v>65.25%</v>
      </c>
      <c r="N199" s="10">
        <f>Github!P$290</f>
        <v>337805</v>
      </c>
      <c r="O199" s="10">
        <f>Github!Q$290</f>
        <v>517693</v>
      </c>
    </row>
    <row r="200">
      <c r="A200" s="10">
        <f>Github!J$58</f>
        <v>57</v>
      </c>
      <c r="B200" s="11" t="str">
        <f>HYPERLINK(CONCAT("http://leetcode.com/problems/",Github!C$58), Github!B$58)</f>
        <v>Insert Interval</v>
      </c>
      <c r="C200" s="10">
        <f>Github!F$58</f>
        <v>4693</v>
      </c>
      <c r="D200" s="10">
        <f>Github!G$58</f>
        <v>336</v>
      </c>
      <c r="E200" s="10">
        <f>Github!F$58+Github!G$58</f>
        <v>5029</v>
      </c>
      <c r="F200" s="12">
        <f t="shared" si="1"/>
        <v>13.97</v>
      </c>
      <c r="G200" s="10" t="str">
        <f>Github!H$58</f>
        <v>Algorithms</v>
      </c>
      <c r="H200" s="13" t="str">
        <f>SUBSTITUTE(Github!L$58, ";", ", ")</f>
        <v>Array, </v>
      </c>
      <c r="I200" s="10" t="str">
        <f>Github!E$58</f>
        <v>Medium</v>
      </c>
      <c r="J200" s="10" t="str">
        <f>IF(TRIM(Github!D$58)="TRUE","FALSE","TRUE")</f>
        <v>TRUE</v>
      </c>
      <c r="K200" s="10" t="b">
        <f>Github!M$58</f>
        <v>1</v>
      </c>
      <c r="L200" s="10" t="b">
        <f>Github!N$58</f>
        <v>0</v>
      </c>
      <c r="M200" s="10" t="str">
        <f>ROUND(Github!O$58, 2)&amp;"%"</f>
        <v>37.37%</v>
      </c>
      <c r="N200" s="10">
        <f>Github!P$58</f>
        <v>496860</v>
      </c>
      <c r="O200" s="10">
        <f>Github!Q$58</f>
        <v>1329445</v>
      </c>
    </row>
    <row r="201">
      <c r="A201" s="10">
        <f>Github!J$243</f>
        <v>242</v>
      </c>
      <c r="B201" s="11" t="str">
        <f>HYPERLINK(CONCAT("http://leetcode.com/problems/",Github!C$243), Github!B$243)</f>
        <v>Valid Anagram</v>
      </c>
      <c r="C201" s="10">
        <f>Github!F$243</f>
        <v>4713</v>
      </c>
      <c r="D201" s="10">
        <f>Github!G$243</f>
        <v>209</v>
      </c>
      <c r="E201" s="10">
        <f>Github!F$243+Github!G$243</f>
        <v>4922</v>
      </c>
      <c r="F201" s="12">
        <f t="shared" si="1"/>
        <v>22.55</v>
      </c>
      <c r="G201" s="10" t="str">
        <f>Github!H$243</f>
        <v>Algorithms</v>
      </c>
      <c r="H201" s="13" t="str">
        <f>SUBSTITUTE(Github!L$243, ";", ", ")</f>
        <v>Hash Table, String, Sorting, </v>
      </c>
      <c r="I201" s="10" t="str">
        <f>Github!E$243</f>
        <v>Easy</v>
      </c>
      <c r="J201" s="10" t="str">
        <f>IF(TRIM(Github!D$243)="TRUE","FALSE","TRUE")</f>
        <v>TRUE</v>
      </c>
      <c r="K201" s="10" t="b">
        <f>Github!M$243</f>
        <v>1</v>
      </c>
      <c r="L201" s="10" t="b">
        <f>Github!N$243</f>
        <v>1</v>
      </c>
      <c r="M201" s="10" t="str">
        <f>ROUND(Github!O$243, 2)&amp;"%"</f>
        <v>61.42%</v>
      </c>
      <c r="N201" s="10">
        <f>Github!P$243</f>
        <v>1227587</v>
      </c>
      <c r="O201" s="10">
        <f>Github!Q$243</f>
        <v>1998675</v>
      </c>
    </row>
    <row r="202">
      <c r="A202" s="10">
        <f>Github!J$84</f>
        <v>83</v>
      </c>
      <c r="B202" s="11" t="str">
        <f>HYPERLINK(CONCAT("http://leetcode.com/problems/",Github!C$84), Github!B$84)</f>
        <v>Remove Duplicates from Sorted List</v>
      </c>
      <c r="C202" s="10">
        <f>Github!F$84</f>
        <v>4690</v>
      </c>
      <c r="D202" s="10">
        <f>Github!G$84</f>
        <v>184</v>
      </c>
      <c r="E202" s="10">
        <f>Github!F$84+Github!G$84</f>
        <v>4874</v>
      </c>
      <c r="F202" s="12">
        <f t="shared" si="1"/>
        <v>25.49</v>
      </c>
      <c r="G202" s="10" t="str">
        <f>Github!H$84</f>
        <v>Algorithms</v>
      </c>
      <c r="H202" s="13" t="str">
        <f>SUBSTITUTE(Github!L$84, ";", ", ")</f>
        <v>Linked List, </v>
      </c>
      <c r="I202" s="10" t="str">
        <f>Github!E$84</f>
        <v>Easy</v>
      </c>
      <c r="J202" s="10" t="str">
        <f>IF(TRIM(Github!D$84)="TRUE","FALSE","TRUE")</f>
        <v>TRUE</v>
      </c>
      <c r="K202" s="10" t="b">
        <f>Github!M$84</f>
        <v>1</v>
      </c>
      <c r="L202" s="10" t="b">
        <f>Github!N$84</f>
        <v>0</v>
      </c>
      <c r="M202" s="10" t="str">
        <f>ROUND(Github!O$84, 2)&amp;"%"</f>
        <v>49%</v>
      </c>
      <c r="N202" s="10">
        <f>Github!P$84</f>
        <v>847822</v>
      </c>
      <c r="O202" s="10">
        <f>Github!Q$84</f>
        <v>1730389</v>
      </c>
    </row>
    <row r="203">
      <c r="A203" s="10">
        <f>Github!J$393</f>
        <v>392</v>
      </c>
      <c r="B203" s="11" t="str">
        <f>HYPERLINK(CONCAT("http://leetcode.com/problems/",Github!C$393), Github!B$393)</f>
        <v>Is Subsequence</v>
      </c>
      <c r="C203" s="10">
        <f>Github!F$393</f>
        <v>4669</v>
      </c>
      <c r="D203" s="10">
        <f>Github!G$393</f>
        <v>285</v>
      </c>
      <c r="E203" s="10">
        <f>Github!F$393+Github!G$393</f>
        <v>4954</v>
      </c>
      <c r="F203" s="12">
        <f t="shared" si="1"/>
        <v>16.38</v>
      </c>
      <c r="G203" s="10" t="str">
        <f>Github!H$393</f>
        <v>Algorithms</v>
      </c>
      <c r="H203" s="13" t="str">
        <f>SUBSTITUTE(Github!L$393, ";", ", ")</f>
        <v>Two Pointers, String, Dynamic Programming, </v>
      </c>
      <c r="I203" s="10" t="str">
        <f>Github!E$393</f>
        <v>Easy</v>
      </c>
      <c r="J203" s="10" t="str">
        <f>IF(TRIM(Github!D$393)="TRUE","FALSE","TRUE")</f>
        <v>TRUE</v>
      </c>
      <c r="K203" s="10" t="b">
        <f>Github!M$393</f>
        <v>1</v>
      </c>
      <c r="L203" s="10" t="b">
        <f>Github!N$393</f>
        <v>0</v>
      </c>
      <c r="M203" s="10" t="str">
        <f>ROUND(Github!O$393, 2)&amp;"%"</f>
        <v>50.97%</v>
      </c>
      <c r="N203" s="10">
        <f>Github!P$393</f>
        <v>457446</v>
      </c>
      <c r="O203" s="10">
        <f>Github!Q$393</f>
        <v>897551</v>
      </c>
    </row>
    <row r="204">
      <c r="A204" s="10">
        <f>Github!J$741</f>
        <v>740</v>
      </c>
      <c r="B204" s="11" t="str">
        <f>HYPERLINK(CONCAT("http://leetcode.com/problems/",Github!C$741), Github!B$741)</f>
        <v>Delete and Earn</v>
      </c>
      <c r="C204" s="10">
        <f>Github!F$741</f>
        <v>4674</v>
      </c>
      <c r="D204" s="10">
        <f>Github!G$741</f>
        <v>265</v>
      </c>
      <c r="E204" s="10">
        <f>Github!F$741+Github!G$741</f>
        <v>4939</v>
      </c>
      <c r="F204" s="12">
        <f t="shared" si="1"/>
        <v>17.64</v>
      </c>
      <c r="G204" s="10" t="str">
        <f>Github!H$741</f>
        <v>Algorithms</v>
      </c>
      <c r="H204" s="13" t="str">
        <f>SUBSTITUTE(Github!L$741, ";", ", ")</f>
        <v>Array, Hash Table, Dynamic Programming, </v>
      </c>
      <c r="I204" s="10" t="str">
        <f>Github!E$741</f>
        <v>Medium</v>
      </c>
      <c r="J204" s="10" t="str">
        <f>IF(TRIM(Github!D$741)="TRUE","FALSE","TRUE")</f>
        <v>TRUE</v>
      </c>
      <c r="K204" s="10" t="b">
        <f>Github!M$741</f>
        <v>1</v>
      </c>
      <c r="L204" s="10" t="b">
        <f>Github!N$741</f>
        <v>0</v>
      </c>
      <c r="M204" s="10" t="str">
        <f>ROUND(Github!O$741, 2)&amp;"%"</f>
        <v>57.34%</v>
      </c>
      <c r="N204" s="10">
        <f>Github!P$741</f>
        <v>182028</v>
      </c>
      <c r="O204" s="10">
        <f>Github!Q$741</f>
        <v>317436</v>
      </c>
    </row>
    <row r="205">
      <c r="A205" s="10">
        <f>Github!J$96</f>
        <v>95</v>
      </c>
      <c r="B205" s="11" t="str">
        <f>HYPERLINK(CONCAT("http://leetcode.com/problems/",Github!C$96), Github!B$96)</f>
        <v>Unique Binary Search Trees II</v>
      </c>
      <c r="C205" s="10">
        <f>Github!F$96</f>
        <v>4663</v>
      </c>
      <c r="D205" s="10">
        <f>Github!G$96</f>
        <v>306</v>
      </c>
      <c r="E205" s="10">
        <f>Github!F$96+Github!G$96</f>
        <v>4969</v>
      </c>
      <c r="F205" s="12">
        <f t="shared" si="1"/>
        <v>15.24</v>
      </c>
      <c r="G205" s="10" t="str">
        <f>Github!H$96</f>
        <v>Algorithms</v>
      </c>
      <c r="H205" s="13" t="str">
        <f>SUBSTITUTE(Github!L$96, ";", ", ")</f>
        <v>Dynamic Programming, Backtracking, Tree, Binary Search Tree, Binary Tree, </v>
      </c>
      <c r="I205" s="10" t="str">
        <f>Github!E$96</f>
        <v>Medium</v>
      </c>
      <c r="J205" s="10" t="str">
        <f>IF(TRIM(Github!D$96)="TRUE","FALSE","TRUE")</f>
        <v>TRUE</v>
      </c>
      <c r="K205" s="10" t="b">
        <f>Github!M$96</f>
        <v>1</v>
      </c>
      <c r="L205" s="10" t="b">
        <f>Github!N$96</f>
        <v>0</v>
      </c>
      <c r="M205" s="10" t="str">
        <f>ROUND(Github!O$96, 2)&amp;"%"</f>
        <v>49.42%</v>
      </c>
      <c r="N205" s="10">
        <f>Github!P$96</f>
        <v>303633</v>
      </c>
      <c r="O205" s="10">
        <f>Github!Q$96</f>
        <v>614380</v>
      </c>
    </row>
    <row r="206">
      <c r="A206" s="10">
        <f>Github!J$114</f>
        <v>113</v>
      </c>
      <c r="B206" s="11" t="str">
        <f>HYPERLINK(CONCAT("http://leetcode.com/problems/",Github!C$114), Github!B$114)</f>
        <v>Path Sum II</v>
      </c>
      <c r="C206" s="10">
        <f>Github!F$114</f>
        <v>4657</v>
      </c>
      <c r="D206" s="10">
        <f>Github!G$114</f>
        <v>109</v>
      </c>
      <c r="E206" s="10">
        <f>Github!F$114+Github!G$114</f>
        <v>4766</v>
      </c>
      <c r="F206" s="12">
        <f t="shared" si="1"/>
        <v>42.72</v>
      </c>
      <c r="G206" s="10" t="str">
        <f>Github!H$114</f>
        <v>Algorithms</v>
      </c>
      <c r="H206" s="13" t="str">
        <f>SUBSTITUTE(Github!L$114, ";", ", ")</f>
        <v>Backtracking, Tree, Depth-First Search, Binary Tree, </v>
      </c>
      <c r="I206" s="10" t="str">
        <f>Github!E$114</f>
        <v>Medium</v>
      </c>
      <c r="J206" s="10" t="str">
        <f>IF(TRIM(Github!D$114)="TRUE","FALSE","TRUE")</f>
        <v>TRUE</v>
      </c>
      <c r="K206" s="10" t="b">
        <f>Github!M$114</f>
        <v>1</v>
      </c>
      <c r="L206" s="10" t="b">
        <f>Github!N$114</f>
        <v>0</v>
      </c>
      <c r="M206" s="10" t="str">
        <f>ROUND(Github!O$114, 2)&amp;"%"</f>
        <v>53.98%</v>
      </c>
      <c r="N206" s="10">
        <f>Github!P$114</f>
        <v>571573</v>
      </c>
      <c r="O206" s="10">
        <f>Github!Q$114</f>
        <v>1058893</v>
      </c>
    </row>
    <row r="207">
      <c r="A207" s="10">
        <f>Github!J$141</f>
        <v>140</v>
      </c>
      <c r="B207" s="11" t="str">
        <f>HYPERLINK(CONCAT("http://leetcode.com/problems/",Github!C$141), Github!B$141)</f>
        <v>Word Break II</v>
      </c>
      <c r="C207" s="10">
        <f>Github!F$141</f>
        <v>4628</v>
      </c>
      <c r="D207" s="10">
        <f>Github!G$141</f>
        <v>478</v>
      </c>
      <c r="E207" s="10">
        <f>Github!F$141+Github!G$141</f>
        <v>5106</v>
      </c>
      <c r="F207" s="12">
        <f t="shared" si="1"/>
        <v>9.68</v>
      </c>
      <c r="G207" s="10" t="str">
        <f>Github!H$141</f>
        <v>Algorithms</v>
      </c>
      <c r="H207" s="13" t="str">
        <f>SUBSTITUTE(Github!L$141, ";", ", ")</f>
        <v>Hash Table, String, Dynamic Programming, Backtracking, Trie, Memoization, </v>
      </c>
      <c r="I207" s="10" t="str">
        <f>Github!E$141</f>
        <v>Hard</v>
      </c>
      <c r="J207" s="10" t="str">
        <f>IF(TRIM(Github!D$141)="TRUE","FALSE","TRUE")</f>
        <v>TRUE</v>
      </c>
      <c r="K207" s="10" t="b">
        <f>Github!M$141</f>
        <v>1</v>
      </c>
      <c r="L207" s="10" t="b">
        <f>Github!N$141</f>
        <v>0</v>
      </c>
      <c r="M207" s="10" t="str">
        <f>ROUND(Github!O$141, 2)&amp;"%"</f>
        <v>42.09%</v>
      </c>
      <c r="N207" s="10">
        <f>Github!P$141</f>
        <v>437703</v>
      </c>
      <c r="O207" s="10">
        <f>Github!Q$141</f>
        <v>1039996</v>
      </c>
    </row>
    <row r="208">
      <c r="A208" s="10">
        <f>Github!J$45</f>
        <v>44</v>
      </c>
      <c r="B208" s="11" t="str">
        <f>HYPERLINK(CONCAT("http://leetcode.com/problems/",Github!C$45), Github!B$45)</f>
        <v>Wildcard Matching</v>
      </c>
      <c r="C208" s="10">
        <f>Github!F$45</f>
        <v>4614</v>
      </c>
      <c r="D208" s="10">
        <f>Github!G$45</f>
        <v>209</v>
      </c>
      <c r="E208" s="10">
        <f>Github!F$45+Github!G$45</f>
        <v>4823</v>
      </c>
      <c r="F208" s="12">
        <f t="shared" si="1"/>
        <v>22.08</v>
      </c>
      <c r="G208" s="10" t="str">
        <f>Github!H$45</f>
        <v>Algorithms</v>
      </c>
      <c r="H208" s="13" t="str">
        <f>SUBSTITUTE(Github!L$45, ";", ", ")</f>
        <v>String, Dynamic Programming, Greedy, Recursion, </v>
      </c>
      <c r="I208" s="10" t="str">
        <f>Github!E$45</f>
        <v>Hard</v>
      </c>
      <c r="J208" s="10" t="str">
        <f>IF(TRIM(Github!D$45)="TRUE","FALSE","TRUE")</f>
        <v>TRUE</v>
      </c>
      <c r="K208" s="10" t="b">
        <f>Github!M$45</f>
        <v>1</v>
      </c>
      <c r="L208" s="10" t="b">
        <f>Github!N$45</f>
        <v>0</v>
      </c>
      <c r="M208" s="10" t="str">
        <f>ROUND(Github!O$45, 2)&amp;"%"</f>
        <v>26.54%</v>
      </c>
      <c r="N208" s="10">
        <f>Github!P$45</f>
        <v>381671</v>
      </c>
      <c r="O208" s="10">
        <f>Github!Q$45</f>
        <v>1438323</v>
      </c>
    </row>
    <row r="209">
      <c r="A209" s="10">
        <f>Github!J$705</f>
        <v>704</v>
      </c>
      <c r="B209" s="11" t="str">
        <f>HYPERLINK(CONCAT("http://leetcode.com/problems/",Github!C$705), Github!B$705)</f>
        <v>Binary Search</v>
      </c>
      <c r="C209" s="10">
        <f>Github!F$705</f>
        <v>4655</v>
      </c>
      <c r="D209" s="10">
        <f>Github!G$705</f>
        <v>109</v>
      </c>
      <c r="E209" s="10">
        <f>Github!F$705+Github!G$705</f>
        <v>4764</v>
      </c>
      <c r="F209" s="12">
        <f t="shared" si="1"/>
        <v>42.71</v>
      </c>
      <c r="G209" s="10" t="str">
        <f>Github!H$705</f>
        <v>Algorithms</v>
      </c>
      <c r="H209" s="13" t="str">
        <f>SUBSTITUTE(Github!L$705, ";", ", ")</f>
        <v>Array, Binary Search, </v>
      </c>
      <c r="I209" s="10" t="str">
        <f>Github!E$705</f>
        <v>Easy</v>
      </c>
      <c r="J209" s="10" t="str">
        <f>IF(TRIM(Github!D$705)="TRUE","FALSE","TRUE")</f>
        <v>TRUE</v>
      </c>
      <c r="K209" s="10" t="b">
        <f>Github!M$705</f>
        <v>1</v>
      </c>
      <c r="L209" s="10" t="b">
        <f>Github!N$705</f>
        <v>0</v>
      </c>
      <c r="M209" s="10" t="str">
        <f>ROUND(Github!O$705, 2)&amp;"%"</f>
        <v>55.29%</v>
      </c>
      <c r="N209" s="10">
        <f>Github!P$705</f>
        <v>843121</v>
      </c>
      <c r="O209" s="10">
        <f>Github!Q$705</f>
        <v>1524993</v>
      </c>
    </row>
    <row r="210">
      <c r="A210" s="10">
        <f>Github!J$302</f>
        <v>301</v>
      </c>
      <c r="B210" s="11" t="str">
        <f>HYPERLINK(CONCAT("http://leetcode.com/problems/",Github!C$302), Github!B$302)</f>
        <v>Remove Invalid Parentheses</v>
      </c>
      <c r="C210" s="10">
        <f>Github!F$302</f>
        <v>4599</v>
      </c>
      <c r="D210" s="10">
        <f>Github!G$302</f>
        <v>234</v>
      </c>
      <c r="E210" s="10">
        <f>Github!F$302+Github!G$302</f>
        <v>4833</v>
      </c>
      <c r="F210" s="12">
        <f t="shared" si="1"/>
        <v>19.65</v>
      </c>
      <c r="G210" s="10" t="str">
        <f>Github!H$302</f>
        <v>Algorithms</v>
      </c>
      <c r="H210" s="13" t="str">
        <f>SUBSTITUTE(Github!L$302, ";", ", ")</f>
        <v>String, Backtracking, Breadth-First Search, </v>
      </c>
      <c r="I210" s="10" t="str">
        <f>Github!E$302</f>
        <v>Hard</v>
      </c>
      <c r="J210" s="10" t="str">
        <f>IF(TRIM(Github!D$302)="TRUE","FALSE","TRUE")</f>
        <v>TRUE</v>
      </c>
      <c r="K210" s="10" t="b">
        <f>Github!M$302</f>
        <v>1</v>
      </c>
      <c r="L210" s="10" t="b">
        <f>Github!N$302</f>
        <v>0</v>
      </c>
      <c r="M210" s="10" t="str">
        <f>ROUND(Github!O$302, 2)&amp;"%"</f>
        <v>46.86%</v>
      </c>
      <c r="N210" s="10">
        <f>Github!P$302</f>
        <v>346729</v>
      </c>
      <c r="O210" s="10">
        <f>Github!Q$302</f>
        <v>739873</v>
      </c>
    </row>
    <row r="211">
      <c r="A211" s="10">
        <f>Github!J$64</f>
        <v>63</v>
      </c>
      <c r="B211" s="11" t="str">
        <f>HYPERLINK(CONCAT("http://leetcode.com/problems/",Github!C$64), Github!B$64)</f>
        <v>Unique Paths II</v>
      </c>
      <c r="C211" s="10">
        <f>Github!F$64</f>
        <v>4573</v>
      </c>
      <c r="D211" s="10">
        <f>Github!G$64</f>
        <v>373</v>
      </c>
      <c r="E211" s="10">
        <f>Github!F$64+Github!G$64</f>
        <v>4946</v>
      </c>
      <c r="F211" s="12">
        <f t="shared" si="1"/>
        <v>12.26</v>
      </c>
      <c r="G211" s="10" t="str">
        <f>Github!H$64</f>
        <v>Algorithms</v>
      </c>
      <c r="H211" s="13" t="str">
        <f>SUBSTITUTE(Github!L$64, ";", ", ")</f>
        <v>Array, Dynamic Programming, Matrix, </v>
      </c>
      <c r="I211" s="10" t="str">
        <f>Github!E$64</f>
        <v>Medium</v>
      </c>
      <c r="J211" s="10" t="str">
        <f>IF(TRIM(Github!D$64)="TRUE","FALSE","TRUE")</f>
        <v>TRUE</v>
      </c>
      <c r="K211" s="10" t="b">
        <f>Github!M$64</f>
        <v>1</v>
      </c>
      <c r="L211" s="10" t="b">
        <f>Github!N$64</f>
        <v>0</v>
      </c>
      <c r="M211" s="10" t="str">
        <f>ROUND(Github!O$64, 2)&amp;"%"</f>
        <v>37.51%</v>
      </c>
      <c r="N211" s="10">
        <f>Github!P$64</f>
        <v>502688</v>
      </c>
      <c r="O211" s="10">
        <f>Github!Q$64</f>
        <v>1340065</v>
      </c>
    </row>
    <row r="212">
      <c r="A212" s="10">
        <f>Github!J$768</f>
        <v>767</v>
      </c>
      <c r="B212" s="11" t="str">
        <f>HYPERLINK(CONCAT("http://leetcode.com/problems/",Github!C$768), Github!B$768)</f>
        <v>Reorganize String</v>
      </c>
      <c r="C212" s="10">
        <f>Github!F$768</f>
        <v>4572</v>
      </c>
      <c r="D212" s="10">
        <f>Github!G$768</f>
        <v>175</v>
      </c>
      <c r="E212" s="10">
        <f>Github!F$768+Github!G$768</f>
        <v>4747</v>
      </c>
      <c r="F212" s="12">
        <f t="shared" si="1"/>
        <v>26.13</v>
      </c>
      <c r="G212" s="10" t="str">
        <f>Github!H$768</f>
        <v>Algorithms</v>
      </c>
      <c r="H212" s="13" t="str">
        <f>SUBSTITUTE(Github!L$768, ";", ", ")</f>
        <v>Hash Table, String, Greedy, Sorting, Heap (Priority Queue), Counting, </v>
      </c>
      <c r="I212" s="10" t="str">
        <f>Github!E$768</f>
        <v>Medium</v>
      </c>
      <c r="J212" s="10" t="str">
        <f>IF(TRIM(Github!D$768)="TRUE","FALSE","TRUE")</f>
        <v>TRUE</v>
      </c>
      <c r="K212" s="10" t="b">
        <f>Github!M$768</f>
        <v>0</v>
      </c>
      <c r="L212" s="10" t="b">
        <f>Github!N$768</f>
        <v>0</v>
      </c>
      <c r="M212" s="10" t="str">
        <f>ROUND(Github!O$768, 2)&amp;"%"</f>
        <v>52.05%</v>
      </c>
      <c r="N212" s="10">
        <f>Github!P$768</f>
        <v>207932</v>
      </c>
      <c r="O212" s="10">
        <f>Github!Q$768</f>
        <v>399498</v>
      </c>
    </row>
    <row r="213">
      <c r="A213" s="10">
        <f>Github!J$110</f>
        <v>109</v>
      </c>
      <c r="B213" s="11" t="str">
        <f>HYPERLINK(CONCAT("http://leetcode.com/problems/",Github!C$110), Github!B$110)</f>
        <v>Convert Sorted List to Binary Search Tree</v>
      </c>
      <c r="C213" s="10">
        <f>Github!F$110</f>
        <v>4514</v>
      </c>
      <c r="D213" s="10">
        <f>Github!G$110</f>
        <v>113</v>
      </c>
      <c r="E213" s="10">
        <f>Github!F$110+Github!G$110</f>
        <v>4627</v>
      </c>
      <c r="F213" s="12">
        <f t="shared" si="1"/>
        <v>39.95</v>
      </c>
      <c r="G213" s="10" t="str">
        <f>Github!H$110</f>
        <v>Algorithms</v>
      </c>
      <c r="H213" s="13" t="str">
        <f>SUBSTITUTE(Github!L$110, ";", ", ")</f>
        <v>Linked List, Divide and Conquer, Tree, Binary Search Tree, Binary Tree, </v>
      </c>
      <c r="I213" s="10" t="str">
        <f>Github!E$110</f>
        <v>Medium</v>
      </c>
      <c r="J213" s="10" t="str">
        <f>IF(TRIM(Github!D$110)="TRUE","FALSE","TRUE")</f>
        <v>TRUE</v>
      </c>
      <c r="K213" s="10" t="b">
        <f>Github!M$110</f>
        <v>1</v>
      </c>
      <c r="L213" s="10" t="b">
        <f>Github!N$110</f>
        <v>0</v>
      </c>
      <c r="M213" s="10" t="str">
        <f>ROUND(Github!O$110, 2)&amp;"%"</f>
        <v>55.52%</v>
      </c>
      <c r="N213" s="10">
        <f>Github!P$110</f>
        <v>370230</v>
      </c>
      <c r="O213" s="10">
        <f>Github!Q$110</f>
        <v>666851</v>
      </c>
    </row>
    <row r="214">
      <c r="A214" s="10">
        <f>Github!J$543</f>
        <v>542</v>
      </c>
      <c r="B214" s="11" t="str">
        <f>HYPERLINK(CONCAT("http://leetcode.com/problems/",Github!C$543), Github!B$543)</f>
        <v>01 Matrix</v>
      </c>
      <c r="C214" s="10">
        <f>Github!F$543</f>
        <v>4508</v>
      </c>
      <c r="D214" s="10">
        <f>Github!G$543</f>
        <v>222</v>
      </c>
      <c r="E214" s="10">
        <f>Github!F$543+Github!G$543</f>
        <v>4730</v>
      </c>
      <c r="F214" s="12">
        <f t="shared" si="1"/>
        <v>20.31</v>
      </c>
      <c r="G214" s="10" t="str">
        <f>Github!H$543</f>
        <v>Algorithms</v>
      </c>
      <c r="H214" s="13" t="str">
        <f>SUBSTITUTE(Github!L$543, ";", ", ")</f>
        <v>Array, Dynamic Programming, Breadth-First Search, Matrix, </v>
      </c>
      <c r="I214" s="10" t="str">
        <f>Github!E$543</f>
        <v>Medium</v>
      </c>
      <c r="J214" s="10" t="str">
        <f>IF(TRIM(Github!D$543)="TRUE","FALSE","TRUE")</f>
        <v>TRUE</v>
      </c>
      <c r="K214" s="10" t="b">
        <f>Github!M$543</f>
        <v>1</v>
      </c>
      <c r="L214" s="10" t="b">
        <f>Github!N$543</f>
        <v>0</v>
      </c>
      <c r="M214" s="10" t="str">
        <f>ROUND(Github!O$543, 2)&amp;"%"</f>
        <v>43.77%</v>
      </c>
      <c r="N214" s="10">
        <f>Github!P$543</f>
        <v>237783</v>
      </c>
      <c r="O214" s="10">
        <f>Github!Q$543</f>
        <v>543261</v>
      </c>
    </row>
    <row r="215">
      <c r="A215" s="10">
        <f>Github!J$663</f>
        <v>662</v>
      </c>
      <c r="B215" s="11" t="str">
        <f>HYPERLINK(CONCAT("http://leetcode.com/problems/",Github!C$663), Github!B$663)</f>
        <v>Maximum Width of Binary Tree</v>
      </c>
      <c r="C215" s="10">
        <f>Github!F$663</f>
        <v>4478</v>
      </c>
      <c r="D215" s="10">
        <f>Github!G$663</f>
        <v>720</v>
      </c>
      <c r="E215" s="10">
        <f>Github!F$663+Github!G$663</f>
        <v>5198</v>
      </c>
      <c r="F215" s="12">
        <f t="shared" si="1"/>
        <v>6.22</v>
      </c>
      <c r="G215" s="10" t="str">
        <f>Github!H$663</f>
        <v>Algorithms</v>
      </c>
      <c r="H215" s="13" t="str">
        <f>SUBSTITUTE(Github!L$663, ";", ", ")</f>
        <v>Tree, Depth-First Search, Breadth-First Search, Binary Tree, </v>
      </c>
      <c r="I215" s="10" t="str">
        <f>Github!E$663</f>
        <v>Medium</v>
      </c>
      <c r="J215" s="10" t="str">
        <f>IF(TRIM(Github!D$663)="TRUE","FALSE","TRUE")</f>
        <v>TRUE</v>
      </c>
      <c r="K215" s="10" t="b">
        <f>Github!M$663</f>
        <v>1</v>
      </c>
      <c r="L215" s="10" t="b">
        <f>Github!N$663</f>
        <v>0</v>
      </c>
      <c r="M215" s="10" t="str">
        <f>ROUND(Github!O$663, 2)&amp;"%"</f>
        <v>40.25%</v>
      </c>
      <c r="N215" s="10">
        <f>Github!P$663</f>
        <v>181982</v>
      </c>
      <c r="O215" s="10">
        <f>Github!Q$663</f>
        <v>452145</v>
      </c>
    </row>
    <row r="216">
      <c r="A216" s="10">
        <f>Github!J$504</f>
        <v>503</v>
      </c>
      <c r="B216" s="11" t="str">
        <f>HYPERLINK(CONCAT("http://leetcode.com/problems/",Github!C$504), Github!B$504)</f>
        <v>Next Greater Element II</v>
      </c>
      <c r="C216" s="10">
        <f>Github!F$504</f>
        <v>4461</v>
      </c>
      <c r="D216" s="10">
        <f>Github!G$504</f>
        <v>131</v>
      </c>
      <c r="E216" s="10">
        <f>Github!F$504+Github!G$504</f>
        <v>4592</v>
      </c>
      <c r="F216" s="12">
        <f t="shared" si="1"/>
        <v>34.05</v>
      </c>
      <c r="G216" s="10" t="str">
        <f>Github!H$504</f>
        <v>Algorithms</v>
      </c>
      <c r="H216" s="13" t="str">
        <f>SUBSTITUTE(Github!L$504, ";", ", ")</f>
        <v>Array, Stack, Monotonic Stack, </v>
      </c>
      <c r="I216" s="10" t="str">
        <f>Github!E$504</f>
        <v>Medium</v>
      </c>
      <c r="J216" s="10" t="str">
        <f>IF(TRIM(Github!D$504)="TRUE","FALSE","TRUE")</f>
        <v>TRUE</v>
      </c>
      <c r="K216" s="10" t="b">
        <f>Github!M$504</f>
        <v>1</v>
      </c>
      <c r="L216" s="10" t="b">
        <f>Github!N$504</f>
        <v>0</v>
      </c>
      <c r="M216" s="10" t="str">
        <f>ROUND(Github!O$504, 2)&amp;"%"</f>
        <v>62.02%</v>
      </c>
      <c r="N216" s="10">
        <f>Github!P$504</f>
        <v>214075</v>
      </c>
      <c r="O216" s="10">
        <f>Github!Q$504</f>
        <v>345190</v>
      </c>
    </row>
    <row r="217">
      <c r="A217" s="10">
        <f>Github!J$218</f>
        <v>217</v>
      </c>
      <c r="B217" s="11" t="str">
        <f>HYPERLINK(CONCAT("http://leetcode.com/problems/",Github!C$218), Github!B$218)</f>
        <v>Contains Duplicate</v>
      </c>
      <c r="C217" s="10">
        <f>Github!F$218</f>
        <v>4483</v>
      </c>
      <c r="D217" s="10">
        <f>Github!G$218</f>
        <v>948</v>
      </c>
      <c r="E217" s="10">
        <f>Github!F$218+Github!G$218</f>
        <v>5431</v>
      </c>
      <c r="F217" s="12">
        <f t="shared" si="1"/>
        <v>4.73</v>
      </c>
      <c r="G217" s="10" t="str">
        <f>Github!H$218</f>
        <v>Algorithms</v>
      </c>
      <c r="H217" s="13" t="str">
        <f>SUBSTITUTE(Github!L$218, ";", ", ")</f>
        <v>Array, Hash Table, Sorting, </v>
      </c>
      <c r="I217" s="10" t="str">
        <f>Github!E$218</f>
        <v>Easy</v>
      </c>
      <c r="J217" s="10" t="str">
        <f>IF(TRIM(Github!D$218)="TRUE","FALSE","TRUE")</f>
        <v>TRUE</v>
      </c>
      <c r="K217" s="10" t="b">
        <f>Github!M$218</f>
        <v>1</v>
      </c>
      <c r="L217" s="10" t="b">
        <f>Github!N$218</f>
        <v>0</v>
      </c>
      <c r="M217" s="10" t="str">
        <f>ROUND(Github!O$218, 2)&amp;"%"</f>
        <v>60.78%</v>
      </c>
      <c r="N217" s="10">
        <f>Github!P$218</f>
        <v>1517532</v>
      </c>
      <c r="O217" s="10">
        <f>Github!Q$218</f>
        <v>2496858</v>
      </c>
    </row>
    <row r="218">
      <c r="A218" s="10">
        <f>Github!J$984</f>
        <v>983</v>
      </c>
      <c r="B218" s="11" t="str">
        <f>HYPERLINK(CONCAT("http://leetcode.com/problems/",Github!C$984), Github!B$984)</f>
        <v>Minimum Cost For Tickets</v>
      </c>
      <c r="C218" s="10">
        <f>Github!F$984</f>
        <v>4391</v>
      </c>
      <c r="D218" s="10">
        <f>Github!G$984</f>
        <v>74</v>
      </c>
      <c r="E218" s="10">
        <f>Github!F$984+Github!G$984</f>
        <v>4465</v>
      </c>
      <c r="F218" s="12">
        <f t="shared" si="1"/>
        <v>59.34</v>
      </c>
      <c r="G218" s="10" t="str">
        <f>Github!H$984</f>
        <v>Algorithms</v>
      </c>
      <c r="H218" s="13" t="str">
        <f>SUBSTITUTE(Github!L$984, ";", ", ")</f>
        <v>Array, Dynamic Programming, </v>
      </c>
      <c r="I218" s="10" t="str">
        <f>Github!E$984</f>
        <v>Medium</v>
      </c>
      <c r="J218" s="10" t="str">
        <f>IF(TRIM(Github!D$984)="TRUE","FALSE","TRUE")</f>
        <v>TRUE</v>
      </c>
      <c r="K218" s="10" t="b">
        <f>Github!M$984</f>
        <v>1</v>
      </c>
      <c r="L218" s="10" t="b">
        <f>Github!N$984</f>
        <v>0</v>
      </c>
      <c r="M218" s="10" t="str">
        <f>ROUND(Github!O$984, 2)&amp;"%"</f>
        <v>64.07%</v>
      </c>
      <c r="N218" s="10">
        <f>Github!P$984</f>
        <v>151970</v>
      </c>
      <c r="O218" s="10">
        <f>Github!Q$984</f>
        <v>237191</v>
      </c>
    </row>
    <row r="219">
      <c r="A219" s="10">
        <f>Github!J$107</f>
        <v>106</v>
      </c>
      <c r="B219" s="11" t="str">
        <f>HYPERLINK(CONCAT("http://leetcode.com/problems/",Github!C$107), Github!B$107)</f>
        <v>Construct Binary Tree from Inorder and Postorder Traversal</v>
      </c>
      <c r="C219" s="10">
        <f>Github!F$107</f>
        <v>4398</v>
      </c>
      <c r="D219" s="10">
        <f>Github!G$107</f>
        <v>73</v>
      </c>
      <c r="E219" s="10">
        <f>Github!F$107+Github!G$107</f>
        <v>4471</v>
      </c>
      <c r="F219" s="12">
        <f t="shared" si="1"/>
        <v>60.25</v>
      </c>
      <c r="G219" s="10" t="str">
        <f>Github!H$107</f>
        <v>Algorithms</v>
      </c>
      <c r="H219" s="13" t="str">
        <f>SUBSTITUTE(Github!L$107, ";", ", ")</f>
        <v>Array, Hash Table, Divide and Conquer, Tree, Binary Tree, </v>
      </c>
      <c r="I219" s="10" t="str">
        <f>Github!E$107</f>
        <v>Medium</v>
      </c>
      <c r="J219" s="10" t="str">
        <f>IF(TRIM(Github!D$107)="TRUE","FALSE","TRUE")</f>
        <v>TRUE</v>
      </c>
      <c r="K219" s="10" t="b">
        <f>Github!M$107</f>
        <v>1</v>
      </c>
      <c r="L219" s="10" t="b">
        <f>Github!N$107</f>
        <v>0</v>
      </c>
      <c r="M219" s="10" t="str">
        <f>ROUND(Github!O$107, 2)&amp;"%"</f>
        <v>55.32%</v>
      </c>
      <c r="N219" s="10">
        <f>Github!P$107</f>
        <v>393422</v>
      </c>
      <c r="O219" s="10">
        <f>Github!Q$107</f>
        <v>711159</v>
      </c>
    </row>
    <row r="220">
      <c r="A220" s="10">
        <f>Github!J$693</f>
        <v>692</v>
      </c>
      <c r="B220" s="11" t="str">
        <f>HYPERLINK(CONCAT("http://leetcode.com/problems/",Github!C$693), Github!B$693)</f>
        <v>Top K Frequent Words</v>
      </c>
      <c r="C220" s="10">
        <f>Github!F$693</f>
        <v>4389</v>
      </c>
      <c r="D220" s="10">
        <f>Github!G$693</f>
        <v>248</v>
      </c>
      <c r="E220" s="10">
        <f>Github!F$693+Github!G$693</f>
        <v>4637</v>
      </c>
      <c r="F220" s="12">
        <f t="shared" si="1"/>
        <v>17.7</v>
      </c>
      <c r="G220" s="10" t="str">
        <f>Github!H$693</f>
        <v>Algorithms</v>
      </c>
      <c r="H220" s="13" t="str">
        <f>SUBSTITUTE(Github!L$693, ";", ", ")</f>
        <v>Hash Table, String, Trie, Sorting, Heap (Priority Queue), Bucket Sort, Counting, </v>
      </c>
      <c r="I220" s="10" t="str">
        <f>Github!E$693</f>
        <v>Medium</v>
      </c>
      <c r="J220" s="10" t="str">
        <f>IF(TRIM(Github!D$693)="TRUE","FALSE","TRUE")</f>
        <v>TRUE</v>
      </c>
      <c r="K220" s="10" t="b">
        <f>Github!M$693</f>
        <v>0</v>
      </c>
      <c r="L220" s="10" t="b">
        <f>Github!N$693</f>
        <v>0</v>
      </c>
      <c r="M220" s="10" t="str">
        <f>ROUND(Github!O$693, 2)&amp;"%"</f>
        <v>54.35%</v>
      </c>
      <c r="N220" s="10">
        <f>Github!P$693</f>
        <v>373987</v>
      </c>
      <c r="O220" s="10">
        <f>Github!Q$693</f>
        <v>688098</v>
      </c>
    </row>
    <row r="221">
      <c r="A221" s="10">
        <f>Github!J$51</f>
        <v>50</v>
      </c>
      <c r="B221" s="11" t="str">
        <f>HYPERLINK(CONCAT("http://leetcode.com/problems/",Github!C$51), Github!B$51)</f>
        <v>Pow(x, n)</v>
      </c>
      <c r="C221" s="10">
        <f>Github!F$51</f>
        <v>4405</v>
      </c>
      <c r="D221" s="10">
        <f>Github!G$51</f>
        <v>5371</v>
      </c>
      <c r="E221" s="10">
        <f>Github!F$51+Github!G$51</f>
        <v>9776</v>
      </c>
      <c r="F221" s="12">
        <f t="shared" si="1"/>
        <v>0.82</v>
      </c>
      <c r="G221" s="10" t="str">
        <f>Github!H$51</f>
        <v>Algorithms</v>
      </c>
      <c r="H221" s="13" t="str">
        <f>SUBSTITUTE(Github!L$51, ";", ", ")</f>
        <v>Math, Recursion, </v>
      </c>
      <c r="I221" s="10" t="str">
        <f>Github!E$51</f>
        <v>Medium</v>
      </c>
      <c r="J221" s="10" t="str">
        <f>IF(TRIM(Github!D$51)="TRUE","FALSE","TRUE")</f>
        <v>TRUE</v>
      </c>
      <c r="K221" s="10" t="b">
        <f>Github!M$51</f>
        <v>1</v>
      </c>
      <c r="L221" s="10" t="b">
        <f>Github!N$51</f>
        <v>0</v>
      </c>
      <c r="M221" s="10" t="str">
        <f>ROUND(Github!O$51, 2)&amp;"%"</f>
        <v>32.37%</v>
      </c>
      <c r="N221" s="10">
        <f>Github!P$51</f>
        <v>894704</v>
      </c>
      <c r="O221" s="10">
        <f>Github!Q$51</f>
        <v>2763852</v>
      </c>
    </row>
    <row r="222">
      <c r="A222" s="10">
        <f>Github!J$82</f>
        <v>81</v>
      </c>
      <c r="B222" s="11" t="str">
        <f>HYPERLINK(CONCAT("http://leetcode.com/problems/",Github!C$82), Github!B$82)</f>
        <v>Search in Rotated Sorted Array II</v>
      </c>
      <c r="C222" s="10">
        <f>Github!F$82</f>
        <v>4366</v>
      </c>
      <c r="D222" s="10">
        <f>Github!G$82</f>
        <v>718</v>
      </c>
      <c r="E222" s="10">
        <f>Github!F$82+Github!G$82</f>
        <v>5084</v>
      </c>
      <c r="F222" s="12">
        <f t="shared" si="1"/>
        <v>6.08</v>
      </c>
      <c r="G222" s="10" t="str">
        <f>Github!H$82</f>
        <v>Algorithms</v>
      </c>
      <c r="H222" s="13" t="str">
        <f>SUBSTITUTE(Github!L$82, ";", ", ")</f>
        <v>Array, Binary Search, </v>
      </c>
      <c r="I222" s="10" t="str">
        <f>Github!E$82</f>
        <v>Medium</v>
      </c>
      <c r="J222" s="10" t="str">
        <f>IF(TRIM(Github!D$82)="TRUE","FALSE","TRUE")</f>
        <v>TRUE</v>
      </c>
      <c r="K222" s="10" t="b">
        <f>Github!M$82</f>
        <v>1</v>
      </c>
      <c r="L222" s="10" t="b">
        <f>Github!N$82</f>
        <v>0</v>
      </c>
      <c r="M222" s="10" t="str">
        <f>ROUND(Github!O$82, 2)&amp;"%"</f>
        <v>35.57%</v>
      </c>
      <c r="N222" s="10">
        <f>Github!P$82</f>
        <v>421882</v>
      </c>
      <c r="O222" s="10">
        <f>Github!Q$82</f>
        <v>1185895</v>
      </c>
    </row>
    <row r="223">
      <c r="A223" s="10">
        <f>Github!J$857</f>
        <v>856</v>
      </c>
      <c r="B223" s="11" t="str">
        <f>HYPERLINK(CONCAT("http://leetcode.com/problems/",Github!C$857), Github!B$857)</f>
        <v>Score of Parentheses</v>
      </c>
      <c r="C223" s="10">
        <f>Github!F$857</f>
        <v>4346</v>
      </c>
      <c r="D223" s="10">
        <f>Github!G$857</f>
        <v>140</v>
      </c>
      <c r="E223" s="10">
        <f>Github!F$857+Github!G$857</f>
        <v>4486</v>
      </c>
      <c r="F223" s="12">
        <f t="shared" si="1"/>
        <v>31.04</v>
      </c>
      <c r="G223" s="10" t="str">
        <f>Github!H$857</f>
        <v>Algorithms</v>
      </c>
      <c r="H223" s="13" t="str">
        <f>SUBSTITUTE(Github!L$857, ";", ", ")</f>
        <v>String, Stack, </v>
      </c>
      <c r="I223" s="10" t="str">
        <f>Github!E$857</f>
        <v>Medium</v>
      </c>
      <c r="J223" s="10" t="str">
        <f>IF(TRIM(Github!D$857)="TRUE","FALSE","TRUE")</f>
        <v>TRUE</v>
      </c>
      <c r="K223" s="10" t="b">
        <f>Github!M$857</f>
        <v>1</v>
      </c>
      <c r="L223" s="10" t="b">
        <f>Github!N$857</f>
        <v>0</v>
      </c>
      <c r="M223" s="10" t="str">
        <f>ROUND(Github!O$857, 2)&amp;"%"</f>
        <v>65.41%</v>
      </c>
      <c r="N223" s="10">
        <f>Github!P$857</f>
        <v>136318</v>
      </c>
      <c r="O223" s="10">
        <f>Github!Q$857</f>
        <v>208414</v>
      </c>
    </row>
    <row r="224">
      <c r="A224" s="10">
        <f>Github!J$351</f>
        <v>350</v>
      </c>
      <c r="B224" s="11" t="str">
        <f>HYPERLINK(CONCAT("http://leetcode.com/problems/",Github!C$351), Github!B$351)</f>
        <v>Intersection of Two Arrays II</v>
      </c>
      <c r="C224" s="10">
        <f>Github!F$351</f>
        <v>4345</v>
      </c>
      <c r="D224" s="10">
        <f>Github!G$351</f>
        <v>695</v>
      </c>
      <c r="E224" s="10">
        <f>Github!F$351+Github!G$351</f>
        <v>5040</v>
      </c>
      <c r="F224" s="12">
        <f t="shared" si="1"/>
        <v>6.25</v>
      </c>
      <c r="G224" s="10" t="str">
        <f>Github!H$351</f>
        <v>Algorithms</v>
      </c>
      <c r="H224" s="13" t="str">
        <f>SUBSTITUTE(Github!L$351, ";", ", ")</f>
        <v>Array, Hash Table, Two Pointers, Binary Search, Sorting, </v>
      </c>
      <c r="I224" s="10" t="str">
        <f>Github!E$351</f>
        <v>Easy</v>
      </c>
      <c r="J224" s="10" t="str">
        <f>IF(TRIM(Github!D$351)="TRUE","FALSE","TRUE")</f>
        <v>TRUE</v>
      </c>
      <c r="K224" s="10" t="b">
        <f>Github!M$351</f>
        <v>1</v>
      </c>
      <c r="L224" s="10" t="b">
        <f>Github!N$351</f>
        <v>0</v>
      </c>
      <c r="M224" s="10" t="str">
        <f>ROUND(Github!O$351, 2)&amp;"%"</f>
        <v>54.89%</v>
      </c>
      <c r="N224" s="10">
        <f>Github!P$351</f>
        <v>783108</v>
      </c>
      <c r="O224" s="10">
        <f>Github!Q$351</f>
        <v>1426804</v>
      </c>
    </row>
    <row r="225">
      <c r="A225" s="10">
        <f>Github!J$44</f>
        <v>43</v>
      </c>
      <c r="B225" s="11" t="str">
        <f>HYPERLINK(CONCAT("http://leetcode.com/problems/",Github!C$44), Github!B$44)</f>
        <v>Multiply Strings</v>
      </c>
      <c r="C225" s="10">
        <f>Github!F$44</f>
        <v>4324</v>
      </c>
      <c r="D225" s="10">
        <f>Github!G$44</f>
        <v>1709</v>
      </c>
      <c r="E225" s="10">
        <f>Github!F$44+Github!G$44</f>
        <v>6033</v>
      </c>
      <c r="F225" s="12">
        <f t="shared" si="1"/>
        <v>2.53</v>
      </c>
      <c r="G225" s="10" t="str">
        <f>Github!H$44</f>
        <v>Algorithms</v>
      </c>
      <c r="H225" s="13" t="str">
        <f>SUBSTITUTE(Github!L$44, ";", ", ")</f>
        <v>Math, String, Simulation, </v>
      </c>
      <c r="I225" s="10" t="str">
        <f>Github!E$44</f>
        <v>Medium</v>
      </c>
      <c r="J225" s="10" t="str">
        <f>IF(TRIM(Github!D$44)="TRUE","FALSE","TRUE")</f>
        <v>TRUE</v>
      </c>
      <c r="K225" s="10" t="b">
        <f>Github!M$44</f>
        <v>1</v>
      </c>
      <c r="L225" s="10" t="b">
        <f>Github!N$44</f>
        <v>0</v>
      </c>
      <c r="M225" s="10" t="str">
        <f>ROUND(Github!O$44, 2)&amp;"%"</f>
        <v>37.71%</v>
      </c>
      <c r="N225" s="10">
        <f>Github!P$44</f>
        <v>506819</v>
      </c>
      <c r="O225" s="10">
        <f>Github!Q$44</f>
        <v>1344106</v>
      </c>
    </row>
    <row r="226">
      <c r="A226" s="10">
        <f>Github!J$464</f>
        <v>463</v>
      </c>
      <c r="B226" s="11" t="str">
        <f>HYPERLINK(CONCAT("http://leetcode.com/problems/",Github!C$464), Github!B$464)</f>
        <v>Island Perimeter</v>
      </c>
      <c r="C226" s="10">
        <f>Github!F$464</f>
        <v>4310</v>
      </c>
      <c r="D226" s="10">
        <f>Github!G$464</f>
        <v>237</v>
      </c>
      <c r="E226" s="10">
        <f>Github!F$464+Github!G$464</f>
        <v>4547</v>
      </c>
      <c r="F226" s="12">
        <f t="shared" si="1"/>
        <v>18.19</v>
      </c>
      <c r="G226" s="10" t="str">
        <f>Github!H$464</f>
        <v>Algorithms</v>
      </c>
      <c r="H226" s="13" t="str">
        <f>SUBSTITUTE(Github!L$464, ";", ", ")</f>
        <v>Array, Depth-First Search, Breadth-First Search, Matrix, </v>
      </c>
      <c r="I226" s="10" t="str">
        <f>Github!E$464</f>
        <v>Easy</v>
      </c>
      <c r="J226" s="10" t="str">
        <f>IF(TRIM(Github!D$464)="TRUE","FALSE","TRUE")</f>
        <v>TRUE</v>
      </c>
      <c r="K226" s="10" t="b">
        <f>Github!M$464</f>
        <v>1</v>
      </c>
      <c r="L226" s="10" t="b">
        <f>Github!N$464</f>
        <v>0</v>
      </c>
      <c r="M226" s="10" t="str">
        <f>ROUND(Github!O$464, 2)&amp;"%"</f>
        <v>68.94%</v>
      </c>
      <c r="N226" s="10">
        <f>Github!P$464</f>
        <v>362403</v>
      </c>
      <c r="O226" s="10">
        <f>Github!Q$464</f>
        <v>525663</v>
      </c>
    </row>
    <row r="227">
      <c r="A227" s="10">
        <f>Github!J$238</f>
        <v>237</v>
      </c>
      <c r="B227" s="11" t="str">
        <f>HYPERLINK(CONCAT("http://leetcode.com/problems/",Github!C$238), Github!B$238)</f>
        <v>Delete Node in a Linked List</v>
      </c>
      <c r="C227" s="10">
        <f>Github!F$238</f>
        <v>4324</v>
      </c>
      <c r="D227" s="10">
        <f>Github!G$238</f>
        <v>11586</v>
      </c>
      <c r="E227" s="10">
        <f>Github!F$238+Github!G$238</f>
        <v>15910</v>
      </c>
      <c r="F227" s="12">
        <f t="shared" si="1"/>
        <v>0.37</v>
      </c>
      <c r="G227" s="10" t="str">
        <f>Github!H$238</f>
        <v>Algorithms</v>
      </c>
      <c r="H227" s="13" t="str">
        <f>SUBSTITUTE(Github!L$238, ";", ", ")</f>
        <v>Linked List, </v>
      </c>
      <c r="I227" s="10" t="str">
        <f>Github!E$238</f>
        <v>Easy</v>
      </c>
      <c r="J227" s="10" t="str">
        <f>IF(TRIM(Github!D$238)="TRUE","FALSE","TRUE")</f>
        <v>TRUE</v>
      </c>
      <c r="K227" s="10" t="b">
        <f>Github!M$238</f>
        <v>0</v>
      </c>
      <c r="L227" s="10" t="b">
        <f>Github!N$238</f>
        <v>0</v>
      </c>
      <c r="M227" s="10" t="str">
        <f>ROUND(Github!O$238, 2)&amp;"%"</f>
        <v>71.85%</v>
      </c>
      <c r="N227" s="10">
        <f>Github!P$238</f>
        <v>790849</v>
      </c>
      <c r="O227" s="10">
        <f>Github!Q$238</f>
        <v>1100659</v>
      </c>
    </row>
    <row r="228">
      <c r="A228" s="10">
        <f>Github!J$1005</f>
        <v>1004</v>
      </c>
      <c r="B228" s="11" t="str">
        <f>HYPERLINK(CONCAT("http://leetcode.com/problems/",Github!C$1005), Github!B$1005)</f>
        <v>Max Consecutive Ones III</v>
      </c>
      <c r="C228" s="10">
        <f>Github!F$1005</f>
        <v>4284</v>
      </c>
      <c r="D228" s="10">
        <f>Github!G$1005</f>
        <v>56</v>
      </c>
      <c r="E228" s="10">
        <f>Github!F$1005+Github!G$1005</f>
        <v>4340</v>
      </c>
      <c r="F228" s="12">
        <f t="shared" si="1"/>
        <v>76.5</v>
      </c>
      <c r="G228" s="10" t="str">
        <f>Github!H$1005</f>
        <v>Algorithms</v>
      </c>
      <c r="H228" s="13" t="str">
        <f>SUBSTITUTE(Github!L$1005, ";", ", ")</f>
        <v>Array, Binary Search, Sliding Window, Prefix Sum, </v>
      </c>
      <c r="I228" s="10" t="str">
        <f>Github!E$1005</f>
        <v>Medium</v>
      </c>
      <c r="J228" s="10" t="str">
        <f>IF(TRIM(Github!D$1005)="TRUE","FALSE","TRUE")</f>
        <v>TRUE</v>
      </c>
      <c r="K228" s="10" t="b">
        <f>Github!M$1005</f>
        <v>1</v>
      </c>
      <c r="L228" s="10" t="b">
        <f>Github!N$1005</f>
        <v>0</v>
      </c>
      <c r="M228" s="10" t="str">
        <f>ROUND(Github!O$1005, 2)&amp;"%"</f>
        <v>62.93%</v>
      </c>
      <c r="N228" s="10">
        <f>Github!P$1005</f>
        <v>203967</v>
      </c>
      <c r="O228" s="10">
        <f>Github!Q$1005</f>
        <v>324127</v>
      </c>
    </row>
    <row r="229">
      <c r="A229" s="10">
        <f>Github!J$89</f>
        <v>88</v>
      </c>
      <c r="B229" s="11" t="str">
        <f>HYPERLINK(CONCAT("http://leetcode.com/problems/",Github!C$89), Github!B$89)</f>
        <v>Merge Sorted Array</v>
      </c>
      <c r="C229" s="10">
        <f>Github!F$89</f>
        <v>4348</v>
      </c>
      <c r="D229" s="10">
        <f>Github!G$89</f>
        <v>422</v>
      </c>
      <c r="E229" s="10">
        <f>Github!F$89+Github!G$89</f>
        <v>4770</v>
      </c>
      <c r="F229" s="12">
        <f t="shared" si="1"/>
        <v>10.3</v>
      </c>
      <c r="G229" s="10" t="str">
        <f>Github!H$89</f>
        <v>Algorithms</v>
      </c>
      <c r="H229" s="13" t="str">
        <f>SUBSTITUTE(Github!L$89, ";", ", ")</f>
        <v>Array, Two Pointers, Sorting, </v>
      </c>
      <c r="I229" s="10" t="str">
        <f>Github!E$89</f>
        <v>Easy</v>
      </c>
      <c r="J229" s="10" t="str">
        <f>IF(TRIM(Github!D$89)="TRUE","FALSE","TRUE")</f>
        <v>TRUE</v>
      </c>
      <c r="K229" s="10" t="b">
        <f>Github!M$89</f>
        <v>1</v>
      </c>
      <c r="L229" s="10" t="b">
        <f>Github!N$89</f>
        <v>0</v>
      </c>
      <c r="M229" s="10" t="str">
        <f>ROUND(Github!O$89, 2)&amp;"%"</f>
        <v>43.81%</v>
      </c>
      <c r="N229" s="10">
        <f>Github!P$89</f>
        <v>1360369</v>
      </c>
      <c r="O229" s="10">
        <f>Github!Q$89</f>
        <v>3104879</v>
      </c>
    </row>
    <row r="230">
      <c r="A230" s="10">
        <f>Github!J$425</f>
        <v>424</v>
      </c>
      <c r="B230" s="11" t="str">
        <f>HYPERLINK(CONCAT("http://leetcode.com/problems/",Github!C$425), Github!B$425)</f>
        <v>Longest Repeating Character Replacement</v>
      </c>
      <c r="C230" s="10">
        <f>Github!F$425</f>
        <v>4269</v>
      </c>
      <c r="D230" s="10">
        <f>Github!G$425</f>
        <v>171</v>
      </c>
      <c r="E230" s="10">
        <f>Github!F$425+Github!G$425</f>
        <v>4440</v>
      </c>
      <c r="F230" s="12">
        <f t="shared" si="1"/>
        <v>24.96</v>
      </c>
      <c r="G230" s="10" t="str">
        <f>Github!H$425</f>
        <v>Algorithms</v>
      </c>
      <c r="H230" s="13" t="str">
        <f>SUBSTITUTE(Github!L$425, ";", ", ")</f>
        <v>Hash Table, String, Sliding Window, </v>
      </c>
      <c r="I230" s="10" t="str">
        <f>Github!E$425</f>
        <v>Medium</v>
      </c>
      <c r="J230" s="10" t="str">
        <f>IF(TRIM(Github!D$425)="TRUE","FALSE","TRUE")</f>
        <v>TRUE</v>
      </c>
      <c r="K230" s="10" t="b">
        <f>Github!M$425</f>
        <v>0</v>
      </c>
      <c r="L230" s="10" t="b">
        <f>Github!N$425</f>
        <v>0</v>
      </c>
      <c r="M230" s="10" t="str">
        <f>ROUND(Github!O$425, 2)&amp;"%"</f>
        <v>50.82%</v>
      </c>
      <c r="N230" s="10">
        <f>Github!P$425</f>
        <v>211948</v>
      </c>
      <c r="O230" s="10">
        <f>Github!Q$425</f>
        <v>417040</v>
      </c>
    </row>
    <row r="231">
      <c r="A231" s="10">
        <f>Github!J$228</f>
        <v>227</v>
      </c>
      <c r="B231" s="11" t="str">
        <f>HYPERLINK(CONCAT("http://leetcode.com/problems/",Github!C$228), Github!B$228)</f>
        <v>Basic Calculator II</v>
      </c>
      <c r="C231" s="10">
        <f>Github!F$228</f>
        <v>4237</v>
      </c>
      <c r="D231" s="10">
        <f>Github!G$228</f>
        <v>557</v>
      </c>
      <c r="E231" s="10">
        <f>Github!F$228+Github!G$228</f>
        <v>4794</v>
      </c>
      <c r="F231" s="12">
        <f t="shared" si="1"/>
        <v>7.61</v>
      </c>
      <c r="G231" s="10" t="str">
        <f>Github!H$228</f>
        <v>Algorithms</v>
      </c>
      <c r="H231" s="13" t="str">
        <f>SUBSTITUTE(Github!L$228, ";", ", ")</f>
        <v>Math, String, Stack, </v>
      </c>
      <c r="I231" s="10" t="str">
        <f>Github!E$228</f>
        <v>Medium</v>
      </c>
      <c r="J231" s="10" t="str">
        <f>IF(TRIM(Github!D$228)="TRUE","FALSE","TRUE")</f>
        <v>TRUE</v>
      </c>
      <c r="K231" s="10" t="b">
        <f>Github!M$228</f>
        <v>1</v>
      </c>
      <c r="L231" s="10" t="b">
        <f>Github!N$228</f>
        <v>0</v>
      </c>
      <c r="M231" s="10" t="str">
        <f>ROUND(Github!O$228, 2)&amp;"%"</f>
        <v>41.57%</v>
      </c>
      <c r="N231" s="10">
        <f>Github!P$228</f>
        <v>422732</v>
      </c>
      <c r="O231" s="10">
        <f>Github!Q$228</f>
        <v>1016853</v>
      </c>
    </row>
    <row r="232">
      <c r="A232" s="10">
        <f>Github!J$539</f>
        <v>538</v>
      </c>
      <c r="B232" s="11" t="str">
        <f>HYPERLINK(CONCAT("http://leetcode.com/problems/",Github!C$539), Github!B$539)</f>
        <v>Convert BST to Greater Tree</v>
      </c>
      <c r="C232" s="10">
        <f>Github!F$539</f>
        <v>4237</v>
      </c>
      <c r="D232" s="10">
        <f>Github!G$539</f>
        <v>159</v>
      </c>
      <c r="E232" s="10">
        <f>Github!F$539+Github!G$539</f>
        <v>4396</v>
      </c>
      <c r="F232" s="12">
        <f t="shared" si="1"/>
        <v>26.65</v>
      </c>
      <c r="G232" s="10" t="str">
        <f>Github!H$539</f>
        <v>Algorithms</v>
      </c>
      <c r="H232" s="13" t="str">
        <f>SUBSTITUTE(Github!L$539, ";", ", ")</f>
        <v>Tree, Depth-First Search, Binary Search Tree, Binary Tree, </v>
      </c>
      <c r="I232" s="10" t="str">
        <f>Github!E$539</f>
        <v>Medium</v>
      </c>
      <c r="J232" s="10" t="str">
        <f>IF(TRIM(Github!D$539)="TRUE","FALSE","TRUE")</f>
        <v>TRUE</v>
      </c>
      <c r="K232" s="10" t="b">
        <f>Github!M$539</f>
        <v>1</v>
      </c>
      <c r="L232" s="10" t="b">
        <f>Github!N$539</f>
        <v>0</v>
      </c>
      <c r="M232" s="10" t="str">
        <f>ROUND(Github!O$539, 2)&amp;"%"</f>
        <v>66.19%</v>
      </c>
      <c r="N232" s="10">
        <f>Github!P$539</f>
        <v>238299</v>
      </c>
      <c r="O232" s="10">
        <f>Github!Q$539</f>
        <v>360026</v>
      </c>
    </row>
    <row r="233">
      <c r="A233" s="10">
        <f>Github!J$659</f>
        <v>658</v>
      </c>
      <c r="B233" s="11" t="str">
        <f>HYPERLINK(CONCAT("http://leetcode.com/problems/",Github!C$659), Github!B$659)</f>
        <v>Find K Closest Elements</v>
      </c>
      <c r="C233" s="10">
        <f>Github!F$659</f>
        <v>4237</v>
      </c>
      <c r="D233" s="10">
        <f>Github!G$659</f>
        <v>423</v>
      </c>
      <c r="E233" s="10">
        <f>Github!F$659+Github!G$659</f>
        <v>4660</v>
      </c>
      <c r="F233" s="12">
        <f t="shared" si="1"/>
        <v>10.02</v>
      </c>
      <c r="G233" s="10" t="str">
        <f>Github!H$659</f>
        <v>Algorithms</v>
      </c>
      <c r="H233" s="13" t="str">
        <f>SUBSTITUTE(Github!L$659, ";", ", ")</f>
        <v>Array, Two Pointers, Binary Search, Sorting, Heap (Priority Queue), </v>
      </c>
      <c r="I233" s="10" t="str">
        <f>Github!E$659</f>
        <v>Medium</v>
      </c>
      <c r="J233" s="10" t="str">
        <f>IF(TRIM(Github!D$659)="TRUE","FALSE","TRUE")</f>
        <v>TRUE</v>
      </c>
      <c r="K233" s="10" t="b">
        <f>Github!M$659</f>
        <v>1</v>
      </c>
      <c r="L233" s="10" t="b">
        <f>Github!N$659</f>
        <v>0</v>
      </c>
      <c r="M233" s="10" t="str">
        <f>ROUND(Github!O$659, 2)&amp;"%"</f>
        <v>44.51%</v>
      </c>
      <c r="N233" s="10">
        <f>Github!P$659</f>
        <v>282873</v>
      </c>
      <c r="O233" s="10">
        <f>Github!Q$659</f>
        <v>635585</v>
      </c>
    </row>
    <row r="234">
      <c r="A234" s="10">
        <f>Github!J$722</f>
        <v>721</v>
      </c>
      <c r="B234" s="11" t="str">
        <f>HYPERLINK(CONCAT("http://leetcode.com/problems/",Github!C$722), Github!B$722)</f>
        <v>Accounts Merge</v>
      </c>
      <c r="C234" s="10">
        <f>Github!F$722</f>
        <v>4188</v>
      </c>
      <c r="D234" s="10">
        <f>Github!G$722</f>
        <v>749</v>
      </c>
      <c r="E234" s="10">
        <f>Github!F$722+Github!G$722</f>
        <v>4937</v>
      </c>
      <c r="F234" s="12">
        <f t="shared" si="1"/>
        <v>5.59</v>
      </c>
      <c r="G234" s="10" t="str">
        <f>Github!H$722</f>
        <v>Algorithms</v>
      </c>
      <c r="H234" s="13" t="str">
        <f>SUBSTITUTE(Github!L$722, ";", ", ")</f>
        <v>Array, String, Depth-First Search, Breadth-First Search, Union Find, </v>
      </c>
      <c r="I234" s="10" t="str">
        <f>Github!E$722</f>
        <v>Medium</v>
      </c>
      <c r="J234" s="10" t="str">
        <f>IF(TRIM(Github!D$722)="TRUE","FALSE","TRUE")</f>
        <v>TRUE</v>
      </c>
      <c r="K234" s="10" t="b">
        <f>Github!M$722</f>
        <v>1</v>
      </c>
      <c r="L234" s="10" t="b">
        <f>Github!N$722</f>
        <v>0</v>
      </c>
      <c r="M234" s="10" t="str">
        <f>ROUND(Github!O$722, 2)&amp;"%"</f>
        <v>55.86%</v>
      </c>
      <c r="N234" s="10">
        <f>Github!P$722</f>
        <v>246111</v>
      </c>
      <c r="O234" s="10">
        <f>Github!Q$722</f>
        <v>440609</v>
      </c>
    </row>
    <row r="235">
      <c r="A235" s="10">
        <f>Github!J$1012</f>
        <v>1011</v>
      </c>
      <c r="B235" s="11" t="str">
        <f>HYPERLINK(CONCAT("http://leetcode.com/problems/",Github!C$1012), Github!B$1012)</f>
        <v>Capacity To Ship Packages Within D Days</v>
      </c>
      <c r="C235" s="10">
        <f>Github!F$1012</f>
        <v>4156</v>
      </c>
      <c r="D235" s="10">
        <f>Github!G$1012</f>
        <v>96</v>
      </c>
      <c r="E235" s="10">
        <f>Github!F$1012+Github!G$1012</f>
        <v>4252</v>
      </c>
      <c r="F235" s="12">
        <f t="shared" si="1"/>
        <v>43.29</v>
      </c>
      <c r="G235" s="10" t="str">
        <f>Github!H$1012</f>
        <v>Algorithms</v>
      </c>
      <c r="H235" s="13" t="str">
        <f>SUBSTITUTE(Github!L$1012, ";", ", ")</f>
        <v>Array, Binary Search, Greedy, </v>
      </c>
      <c r="I235" s="10" t="str">
        <f>Github!E$1012</f>
        <v>Medium</v>
      </c>
      <c r="J235" s="10" t="str">
        <f>IF(TRIM(Github!D$1012)="TRUE","FALSE","TRUE")</f>
        <v>TRUE</v>
      </c>
      <c r="K235" s="10" t="b">
        <f>Github!M$1012</f>
        <v>0</v>
      </c>
      <c r="L235" s="10" t="b">
        <f>Github!N$1012</f>
        <v>0</v>
      </c>
      <c r="M235" s="10" t="str">
        <f>ROUND(Github!O$1012, 2)&amp;"%"</f>
        <v>63.56%</v>
      </c>
      <c r="N235" s="10">
        <f>Github!P$1012</f>
        <v>145307</v>
      </c>
      <c r="O235" s="10">
        <f>Github!Q$1012</f>
        <v>228616</v>
      </c>
    </row>
    <row r="236">
      <c r="A236" s="10">
        <f>Github!J$130</f>
        <v>129</v>
      </c>
      <c r="B236" s="11" t="str">
        <f>HYPERLINK(CONCAT("http://leetcode.com/problems/",Github!C$130), Github!B$130)</f>
        <v>Sum Root to Leaf Numbers</v>
      </c>
      <c r="C236" s="10">
        <f>Github!F$130</f>
        <v>4145</v>
      </c>
      <c r="D236" s="10">
        <f>Github!G$130</f>
        <v>80</v>
      </c>
      <c r="E236" s="10">
        <f>Github!F$130+Github!G$130</f>
        <v>4225</v>
      </c>
      <c r="F236" s="12">
        <f t="shared" si="1"/>
        <v>51.81</v>
      </c>
      <c r="G236" s="10" t="str">
        <f>Github!H$130</f>
        <v>Algorithms</v>
      </c>
      <c r="H236" s="13" t="str">
        <f>SUBSTITUTE(Github!L$130, ";", ", ")</f>
        <v>Tree, Depth-First Search, Binary Tree, </v>
      </c>
      <c r="I236" s="10" t="str">
        <f>Github!E$130</f>
        <v>Medium</v>
      </c>
      <c r="J236" s="10" t="str">
        <f>IF(TRIM(Github!D$130)="TRUE","FALSE","TRUE")</f>
        <v>TRUE</v>
      </c>
      <c r="K236" s="10" t="b">
        <f>Github!M$130</f>
        <v>1</v>
      </c>
      <c r="L236" s="10" t="b">
        <f>Github!N$130</f>
        <v>0</v>
      </c>
      <c r="M236" s="10" t="str">
        <f>ROUND(Github!O$130, 2)&amp;"%"</f>
        <v>56.91%</v>
      </c>
      <c r="N236" s="10">
        <f>Github!P$130</f>
        <v>455264</v>
      </c>
      <c r="O236" s="10">
        <f>Github!Q$130</f>
        <v>799921</v>
      </c>
    </row>
    <row r="237">
      <c r="A237" s="10">
        <f>Github!J$987</f>
        <v>986</v>
      </c>
      <c r="B237" s="11" t="str">
        <f>HYPERLINK(CONCAT("http://leetcode.com/problems/",Github!C$987), Github!B$987)</f>
        <v>Interval List Intersections</v>
      </c>
      <c r="C237" s="10">
        <f>Github!F$987</f>
        <v>4131</v>
      </c>
      <c r="D237" s="10">
        <f>Github!G$987</f>
        <v>85</v>
      </c>
      <c r="E237" s="10">
        <f>Github!F$987+Github!G$987</f>
        <v>4216</v>
      </c>
      <c r="F237" s="12">
        <f t="shared" si="1"/>
        <v>48.6</v>
      </c>
      <c r="G237" s="10" t="str">
        <f>Github!H$987</f>
        <v>Algorithms</v>
      </c>
      <c r="H237" s="13" t="str">
        <f>SUBSTITUTE(Github!L$987, ";", ", ")</f>
        <v>Array, Two Pointers, </v>
      </c>
      <c r="I237" s="10" t="str">
        <f>Github!E$987</f>
        <v>Medium</v>
      </c>
      <c r="J237" s="10" t="str">
        <f>IF(TRIM(Github!D$987)="TRUE","FALSE","TRUE")</f>
        <v>TRUE</v>
      </c>
      <c r="K237" s="10" t="b">
        <f>Github!M$987</f>
        <v>1</v>
      </c>
      <c r="L237" s="10" t="b">
        <f>Github!N$987</f>
        <v>0</v>
      </c>
      <c r="M237" s="10" t="str">
        <f>ROUND(Github!O$987, 2)&amp;"%"</f>
        <v>71.12%</v>
      </c>
      <c r="N237" s="10">
        <f>Github!P$987</f>
        <v>296605</v>
      </c>
      <c r="O237" s="10">
        <f>Github!Q$987</f>
        <v>417043</v>
      </c>
    </row>
    <row r="238">
      <c r="A238" s="10">
        <f>Github!J$786</f>
        <v>785</v>
      </c>
      <c r="B238" s="11" t="str">
        <f>HYPERLINK(CONCAT("http://leetcode.com/problems/",Github!C$786), Github!B$786)</f>
        <v>Is Graph Bipartite?</v>
      </c>
      <c r="C238" s="10">
        <f>Github!F$786</f>
        <v>4101</v>
      </c>
      <c r="D238" s="10">
        <f>Github!G$786</f>
        <v>262</v>
      </c>
      <c r="E238" s="10">
        <f>Github!F$786+Github!G$786</f>
        <v>4363</v>
      </c>
      <c r="F238" s="12">
        <f t="shared" si="1"/>
        <v>15.65</v>
      </c>
      <c r="G238" s="10" t="str">
        <f>Github!H$786</f>
        <v>Algorithms</v>
      </c>
      <c r="H238" s="13" t="str">
        <f>SUBSTITUTE(Github!L$786, ";", ", ")</f>
        <v>Depth-First Search, Breadth-First Search, Union Find, Graph, </v>
      </c>
      <c r="I238" s="10" t="str">
        <f>Github!E$786</f>
        <v>Medium</v>
      </c>
      <c r="J238" s="10" t="str">
        <f>IF(TRIM(Github!D$786)="TRUE","FALSE","TRUE")</f>
        <v>TRUE</v>
      </c>
      <c r="K238" s="10" t="b">
        <f>Github!M$786</f>
        <v>1</v>
      </c>
      <c r="L238" s="10" t="b">
        <f>Github!N$786</f>
        <v>0</v>
      </c>
      <c r="M238" s="10" t="str">
        <f>ROUND(Github!O$786, 2)&amp;"%"</f>
        <v>50.45%</v>
      </c>
      <c r="N238" s="10">
        <f>Github!P$786</f>
        <v>278647</v>
      </c>
      <c r="O238" s="10">
        <f>Github!Q$786</f>
        <v>552327</v>
      </c>
    </row>
    <row r="239">
      <c r="A239" s="10">
        <f>Github!J$939</f>
        <v>938</v>
      </c>
      <c r="B239" s="11" t="str">
        <f>HYPERLINK(CONCAT("http://leetcode.com/problems/",Github!C$939), Github!B$939)</f>
        <v>Range Sum of BST</v>
      </c>
      <c r="C239" s="10">
        <f>Github!F$939</f>
        <v>4081</v>
      </c>
      <c r="D239" s="10">
        <f>Github!G$939</f>
        <v>333</v>
      </c>
      <c r="E239" s="10">
        <f>Github!F$939+Github!G$939</f>
        <v>4414</v>
      </c>
      <c r="F239" s="12">
        <f t="shared" si="1"/>
        <v>12.26</v>
      </c>
      <c r="G239" s="10" t="str">
        <f>Github!H$939</f>
        <v>Algorithms</v>
      </c>
      <c r="H239" s="13" t="str">
        <f>SUBSTITUTE(Github!L$939, ";", ", ")</f>
        <v>Tree, Depth-First Search, Binary Search Tree, Binary Tree, </v>
      </c>
      <c r="I239" s="10" t="str">
        <f>Github!E$939</f>
        <v>Easy</v>
      </c>
      <c r="J239" s="10" t="str">
        <f>IF(TRIM(Github!D$939)="TRUE","FALSE","TRUE")</f>
        <v>TRUE</v>
      </c>
      <c r="K239" s="10" t="b">
        <f>Github!M$939</f>
        <v>1</v>
      </c>
      <c r="L239" s="10" t="b">
        <f>Github!N$939</f>
        <v>1</v>
      </c>
      <c r="M239" s="10" t="str">
        <f>ROUND(Github!O$939, 2)&amp;"%"</f>
        <v>85.1%</v>
      </c>
      <c r="N239" s="10">
        <f>Github!P$939</f>
        <v>607358</v>
      </c>
      <c r="O239" s="10">
        <f>Github!Q$939</f>
        <v>713724</v>
      </c>
    </row>
    <row r="240">
      <c r="A240" s="10">
        <f>Github!J$146</f>
        <v>145</v>
      </c>
      <c r="B240" s="11" t="str">
        <f>HYPERLINK(CONCAT("http://leetcode.com/problems/",Github!C$146), Github!B$146)</f>
        <v>Binary Tree Postorder Traversal</v>
      </c>
      <c r="C240" s="10">
        <f>Github!F$146</f>
        <v>4080</v>
      </c>
      <c r="D240" s="10">
        <f>Github!G$146</f>
        <v>140</v>
      </c>
      <c r="E240" s="10">
        <f>Github!F$146+Github!G$146</f>
        <v>4220</v>
      </c>
      <c r="F240" s="12">
        <f t="shared" si="1"/>
        <v>29.14</v>
      </c>
      <c r="G240" s="10" t="str">
        <f>Github!H$146</f>
        <v>Algorithms</v>
      </c>
      <c r="H240" s="13" t="str">
        <f>SUBSTITUTE(Github!L$146, ";", ", ")</f>
        <v>Stack, Tree, Depth-First Search, Binary Tree, </v>
      </c>
      <c r="I240" s="10" t="str">
        <f>Github!E$146</f>
        <v>Easy</v>
      </c>
      <c r="J240" s="10" t="str">
        <f>IF(TRIM(Github!D$146)="TRUE","FALSE","TRUE")</f>
        <v>TRUE</v>
      </c>
      <c r="K240" s="10" t="b">
        <f>Github!M$146</f>
        <v>0</v>
      </c>
      <c r="L240" s="10" t="b">
        <f>Github!N$146</f>
        <v>0</v>
      </c>
      <c r="M240" s="10" t="str">
        <f>ROUND(Github!O$146, 2)&amp;"%"</f>
        <v>64.03%</v>
      </c>
      <c r="N240" s="10">
        <f>Github!P$146</f>
        <v>707968</v>
      </c>
      <c r="O240" s="10">
        <f>Github!Q$146</f>
        <v>1105627</v>
      </c>
    </row>
    <row r="241">
      <c r="A241" s="10">
        <f>Github!J$78</f>
        <v>77</v>
      </c>
      <c r="B241" s="11" t="str">
        <f>HYPERLINK(CONCAT("http://leetcode.com/problems/",Github!C$78), Github!B$78)</f>
        <v>Combinations</v>
      </c>
      <c r="C241" s="10">
        <f>Github!F$78</f>
        <v>4075</v>
      </c>
      <c r="D241" s="10">
        <f>Github!G$78</f>
        <v>140</v>
      </c>
      <c r="E241" s="10">
        <f>Github!F$78+Github!G$78</f>
        <v>4215</v>
      </c>
      <c r="F241" s="12">
        <f t="shared" si="1"/>
        <v>29.11</v>
      </c>
      <c r="G241" s="10" t="str">
        <f>Github!H$78</f>
        <v>Algorithms</v>
      </c>
      <c r="H241" s="13" t="str">
        <f>SUBSTITUTE(Github!L$78, ";", ", ")</f>
        <v>Backtracking, </v>
      </c>
      <c r="I241" s="10" t="str">
        <f>Github!E$78</f>
        <v>Medium</v>
      </c>
      <c r="J241" s="10" t="str">
        <f>IF(TRIM(Github!D$78)="TRUE","FALSE","TRUE")</f>
        <v>TRUE</v>
      </c>
      <c r="K241" s="10" t="b">
        <f>Github!M$78</f>
        <v>1</v>
      </c>
      <c r="L241" s="10" t="b">
        <f>Github!N$78</f>
        <v>0</v>
      </c>
      <c r="M241" s="10" t="str">
        <f>ROUND(Github!O$78, 2)&amp;"%"</f>
        <v>63.88%</v>
      </c>
      <c r="N241" s="10">
        <f>Github!P$78</f>
        <v>515157</v>
      </c>
      <c r="O241" s="10">
        <f>Github!Q$78</f>
        <v>806408</v>
      </c>
    </row>
    <row r="242">
      <c r="A242" s="10">
        <f>Github!J$67</f>
        <v>66</v>
      </c>
      <c r="B242" s="11" t="str">
        <f>HYPERLINK(CONCAT("http://leetcode.com/problems/",Github!C$67), Github!B$67)</f>
        <v>Plus One</v>
      </c>
      <c r="C242" s="10">
        <f>Github!F$67</f>
        <v>4069</v>
      </c>
      <c r="D242" s="10">
        <f>Github!G$67</f>
        <v>4102</v>
      </c>
      <c r="E242" s="10">
        <f>Github!F$67+Github!G$67</f>
        <v>8171</v>
      </c>
      <c r="F242" s="12">
        <f t="shared" si="1"/>
        <v>0.99</v>
      </c>
      <c r="G242" s="10" t="str">
        <f>Github!H$67</f>
        <v>Algorithms</v>
      </c>
      <c r="H242" s="13" t="str">
        <f>SUBSTITUTE(Github!L$67, ";", ", ")</f>
        <v>Array, Math, </v>
      </c>
      <c r="I242" s="10" t="str">
        <f>Github!E$67</f>
        <v>Easy</v>
      </c>
      <c r="J242" s="10" t="str">
        <f>IF(TRIM(Github!D$67)="TRUE","FALSE","TRUE")</f>
        <v>TRUE</v>
      </c>
      <c r="K242" s="10" t="b">
        <f>Github!M$67</f>
        <v>1</v>
      </c>
      <c r="L242" s="10" t="b">
        <f>Github!N$67</f>
        <v>0</v>
      </c>
      <c r="M242" s="10" t="str">
        <f>ROUND(Github!O$67, 2)&amp;"%"</f>
        <v>42.8%</v>
      </c>
      <c r="N242" s="10">
        <f>Github!P$67</f>
        <v>1175920</v>
      </c>
      <c r="O242" s="10">
        <f>Github!Q$67</f>
        <v>2747263</v>
      </c>
    </row>
    <row r="243">
      <c r="A243" s="10">
        <f>Github!J$138</f>
        <v>137</v>
      </c>
      <c r="B243" s="11" t="str">
        <f>HYPERLINK(CONCAT("http://leetcode.com/problems/",Github!C$138), Github!B$138)</f>
        <v>Single Number II</v>
      </c>
      <c r="C243" s="10">
        <f>Github!F$138</f>
        <v>4048</v>
      </c>
      <c r="D243" s="10">
        <f>Github!G$138</f>
        <v>477</v>
      </c>
      <c r="E243" s="10">
        <f>Github!F$138+Github!G$138</f>
        <v>4525</v>
      </c>
      <c r="F243" s="12">
        <f t="shared" si="1"/>
        <v>8.49</v>
      </c>
      <c r="G243" s="10" t="str">
        <f>Github!H$138</f>
        <v>Algorithms</v>
      </c>
      <c r="H243" s="13" t="str">
        <f>SUBSTITUTE(Github!L$138, ";", ", ")</f>
        <v>Array, Bit Manipulation, </v>
      </c>
      <c r="I243" s="10" t="str">
        <f>Github!E$138</f>
        <v>Medium</v>
      </c>
      <c r="J243" s="10" t="str">
        <f>IF(TRIM(Github!D$138)="TRUE","FALSE","TRUE")</f>
        <v>TRUE</v>
      </c>
      <c r="K243" s="10" t="b">
        <f>Github!M$138</f>
        <v>1</v>
      </c>
      <c r="L243" s="10" t="b">
        <f>Github!N$138</f>
        <v>0</v>
      </c>
      <c r="M243" s="10" t="str">
        <f>ROUND(Github!O$138, 2)&amp;"%"</f>
        <v>56.59%</v>
      </c>
      <c r="N243" s="10">
        <f>Github!P$138</f>
        <v>343950</v>
      </c>
      <c r="O243" s="10">
        <f>Github!Q$138</f>
        <v>607821</v>
      </c>
    </row>
    <row r="244">
      <c r="A244" s="10">
        <f>Github!J$452</f>
        <v>451</v>
      </c>
      <c r="B244" s="11" t="str">
        <f>HYPERLINK(CONCAT("http://leetcode.com/problems/",Github!C$452), Github!B$452)</f>
        <v>Sort Characters By Frequency</v>
      </c>
      <c r="C244" s="10">
        <f>Github!F$452</f>
        <v>4043</v>
      </c>
      <c r="D244" s="10">
        <f>Github!G$452</f>
        <v>179</v>
      </c>
      <c r="E244" s="10">
        <f>Github!F$452+Github!G$452</f>
        <v>4222</v>
      </c>
      <c r="F244" s="12">
        <f t="shared" si="1"/>
        <v>22.59</v>
      </c>
      <c r="G244" s="10" t="str">
        <f>Github!H$452</f>
        <v>Algorithms</v>
      </c>
      <c r="H244" s="13" t="str">
        <f>SUBSTITUTE(Github!L$452, ";", ", ")</f>
        <v>Hash Table, String, Sorting, Heap (Priority Queue), Bucket Sort, Counting, </v>
      </c>
      <c r="I244" s="10" t="str">
        <f>Github!E$452</f>
        <v>Medium</v>
      </c>
      <c r="J244" s="10" t="str">
        <f>IF(TRIM(Github!D$452)="TRUE","FALSE","TRUE")</f>
        <v>TRUE</v>
      </c>
      <c r="K244" s="10" t="b">
        <f>Github!M$452</f>
        <v>1</v>
      </c>
      <c r="L244" s="10" t="b">
        <f>Github!N$452</f>
        <v>0</v>
      </c>
      <c r="M244" s="10" t="str">
        <f>ROUND(Github!O$452, 2)&amp;"%"</f>
        <v>67.76%</v>
      </c>
      <c r="N244" s="10">
        <f>Github!P$452</f>
        <v>357388</v>
      </c>
      <c r="O244" s="10">
        <f>Github!Q$452</f>
        <v>527416</v>
      </c>
    </row>
    <row r="245">
      <c r="A245" s="10">
        <f>Github!J$798</f>
        <v>797</v>
      </c>
      <c r="B245" s="11" t="str">
        <f>HYPERLINK(CONCAT("http://leetcode.com/problems/",Github!C$798), Github!B$798)</f>
        <v>All Paths From Source to Target</v>
      </c>
      <c r="C245" s="10">
        <f>Github!F$798</f>
        <v>4036</v>
      </c>
      <c r="D245" s="10">
        <f>Github!G$798</f>
        <v>115</v>
      </c>
      <c r="E245" s="10">
        <f>Github!F$798+Github!G$798</f>
        <v>4151</v>
      </c>
      <c r="F245" s="12">
        <f t="shared" si="1"/>
        <v>35.1</v>
      </c>
      <c r="G245" s="10" t="str">
        <f>Github!H$798</f>
        <v>Algorithms</v>
      </c>
      <c r="H245" s="13" t="str">
        <f>SUBSTITUTE(Github!L$798, ";", ", ")</f>
        <v>Backtracking, Depth-First Search, Breadth-First Search, Graph, </v>
      </c>
      <c r="I245" s="10" t="str">
        <f>Github!E$798</f>
        <v>Medium</v>
      </c>
      <c r="J245" s="10" t="str">
        <f>IF(TRIM(Github!D$798)="TRUE","FALSE","TRUE")</f>
        <v>TRUE</v>
      </c>
      <c r="K245" s="10" t="b">
        <f>Github!M$798</f>
        <v>1</v>
      </c>
      <c r="L245" s="10" t="b">
        <f>Github!N$798</f>
        <v>0</v>
      </c>
      <c r="M245" s="10" t="str">
        <f>ROUND(Github!O$798, 2)&amp;"%"</f>
        <v>80.89%</v>
      </c>
      <c r="N245" s="10">
        <f>Github!P$798</f>
        <v>276382</v>
      </c>
      <c r="O245" s="10">
        <f>Github!Q$798</f>
        <v>341659</v>
      </c>
    </row>
    <row r="246">
      <c r="A246" s="10">
        <f>Github!J$876</f>
        <v>875</v>
      </c>
      <c r="B246" s="11" t="str">
        <f>HYPERLINK(CONCAT("http://leetcode.com/problems/",Github!C$876), Github!B$876)</f>
        <v>Koko Eating Bananas</v>
      </c>
      <c r="C246" s="10">
        <f>Github!F$876</f>
        <v>4032</v>
      </c>
      <c r="D246" s="10">
        <f>Github!G$876</f>
        <v>180</v>
      </c>
      <c r="E246" s="10">
        <f>Github!F$876+Github!G$876</f>
        <v>4212</v>
      </c>
      <c r="F246" s="12">
        <f t="shared" si="1"/>
        <v>22.4</v>
      </c>
      <c r="G246" s="10" t="str">
        <f>Github!H$876</f>
        <v>Algorithms</v>
      </c>
      <c r="H246" s="13" t="str">
        <f>SUBSTITUTE(Github!L$876, ";", ", ")</f>
        <v>Array, Binary Search, </v>
      </c>
      <c r="I246" s="10" t="str">
        <f>Github!E$876</f>
        <v>Medium</v>
      </c>
      <c r="J246" s="10" t="str">
        <f>IF(TRIM(Github!D$876)="TRUE","FALSE","TRUE")</f>
        <v>TRUE</v>
      </c>
      <c r="K246" s="10" t="b">
        <f>Github!M$876</f>
        <v>1</v>
      </c>
      <c r="L246" s="10" t="b">
        <f>Github!N$876</f>
        <v>0</v>
      </c>
      <c r="M246" s="10" t="str">
        <f>ROUND(Github!O$876, 2)&amp;"%"</f>
        <v>54.61%</v>
      </c>
      <c r="N246" s="10">
        <f>Github!P$876</f>
        <v>170530</v>
      </c>
      <c r="O246" s="10">
        <f>Github!Q$876</f>
        <v>312251</v>
      </c>
    </row>
    <row r="247">
      <c r="A247" s="10">
        <f>Github!J$175</f>
        <v>174</v>
      </c>
      <c r="B247" s="11" t="str">
        <f>HYPERLINK(CONCAT("http://leetcode.com/problems/",Github!C$175), Github!B$175)</f>
        <v>Dungeon Game</v>
      </c>
      <c r="C247" s="10">
        <f>Github!F$175</f>
        <v>4013</v>
      </c>
      <c r="D247" s="10">
        <f>Github!G$175</f>
        <v>80</v>
      </c>
      <c r="E247" s="10">
        <f>Github!F$175+Github!G$175</f>
        <v>4093</v>
      </c>
      <c r="F247" s="12">
        <f t="shared" si="1"/>
        <v>50.16</v>
      </c>
      <c r="G247" s="10" t="str">
        <f>Github!H$175</f>
        <v>Algorithms</v>
      </c>
      <c r="H247" s="13" t="str">
        <f>SUBSTITUTE(Github!L$175, ";", ", ")</f>
        <v>Array, Dynamic Programming, Matrix, </v>
      </c>
      <c r="I247" s="10" t="str">
        <f>Github!E$175</f>
        <v>Hard</v>
      </c>
      <c r="J247" s="10" t="str">
        <f>IF(TRIM(Github!D$175)="TRUE","FALSE","TRUE")</f>
        <v>TRUE</v>
      </c>
      <c r="K247" s="10" t="b">
        <f>Github!M$175</f>
        <v>1</v>
      </c>
      <c r="L247" s="10" t="b">
        <f>Github!N$175</f>
        <v>0</v>
      </c>
      <c r="M247" s="10" t="str">
        <f>ROUND(Github!O$175, 2)&amp;"%"</f>
        <v>36.5%</v>
      </c>
      <c r="N247" s="10">
        <f>Github!P$175</f>
        <v>170886</v>
      </c>
      <c r="O247" s="10">
        <f>Github!Q$175</f>
        <v>468241</v>
      </c>
    </row>
    <row r="248">
      <c r="A248" s="10">
        <f>Github!J$112</f>
        <v>111</v>
      </c>
      <c r="B248" s="11" t="str">
        <f>HYPERLINK(CONCAT("http://leetcode.com/problems/",Github!C$112), Github!B$112)</f>
        <v>Minimum Depth of Binary Tree</v>
      </c>
      <c r="C248" s="10">
        <f>Github!F$112</f>
        <v>4010</v>
      </c>
      <c r="D248" s="10">
        <f>Github!G$112</f>
        <v>944</v>
      </c>
      <c r="E248" s="10">
        <f>Github!F$112+Github!G$112</f>
        <v>4954</v>
      </c>
      <c r="F248" s="12">
        <f t="shared" si="1"/>
        <v>4.25</v>
      </c>
      <c r="G248" s="10" t="str">
        <f>Github!H$112</f>
        <v>Algorithms</v>
      </c>
      <c r="H248" s="13" t="str">
        <f>SUBSTITUTE(Github!L$112, ";", ", ")</f>
        <v>Tree, Depth-First Search, Breadth-First Search, Binary Tree, </v>
      </c>
      <c r="I248" s="10" t="str">
        <f>Github!E$112</f>
        <v>Easy</v>
      </c>
      <c r="J248" s="10" t="str">
        <f>IF(TRIM(Github!D$112)="TRUE","FALSE","TRUE")</f>
        <v>TRUE</v>
      </c>
      <c r="K248" s="10" t="b">
        <f>Github!M$112</f>
        <v>1</v>
      </c>
      <c r="L248" s="10" t="b">
        <f>Github!N$112</f>
        <v>0</v>
      </c>
      <c r="M248" s="10" t="str">
        <f>ROUND(Github!O$112, 2)&amp;"%"</f>
        <v>42.48%</v>
      </c>
      <c r="N248" s="10">
        <f>Github!P$112</f>
        <v>744537</v>
      </c>
      <c r="O248" s="10">
        <f>Github!Q$112</f>
        <v>1752737</v>
      </c>
    </row>
    <row r="249">
      <c r="A249" s="10">
        <f>Github!J$258</f>
        <v>257</v>
      </c>
      <c r="B249" s="11" t="str">
        <f>HYPERLINK(CONCAT("http://leetcode.com/problems/",Github!C$258), Github!B$258)</f>
        <v>Binary Tree Paths</v>
      </c>
      <c r="C249" s="10">
        <f>Github!F$258</f>
        <v>4008</v>
      </c>
      <c r="D249" s="10">
        <f>Github!G$258</f>
        <v>182</v>
      </c>
      <c r="E249" s="10">
        <f>Github!F$258+Github!G$258</f>
        <v>4190</v>
      </c>
      <c r="F249" s="12">
        <f t="shared" si="1"/>
        <v>22.02</v>
      </c>
      <c r="G249" s="10" t="str">
        <f>Github!H$258</f>
        <v>Algorithms</v>
      </c>
      <c r="H249" s="13" t="str">
        <f>SUBSTITUTE(Github!L$258, ";", ", ")</f>
        <v>String, Backtracking, Tree, Depth-First Search, Binary Tree, </v>
      </c>
      <c r="I249" s="10" t="str">
        <f>Github!E$258</f>
        <v>Easy</v>
      </c>
      <c r="J249" s="10" t="str">
        <f>IF(TRIM(Github!D$258)="TRUE","FALSE","TRUE")</f>
        <v>TRUE</v>
      </c>
      <c r="K249" s="10" t="b">
        <f>Github!M$258</f>
        <v>1</v>
      </c>
      <c r="L249" s="10" t="b">
        <f>Github!N$258</f>
        <v>0</v>
      </c>
      <c r="M249" s="10" t="str">
        <f>ROUND(Github!O$258, 2)&amp;"%"</f>
        <v>58.6%</v>
      </c>
      <c r="N249" s="10">
        <f>Github!P$258</f>
        <v>505241</v>
      </c>
      <c r="O249" s="10">
        <f>Github!Q$258</f>
        <v>862118</v>
      </c>
    </row>
    <row r="250">
      <c r="A250" s="10">
        <f>Github!J$145</f>
        <v>144</v>
      </c>
      <c r="B250" s="11" t="str">
        <f>HYPERLINK(CONCAT("http://leetcode.com/problems/",Github!C$145), Github!B$145)</f>
        <v>Binary Tree Preorder Traversal</v>
      </c>
      <c r="C250" s="10">
        <f>Github!F$145</f>
        <v>3993</v>
      </c>
      <c r="D250" s="10">
        <f>Github!G$145</f>
        <v>129</v>
      </c>
      <c r="E250" s="10">
        <f>Github!F$145+Github!G$145</f>
        <v>4122</v>
      </c>
      <c r="F250" s="12">
        <f t="shared" si="1"/>
        <v>30.95</v>
      </c>
      <c r="G250" s="10" t="str">
        <f>Github!H$145</f>
        <v>Algorithms</v>
      </c>
      <c r="H250" s="13" t="str">
        <f>SUBSTITUTE(Github!L$145, ";", ", ")</f>
        <v>Stack, Tree, Depth-First Search, Binary Tree, </v>
      </c>
      <c r="I250" s="10" t="str">
        <f>Github!E$145</f>
        <v>Easy</v>
      </c>
      <c r="J250" s="10" t="str">
        <f>IF(TRIM(Github!D$145)="TRUE","FALSE","TRUE")</f>
        <v>TRUE</v>
      </c>
      <c r="K250" s="10" t="b">
        <f>Github!M$145</f>
        <v>1</v>
      </c>
      <c r="L250" s="10" t="b">
        <f>Github!N$145</f>
        <v>0</v>
      </c>
      <c r="M250" s="10" t="str">
        <f>ROUND(Github!O$145, 2)&amp;"%"</f>
        <v>62.48%</v>
      </c>
      <c r="N250" s="10">
        <f>Github!P$145</f>
        <v>928473</v>
      </c>
      <c r="O250" s="10">
        <f>Github!Q$145</f>
        <v>1485924</v>
      </c>
    </row>
    <row r="251">
      <c r="A251" s="10">
        <f>Github!J$265</f>
        <v>264</v>
      </c>
      <c r="B251" s="11" t="str">
        <f>HYPERLINK(CONCAT("http://leetcode.com/problems/",Github!C$265), Github!B$265)</f>
        <v>Ugly Number II</v>
      </c>
      <c r="C251" s="10">
        <f>Github!F$265</f>
        <v>3985</v>
      </c>
      <c r="D251" s="10">
        <f>Github!G$265</f>
        <v>210</v>
      </c>
      <c r="E251" s="10">
        <f>Github!F$265+Github!G$265</f>
        <v>4195</v>
      </c>
      <c r="F251" s="12">
        <f t="shared" si="1"/>
        <v>18.98</v>
      </c>
      <c r="G251" s="10" t="str">
        <f>Github!H$265</f>
        <v>Algorithms</v>
      </c>
      <c r="H251" s="13" t="str">
        <f>SUBSTITUTE(Github!L$265, ";", ", ")</f>
        <v>Hash Table, Math, Dynamic Programming, Heap (Priority Queue), </v>
      </c>
      <c r="I251" s="10" t="str">
        <f>Github!E$265</f>
        <v>Medium</v>
      </c>
      <c r="J251" s="10" t="str">
        <f>IF(TRIM(Github!D$265)="TRUE","FALSE","TRUE")</f>
        <v>TRUE</v>
      </c>
      <c r="K251" s="10" t="b">
        <f>Github!M$265</f>
        <v>0</v>
      </c>
      <c r="L251" s="10" t="b">
        <f>Github!N$265</f>
        <v>0</v>
      </c>
      <c r="M251" s="10" t="str">
        <f>ROUND(Github!O$265, 2)&amp;"%"</f>
        <v>45.24%</v>
      </c>
      <c r="N251" s="10">
        <f>Github!P$265</f>
        <v>256400</v>
      </c>
      <c r="O251" s="10">
        <f>Github!Q$265</f>
        <v>566793</v>
      </c>
    </row>
    <row r="252">
      <c r="A252" s="10">
        <f>Github!J$734</f>
        <v>733</v>
      </c>
      <c r="B252" s="11" t="str">
        <f>HYPERLINK(CONCAT("http://leetcode.com/problems/",Github!C$734), Github!B$734)</f>
        <v>Flood Fill</v>
      </c>
      <c r="C252" s="10">
        <f>Github!F$734</f>
        <v>3987</v>
      </c>
      <c r="D252" s="10">
        <f>Github!G$734</f>
        <v>379</v>
      </c>
      <c r="E252" s="10">
        <f>Github!F$734+Github!G$734</f>
        <v>4366</v>
      </c>
      <c r="F252" s="12">
        <f t="shared" si="1"/>
        <v>10.52</v>
      </c>
      <c r="G252" s="10" t="str">
        <f>Github!H$734</f>
        <v>Algorithms</v>
      </c>
      <c r="H252" s="13" t="str">
        <f>SUBSTITUTE(Github!L$734, ";", ", ")</f>
        <v>Array, Depth-First Search, Breadth-First Search, Matrix, </v>
      </c>
      <c r="I252" s="10" t="str">
        <f>Github!E$734</f>
        <v>Easy</v>
      </c>
      <c r="J252" s="10" t="str">
        <f>IF(TRIM(Github!D$734)="TRUE","FALSE","TRUE")</f>
        <v>TRUE</v>
      </c>
      <c r="K252" s="10" t="b">
        <f>Github!M$734</f>
        <v>1</v>
      </c>
      <c r="L252" s="10" t="b">
        <f>Github!N$734</f>
        <v>0</v>
      </c>
      <c r="M252" s="10" t="str">
        <f>ROUND(Github!O$734, 2)&amp;"%"</f>
        <v>58.21%</v>
      </c>
      <c r="N252" s="10">
        <f>Github!P$734</f>
        <v>399263</v>
      </c>
      <c r="O252" s="10">
        <f>Github!Q$734</f>
        <v>685865</v>
      </c>
    </row>
    <row r="253">
      <c r="A253" s="10">
        <f>Github!J$744</f>
        <v>743</v>
      </c>
      <c r="B253" s="11" t="str">
        <f>HYPERLINK(CONCAT("http://leetcode.com/problems/",Github!C$744), Github!B$744)</f>
        <v>Network Delay Time</v>
      </c>
      <c r="C253" s="10">
        <f>Github!F$744</f>
        <v>3959</v>
      </c>
      <c r="D253" s="10">
        <f>Github!G$744</f>
        <v>275</v>
      </c>
      <c r="E253" s="10">
        <f>Github!F$744+Github!G$744</f>
        <v>4234</v>
      </c>
      <c r="F253" s="12">
        <f t="shared" si="1"/>
        <v>14.4</v>
      </c>
      <c r="G253" s="10" t="str">
        <f>Github!H$744</f>
        <v>Algorithms</v>
      </c>
      <c r="H253" s="13" t="str">
        <f>SUBSTITUTE(Github!L$744, ";", ", ")</f>
        <v>Depth-First Search, Breadth-First Search, Graph, Heap (Priority Queue), Shortest Path, </v>
      </c>
      <c r="I253" s="10" t="str">
        <f>Github!E$744</f>
        <v>Medium</v>
      </c>
      <c r="J253" s="10" t="str">
        <f>IF(TRIM(Github!D$744)="TRUE","FALSE","TRUE")</f>
        <v>TRUE</v>
      </c>
      <c r="K253" s="10" t="b">
        <f>Github!M$744</f>
        <v>1</v>
      </c>
      <c r="L253" s="10" t="b">
        <f>Github!N$744</f>
        <v>0</v>
      </c>
      <c r="M253" s="10" t="str">
        <f>ROUND(Github!O$744, 2)&amp;"%"</f>
        <v>48.53%</v>
      </c>
      <c r="N253" s="10">
        <f>Github!P$744</f>
        <v>235779</v>
      </c>
      <c r="O253" s="10">
        <f>Github!Q$744</f>
        <v>485882</v>
      </c>
    </row>
    <row r="254">
      <c r="A254" s="10">
        <f>Github!J$29</f>
        <v>28</v>
      </c>
      <c r="B254" s="11" t="str">
        <f>HYPERLINK(CONCAT("http://leetcode.com/problems/",Github!C$29), Github!B$29)</f>
        <v>Implement strStr()</v>
      </c>
      <c r="C254" s="10">
        <f>Github!F$29</f>
        <v>3924</v>
      </c>
      <c r="D254" s="10">
        <f>Github!G$29</f>
        <v>3624</v>
      </c>
      <c r="E254" s="10">
        <f>Github!F$29+Github!G$29</f>
        <v>7548</v>
      </c>
      <c r="F254" s="12">
        <f t="shared" si="1"/>
        <v>1.08</v>
      </c>
      <c r="G254" s="10" t="str">
        <f>Github!H$29</f>
        <v>Algorithms</v>
      </c>
      <c r="H254" s="13" t="str">
        <f>SUBSTITUTE(Github!L$29, ";", ", ")</f>
        <v>Two Pointers, String, String Matching, </v>
      </c>
      <c r="I254" s="10" t="str">
        <f>Github!E$29</f>
        <v>Easy</v>
      </c>
      <c r="J254" s="10" t="str">
        <f>IF(TRIM(Github!D$29)="TRUE","FALSE","TRUE")</f>
        <v>TRUE</v>
      </c>
      <c r="K254" s="10" t="b">
        <f>Github!M$29</f>
        <v>0</v>
      </c>
      <c r="L254" s="10" t="b">
        <f>Github!N$29</f>
        <v>0</v>
      </c>
      <c r="M254" s="10" t="str">
        <f>ROUND(Github!O$29, 2)&amp;"%"</f>
        <v>35.82%</v>
      </c>
      <c r="N254" s="10">
        <f>Github!P$29</f>
        <v>1225930</v>
      </c>
      <c r="O254" s="10">
        <f>Github!Q$29</f>
        <v>3422079</v>
      </c>
    </row>
    <row r="255">
      <c r="A255" s="10">
        <f>Github!J$715</f>
        <v>714</v>
      </c>
      <c r="B255" s="11" t="str">
        <f>HYPERLINK(CONCAT("http://leetcode.com/problems/",Github!C$715), Github!B$715)</f>
        <v>Best Time to Buy and Sell Stock with Transaction Fee</v>
      </c>
      <c r="C255" s="10">
        <f>Github!F$715</f>
        <v>3889</v>
      </c>
      <c r="D255" s="10">
        <f>Github!G$715</f>
        <v>102</v>
      </c>
      <c r="E255" s="10">
        <f>Github!F$715+Github!G$715</f>
        <v>3991</v>
      </c>
      <c r="F255" s="12">
        <f t="shared" si="1"/>
        <v>38.13</v>
      </c>
      <c r="G255" s="10" t="str">
        <f>Github!H$715</f>
        <v>Algorithms</v>
      </c>
      <c r="H255" s="13" t="str">
        <f>SUBSTITUTE(Github!L$715, ";", ", ")</f>
        <v>Array, Dynamic Programming, Greedy, </v>
      </c>
      <c r="I255" s="10" t="str">
        <f>Github!E$715</f>
        <v>Medium</v>
      </c>
      <c r="J255" s="10" t="str">
        <f>IF(TRIM(Github!D$715)="TRUE","FALSE","TRUE")</f>
        <v>TRUE</v>
      </c>
      <c r="K255" s="10" t="b">
        <f>Github!M$715</f>
        <v>1</v>
      </c>
      <c r="L255" s="10" t="b">
        <f>Github!N$715</f>
        <v>0</v>
      </c>
      <c r="M255" s="10" t="str">
        <f>ROUND(Github!O$715, 2)&amp;"%"</f>
        <v>62.16%</v>
      </c>
      <c r="N255" s="10">
        <f>Github!P$715</f>
        <v>163589</v>
      </c>
      <c r="O255" s="10">
        <f>Github!Q$715</f>
        <v>263180</v>
      </c>
    </row>
    <row r="256">
      <c r="A256" s="10">
        <f>Github!J$396</f>
        <v>395</v>
      </c>
      <c r="B256" s="11" t="str">
        <f>HYPERLINK(CONCAT("http://leetcode.com/problems/",Github!C$396), Github!B$396)</f>
        <v>Longest Substring with At Least K Repeating Characters</v>
      </c>
      <c r="C256" s="10">
        <f>Github!F$396</f>
        <v>3885</v>
      </c>
      <c r="D256" s="10">
        <f>Github!G$396</f>
        <v>324</v>
      </c>
      <c r="E256" s="10">
        <f>Github!F$396+Github!G$396</f>
        <v>4209</v>
      </c>
      <c r="F256" s="12">
        <f t="shared" si="1"/>
        <v>11.99</v>
      </c>
      <c r="G256" s="10" t="str">
        <f>Github!H$396</f>
        <v>Algorithms</v>
      </c>
      <c r="H256" s="13" t="str">
        <f>SUBSTITUTE(Github!L$396, ";", ", ")</f>
        <v>Hash Table, String, Divide and Conquer, Sliding Window, </v>
      </c>
      <c r="I256" s="10" t="str">
        <f>Github!E$396</f>
        <v>Medium</v>
      </c>
      <c r="J256" s="10" t="str">
        <f>IF(TRIM(Github!D$396)="TRUE","FALSE","TRUE")</f>
        <v>TRUE</v>
      </c>
      <c r="K256" s="10" t="b">
        <f>Github!M$396</f>
        <v>1</v>
      </c>
      <c r="L256" s="10" t="b">
        <f>Github!N$396</f>
        <v>0</v>
      </c>
      <c r="M256" s="10" t="str">
        <f>ROUND(Github!O$396, 2)&amp;"%"</f>
        <v>44.58%</v>
      </c>
      <c r="N256" s="10">
        <f>Github!P$396</f>
        <v>155074</v>
      </c>
      <c r="O256" s="10">
        <f>Github!Q$396</f>
        <v>347843</v>
      </c>
    </row>
    <row r="257">
      <c r="A257" s="10">
        <f>Github!J$414</f>
        <v>413</v>
      </c>
      <c r="B257" s="11" t="str">
        <f>HYPERLINK(CONCAT("http://leetcode.com/problems/",Github!C$414), Github!B$414)</f>
        <v>Arithmetic Slices</v>
      </c>
      <c r="C257" s="10">
        <f>Github!F$414</f>
        <v>3866</v>
      </c>
      <c r="D257" s="10">
        <f>Github!G$414</f>
        <v>249</v>
      </c>
      <c r="E257" s="10">
        <f>Github!F$414+Github!G$414</f>
        <v>4115</v>
      </c>
      <c r="F257" s="12">
        <f t="shared" si="1"/>
        <v>15.53</v>
      </c>
      <c r="G257" s="10" t="str">
        <f>Github!H$414</f>
        <v>Algorithms</v>
      </c>
      <c r="H257" s="13" t="str">
        <f>SUBSTITUTE(Github!L$414, ";", ", ")</f>
        <v>Array, Dynamic Programming, </v>
      </c>
      <c r="I257" s="10" t="str">
        <f>Github!E$414</f>
        <v>Medium</v>
      </c>
      <c r="J257" s="10" t="str">
        <f>IF(TRIM(Github!D$414)="TRUE","FALSE","TRUE")</f>
        <v>TRUE</v>
      </c>
      <c r="K257" s="10" t="b">
        <f>Github!M$414</f>
        <v>1</v>
      </c>
      <c r="L257" s="10" t="b">
        <f>Github!N$414</f>
        <v>0</v>
      </c>
      <c r="M257" s="10" t="str">
        <f>ROUND(Github!O$414, 2)&amp;"%"</f>
        <v>64.42%</v>
      </c>
      <c r="N257" s="10">
        <f>Github!P$414</f>
        <v>226996</v>
      </c>
      <c r="O257" s="10">
        <f>Github!Q$414</f>
        <v>352363</v>
      </c>
    </row>
    <row r="258">
      <c r="A258" s="10">
        <f>Github!J$422</f>
        <v>421</v>
      </c>
      <c r="B258" s="11" t="str">
        <f>HYPERLINK(CONCAT("http://leetcode.com/problems/",Github!C$422), Github!B$422)</f>
        <v>Maximum XOR of Two Numbers in an Array</v>
      </c>
      <c r="C258" s="10">
        <f>Github!F$422</f>
        <v>3852</v>
      </c>
      <c r="D258" s="10">
        <f>Github!G$422</f>
        <v>325</v>
      </c>
      <c r="E258" s="10">
        <f>Github!F$422+Github!G$422</f>
        <v>4177</v>
      </c>
      <c r="F258" s="12">
        <f t="shared" si="1"/>
        <v>11.85</v>
      </c>
      <c r="G258" s="10" t="str">
        <f>Github!H$422</f>
        <v>Algorithms</v>
      </c>
      <c r="H258" s="13" t="str">
        <f>SUBSTITUTE(Github!L$422, ";", ", ")</f>
        <v>Array, Hash Table, Bit Manipulation, Trie, </v>
      </c>
      <c r="I258" s="10" t="str">
        <f>Github!E$422</f>
        <v>Medium</v>
      </c>
      <c r="J258" s="10" t="str">
        <f>IF(TRIM(Github!D$422)="TRUE","FALSE","TRUE")</f>
        <v>TRUE</v>
      </c>
      <c r="K258" s="10" t="b">
        <f>Github!M$422</f>
        <v>1</v>
      </c>
      <c r="L258" s="10" t="b">
        <f>Github!N$422</f>
        <v>0</v>
      </c>
      <c r="M258" s="10" t="str">
        <f>ROUND(Github!O$422, 2)&amp;"%"</f>
        <v>54.28%</v>
      </c>
      <c r="N258" s="10">
        <f>Github!P$422</f>
        <v>122041</v>
      </c>
      <c r="O258" s="10">
        <f>Github!Q$422</f>
        <v>224822</v>
      </c>
    </row>
    <row r="259">
      <c r="A259" s="10">
        <f>Github!J$436</f>
        <v>435</v>
      </c>
      <c r="B259" s="11" t="str">
        <f>HYPERLINK(CONCAT("http://leetcode.com/problems/",Github!C$436), Github!B$436)</f>
        <v>Non-overlapping Intervals</v>
      </c>
      <c r="C259" s="10">
        <f>Github!F$436</f>
        <v>3880</v>
      </c>
      <c r="D259" s="10">
        <f>Github!G$436</f>
        <v>111</v>
      </c>
      <c r="E259" s="10">
        <f>Github!F$436+Github!G$436</f>
        <v>3991</v>
      </c>
      <c r="F259" s="12">
        <f t="shared" si="1"/>
        <v>34.95</v>
      </c>
      <c r="G259" s="10" t="str">
        <f>Github!H$436</f>
        <v>Algorithms</v>
      </c>
      <c r="H259" s="13" t="str">
        <f>SUBSTITUTE(Github!L$436, ";", ", ")</f>
        <v>Array, Dynamic Programming, Greedy, Sorting, </v>
      </c>
      <c r="I259" s="10" t="str">
        <f>Github!E$436</f>
        <v>Medium</v>
      </c>
      <c r="J259" s="10" t="str">
        <f>IF(TRIM(Github!D$436)="TRUE","FALSE","TRUE")</f>
        <v>TRUE</v>
      </c>
      <c r="K259" s="10" t="b">
        <f>Github!M$436</f>
        <v>1</v>
      </c>
      <c r="L259" s="10" t="b">
        <f>Github!N$436</f>
        <v>0</v>
      </c>
      <c r="M259" s="10" t="str">
        <f>ROUND(Github!O$436, 2)&amp;"%"</f>
        <v>48.2%</v>
      </c>
      <c r="N259" s="10">
        <f>Github!P$436</f>
        <v>241799</v>
      </c>
      <c r="O259" s="10">
        <f>Github!Q$436</f>
        <v>501685</v>
      </c>
    </row>
    <row r="260">
      <c r="A260" s="10">
        <f>Github!J$14</f>
        <v>13</v>
      </c>
      <c r="B260" s="11" t="str">
        <f>HYPERLINK(CONCAT("http://leetcode.com/problems/",Github!C$14), Github!B$14)</f>
        <v>Roman to Integer</v>
      </c>
      <c r="C260" s="10">
        <f>Github!F$14</f>
        <v>3914</v>
      </c>
      <c r="D260" s="10">
        <f>Github!G$14</f>
        <v>274</v>
      </c>
      <c r="E260" s="10">
        <f>Github!F$14+Github!G$14</f>
        <v>4188</v>
      </c>
      <c r="F260" s="12">
        <f t="shared" si="1"/>
        <v>14.28</v>
      </c>
      <c r="G260" s="10" t="str">
        <f>Github!H$14</f>
        <v>Algorithms</v>
      </c>
      <c r="H260" s="13" t="str">
        <f>SUBSTITUTE(Github!L$14, ";", ", ")</f>
        <v>Hash Table, Math, String, </v>
      </c>
      <c r="I260" s="10" t="str">
        <f>Github!E$14</f>
        <v>Easy</v>
      </c>
      <c r="J260" s="10" t="str">
        <f>IF(TRIM(Github!D$14)="TRUE","FALSE","TRUE")</f>
        <v>TRUE</v>
      </c>
      <c r="K260" s="10" t="b">
        <f>Github!M$14</f>
        <v>1</v>
      </c>
      <c r="L260" s="10" t="b">
        <f>Github!N$14</f>
        <v>0</v>
      </c>
      <c r="M260" s="10" t="str">
        <f>ROUND(Github!O$14, 2)&amp;"%"</f>
        <v>57.88%</v>
      </c>
      <c r="N260" s="10">
        <f>Github!P$14</f>
        <v>1541529</v>
      </c>
      <c r="O260" s="10">
        <f>Github!Q$14</f>
        <v>2663280</v>
      </c>
    </row>
    <row r="261">
      <c r="A261" s="10">
        <f>Github!J$714</f>
        <v>713</v>
      </c>
      <c r="B261" s="11" t="str">
        <f>HYPERLINK(CONCAT("http://leetcode.com/problems/",Github!C$714), Github!B$714)</f>
        <v>Subarray Product Less Than K</v>
      </c>
      <c r="C261" s="10">
        <f>Github!F$714</f>
        <v>3862</v>
      </c>
      <c r="D261" s="10">
        <f>Github!G$714</f>
        <v>132</v>
      </c>
      <c r="E261" s="10">
        <f>Github!F$714+Github!G$714</f>
        <v>3994</v>
      </c>
      <c r="F261" s="12">
        <f t="shared" si="1"/>
        <v>29.26</v>
      </c>
      <c r="G261" s="10" t="str">
        <f>Github!H$714</f>
        <v>Algorithms</v>
      </c>
      <c r="H261" s="13" t="str">
        <f>SUBSTITUTE(Github!L$714, ";", ", ")</f>
        <v>Array, Sliding Window, </v>
      </c>
      <c r="I261" s="10" t="str">
        <f>Github!E$714</f>
        <v>Medium</v>
      </c>
      <c r="J261" s="10" t="str">
        <f>IF(TRIM(Github!D$714)="TRUE","FALSE","TRUE")</f>
        <v>TRUE</v>
      </c>
      <c r="K261" s="10" t="b">
        <f>Github!M$714</f>
        <v>1</v>
      </c>
      <c r="L261" s="10" t="b">
        <f>Github!N$714</f>
        <v>0</v>
      </c>
      <c r="M261" s="10" t="str">
        <f>ROUND(Github!O$714, 2)&amp;"%"</f>
        <v>43.74%</v>
      </c>
      <c r="N261" s="10">
        <f>Github!P$714</f>
        <v>163185</v>
      </c>
      <c r="O261" s="10">
        <f>Github!Q$714</f>
        <v>373106</v>
      </c>
    </row>
    <row r="262">
      <c r="A262" s="10">
        <f>Github!J$261</f>
        <v>260</v>
      </c>
      <c r="B262" s="11" t="str">
        <f>HYPERLINK(CONCAT("http://leetcode.com/problems/",Github!C$261), Github!B$261)</f>
        <v>Single Number III</v>
      </c>
      <c r="C262" s="10">
        <f>Github!F$261</f>
        <v>3837</v>
      </c>
      <c r="D262" s="10">
        <f>Github!G$261</f>
        <v>182</v>
      </c>
      <c r="E262" s="10">
        <f>Github!F$261+Github!G$261</f>
        <v>4019</v>
      </c>
      <c r="F262" s="12">
        <f t="shared" si="1"/>
        <v>21.08</v>
      </c>
      <c r="G262" s="10" t="str">
        <f>Github!H$261</f>
        <v>Algorithms</v>
      </c>
      <c r="H262" s="13" t="str">
        <f>SUBSTITUTE(Github!L$261, ";", ", ")</f>
        <v>Array, Bit Manipulation, </v>
      </c>
      <c r="I262" s="10" t="str">
        <f>Github!E$261</f>
        <v>Medium</v>
      </c>
      <c r="J262" s="10" t="str">
        <f>IF(TRIM(Github!D$261)="TRUE","FALSE","TRUE")</f>
        <v>TRUE</v>
      </c>
      <c r="K262" s="10" t="b">
        <f>Github!M$261</f>
        <v>1</v>
      </c>
      <c r="L262" s="10" t="b">
        <f>Github!N$261</f>
        <v>0</v>
      </c>
      <c r="M262" s="10" t="str">
        <f>ROUND(Github!O$261, 2)&amp;"%"</f>
        <v>67.15%</v>
      </c>
      <c r="N262" s="10">
        <f>Github!P$261</f>
        <v>251606</v>
      </c>
      <c r="O262" s="10">
        <f>Github!Q$261</f>
        <v>374717</v>
      </c>
    </row>
    <row r="263">
      <c r="A263" s="10">
        <f>Github!J$845</f>
        <v>844</v>
      </c>
      <c r="B263" s="11" t="str">
        <f>HYPERLINK(CONCAT("http://leetcode.com/problems/",Github!C$845), Github!B$845)</f>
        <v>Backspace String Compare</v>
      </c>
      <c r="C263" s="10">
        <f>Github!F$845</f>
        <v>3838</v>
      </c>
      <c r="D263" s="10">
        <f>Github!G$845</f>
        <v>186</v>
      </c>
      <c r="E263" s="10">
        <f>Github!F$845+Github!G$845</f>
        <v>4024</v>
      </c>
      <c r="F263" s="12">
        <f t="shared" si="1"/>
        <v>20.63</v>
      </c>
      <c r="G263" s="10" t="str">
        <f>Github!H$845</f>
        <v>Algorithms</v>
      </c>
      <c r="H263" s="13" t="str">
        <f>SUBSTITUTE(Github!L$845, ";", ", ")</f>
        <v>Two Pointers, String, Stack, Simulation, </v>
      </c>
      <c r="I263" s="10" t="str">
        <f>Github!E$845</f>
        <v>Easy</v>
      </c>
      <c r="J263" s="10" t="str">
        <f>IF(TRIM(Github!D$845)="TRUE","FALSE","TRUE")</f>
        <v>TRUE</v>
      </c>
      <c r="K263" s="10" t="b">
        <f>Github!M$845</f>
        <v>1</v>
      </c>
      <c r="L263" s="10" t="b">
        <f>Github!N$845</f>
        <v>0</v>
      </c>
      <c r="M263" s="10" t="str">
        <f>ROUND(Github!O$845, 2)&amp;"%"</f>
        <v>47.25%</v>
      </c>
      <c r="N263" s="10">
        <f>Github!P$845</f>
        <v>410876</v>
      </c>
      <c r="O263" s="10">
        <f>Github!Q$845</f>
        <v>869514</v>
      </c>
    </row>
    <row r="264">
      <c r="A264" s="10">
        <f>Github!J$189</f>
        <v>188</v>
      </c>
      <c r="B264" s="11" t="str">
        <f>HYPERLINK(CONCAT("http://leetcode.com/problems/",Github!C$189), Github!B$189)</f>
        <v>Best Time to Buy and Sell Stock IV</v>
      </c>
      <c r="C264" s="10">
        <f>Github!F$189</f>
        <v>3832</v>
      </c>
      <c r="D264" s="10">
        <f>Github!G$189</f>
        <v>152</v>
      </c>
      <c r="E264" s="10">
        <f>Github!F$189+Github!G$189</f>
        <v>3984</v>
      </c>
      <c r="F264" s="12">
        <f t="shared" si="1"/>
        <v>25.21</v>
      </c>
      <c r="G264" s="10" t="str">
        <f>Github!H$189</f>
        <v>Algorithms</v>
      </c>
      <c r="H264" s="13" t="str">
        <f>SUBSTITUTE(Github!L$189, ";", ", ")</f>
        <v>Array, Dynamic Programming, </v>
      </c>
      <c r="I264" s="10" t="str">
        <f>Github!E$189</f>
        <v>Hard</v>
      </c>
      <c r="J264" s="10" t="str">
        <f>IF(TRIM(Github!D$189)="TRUE","FALSE","TRUE")</f>
        <v>TRUE</v>
      </c>
      <c r="K264" s="10" t="b">
        <f>Github!M$189</f>
        <v>1</v>
      </c>
      <c r="L264" s="10" t="b">
        <f>Github!N$189</f>
        <v>0</v>
      </c>
      <c r="M264" s="10" t="str">
        <f>ROUND(Github!O$189, 2)&amp;"%"</f>
        <v>33.59%</v>
      </c>
      <c r="N264" s="10">
        <f>Github!P$189</f>
        <v>241977</v>
      </c>
      <c r="O264" s="10">
        <f>Github!Q$189</f>
        <v>720342</v>
      </c>
    </row>
    <row r="265">
      <c r="A265" s="10">
        <f>Github!J$98</f>
        <v>97</v>
      </c>
      <c r="B265" s="11" t="str">
        <f>HYPERLINK(CONCAT("http://leetcode.com/problems/",Github!C$98), Github!B$98)</f>
        <v>Interleaving String</v>
      </c>
      <c r="C265" s="10">
        <f>Github!F$98</f>
        <v>3819</v>
      </c>
      <c r="D265" s="10">
        <f>Github!G$98</f>
        <v>206</v>
      </c>
      <c r="E265" s="10">
        <f>Github!F$98+Github!G$98</f>
        <v>4025</v>
      </c>
      <c r="F265" s="12">
        <f t="shared" si="1"/>
        <v>18.54</v>
      </c>
      <c r="G265" s="10" t="str">
        <f>Github!H$98</f>
        <v>Algorithms</v>
      </c>
      <c r="H265" s="13" t="str">
        <f>SUBSTITUTE(Github!L$98, ";", ", ")</f>
        <v>String, Dynamic Programming, </v>
      </c>
      <c r="I265" s="10" t="str">
        <f>Github!E$98</f>
        <v>Medium</v>
      </c>
      <c r="J265" s="10" t="str">
        <f>IF(TRIM(Github!D$98)="TRUE","FALSE","TRUE")</f>
        <v>TRUE</v>
      </c>
      <c r="K265" s="10" t="b">
        <f>Github!M$98</f>
        <v>1</v>
      </c>
      <c r="L265" s="10" t="b">
        <f>Github!N$98</f>
        <v>0</v>
      </c>
      <c r="M265" s="10" t="str">
        <f>ROUND(Github!O$98, 2)&amp;"%"</f>
        <v>34.75%</v>
      </c>
      <c r="N265" s="10">
        <f>Github!P$98</f>
        <v>261435</v>
      </c>
      <c r="O265" s="10">
        <f>Github!Q$98</f>
        <v>752397</v>
      </c>
    </row>
    <row r="266">
      <c r="A266" s="10">
        <f>Github!J$335</f>
        <v>334</v>
      </c>
      <c r="B266" s="11" t="str">
        <f>HYPERLINK(CONCAT("http://leetcode.com/problems/",Github!C$335), Github!B$335)</f>
        <v>Increasing Triplet Subsequence</v>
      </c>
      <c r="C266" s="10">
        <f>Github!F$335</f>
        <v>3803</v>
      </c>
      <c r="D266" s="10">
        <f>Github!G$335</f>
        <v>210</v>
      </c>
      <c r="E266" s="10">
        <f>Github!F$335+Github!G$335</f>
        <v>4013</v>
      </c>
      <c r="F266" s="12">
        <f t="shared" si="1"/>
        <v>18.11</v>
      </c>
      <c r="G266" s="10" t="str">
        <f>Github!H$335</f>
        <v>Algorithms</v>
      </c>
      <c r="H266" s="13" t="str">
        <f>SUBSTITUTE(Github!L$335, ";", ", ")</f>
        <v>Array, Greedy, </v>
      </c>
      <c r="I266" s="10" t="str">
        <f>Github!E$335</f>
        <v>Medium</v>
      </c>
      <c r="J266" s="10" t="str">
        <f>IF(TRIM(Github!D$335)="TRUE","FALSE","TRUE")</f>
        <v>TRUE</v>
      </c>
      <c r="K266" s="10" t="b">
        <f>Github!M$335</f>
        <v>1</v>
      </c>
      <c r="L266" s="10" t="b">
        <f>Github!N$335</f>
        <v>0</v>
      </c>
      <c r="M266" s="10" t="str">
        <f>ROUND(Github!O$335, 2)&amp;"%"</f>
        <v>41.49%</v>
      </c>
      <c r="N266" s="10">
        <f>Github!P$335</f>
        <v>268478</v>
      </c>
      <c r="O266" s="10">
        <f>Github!Q$335</f>
        <v>647074</v>
      </c>
    </row>
    <row r="267">
      <c r="A267" s="10">
        <f>Github!J$333</f>
        <v>332</v>
      </c>
      <c r="B267" s="11" t="str">
        <f>HYPERLINK(CONCAT("http://leetcode.com/problems/",Github!C$333), Github!B$333)</f>
        <v>Reconstruct Itinerary</v>
      </c>
      <c r="C267" s="10">
        <f>Github!F$333</f>
        <v>3790</v>
      </c>
      <c r="D267" s="10">
        <f>Github!G$333</f>
        <v>1547</v>
      </c>
      <c r="E267" s="10">
        <f>Github!F$333+Github!G$333</f>
        <v>5337</v>
      </c>
      <c r="F267" s="12">
        <f t="shared" si="1"/>
        <v>2.45</v>
      </c>
      <c r="G267" s="10" t="str">
        <f>Github!H$333</f>
        <v>Algorithms</v>
      </c>
      <c r="H267" s="13" t="str">
        <f>SUBSTITUTE(Github!L$333, ";", ", ")</f>
        <v>Depth-First Search, Graph, Eulerian Circuit, </v>
      </c>
      <c r="I267" s="10" t="str">
        <f>Github!E$333</f>
        <v>Hard</v>
      </c>
      <c r="J267" s="10" t="str">
        <f>IF(TRIM(Github!D$333)="TRUE","FALSE","TRUE")</f>
        <v>TRUE</v>
      </c>
      <c r="K267" s="10" t="b">
        <f>Github!M$333</f>
        <v>1</v>
      </c>
      <c r="L267" s="10" t="b">
        <f>Github!N$333</f>
        <v>0</v>
      </c>
      <c r="M267" s="10" t="str">
        <f>ROUND(Github!O$333, 2)&amp;"%"</f>
        <v>40.16%</v>
      </c>
      <c r="N267" s="10">
        <f>Github!P$333</f>
        <v>278484</v>
      </c>
      <c r="O267" s="10">
        <f>Github!Q$333</f>
        <v>693502</v>
      </c>
    </row>
    <row r="268">
      <c r="A268" s="10">
        <f>Github!J$455</f>
        <v>454</v>
      </c>
      <c r="B268" s="11" t="str">
        <f>HYPERLINK(CONCAT("http://leetcode.com/problems/",Github!C$455), Github!B$455)</f>
        <v>4Sum II</v>
      </c>
      <c r="C268" s="10">
        <f>Github!F$455</f>
        <v>3772</v>
      </c>
      <c r="D268" s="10">
        <f>Github!G$455</f>
        <v>112</v>
      </c>
      <c r="E268" s="10">
        <f>Github!F$455+Github!G$455</f>
        <v>3884</v>
      </c>
      <c r="F268" s="12">
        <f t="shared" si="1"/>
        <v>33.68</v>
      </c>
      <c r="G268" s="10" t="str">
        <f>Github!H$455</f>
        <v>Algorithms</v>
      </c>
      <c r="H268" s="13" t="str">
        <f>SUBSTITUTE(Github!L$455, ";", ", ")</f>
        <v>Array, Hash Table, </v>
      </c>
      <c r="I268" s="10" t="str">
        <f>Github!E$455</f>
        <v>Medium</v>
      </c>
      <c r="J268" s="10" t="str">
        <f>IF(TRIM(Github!D$455)="TRUE","FALSE","TRUE")</f>
        <v>TRUE</v>
      </c>
      <c r="K268" s="10" t="b">
        <f>Github!M$455</f>
        <v>1</v>
      </c>
      <c r="L268" s="10" t="b">
        <f>Github!N$455</f>
        <v>0</v>
      </c>
      <c r="M268" s="10" t="str">
        <f>ROUND(Github!O$455, 2)&amp;"%"</f>
        <v>57.03%</v>
      </c>
      <c r="N268" s="10">
        <f>Github!P$455</f>
        <v>251220</v>
      </c>
      <c r="O268" s="10">
        <f>Github!Q$455</f>
        <v>440503</v>
      </c>
    </row>
    <row r="269">
      <c r="A269" s="10">
        <f>Github!J$219</f>
        <v>218</v>
      </c>
      <c r="B269" s="11" t="str">
        <f>HYPERLINK(CONCAT("http://leetcode.com/problems/",Github!C$219), Github!B$219)</f>
        <v>The Skyline Problem</v>
      </c>
      <c r="C269" s="10">
        <f>Github!F$219</f>
        <v>3771</v>
      </c>
      <c r="D269" s="10">
        <f>Github!G$219</f>
        <v>198</v>
      </c>
      <c r="E269" s="10">
        <f>Github!F$219+Github!G$219</f>
        <v>3969</v>
      </c>
      <c r="F269" s="12">
        <f t="shared" si="1"/>
        <v>19.05</v>
      </c>
      <c r="G269" s="10" t="str">
        <f>Github!H$219</f>
        <v>Algorithms</v>
      </c>
      <c r="H269" s="13" t="str">
        <f>SUBSTITUTE(Github!L$219, ";", ", ")</f>
        <v>Array, Divide and Conquer, Binary Indexed Tree, Segment Tree, Line Sweep, Heap (Priority Queue), Ordered Set, </v>
      </c>
      <c r="I269" s="10" t="str">
        <f>Github!E$219</f>
        <v>Hard</v>
      </c>
      <c r="J269" s="10" t="str">
        <f>IF(TRIM(Github!D$219)="TRUE","FALSE","TRUE")</f>
        <v>TRUE</v>
      </c>
      <c r="K269" s="10" t="b">
        <f>Github!M$219</f>
        <v>1</v>
      </c>
      <c r="L269" s="10" t="b">
        <f>Github!N$219</f>
        <v>0</v>
      </c>
      <c r="M269" s="10" t="str">
        <f>ROUND(Github!O$219, 2)&amp;"%"</f>
        <v>38.69%</v>
      </c>
      <c r="N269" s="10">
        <f>Github!P$219</f>
        <v>205279</v>
      </c>
      <c r="O269" s="10">
        <f>Github!Q$219</f>
        <v>530611</v>
      </c>
    </row>
    <row r="270">
      <c r="A270" s="10">
        <f>Github!J$719</f>
        <v>718</v>
      </c>
      <c r="B270" s="11" t="str">
        <f>HYPERLINK(CONCAT("http://leetcode.com/problems/",Github!C$719), Github!B$719)</f>
        <v>Maximum Length of Repeated Subarray</v>
      </c>
      <c r="C270" s="10">
        <f>Github!F$719</f>
        <v>3758</v>
      </c>
      <c r="D270" s="10">
        <f>Github!G$719</f>
        <v>89</v>
      </c>
      <c r="E270" s="10">
        <f>Github!F$719+Github!G$719</f>
        <v>3847</v>
      </c>
      <c r="F270" s="12">
        <f t="shared" si="1"/>
        <v>42.22</v>
      </c>
      <c r="G270" s="10" t="str">
        <f>Github!H$719</f>
        <v>Algorithms</v>
      </c>
      <c r="H270" s="13" t="str">
        <f>SUBSTITUTE(Github!L$719, ";", ", ")</f>
        <v>Array, Binary Search, Dynamic Programming, Sliding Window, Rolling Hash, Hash Function, </v>
      </c>
      <c r="I270" s="10" t="str">
        <f>Github!E$719</f>
        <v>Medium</v>
      </c>
      <c r="J270" s="10" t="str">
        <f>IF(TRIM(Github!D$719)="TRUE","FALSE","TRUE")</f>
        <v>TRUE</v>
      </c>
      <c r="K270" s="10" t="b">
        <f>Github!M$719</f>
        <v>1</v>
      </c>
      <c r="L270" s="10" t="b">
        <f>Github!N$719</f>
        <v>0</v>
      </c>
      <c r="M270" s="10" t="str">
        <f>ROUND(Github!O$719, 2)&amp;"%"</f>
        <v>51.36%</v>
      </c>
      <c r="N270" s="10">
        <f>Github!P$719</f>
        <v>169153</v>
      </c>
      <c r="O270" s="10">
        <f>Github!Q$719</f>
        <v>329360</v>
      </c>
    </row>
    <row r="271">
      <c r="A271" s="10">
        <f>Github!J$70</f>
        <v>69</v>
      </c>
      <c r="B271" s="11" t="str">
        <f>HYPERLINK(CONCAT("http://leetcode.com/problems/",Github!C$70), Github!B$70)</f>
        <v>Sqrt(x)</v>
      </c>
      <c r="C271" s="10">
        <f>Github!F$70</f>
        <v>3718</v>
      </c>
      <c r="D271" s="10">
        <f>Github!G$70</f>
        <v>3169</v>
      </c>
      <c r="E271" s="10">
        <f>Github!F$70+Github!G$70</f>
        <v>6887</v>
      </c>
      <c r="F271" s="12">
        <f t="shared" si="1"/>
        <v>1.17</v>
      </c>
      <c r="G271" s="10" t="str">
        <f>Github!H$70</f>
        <v>Algorithms</v>
      </c>
      <c r="H271" s="13" t="str">
        <f>SUBSTITUTE(Github!L$70, ";", ", ")</f>
        <v>Math, Binary Search, </v>
      </c>
      <c r="I271" s="10" t="str">
        <f>Github!E$70</f>
        <v>Easy</v>
      </c>
      <c r="J271" s="10" t="str">
        <f>IF(TRIM(Github!D$70)="TRUE","FALSE","TRUE")</f>
        <v>TRUE</v>
      </c>
      <c r="K271" s="10" t="b">
        <f>Github!M$70</f>
        <v>1</v>
      </c>
      <c r="L271" s="10" t="b">
        <f>Github!N$70</f>
        <v>0</v>
      </c>
      <c r="M271" s="10" t="str">
        <f>ROUND(Github!O$70, 2)&amp;"%"</f>
        <v>36.47%</v>
      </c>
      <c r="N271" s="10">
        <f>Github!P$70</f>
        <v>1023307</v>
      </c>
      <c r="O271" s="10">
        <f>Github!Q$70</f>
        <v>2806036</v>
      </c>
    </row>
    <row r="272">
      <c r="A272" s="10">
        <f>Github!J$61</f>
        <v>60</v>
      </c>
      <c r="B272" s="11" t="str">
        <f>HYPERLINK(CONCAT("http://leetcode.com/problems/",Github!C$61), Github!B$61)</f>
        <v>Permutation Sequence</v>
      </c>
      <c r="C272" s="10">
        <f>Github!F$61</f>
        <v>3652</v>
      </c>
      <c r="D272" s="10">
        <f>Github!G$61</f>
        <v>393</v>
      </c>
      <c r="E272" s="10">
        <f>Github!F$61+Github!G$61</f>
        <v>4045</v>
      </c>
      <c r="F272" s="12">
        <f t="shared" si="1"/>
        <v>9.29</v>
      </c>
      <c r="G272" s="10" t="str">
        <f>Github!H$61</f>
        <v>Algorithms</v>
      </c>
      <c r="H272" s="13" t="str">
        <f>SUBSTITUTE(Github!L$61, ";", ", ")</f>
        <v>Math, Recursion, </v>
      </c>
      <c r="I272" s="10" t="str">
        <f>Github!E$61</f>
        <v>Hard</v>
      </c>
      <c r="J272" s="10" t="str">
        <f>IF(TRIM(Github!D$61)="TRUE","FALSE","TRUE")</f>
        <v>TRUE</v>
      </c>
      <c r="K272" s="10" t="b">
        <f>Github!M$61</f>
        <v>1</v>
      </c>
      <c r="L272" s="10" t="b">
        <f>Github!N$61</f>
        <v>0</v>
      </c>
      <c r="M272" s="10" t="str">
        <f>ROUND(Github!O$61, 2)&amp;"%"</f>
        <v>42.07%</v>
      </c>
      <c r="N272" s="10">
        <f>Github!P$61</f>
        <v>267331</v>
      </c>
      <c r="O272" s="10">
        <f>Github!Q$61</f>
        <v>635448</v>
      </c>
    </row>
    <row r="273">
      <c r="A273" s="10">
        <f>Github!J$118</f>
        <v>117</v>
      </c>
      <c r="B273" s="11" t="str">
        <f>HYPERLINK(CONCAT("http://leetcode.com/problems/",Github!C$118), Github!B$118)</f>
        <v>Populating Next Right Pointers in Each Node II</v>
      </c>
      <c r="C273" s="10">
        <f>Github!F$118</f>
        <v>3643</v>
      </c>
      <c r="D273" s="10">
        <f>Github!G$118</f>
        <v>237</v>
      </c>
      <c r="E273" s="10">
        <f>Github!F$118+Github!G$118</f>
        <v>3880</v>
      </c>
      <c r="F273" s="12">
        <f t="shared" si="1"/>
        <v>15.37</v>
      </c>
      <c r="G273" s="10" t="str">
        <f>Github!H$118</f>
        <v>Algorithms</v>
      </c>
      <c r="H273" s="13" t="str">
        <f>SUBSTITUTE(Github!L$118, ";", ", ")</f>
        <v>Linked List, Tree, Depth-First Search, Breadth-First Search, Binary Tree, </v>
      </c>
      <c r="I273" s="10" t="str">
        <f>Github!E$118</f>
        <v>Medium</v>
      </c>
      <c r="J273" s="10" t="str">
        <f>IF(TRIM(Github!D$118)="TRUE","FALSE","TRUE")</f>
        <v>TRUE</v>
      </c>
      <c r="K273" s="10" t="b">
        <f>Github!M$118</f>
        <v>1</v>
      </c>
      <c r="L273" s="10" t="b">
        <f>Github!N$118</f>
        <v>0</v>
      </c>
      <c r="M273" s="10" t="str">
        <f>ROUND(Github!O$118, 2)&amp;"%"</f>
        <v>46.58%</v>
      </c>
      <c r="N273" s="10">
        <f>Github!P$118</f>
        <v>432629</v>
      </c>
      <c r="O273" s="10">
        <f>Github!Q$118</f>
        <v>928858</v>
      </c>
    </row>
    <row r="274">
      <c r="A274" s="10">
        <f>Github!J$1030</f>
        <v>1029</v>
      </c>
      <c r="B274" s="11" t="str">
        <f>HYPERLINK(CONCAT("http://leetcode.com/problems/",Github!C$1030), Github!B$1030)</f>
        <v>Two City Scheduling</v>
      </c>
      <c r="C274" s="10">
        <f>Github!F$1030</f>
        <v>3618</v>
      </c>
      <c r="D274" s="10">
        <f>Github!G$1030</f>
        <v>274</v>
      </c>
      <c r="E274" s="10">
        <f>Github!F$1030+Github!G$1030</f>
        <v>3892</v>
      </c>
      <c r="F274" s="12">
        <f t="shared" si="1"/>
        <v>13.2</v>
      </c>
      <c r="G274" s="10" t="str">
        <f>Github!H$1030</f>
        <v>Algorithms</v>
      </c>
      <c r="H274" s="13" t="str">
        <f>SUBSTITUTE(Github!L$1030, ";", ", ")</f>
        <v>Array, Greedy, Sorting, </v>
      </c>
      <c r="I274" s="10" t="str">
        <f>Github!E$1030</f>
        <v>Medium</v>
      </c>
      <c r="J274" s="10" t="str">
        <f>IF(TRIM(Github!D$1030)="TRUE","FALSE","TRUE")</f>
        <v>TRUE</v>
      </c>
      <c r="K274" s="10" t="b">
        <f>Github!M$1030</f>
        <v>1</v>
      </c>
      <c r="L274" s="10" t="b">
        <f>Github!N$1030</f>
        <v>0</v>
      </c>
      <c r="M274" s="10" t="str">
        <f>ROUND(Github!O$1030, 2)&amp;"%"</f>
        <v>63.6%</v>
      </c>
      <c r="N274" s="10">
        <f>Github!P$1030</f>
        <v>177359</v>
      </c>
      <c r="O274" s="10">
        <f>Github!Q$1030</f>
        <v>278873</v>
      </c>
    </row>
    <row r="275">
      <c r="A275" s="10">
        <f>Github!J$655</f>
        <v>654</v>
      </c>
      <c r="B275" s="11" t="str">
        <f>HYPERLINK(CONCAT("http://leetcode.com/problems/",Github!C$655), Github!B$655)</f>
        <v>Maximum Binary Tree</v>
      </c>
      <c r="C275" s="10">
        <f>Github!F$655</f>
        <v>3622</v>
      </c>
      <c r="D275" s="10">
        <f>Github!G$655</f>
        <v>294</v>
      </c>
      <c r="E275" s="10">
        <f>Github!F$655+Github!G$655</f>
        <v>3916</v>
      </c>
      <c r="F275" s="12">
        <f t="shared" si="1"/>
        <v>12.32</v>
      </c>
      <c r="G275" s="10" t="str">
        <f>Github!H$655</f>
        <v>Algorithms</v>
      </c>
      <c r="H275" s="13" t="str">
        <f>SUBSTITUTE(Github!L$655, ";", ", ")</f>
        <v>Array, Divide and Conquer, Stack, Tree, Monotonic Stack, Binary Tree, </v>
      </c>
      <c r="I275" s="10" t="str">
        <f>Github!E$655</f>
        <v>Medium</v>
      </c>
      <c r="J275" s="10" t="str">
        <f>IF(TRIM(Github!D$655)="TRUE","FALSE","TRUE")</f>
        <v>TRUE</v>
      </c>
      <c r="K275" s="10" t="b">
        <f>Github!M$655</f>
        <v>1</v>
      </c>
      <c r="L275" s="10" t="b">
        <f>Github!N$655</f>
        <v>0</v>
      </c>
      <c r="M275" s="10" t="str">
        <f>ROUND(Github!O$655, 2)&amp;"%"</f>
        <v>83.55%</v>
      </c>
      <c r="N275" s="10">
        <f>Github!P$655</f>
        <v>210851</v>
      </c>
      <c r="O275" s="10">
        <f>Github!Q$655</f>
        <v>252351</v>
      </c>
    </row>
    <row r="276">
      <c r="A276" s="10">
        <f>Github!J$60</f>
        <v>59</v>
      </c>
      <c r="B276" s="11" t="str">
        <f>HYPERLINK(CONCAT("http://leetcode.com/problems/",Github!C$60), Github!B$60)</f>
        <v>Spiral Matrix II</v>
      </c>
      <c r="C276" s="10">
        <f>Github!F$60</f>
        <v>3610</v>
      </c>
      <c r="D276" s="10">
        <f>Github!G$60</f>
        <v>181</v>
      </c>
      <c r="E276" s="10">
        <f>Github!F$60+Github!G$60</f>
        <v>3791</v>
      </c>
      <c r="F276" s="12">
        <f t="shared" si="1"/>
        <v>19.94</v>
      </c>
      <c r="G276" s="10" t="str">
        <f>Github!H$60</f>
        <v>Algorithms</v>
      </c>
      <c r="H276" s="13" t="str">
        <f>SUBSTITUTE(Github!L$60, ";", ", ")</f>
        <v>Array, Matrix, Simulation, </v>
      </c>
      <c r="I276" s="10" t="str">
        <f>Github!E$60</f>
        <v>Medium</v>
      </c>
      <c r="J276" s="10" t="str">
        <f>IF(TRIM(Github!D$60)="TRUE","FALSE","TRUE")</f>
        <v>TRUE</v>
      </c>
      <c r="K276" s="10" t="b">
        <f>Github!M$60</f>
        <v>1</v>
      </c>
      <c r="L276" s="10" t="b">
        <f>Github!N$60</f>
        <v>0</v>
      </c>
      <c r="M276" s="10" t="str">
        <f>ROUND(Github!O$60, 2)&amp;"%"</f>
        <v>64.83%</v>
      </c>
      <c r="N276" s="10">
        <f>Github!P$60</f>
        <v>358227</v>
      </c>
      <c r="O276" s="10">
        <f>Github!Q$60</f>
        <v>552602</v>
      </c>
    </row>
    <row r="277">
      <c r="A277" s="10">
        <f>Github!J$431</f>
        <v>430</v>
      </c>
      <c r="B277" s="11" t="str">
        <f>HYPERLINK(CONCAT("http://leetcode.com/problems/",Github!C$431), Github!B$431)</f>
        <v>Flatten a Multilevel Doubly Linked List</v>
      </c>
      <c r="C277" s="10">
        <f>Github!F$431</f>
        <v>3605</v>
      </c>
      <c r="D277" s="10">
        <f>Github!G$431</f>
        <v>251</v>
      </c>
      <c r="E277" s="10">
        <f>Github!F$431+Github!G$431</f>
        <v>3856</v>
      </c>
      <c r="F277" s="12">
        <f t="shared" si="1"/>
        <v>14.36</v>
      </c>
      <c r="G277" s="10" t="str">
        <f>Github!H$431</f>
        <v>Algorithms</v>
      </c>
      <c r="H277" s="13" t="str">
        <f>SUBSTITUTE(Github!L$431, ";", ", ")</f>
        <v>Linked List, Depth-First Search, Doubly-Linked List, </v>
      </c>
      <c r="I277" s="10" t="str">
        <f>Github!E$431</f>
        <v>Medium</v>
      </c>
      <c r="J277" s="10" t="str">
        <f>IF(TRIM(Github!D$431)="TRUE","FALSE","TRUE")</f>
        <v>TRUE</v>
      </c>
      <c r="K277" s="10" t="b">
        <f>Github!M$431</f>
        <v>1</v>
      </c>
      <c r="L277" s="10" t="b">
        <f>Github!N$431</f>
        <v>0</v>
      </c>
      <c r="M277" s="10" t="str">
        <f>ROUND(Github!O$431, 2)&amp;"%"</f>
        <v>58.91%</v>
      </c>
      <c r="N277" s="10">
        <f>Github!P$431</f>
        <v>230920</v>
      </c>
      <c r="O277" s="10">
        <f>Github!Q$431</f>
        <v>391969</v>
      </c>
    </row>
    <row r="278">
      <c r="A278" s="10">
        <f>Github!J$685</f>
        <v>684</v>
      </c>
      <c r="B278" s="11" t="str">
        <f>HYPERLINK(CONCAT("http://leetcode.com/problems/",Github!C$685), Github!B$685)</f>
        <v>Redundant Connection</v>
      </c>
      <c r="C278" s="10">
        <f>Github!F$685</f>
        <v>3618</v>
      </c>
      <c r="D278" s="10">
        <f>Github!G$685</f>
        <v>287</v>
      </c>
      <c r="E278" s="10">
        <f>Github!F$685+Github!G$685</f>
        <v>3905</v>
      </c>
      <c r="F278" s="12">
        <f t="shared" si="1"/>
        <v>12.61</v>
      </c>
      <c r="G278" s="10" t="str">
        <f>Github!H$685</f>
        <v>Algorithms</v>
      </c>
      <c r="H278" s="13" t="str">
        <f>SUBSTITUTE(Github!L$685, ";", ", ")</f>
        <v>Depth-First Search, Breadth-First Search, Union Find, Graph, </v>
      </c>
      <c r="I278" s="10" t="str">
        <f>Github!E$685</f>
        <v>Medium</v>
      </c>
      <c r="J278" s="10" t="str">
        <f>IF(TRIM(Github!D$685)="TRUE","FALSE","TRUE")</f>
        <v>TRUE</v>
      </c>
      <c r="K278" s="10" t="b">
        <f>Github!M$685</f>
        <v>1</v>
      </c>
      <c r="L278" s="10" t="b">
        <f>Github!N$685</f>
        <v>0</v>
      </c>
      <c r="M278" s="10" t="str">
        <f>ROUND(Github!O$685, 2)&amp;"%"</f>
        <v>61.13%</v>
      </c>
      <c r="N278" s="10">
        <f>Github!P$685</f>
        <v>196336</v>
      </c>
      <c r="O278" s="10">
        <f>Github!Q$685</f>
        <v>321177</v>
      </c>
    </row>
    <row r="279">
      <c r="A279" s="10">
        <f>Github!J$7</f>
        <v>6</v>
      </c>
      <c r="B279" s="11" t="str">
        <f>HYPERLINK(CONCAT("http://leetcode.com/problems/",Github!C$7), Github!B$7)</f>
        <v>Zigzag Conversion</v>
      </c>
      <c r="C279" s="10">
        <f>Github!F$7</f>
        <v>3608</v>
      </c>
      <c r="D279" s="10">
        <f>Github!G$7</f>
        <v>8335</v>
      </c>
      <c r="E279" s="10">
        <f>Github!F$7+Github!G$7</f>
        <v>11943</v>
      </c>
      <c r="F279" s="12">
        <f t="shared" si="1"/>
        <v>0.43</v>
      </c>
      <c r="G279" s="10" t="str">
        <f>Github!H$7</f>
        <v>Algorithms</v>
      </c>
      <c r="H279" s="13" t="str">
        <f>SUBSTITUTE(Github!L$7, ";", ", ")</f>
        <v>String, </v>
      </c>
      <c r="I279" s="10" t="str">
        <f>Github!E$7</f>
        <v>Medium</v>
      </c>
      <c r="J279" s="10" t="str">
        <f>IF(TRIM(Github!D$7)="TRUE","FALSE","TRUE")</f>
        <v>TRUE</v>
      </c>
      <c r="K279" s="10" t="b">
        <f>Github!M$7</f>
        <v>1</v>
      </c>
      <c r="L279" s="10" t="b">
        <f>Github!N$7</f>
        <v>0</v>
      </c>
      <c r="M279" s="10" t="str">
        <f>ROUND(Github!O$7, 2)&amp;"%"</f>
        <v>41.5%</v>
      </c>
      <c r="N279" s="10">
        <f>Github!P$7</f>
        <v>753587</v>
      </c>
      <c r="O279" s="10">
        <f>Github!Q$7</f>
        <v>1815718</v>
      </c>
    </row>
    <row r="280">
      <c r="A280" s="10">
        <f>Github!J$896</f>
        <v>895</v>
      </c>
      <c r="B280" s="11" t="str">
        <f>HYPERLINK(CONCAT("http://leetcode.com/problems/",Github!C$896), Github!B$896)</f>
        <v>Maximum Frequency Stack</v>
      </c>
      <c r="C280" s="10">
        <f>Github!F$896</f>
        <v>3605</v>
      </c>
      <c r="D280" s="10">
        <f>Github!G$896</f>
        <v>54</v>
      </c>
      <c r="E280" s="10">
        <f>Github!F$896+Github!G$896</f>
        <v>3659</v>
      </c>
      <c r="F280" s="12">
        <f t="shared" si="1"/>
        <v>66.76</v>
      </c>
      <c r="G280" s="10" t="str">
        <f>Github!H$896</f>
        <v>Algorithms</v>
      </c>
      <c r="H280" s="13" t="str">
        <f>SUBSTITUTE(Github!L$896, ";", ", ")</f>
        <v>Hash Table, Stack, Design, Ordered Set, </v>
      </c>
      <c r="I280" s="10" t="str">
        <f>Github!E$896</f>
        <v>Hard</v>
      </c>
      <c r="J280" s="10" t="str">
        <f>IF(TRIM(Github!D$896)="TRUE","FALSE","TRUE")</f>
        <v>TRUE</v>
      </c>
      <c r="K280" s="10" t="b">
        <f>Github!M$896</f>
        <v>1</v>
      </c>
      <c r="L280" s="10" t="b">
        <f>Github!N$896</f>
        <v>0</v>
      </c>
      <c r="M280" s="10" t="str">
        <f>ROUND(Github!O$896, 2)&amp;"%"</f>
        <v>66.42%</v>
      </c>
      <c r="N280" s="10">
        <f>Github!P$896</f>
        <v>124751</v>
      </c>
      <c r="O280" s="10">
        <f>Github!Q$896</f>
        <v>187822</v>
      </c>
    </row>
    <row r="281">
      <c r="A281" s="10">
        <f>Github!J$980</f>
        <v>979</v>
      </c>
      <c r="B281" s="11" t="str">
        <f>HYPERLINK(CONCAT("http://leetcode.com/problems/",Github!C$980), Github!B$980)</f>
        <v>Distribute Coins in Binary Tree</v>
      </c>
      <c r="C281" s="10">
        <f>Github!F$980</f>
        <v>3607</v>
      </c>
      <c r="D281" s="10">
        <f>Github!G$980</f>
        <v>120</v>
      </c>
      <c r="E281" s="10">
        <f>Github!F$980+Github!G$980</f>
        <v>3727</v>
      </c>
      <c r="F281" s="12">
        <f t="shared" si="1"/>
        <v>30.06</v>
      </c>
      <c r="G281" s="10" t="str">
        <f>Github!H$980</f>
        <v>Algorithms</v>
      </c>
      <c r="H281" s="13" t="str">
        <f>SUBSTITUTE(Github!L$980, ";", ", ")</f>
        <v>Tree, Depth-First Search, Binary Tree, </v>
      </c>
      <c r="I281" s="10" t="str">
        <f>Github!E$980</f>
        <v>Medium</v>
      </c>
      <c r="J281" s="10" t="str">
        <f>IF(TRIM(Github!D$980)="TRUE","FALSE","TRUE")</f>
        <v>TRUE</v>
      </c>
      <c r="K281" s="10" t="b">
        <f>Github!M$980</f>
        <v>1</v>
      </c>
      <c r="L281" s="10" t="b">
        <f>Github!N$980</f>
        <v>0</v>
      </c>
      <c r="M281" s="10" t="str">
        <f>ROUND(Github!O$980, 2)&amp;"%"</f>
        <v>71.56%</v>
      </c>
      <c r="N281" s="10">
        <f>Github!P$980</f>
        <v>84286</v>
      </c>
      <c r="O281" s="10">
        <f>Github!Q$980</f>
        <v>117774</v>
      </c>
    </row>
    <row r="282">
      <c r="A282" s="10">
        <f>Github!J$127</f>
        <v>126</v>
      </c>
      <c r="B282" s="11" t="str">
        <f>HYPERLINK(CONCAT("http://leetcode.com/problems/",Github!C$127), Github!B$127)</f>
        <v>Word Ladder II</v>
      </c>
      <c r="C282" s="10">
        <f>Github!F$127</f>
        <v>3590</v>
      </c>
      <c r="D282" s="10">
        <f>Github!G$127</f>
        <v>334</v>
      </c>
      <c r="E282" s="10">
        <f>Github!F$127+Github!G$127</f>
        <v>3924</v>
      </c>
      <c r="F282" s="12">
        <f t="shared" si="1"/>
        <v>10.75</v>
      </c>
      <c r="G282" s="10" t="str">
        <f>Github!H$127</f>
        <v>Algorithms</v>
      </c>
      <c r="H282" s="13" t="str">
        <f>SUBSTITUTE(Github!L$127, ";", ", ")</f>
        <v>Hash Table, String, Backtracking, Breadth-First Search, </v>
      </c>
      <c r="I282" s="10" t="str">
        <f>Github!E$127</f>
        <v>Hard</v>
      </c>
      <c r="J282" s="10" t="str">
        <f>IF(TRIM(Github!D$127)="TRUE","FALSE","TRUE")</f>
        <v>TRUE</v>
      </c>
      <c r="K282" s="10" t="b">
        <f>Github!M$127</f>
        <v>1</v>
      </c>
      <c r="L282" s="10" t="b">
        <f>Github!N$127</f>
        <v>0</v>
      </c>
      <c r="M282" s="10" t="str">
        <f>ROUND(Github!O$127, 2)&amp;"%"</f>
        <v>26.96%</v>
      </c>
      <c r="N282" s="10">
        <f>Github!P$127</f>
        <v>287515</v>
      </c>
      <c r="O282" s="10">
        <f>Github!Q$127</f>
        <v>1066627</v>
      </c>
    </row>
    <row r="283">
      <c r="A283" s="10">
        <f>Github!J$666</f>
        <v>665</v>
      </c>
      <c r="B283" s="11" t="str">
        <f>HYPERLINK(CONCAT("http://leetcode.com/problems/",Github!C$666), Github!B$666)</f>
        <v>Non-decreasing Array</v>
      </c>
      <c r="C283" s="10">
        <f>Github!F$666</f>
        <v>3580</v>
      </c>
      <c r="D283" s="10">
        <f>Github!G$666</f>
        <v>664</v>
      </c>
      <c r="E283" s="10">
        <f>Github!F$666+Github!G$666</f>
        <v>4244</v>
      </c>
      <c r="F283" s="12">
        <f t="shared" si="1"/>
        <v>5.39</v>
      </c>
      <c r="G283" s="10" t="str">
        <f>Github!H$666</f>
        <v>Algorithms</v>
      </c>
      <c r="H283" s="13" t="str">
        <f>SUBSTITUTE(Github!L$666, ";", ", ")</f>
        <v>Array, </v>
      </c>
      <c r="I283" s="10" t="str">
        <f>Github!E$666</f>
        <v>Medium</v>
      </c>
      <c r="J283" s="10" t="str">
        <f>IF(TRIM(Github!D$666)="TRUE","FALSE","TRUE")</f>
        <v>TRUE</v>
      </c>
      <c r="K283" s="10" t="b">
        <f>Github!M$666</f>
        <v>1</v>
      </c>
      <c r="L283" s="10" t="b">
        <f>Github!N$666</f>
        <v>0</v>
      </c>
      <c r="M283" s="10" t="str">
        <f>ROUND(Github!O$666, 2)&amp;"%"</f>
        <v>21.54%</v>
      </c>
      <c r="N283" s="10">
        <f>Github!P$666</f>
        <v>171843</v>
      </c>
      <c r="O283" s="10">
        <f>Github!Q$666</f>
        <v>797932</v>
      </c>
    </row>
    <row r="284">
      <c r="A284" s="10">
        <f>Github!J$1009</f>
        <v>1008</v>
      </c>
      <c r="B284" s="11" t="str">
        <f>HYPERLINK(CONCAT("http://leetcode.com/problems/",Github!C$1009), Github!B$1009)</f>
        <v>Construct Binary Search Tree from Preorder Traversal</v>
      </c>
      <c r="C284" s="10">
        <f>Github!F$1009</f>
        <v>3593</v>
      </c>
      <c r="D284" s="10">
        <f>Github!G$1009</f>
        <v>59</v>
      </c>
      <c r="E284" s="10">
        <f>Github!F$1009+Github!G$1009</f>
        <v>3652</v>
      </c>
      <c r="F284" s="12">
        <f t="shared" si="1"/>
        <v>60.9</v>
      </c>
      <c r="G284" s="10" t="str">
        <f>Github!H$1009</f>
        <v>Algorithms</v>
      </c>
      <c r="H284" s="13" t="str">
        <f>SUBSTITUTE(Github!L$1009, ";", ", ")</f>
        <v>Array, Stack, Tree, Binary Search Tree, Monotonic Stack, Binary Tree, </v>
      </c>
      <c r="I284" s="10" t="str">
        <f>Github!E$1009</f>
        <v>Medium</v>
      </c>
      <c r="J284" s="10" t="str">
        <f>IF(TRIM(Github!D$1009)="TRUE","FALSE","TRUE")</f>
        <v>TRUE</v>
      </c>
      <c r="K284" s="10" t="b">
        <f>Github!M$1009</f>
        <v>1</v>
      </c>
      <c r="L284" s="10" t="b">
        <f>Github!N$1009</f>
        <v>0</v>
      </c>
      <c r="M284" s="10" t="str">
        <f>ROUND(Github!O$1009, 2)&amp;"%"</f>
        <v>80.24%</v>
      </c>
      <c r="N284" s="10">
        <f>Github!P$1009</f>
        <v>232118</v>
      </c>
      <c r="O284" s="10">
        <f>Github!Q$1009</f>
        <v>289270</v>
      </c>
    </row>
    <row r="285">
      <c r="A285" s="10">
        <f>Github!J$81</f>
        <v>80</v>
      </c>
      <c r="B285" s="11" t="str">
        <f>HYPERLINK(CONCAT("http://leetcode.com/problems/",Github!C$81), Github!B$81)</f>
        <v>Remove Duplicates from Sorted Array II</v>
      </c>
      <c r="C285" s="10">
        <f>Github!F$81</f>
        <v>3577</v>
      </c>
      <c r="D285" s="10">
        <f>Github!G$81</f>
        <v>924</v>
      </c>
      <c r="E285" s="10">
        <f>Github!F$81+Github!G$81</f>
        <v>4501</v>
      </c>
      <c r="F285" s="12">
        <f t="shared" si="1"/>
        <v>3.87</v>
      </c>
      <c r="G285" s="10" t="str">
        <f>Github!H$81</f>
        <v>Algorithms</v>
      </c>
      <c r="H285" s="13" t="str">
        <f>SUBSTITUTE(Github!L$81, ";", ", ")</f>
        <v>Array, Two Pointers, </v>
      </c>
      <c r="I285" s="10" t="str">
        <f>Github!E$81</f>
        <v>Medium</v>
      </c>
      <c r="J285" s="10" t="str">
        <f>IF(TRIM(Github!D$81)="TRUE","FALSE","TRUE")</f>
        <v>TRUE</v>
      </c>
      <c r="K285" s="10" t="b">
        <f>Github!M$81</f>
        <v>1</v>
      </c>
      <c r="L285" s="10" t="b">
        <f>Github!N$81</f>
        <v>0</v>
      </c>
      <c r="M285" s="10" t="str">
        <f>ROUND(Github!O$81, 2)&amp;"%"</f>
        <v>50.52%</v>
      </c>
      <c r="N285" s="10">
        <f>Github!P$81</f>
        <v>429265</v>
      </c>
      <c r="O285" s="10">
        <f>Github!Q$81</f>
        <v>849635</v>
      </c>
    </row>
    <row r="286">
      <c r="A286" s="10">
        <f>Github!J$654</f>
        <v>653</v>
      </c>
      <c r="B286" s="11" t="str">
        <f>HYPERLINK(CONCAT("http://leetcode.com/problems/",Github!C$654), Github!B$654)</f>
        <v>Two Sum IV - Input is a BST</v>
      </c>
      <c r="C286" s="10">
        <f>Github!F$654</f>
        <v>3585</v>
      </c>
      <c r="D286" s="10">
        <f>Github!G$654</f>
        <v>201</v>
      </c>
      <c r="E286" s="10">
        <f>Github!F$654+Github!G$654</f>
        <v>3786</v>
      </c>
      <c r="F286" s="12">
        <f t="shared" si="1"/>
        <v>17.84</v>
      </c>
      <c r="G286" s="10" t="str">
        <f>Github!H$654</f>
        <v>Algorithms</v>
      </c>
      <c r="H286" s="13" t="str">
        <f>SUBSTITUTE(Github!L$654, ";", ", ")</f>
        <v>Hash Table, Two Pointers, Tree, Depth-First Search, Breadth-First Search, Binary Search Tree, Binary Tree, </v>
      </c>
      <c r="I286" s="10" t="str">
        <f>Github!E$654</f>
        <v>Easy</v>
      </c>
      <c r="J286" s="10" t="str">
        <f>IF(TRIM(Github!D$654)="TRUE","FALSE","TRUE")</f>
        <v>TRUE</v>
      </c>
      <c r="K286" s="10" t="b">
        <f>Github!M$654</f>
        <v>1</v>
      </c>
      <c r="L286" s="10" t="b">
        <f>Github!N$654</f>
        <v>0</v>
      </c>
      <c r="M286" s="10" t="str">
        <f>ROUND(Github!O$654, 2)&amp;"%"</f>
        <v>58.78%</v>
      </c>
      <c r="N286" s="10">
        <f>Github!P$654</f>
        <v>306155</v>
      </c>
      <c r="O286" s="10">
        <f>Github!Q$654</f>
        <v>520848</v>
      </c>
    </row>
    <row r="287">
      <c r="A287" s="10">
        <f>Github!J$225</f>
        <v>224</v>
      </c>
      <c r="B287" s="11" t="str">
        <f>HYPERLINK(CONCAT("http://leetcode.com/problems/",Github!C$225), Github!B$225)</f>
        <v>Basic Calculator</v>
      </c>
      <c r="C287" s="10">
        <f>Github!F$225</f>
        <v>3555</v>
      </c>
      <c r="D287" s="10">
        <f>Github!G$225</f>
        <v>294</v>
      </c>
      <c r="E287" s="10">
        <f>Github!F$225+Github!G$225</f>
        <v>3849</v>
      </c>
      <c r="F287" s="12">
        <f t="shared" si="1"/>
        <v>12.09</v>
      </c>
      <c r="G287" s="10" t="str">
        <f>Github!H$225</f>
        <v>Algorithms</v>
      </c>
      <c r="H287" s="13" t="str">
        <f>SUBSTITUTE(Github!L$225, ";", ", ")</f>
        <v>Math, String, Stack, Recursion, </v>
      </c>
      <c r="I287" s="10" t="str">
        <f>Github!E$225</f>
        <v>Hard</v>
      </c>
      <c r="J287" s="10" t="str">
        <f>IF(TRIM(Github!D$225)="TRUE","FALSE","TRUE")</f>
        <v>TRUE</v>
      </c>
      <c r="K287" s="10" t="b">
        <f>Github!M$225</f>
        <v>1</v>
      </c>
      <c r="L287" s="10" t="b">
        <f>Github!N$225</f>
        <v>0</v>
      </c>
      <c r="M287" s="10" t="str">
        <f>ROUND(Github!O$225, 2)&amp;"%"</f>
        <v>40.5%</v>
      </c>
      <c r="N287" s="10">
        <f>Github!P$225</f>
        <v>290746</v>
      </c>
      <c r="O287" s="10">
        <f>Github!Q$225</f>
        <v>717859</v>
      </c>
    </row>
    <row r="288">
      <c r="A288" s="10">
        <f>Github!J$418</f>
        <v>417</v>
      </c>
      <c r="B288" s="11" t="str">
        <f>HYPERLINK(CONCAT("http://leetcode.com/problems/",Github!C$418), Github!B$418)</f>
        <v>Pacific Atlantic Water Flow</v>
      </c>
      <c r="C288" s="10">
        <f>Github!F$418</f>
        <v>3553</v>
      </c>
      <c r="D288" s="10">
        <f>Github!G$418</f>
        <v>808</v>
      </c>
      <c r="E288" s="10">
        <f>Github!F$418+Github!G$418</f>
        <v>4361</v>
      </c>
      <c r="F288" s="12">
        <f t="shared" si="1"/>
        <v>4.4</v>
      </c>
      <c r="G288" s="10" t="str">
        <f>Github!H$418</f>
        <v>Algorithms</v>
      </c>
      <c r="H288" s="13" t="str">
        <f>SUBSTITUTE(Github!L$418, ";", ", ")</f>
        <v>Array, Depth-First Search, Breadth-First Search, Matrix, </v>
      </c>
      <c r="I288" s="10" t="str">
        <f>Github!E$418</f>
        <v>Medium</v>
      </c>
      <c r="J288" s="10" t="str">
        <f>IF(TRIM(Github!D$418)="TRUE","FALSE","TRUE")</f>
        <v>TRUE</v>
      </c>
      <c r="K288" s="10" t="b">
        <f>Github!M$418</f>
        <v>1</v>
      </c>
      <c r="L288" s="10" t="b">
        <f>Github!N$418</f>
        <v>0</v>
      </c>
      <c r="M288" s="10" t="str">
        <f>ROUND(Github!O$418, 2)&amp;"%"</f>
        <v>49.14%</v>
      </c>
      <c r="N288" s="10">
        <f>Github!P$418</f>
        <v>195997</v>
      </c>
      <c r="O288" s="10">
        <f>Github!Q$418</f>
        <v>398870</v>
      </c>
    </row>
    <row r="289">
      <c r="A289" s="10">
        <f>Github!J$242</f>
        <v>241</v>
      </c>
      <c r="B289" s="11" t="str">
        <f>HYPERLINK(CONCAT("http://leetcode.com/problems/",Github!C$242), Github!B$242)</f>
        <v>Different Ways to Add Parentheses</v>
      </c>
      <c r="C289" s="10">
        <f>Github!F$242</f>
        <v>3537</v>
      </c>
      <c r="D289" s="10">
        <f>Github!G$242</f>
        <v>174</v>
      </c>
      <c r="E289" s="10">
        <f>Github!F$242+Github!G$242</f>
        <v>3711</v>
      </c>
      <c r="F289" s="12">
        <f t="shared" si="1"/>
        <v>20.33</v>
      </c>
      <c r="G289" s="10" t="str">
        <f>Github!H$242</f>
        <v>Algorithms</v>
      </c>
      <c r="H289" s="13" t="str">
        <f>SUBSTITUTE(Github!L$242, ";", ", ")</f>
        <v>Math, String, Dynamic Programming, Recursion, Memoization, </v>
      </c>
      <c r="I289" s="10" t="str">
        <f>Github!E$242</f>
        <v>Medium</v>
      </c>
      <c r="J289" s="10" t="str">
        <f>IF(TRIM(Github!D$242)="TRUE","FALSE","TRUE")</f>
        <v>TRUE</v>
      </c>
      <c r="K289" s="10" t="b">
        <f>Github!M$242</f>
        <v>0</v>
      </c>
      <c r="L289" s="10" t="b">
        <f>Github!N$242</f>
        <v>0</v>
      </c>
      <c r="M289" s="10" t="str">
        <f>ROUND(Github!O$242, 2)&amp;"%"</f>
        <v>61.6%</v>
      </c>
      <c r="N289" s="10">
        <f>Github!P$242</f>
        <v>161041</v>
      </c>
      <c r="O289" s="10">
        <f>Github!Q$242</f>
        <v>261442</v>
      </c>
    </row>
    <row r="290">
      <c r="A290" s="10">
        <f>Github!J$947</f>
        <v>946</v>
      </c>
      <c r="B290" s="11" t="str">
        <f>HYPERLINK(CONCAT("http://leetcode.com/problems/",Github!C$947), Github!B$947)</f>
        <v>Validate Stack Sequences</v>
      </c>
      <c r="C290" s="10">
        <f>Github!F$947</f>
        <v>3531</v>
      </c>
      <c r="D290" s="10">
        <f>Github!G$947</f>
        <v>62</v>
      </c>
      <c r="E290" s="10">
        <f>Github!F$947+Github!G$947</f>
        <v>3593</v>
      </c>
      <c r="F290" s="12">
        <f t="shared" si="1"/>
        <v>56.95</v>
      </c>
      <c r="G290" s="10" t="str">
        <f>Github!H$947</f>
        <v>Algorithms</v>
      </c>
      <c r="H290" s="13" t="str">
        <f>SUBSTITUTE(Github!L$947, ";", ", ")</f>
        <v>Array, Stack, Simulation, </v>
      </c>
      <c r="I290" s="10" t="str">
        <f>Github!E$947</f>
        <v>Medium</v>
      </c>
      <c r="J290" s="10" t="str">
        <f>IF(TRIM(Github!D$947)="TRUE","FALSE","TRUE")</f>
        <v>TRUE</v>
      </c>
      <c r="K290" s="10" t="b">
        <f>Github!M$947</f>
        <v>1</v>
      </c>
      <c r="L290" s="10" t="b">
        <f>Github!N$947</f>
        <v>0</v>
      </c>
      <c r="M290" s="10" t="str">
        <f>ROUND(Github!O$947, 2)&amp;"%"</f>
        <v>67.58%</v>
      </c>
      <c r="N290" s="10">
        <f>Github!P$947</f>
        <v>176079</v>
      </c>
      <c r="O290" s="10">
        <f>Github!Q$947</f>
        <v>260539</v>
      </c>
    </row>
    <row r="291">
      <c r="A291" s="10">
        <f>Github!J$270</f>
        <v>269</v>
      </c>
      <c r="B291" s="11" t="str">
        <f>HYPERLINK(CONCAT("http://leetcode.com/problems/",Github!C$270), Github!B$270)</f>
        <v>Alien Dictionary</v>
      </c>
      <c r="C291" s="10">
        <f>Github!F$270</f>
        <v>3516</v>
      </c>
      <c r="D291" s="10">
        <f>Github!G$270</f>
        <v>726</v>
      </c>
      <c r="E291" s="10">
        <f>Github!F$270+Github!G$270</f>
        <v>4242</v>
      </c>
      <c r="F291" s="12">
        <f t="shared" si="1"/>
        <v>4.84</v>
      </c>
      <c r="G291" s="10" t="str">
        <f>Github!H$270</f>
        <v>Algorithms</v>
      </c>
      <c r="H291" s="13" t="str">
        <f>SUBSTITUTE(Github!L$270, ";", ", ")</f>
        <v>Array, String, Depth-First Search, Breadth-First Search, Graph, Topological Sort, </v>
      </c>
      <c r="I291" s="10" t="str">
        <f>Github!E$270</f>
        <v>Hard</v>
      </c>
      <c r="J291" s="10" t="str">
        <f>IF(TRIM(Github!D$270)="TRUE","FALSE","TRUE")</f>
        <v>FALSE</v>
      </c>
      <c r="K291" s="10" t="b">
        <f>Github!M$270</f>
        <v>1</v>
      </c>
      <c r="L291" s="10" t="b">
        <f>Github!N$270</f>
        <v>0</v>
      </c>
      <c r="M291" s="10" t="str">
        <f>ROUND(Github!O$270, 2)&amp;"%"</f>
        <v>34.84%</v>
      </c>
      <c r="N291" s="10">
        <f>Github!P$270</f>
        <v>285881</v>
      </c>
      <c r="O291" s="10">
        <f>Github!Q$270</f>
        <v>820581</v>
      </c>
    </row>
    <row r="292">
      <c r="A292" s="10">
        <f>Github!J$126</f>
        <v>125</v>
      </c>
      <c r="B292" s="11" t="str">
        <f>HYPERLINK(CONCAT("http://leetcode.com/problems/",Github!C$126), Github!B$126)</f>
        <v>Valid Palindrome</v>
      </c>
      <c r="C292" s="10">
        <f>Github!F$126</f>
        <v>3538</v>
      </c>
      <c r="D292" s="10">
        <f>Github!G$126</f>
        <v>5123</v>
      </c>
      <c r="E292" s="10">
        <f>Github!F$126+Github!G$126</f>
        <v>8661</v>
      </c>
      <c r="F292" s="12">
        <f t="shared" si="1"/>
        <v>0.69</v>
      </c>
      <c r="G292" s="10" t="str">
        <f>Github!H$126</f>
        <v>Algorithms</v>
      </c>
      <c r="H292" s="13" t="str">
        <f>SUBSTITUTE(Github!L$126, ";", ", ")</f>
        <v>Two Pointers, String, </v>
      </c>
      <c r="I292" s="10" t="str">
        <f>Github!E$126</f>
        <v>Easy</v>
      </c>
      <c r="J292" s="10" t="str">
        <f>IF(TRIM(Github!D$126)="TRUE","FALSE","TRUE")</f>
        <v>TRUE</v>
      </c>
      <c r="K292" s="10" t="b">
        <f>Github!M$126</f>
        <v>1</v>
      </c>
      <c r="L292" s="10" t="b">
        <f>Github!N$126</f>
        <v>0</v>
      </c>
      <c r="M292" s="10" t="str">
        <f>ROUND(Github!O$126, 2)&amp;"%"</f>
        <v>41.6%</v>
      </c>
      <c r="N292" s="10">
        <f>Github!P$126</f>
        <v>1241393</v>
      </c>
      <c r="O292" s="10">
        <f>Github!Q$126</f>
        <v>2983991</v>
      </c>
    </row>
    <row r="293">
      <c r="A293" s="10">
        <f>Github!J$291</f>
        <v>290</v>
      </c>
      <c r="B293" s="11" t="str">
        <f>HYPERLINK(CONCAT("http://leetcode.com/problems/",Github!C$291), Github!B$291)</f>
        <v>Word Pattern</v>
      </c>
      <c r="C293" s="10">
        <f>Github!F$291</f>
        <v>3503</v>
      </c>
      <c r="D293" s="10">
        <f>Github!G$291</f>
        <v>404</v>
      </c>
      <c r="E293" s="10">
        <f>Github!F$291+Github!G$291</f>
        <v>3907</v>
      </c>
      <c r="F293" s="12">
        <f t="shared" si="1"/>
        <v>8.67</v>
      </c>
      <c r="G293" s="10" t="str">
        <f>Github!H$291</f>
        <v>Algorithms</v>
      </c>
      <c r="H293" s="13" t="str">
        <f>SUBSTITUTE(Github!L$291, ";", ", ")</f>
        <v>Hash Table, String, </v>
      </c>
      <c r="I293" s="10" t="str">
        <f>Github!E$291</f>
        <v>Easy</v>
      </c>
      <c r="J293" s="10" t="str">
        <f>IF(TRIM(Github!D$291)="TRUE","FALSE","TRUE")</f>
        <v>TRUE</v>
      </c>
      <c r="K293" s="10" t="b">
        <f>Github!M$291</f>
        <v>1</v>
      </c>
      <c r="L293" s="10" t="b">
        <f>Github!N$291</f>
        <v>0</v>
      </c>
      <c r="M293" s="10" t="str">
        <f>ROUND(Github!O$291, 2)&amp;"%"</f>
        <v>40.18%</v>
      </c>
      <c r="N293" s="10">
        <f>Github!P$291</f>
        <v>358264</v>
      </c>
      <c r="O293" s="10">
        <f>Github!Q$291</f>
        <v>891549</v>
      </c>
    </row>
    <row r="294">
      <c r="A294" s="10">
        <f>Github!J$772</f>
        <v>771</v>
      </c>
      <c r="B294" s="11" t="str">
        <f>HYPERLINK(CONCAT("http://leetcode.com/problems/",Github!C$772), Github!B$772)</f>
        <v>Jewels and Stones</v>
      </c>
      <c r="C294" s="10">
        <f>Github!F$772</f>
        <v>3498</v>
      </c>
      <c r="D294" s="10">
        <f>Github!G$772</f>
        <v>484</v>
      </c>
      <c r="E294" s="10">
        <f>Github!F$772+Github!G$772</f>
        <v>3982</v>
      </c>
      <c r="F294" s="12">
        <f t="shared" si="1"/>
        <v>7.23</v>
      </c>
      <c r="G294" s="10" t="str">
        <f>Github!H$772</f>
        <v>Algorithms</v>
      </c>
      <c r="H294" s="13" t="str">
        <f>SUBSTITUTE(Github!L$772, ";", ", ")</f>
        <v>Hash Table, String, </v>
      </c>
      <c r="I294" s="10" t="str">
        <f>Github!E$772</f>
        <v>Easy</v>
      </c>
      <c r="J294" s="10" t="str">
        <f>IF(TRIM(Github!D$772)="TRUE","FALSE","TRUE")</f>
        <v>TRUE</v>
      </c>
      <c r="K294" s="10" t="b">
        <f>Github!M$772</f>
        <v>1</v>
      </c>
      <c r="L294" s="10" t="b">
        <f>Github!N$772</f>
        <v>0</v>
      </c>
      <c r="M294" s="10" t="str">
        <f>ROUND(Github!O$772, 2)&amp;"%"</f>
        <v>87.71%</v>
      </c>
      <c r="N294" s="10">
        <f>Github!P$772</f>
        <v>733591</v>
      </c>
      <c r="O294" s="10">
        <f>Github!Q$772</f>
        <v>836401</v>
      </c>
    </row>
    <row r="295">
      <c r="A295" s="10">
        <f>Github!J$28</f>
        <v>27</v>
      </c>
      <c r="B295" s="11" t="str">
        <f>HYPERLINK(CONCAT("http://leetcode.com/problems/",Github!C$28), Github!B$28)</f>
        <v>Remove Element</v>
      </c>
      <c r="C295" s="10">
        <f>Github!F$28</f>
        <v>3502</v>
      </c>
      <c r="D295" s="10">
        <f>Github!G$28</f>
        <v>5190</v>
      </c>
      <c r="E295" s="10">
        <f>Github!F$28+Github!G$28</f>
        <v>8692</v>
      </c>
      <c r="F295" s="12">
        <f t="shared" si="1"/>
        <v>0.67</v>
      </c>
      <c r="G295" s="10" t="str">
        <f>Github!H$28</f>
        <v>Algorithms</v>
      </c>
      <c r="H295" s="13" t="str">
        <f>SUBSTITUTE(Github!L$28, ";", ", ")</f>
        <v>Array, Two Pointers, </v>
      </c>
      <c r="I295" s="10" t="str">
        <f>Github!E$28</f>
        <v>Easy</v>
      </c>
      <c r="J295" s="10" t="str">
        <f>IF(TRIM(Github!D$28)="TRUE","FALSE","TRUE")</f>
        <v>TRUE</v>
      </c>
      <c r="K295" s="10" t="b">
        <f>Github!M$28</f>
        <v>1</v>
      </c>
      <c r="L295" s="10" t="b">
        <f>Github!N$28</f>
        <v>0</v>
      </c>
      <c r="M295" s="10" t="str">
        <f>ROUND(Github!O$28, 2)&amp;"%"</f>
        <v>51.2%</v>
      </c>
      <c r="N295" s="10">
        <f>Github!P$28</f>
        <v>1254630</v>
      </c>
      <c r="O295" s="10">
        <f>Github!Q$28</f>
        <v>2450493</v>
      </c>
    </row>
    <row r="296">
      <c r="A296" s="10">
        <f>Github!J$1193</f>
        <v>1192</v>
      </c>
      <c r="B296" s="11" t="str">
        <f>HYPERLINK(CONCAT("http://leetcode.com/problems/",Github!C$1193), Github!B$1193)</f>
        <v>Critical Connections in a Network</v>
      </c>
      <c r="C296" s="10">
        <f>Github!F$1193</f>
        <v>3489</v>
      </c>
      <c r="D296" s="10">
        <f>Github!G$1193</f>
        <v>140</v>
      </c>
      <c r="E296" s="10">
        <f>Github!F$1193+Github!G$1193</f>
        <v>3629</v>
      </c>
      <c r="F296" s="12">
        <f t="shared" si="1"/>
        <v>24.92</v>
      </c>
      <c r="G296" s="10" t="str">
        <f>Github!H$1193</f>
        <v>Algorithms</v>
      </c>
      <c r="H296" s="13" t="str">
        <f>SUBSTITUTE(Github!L$1193, ";", ", ")</f>
        <v>Depth-First Search, Graph, Biconnected Component, </v>
      </c>
      <c r="I296" s="10" t="str">
        <f>Github!E$1193</f>
        <v>Hard</v>
      </c>
      <c r="J296" s="10" t="str">
        <f>IF(TRIM(Github!D$1193)="TRUE","FALSE","TRUE")</f>
        <v>TRUE</v>
      </c>
      <c r="K296" s="10" t="b">
        <f>Github!M$1193</f>
        <v>1</v>
      </c>
      <c r="L296" s="10" t="b">
        <f>Github!N$1193</f>
        <v>0</v>
      </c>
      <c r="M296" s="10" t="str">
        <f>ROUND(Github!O$1193, 2)&amp;"%"</f>
        <v>52.07%</v>
      </c>
      <c r="N296" s="10">
        <f>Github!P$1193</f>
        <v>145537</v>
      </c>
      <c r="O296" s="10">
        <f>Github!Q$1193</f>
        <v>279529</v>
      </c>
    </row>
    <row r="297">
      <c r="A297" s="10">
        <f>Github!J$206</f>
        <v>205</v>
      </c>
      <c r="B297" s="11" t="str">
        <f>HYPERLINK(CONCAT("http://leetcode.com/problems/",Github!C$206), Github!B$206)</f>
        <v>Isomorphic Strings</v>
      </c>
      <c r="C297" s="10">
        <f>Github!F$206</f>
        <v>3473</v>
      </c>
      <c r="D297" s="10">
        <f>Github!G$206</f>
        <v>642</v>
      </c>
      <c r="E297" s="10">
        <f>Github!F$206+Github!G$206</f>
        <v>4115</v>
      </c>
      <c r="F297" s="12">
        <f t="shared" si="1"/>
        <v>5.41</v>
      </c>
      <c r="G297" s="10" t="str">
        <f>Github!H$206</f>
        <v>Algorithms</v>
      </c>
      <c r="H297" s="13" t="str">
        <f>SUBSTITUTE(Github!L$206, ";", ", ")</f>
        <v>Hash Table, String, </v>
      </c>
      <c r="I297" s="10" t="str">
        <f>Github!E$206</f>
        <v>Easy</v>
      </c>
      <c r="J297" s="10" t="str">
        <f>IF(TRIM(Github!D$206)="TRUE","FALSE","TRUE")</f>
        <v>TRUE</v>
      </c>
      <c r="K297" s="10" t="b">
        <f>Github!M$206</f>
        <v>1</v>
      </c>
      <c r="L297" s="10" t="b">
        <f>Github!N$206</f>
        <v>0</v>
      </c>
      <c r="M297" s="10" t="str">
        <f>ROUND(Github!O$206, 2)&amp;"%"</f>
        <v>42.08%</v>
      </c>
      <c r="N297" s="10">
        <f>Github!P$206</f>
        <v>491132</v>
      </c>
      <c r="O297" s="10">
        <f>Github!Q$206</f>
        <v>1167092</v>
      </c>
    </row>
    <row r="298">
      <c r="A298" s="10">
        <f>Github!J$446</f>
        <v>445</v>
      </c>
      <c r="B298" s="11" t="str">
        <f>HYPERLINK(CONCAT("http://leetcode.com/problems/",Github!C$446), Github!B$446)</f>
        <v>Add Two Numbers II</v>
      </c>
      <c r="C298" s="10">
        <f>Github!F$446</f>
        <v>3453</v>
      </c>
      <c r="D298" s="10">
        <f>Github!G$446</f>
        <v>225</v>
      </c>
      <c r="E298" s="10">
        <f>Github!F$446+Github!G$446</f>
        <v>3678</v>
      </c>
      <c r="F298" s="12">
        <f t="shared" si="1"/>
        <v>15.35</v>
      </c>
      <c r="G298" s="10" t="str">
        <f>Github!H$446</f>
        <v>Algorithms</v>
      </c>
      <c r="H298" s="13" t="str">
        <f>SUBSTITUTE(Github!L$446, ";", ", ")</f>
        <v>Linked List, Math, Stack, </v>
      </c>
      <c r="I298" s="10" t="str">
        <f>Github!E$446</f>
        <v>Medium</v>
      </c>
      <c r="J298" s="10" t="str">
        <f>IF(TRIM(Github!D$446)="TRUE","FALSE","TRUE")</f>
        <v>TRUE</v>
      </c>
      <c r="K298" s="10" t="b">
        <f>Github!M$446</f>
        <v>1</v>
      </c>
      <c r="L298" s="10" t="b">
        <f>Github!N$446</f>
        <v>0</v>
      </c>
      <c r="M298" s="10" t="str">
        <f>ROUND(Github!O$446, 2)&amp;"%"</f>
        <v>58.61%</v>
      </c>
      <c r="N298" s="10">
        <f>Github!P$446</f>
        <v>308462</v>
      </c>
      <c r="O298" s="10">
        <f>Github!Q$446</f>
        <v>526296</v>
      </c>
    </row>
    <row r="299">
      <c r="A299" s="10">
        <f>Github!J$736</f>
        <v>735</v>
      </c>
      <c r="B299" s="11" t="str">
        <f>HYPERLINK(CONCAT("http://leetcode.com/problems/",Github!C$736), Github!B$736)</f>
        <v>Asteroid Collision</v>
      </c>
      <c r="C299" s="10">
        <f>Github!F$736</f>
        <v>3435</v>
      </c>
      <c r="D299" s="10">
        <f>Github!G$736</f>
        <v>269</v>
      </c>
      <c r="E299" s="10">
        <f>Github!F$736+Github!G$736</f>
        <v>3704</v>
      </c>
      <c r="F299" s="12">
        <f t="shared" si="1"/>
        <v>12.77</v>
      </c>
      <c r="G299" s="10" t="str">
        <f>Github!H$736</f>
        <v>Algorithms</v>
      </c>
      <c r="H299" s="13" t="str">
        <f>SUBSTITUTE(Github!L$736, ";", ", ")</f>
        <v>Array, Stack, </v>
      </c>
      <c r="I299" s="10" t="str">
        <f>Github!E$736</f>
        <v>Medium</v>
      </c>
      <c r="J299" s="10" t="str">
        <f>IF(TRIM(Github!D$736)="TRUE","FALSE","TRUE")</f>
        <v>TRUE</v>
      </c>
      <c r="K299" s="10" t="b">
        <f>Github!M$736</f>
        <v>1</v>
      </c>
      <c r="L299" s="10" t="b">
        <f>Github!N$736</f>
        <v>0</v>
      </c>
      <c r="M299" s="10" t="str">
        <f>ROUND(Github!O$736, 2)&amp;"%"</f>
        <v>44.38%</v>
      </c>
      <c r="N299" s="10">
        <f>Github!P$736</f>
        <v>194613</v>
      </c>
      <c r="O299" s="10">
        <f>Github!Q$736</f>
        <v>438503</v>
      </c>
    </row>
    <row r="300">
      <c r="A300" s="10">
        <f>Github!J$674</f>
        <v>673</v>
      </c>
      <c r="B300" s="11" t="str">
        <f>HYPERLINK(CONCAT("http://leetcode.com/problems/",Github!C$674), Github!B$674)</f>
        <v>Number of Longest Increasing Subsequence</v>
      </c>
      <c r="C300" s="10">
        <f>Github!F$674</f>
        <v>3420</v>
      </c>
      <c r="D300" s="10">
        <f>Github!G$674</f>
        <v>166</v>
      </c>
      <c r="E300" s="10">
        <f>Github!F$674+Github!G$674</f>
        <v>3586</v>
      </c>
      <c r="F300" s="12">
        <f t="shared" si="1"/>
        <v>20.6</v>
      </c>
      <c r="G300" s="10" t="str">
        <f>Github!H$674</f>
        <v>Algorithms</v>
      </c>
      <c r="H300" s="13" t="str">
        <f>SUBSTITUTE(Github!L$674, ";", ", ")</f>
        <v>Array, Dynamic Programming, Binary Indexed Tree, Segment Tree, </v>
      </c>
      <c r="I300" s="10" t="str">
        <f>Github!E$674</f>
        <v>Medium</v>
      </c>
      <c r="J300" s="10" t="str">
        <f>IF(TRIM(Github!D$674)="TRUE","FALSE","TRUE")</f>
        <v>TRUE</v>
      </c>
      <c r="K300" s="10" t="b">
        <f>Github!M$674</f>
        <v>0</v>
      </c>
      <c r="L300" s="10" t="b">
        <f>Github!N$674</f>
        <v>0</v>
      </c>
      <c r="M300" s="10" t="str">
        <f>ROUND(Github!O$674, 2)&amp;"%"</f>
        <v>40.84%</v>
      </c>
      <c r="N300" s="10">
        <f>Github!P$674</f>
        <v>109994</v>
      </c>
      <c r="O300" s="10">
        <f>Github!Q$674</f>
        <v>269332</v>
      </c>
    </row>
    <row r="301">
      <c r="A301" s="10">
        <f>Github!J$87</f>
        <v>86</v>
      </c>
      <c r="B301" s="11" t="str">
        <f>HYPERLINK(CONCAT("http://leetcode.com/problems/",Github!C$87), Github!B$87)</f>
        <v>Partition List</v>
      </c>
      <c r="C301" s="10">
        <f>Github!F$87</f>
        <v>3411</v>
      </c>
      <c r="D301" s="10">
        <f>Github!G$87</f>
        <v>477</v>
      </c>
      <c r="E301" s="10">
        <f>Github!F$87+Github!G$87</f>
        <v>3888</v>
      </c>
      <c r="F301" s="12">
        <f t="shared" si="1"/>
        <v>7.15</v>
      </c>
      <c r="G301" s="10" t="str">
        <f>Github!H$87</f>
        <v>Algorithms</v>
      </c>
      <c r="H301" s="13" t="str">
        <f>SUBSTITUTE(Github!L$87, ";", ", ")</f>
        <v>Linked List, Two Pointers, </v>
      </c>
      <c r="I301" s="10" t="str">
        <f>Github!E$87</f>
        <v>Medium</v>
      </c>
      <c r="J301" s="10" t="str">
        <f>IF(TRIM(Github!D$87)="TRUE","FALSE","TRUE")</f>
        <v>TRUE</v>
      </c>
      <c r="K301" s="10" t="b">
        <f>Github!M$87</f>
        <v>1</v>
      </c>
      <c r="L301" s="10" t="b">
        <f>Github!N$87</f>
        <v>0</v>
      </c>
      <c r="M301" s="10" t="str">
        <f>ROUND(Github!O$87, 2)&amp;"%"</f>
        <v>47.85%</v>
      </c>
      <c r="N301" s="10">
        <f>Github!P$87</f>
        <v>338002</v>
      </c>
      <c r="O301" s="10">
        <f>Github!Q$87</f>
        <v>706319</v>
      </c>
    </row>
    <row r="302">
      <c r="A302" s="10">
        <f>Github!J$908</f>
        <v>907</v>
      </c>
      <c r="B302" s="11" t="str">
        <f>HYPERLINK(CONCAT("http://leetcode.com/problems/",Github!C$908), Github!B$908)</f>
        <v>Sum of Subarray Minimums</v>
      </c>
      <c r="C302" s="10">
        <f>Github!F$908</f>
        <v>3410</v>
      </c>
      <c r="D302" s="10">
        <f>Github!G$908</f>
        <v>228</v>
      </c>
      <c r="E302" s="10">
        <f>Github!F$908+Github!G$908</f>
        <v>3638</v>
      </c>
      <c r="F302" s="12">
        <f t="shared" si="1"/>
        <v>14.96</v>
      </c>
      <c r="G302" s="10" t="str">
        <f>Github!H$908</f>
        <v>Algorithms</v>
      </c>
      <c r="H302" s="13" t="str">
        <f>SUBSTITUTE(Github!L$908, ";", ", ")</f>
        <v>Array, Dynamic Programming, Stack, Monotonic Stack, </v>
      </c>
      <c r="I302" s="10" t="str">
        <f>Github!E$908</f>
        <v>Medium</v>
      </c>
      <c r="J302" s="10" t="str">
        <f>IF(TRIM(Github!D$908)="TRUE","FALSE","TRUE")</f>
        <v>TRUE</v>
      </c>
      <c r="K302" s="10" t="b">
        <f>Github!M$908</f>
        <v>0</v>
      </c>
      <c r="L302" s="10" t="b">
        <f>Github!N$908</f>
        <v>0</v>
      </c>
      <c r="M302" s="10" t="str">
        <f>ROUND(Github!O$908, 2)&amp;"%"</f>
        <v>33.82%</v>
      </c>
      <c r="N302" s="10">
        <f>Github!P$908</f>
        <v>74987</v>
      </c>
      <c r="O302" s="10">
        <f>Github!Q$908</f>
        <v>221690</v>
      </c>
    </row>
    <row r="303">
      <c r="A303" s="10">
        <f>Github!J$453</f>
        <v>452</v>
      </c>
      <c r="B303" s="11" t="str">
        <f>HYPERLINK(CONCAT("http://leetcode.com/problems/",Github!C$453), Github!B$453)</f>
        <v>Minimum Number of Arrows to Burst Balloons</v>
      </c>
      <c r="C303" s="10">
        <f>Github!F$453</f>
        <v>3384</v>
      </c>
      <c r="D303" s="10">
        <f>Github!G$453</f>
        <v>100</v>
      </c>
      <c r="E303" s="10">
        <f>Github!F$453+Github!G$453</f>
        <v>3484</v>
      </c>
      <c r="F303" s="12">
        <f t="shared" si="1"/>
        <v>33.84</v>
      </c>
      <c r="G303" s="10" t="str">
        <f>Github!H$453</f>
        <v>Algorithms</v>
      </c>
      <c r="H303" s="13" t="str">
        <f>SUBSTITUTE(Github!L$453, ";", ", ")</f>
        <v>Array, Greedy, Sorting, </v>
      </c>
      <c r="I303" s="10" t="str">
        <f>Github!E$453</f>
        <v>Medium</v>
      </c>
      <c r="J303" s="10" t="str">
        <f>IF(TRIM(Github!D$453)="TRUE","FALSE","TRUE")</f>
        <v>TRUE</v>
      </c>
      <c r="K303" s="10" t="b">
        <f>Github!M$453</f>
        <v>1</v>
      </c>
      <c r="L303" s="10" t="b">
        <f>Github!N$453</f>
        <v>0</v>
      </c>
      <c r="M303" s="10" t="str">
        <f>ROUND(Github!O$453, 2)&amp;"%"</f>
        <v>52.9%</v>
      </c>
      <c r="N303" s="10">
        <f>Github!P$453</f>
        <v>186944</v>
      </c>
      <c r="O303" s="10">
        <f>Github!Q$453</f>
        <v>353368</v>
      </c>
    </row>
    <row r="304">
      <c r="A304" s="10">
        <f>Github!J$116</f>
        <v>115</v>
      </c>
      <c r="B304" s="11" t="str">
        <f>HYPERLINK(CONCAT("http://leetcode.com/problems/",Github!C$116), Github!B$116)</f>
        <v>Distinct Subsequences</v>
      </c>
      <c r="C304" s="10">
        <f>Github!F$116</f>
        <v>3367</v>
      </c>
      <c r="D304" s="10">
        <f>Github!G$116</f>
        <v>146</v>
      </c>
      <c r="E304" s="10">
        <f>Github!F$116+Github!G$116</f>
        <v>3513</v>
      </c>
      <c r="F304" s="12">
        <f t="shared" si="1"/>
        <v>23.06</v>
      </c>
      <c r="G304" s="10" t="str">
        <f>Github!H$116</f>
        <v>Algorithms</v>
      </c>
      <c r="H304" s="13" t="str">
        <f>SUBSTITUTE(Github!L$116, ";", ", ")</f>
        <v>String, Dynamic Programming, </v>
      </c>
      <c r="I304" s="10" t="str">
        <f>Github!E$116</f>
        <v>Hard</v>
      </c>
      <c r="J304" s="10" t="str">
        <f>IF(TRIM(Github!D$116)="TRUE","FALSE","TRUE")</f>
        <v>TRUE</v>
      </c>
      <c r="K304" s="10" t="b">
        <f>Github!M$116</f>
        <v>1</v>
      </c>
      <c r="L304" s="10" t="b">
        <f>Github!N$116</f>
        <v>0</v>
      </c>
      <c r="M304" s="10" t="str">
        <f>ROUND(Github!O$116, 2)&amp;"%"</f>
        <v>42.29%</v>
      </c>
      <c r="N304" s="10">
        <f>Github!P$116</f>
        <v>216836</v>
      </c>
      <c r="O304" s="10">
        <f>Github!Q$116</f>
        <v>512777</v>
      </c>
    </row>
    <row r="305">
      <c r="A305" s="10">
        <f>Github!J$378</f>
        <v>377</v>
      </c>
      <c r="B305" s="11" t="str">
        <f>HYPERLINK(CONCAT("http://leetcode.com/problems/",Github!C$378), Github!B$378)</f>
        <v>Combination Sum IV</v>
      </c>
      <c r="C305" s="10">
        <f>Github!F$378</f>
        <v>3357</v>
      </c>
      <c r="D305" s="10">
        <f>Github!G$378</f>
        <v>386</v>
      </c>
      <c r="E305" s="10">
        <f>Github!F$378+Github!G$378</f>
        <v>3743</v>
      </c>
      <c r="F305" s="12">
        <f t="shared" si="1"/>
        <v>8.7</v>
      </c>
      <c r="G305" s="10" t="str">
        <f>Github!H$378</f>
        <v>Algorithms</v>
      </c>
      <c r="H305" s="13" t="str">
        <f>SUBSTITUTE(Github!L$378, ";", ", ")</f>
        <v>Array, Dynamic Programming, </v>
      </c>
      <c r="I305" s="10" t="str">
        <f>Github!E$378</f>
        <v>Medium</v>
      </c>
      <c r="J305" s="10" t="str">
        <f>IF(TRIM(Github!D$378)="TRUE","FALSE","TRUE")</f>
        <v>TRUE</v>
      </c>
      <c r="K305" s="10" t="b">
        <f>Github!M$378</f>
        <v>1</v>
      </c>
      <c r="L305" s="10" t="b">
        <f>Github!N$378</f>
        <v>0</v>
      </c>
      <c r="M305" s="10" t="str">
        <f>ROUND(Github!O$378, 2)&amp;"%"</f>
        <v>49.39%</v>
      </c>
      <c r="N305" s="10">
        <f>Github!P$378</f>
        <v>240011</v>
      </c>
      <c r="O305" s="10">
        <f>Github!Q$378</f>
        <v>485971</v>
      </c>
    </row>
    <row r="306">
      <c r="A306" s="10">
        <f>Github!J$679</f>
        <v>678</v>
      </c>
      <c r="B306" s="11" t="str">
        <f>HYPERLINK(CONCAT("http://leetcode.com/problems/",Github!C$679), Github!B$679)</f>
        <v>Valid Parenthesis String</v>
      </c>
      <c r="C306" s="10">
        <f>Github!F$679</f>
        <v>3349</v>
      </c>
      <c r="D306" s="10">
        <f>Github!G$679</f>
        <v>81</v>
      </c>
      <c r="E306" s="10">
        <f>Github!F$679+Github!G$679</f>
        <v>3430</v>
      </c>
      <c r="F306" s="12">
        <f t="shared" si="1"/>
        <v>41.35</v>
      </c>
      <c r="G306" s="10" t="str">
        <f>Github!H$679</f>
        <v>Algorithms</v>
      </c>
      <c r="H306" s="13" t="str">
        <f>SUBSTITUTE(Github!L$679, ";", ", ")</f>
        <v>String, Dynamic Programming, Stack, Greedy, </v>
      </c>
      <c r="I306" s="10" t="str">
        <f>Github!E$679</f>
        <v>Medium</v>
      </c>
      <c r="J306" s="10" t="str">
        <f>IF(TRIM(Github!D$679)="TRUE","FALSE","TRUE")</f>
        <v>TRUE</v>
      </c>
      <c r="K306" s="10" t="b">
        <f>Github!M$679</f>
        <v>1</v>
      </c>
      <c r="L306" s="10" t="b">
        <f>Github!N$679</f>
        <v>0</v>
      </c>
      <c r="M306" s="10" t="str">
        <f>ROUND(Github!O$679, 2)&amp;"%"</f>
        <v>33.23%</v>
      </c>
      <c r="N306" s="10">
        <f>Github!P$679</f>
        <v>167797</v>
      </c>
      <c r="O306" s="10">
        <f>Github!Q$679</f>
        <v>504993</v>
      </c>
    </row>
    <row r="307">
      <c r="A307" s="10">
        <f>Github!J$998</f>
        <v>997</v>
      </c>
      <c r="B307" s="11" t="str">
        <f>HYPERLINK(CONCAT("http://leetcode.com/problems/",Github!C$998), Github!B$998)</f>
        <v>Find the Town Judge</v>
      </c>
      <c r="C307" s="10">
        <f>Github!F$998</f>
        <v>3337</v>
      </c>
      <c r="D307" s="10">
        <f>Github!G$998</f>
        <v>260</v>
      </c>
      <c r="E307" s="10">
        <f>Github!F$998+Github!G$998</f>
        <v>3597</v>
      </c>
      <c r="F307" s="12">
        <f t="shared" si="1"/>
        <v>12.83</v>
      </c>
      <c r="G307" s="10" t="str">
        <f>Github!H$998</f>
        <v>Algorithms</v>
      </c>
      <c r="H307" s="13" t="str">
        <f>SUBSTITUTE(Github!L$998, ";", ", ")</f>
        <v>Array, Hash Table, Graph, </v>
      </c>
      <c r="I307" s="10" t="str">
        <f>Github!E$998</f>
        <v>Easy</v>
      </c>
      <c r="J307" s="10" t="str">
        <f>IF(TRIM(Github!D$998)="TRUE","FALSE","TRUE")</f>
        <v>TRUE</v>
      </c>
      <c r="K307" s="10" t="b">
        <f>Github!M$998</f>
        <v>1</v>
      </c>
      <c r="L307" s="10" t="b">
        <f>Github!N$998</f>
        <v>0</v>
      </c>
      <c r="M307" s="10" t="str">
        <f>ROUND(Github!O$998, 2)&amp;"%"</f>
        <v>49.8%</v>
      </c>
      <c r="N307" s="10">
        <f>Github!P$998</f>
        <v>272295</v>
      </c>
      <c r="O307" s="10">
        <f>Github!Q$998</f>
        <v>546766</v>
      </c>
    </row>
    <row r="308">
      <c r="A308" s="10">
        <f>Github!J$510</f>
        <v>509</v>
      </c>
      <c r="B308" s="11" t="str">
        <f>HYPERLINK(CONCAT("http://leetcode.com/problems/",Github!C$510), Github!B$510)</f>
        <v>Fibonacci Number</v>
      </c>
      <c r="C308" s="10">
        <f>Github!F$510</f>
        <v>3337</v>
      </c>
      <c r="D308" s="10">
        <f>Github!G$510</f>
        <v>262</v>
      </c>
      <c r="E308" s="10">
        <f>Github!F$510+Github!G$510</f>
        <v>3599</v>
      </c>
      <c r="F308" s="12">
        <f t="shared" si="1"/>
        <v>12.74</v>
      </c>
      <c r="G308" s="10" t="str">
        <f>Github!H$510</f>
        <v>Algorithms</v>
      </c>
      <c r="H308" s="13" t="str">
        <f>SUBSTITUTE(Github!L$510, ";", ", ")</f>
        <v>Math, Dynamic Programming, Recursion, Memoization, </v>
      </c>
      <c r="I308" s="10" t="str">
        <f>Github!E$510</f>
        <v>Easy</v>
      </c>
      <c r="J308" s="10" t="str">
        <f>IF(TRIM(Github!D$510)="TRUE","FALSE","TRUE")</f>
        <v>TRUE</v>
      </c>
      <c r="K308" s="10" t="b">
        <f>Github!M$510</f>
        <v>1</v>
      </c>
      <c r="L308" s="10" t="b">
        <f>Github!N$510</f>
        <v>0</v>
      </c>
      <c r="M308" s="10" t="str">
        <f>ROUND(Github!O$510, 2)&amp;"%"</f>
        <v>68.17%</v>
      </c>
      <c r="N308" s="10">
        <f>Github!P$510</f>
        <v>744908</v>
      </c>
      <c r="O308" s="10">
        <f>Github!Q$510</f>
        <v>1092690</v>
      </c>
    </row>
    <row r="309">
      <c r="A309" s="10">
        <f>Github!J$1049</f>
        <v>1048</v>
      </c>
      <c r="B309" s="11" t="str">
        <f>HYPERLINK(CONCAT("http://leetcode.com/problems/",Github!C$1049), Github!B$1049)</f>
        <v>Longest String Chain</v>
      </c>
      <c r="C309" s="10">
        <f>Github!F$1049</f>
        <v>3329</v>
      </c>
      <c r="D309" s="10">
        <f>Github!G$1049</f>
        <v>164</v>
      </c>
      <c r="E309" s="10">
        <f>Github!F$1049+Github!G$1049</f>
        <v>3493</v>
      </c>
      <c r="F309" s="12">
        <f t="shared" si="1"/>
        <v>20.3</v>
      </c>
      <c r="G309" s="10" t="str">
        <f>Github!H$1049</f>
        <v>Algorithms</v>
      </c>
      <c r="H309" s="13" t="str">
        <f>SUBSTITUTE(Github!L$1049, ";", ", ")</f>
        <v>Array, Hash Table, Two Pointers, String, Dynamic Programming, </v>
      </c>
      <c r="I309" s="10" t="str">
        <f>Github!E$1049</f>
        <v>Medium</v>
      </c>
      <c r="J309" s="10" t="str">
        <f>IF(TRIM(Github!D$1049)="TRUE","FALSE","TRUE")</f>
        <v>TRUE</v>
      </c>
      <c r="K309" s="10" t="b">
        <f>Github!M$1049</f>
        <v>1</v>
      </c>
      <c r="L309" s="10" t="b">
        <f>Github!N$1049</f>
        <v>0</v>
      </c>
      <c r="M309" s="10" t="str">
        <f>ROUND(Github!O$1049, 2)&amp;"%"</f>
        <v>57.82%</v>
      </c>
      <c r="N309" s="10">
        <f>Github!P$1049</f>
        <v>198307</v>
      </c>
      <c r="O309" s="10">
        <f>Github!Q$1049</f>
        <v>342968</v>
      </c>
    </row>
    <row r="310">
      <c r="A310" s="10">
        <f>Github!J$133</f>
        <v>132</v>
      </c>
      <c r="B310" s="11" t="str">
        <f>HYPERLINK(CONCAT("http://leetcode.com/problems/",Github!C$133), Github!B$133)</f>
        <v>Palindrome Partitioning II</v>
      </c>
      <c r="C310" s="10">
        <f>Github!F$133</f>
        <v>3296</v>
      </c>
      <c r="D310" s="10">
        <f>Github!G$133</f>
        <v>79</v>
      </c>
      <c r="E310" s="10">
        <f>Github!F$133+Github!G$133</f>
        <v>3375</v>
      </c>
      <c r="F310" s="12">
        <f t="shared" si="1"/>
        <v>41.72</v>
      </c>
      <c r="G310" s="10" t="str">
        <f>Github!H$133</f>
        <v>Algorithms</v>
      </c>
      <c r="H310" s="13" t="str">
        <f>SUBSTITUTE(Github!L$133, ";", ", ")</f>
        <v>String, Dynamic Programming, </v>
      </c>
      <c r="I310" s="10" t="str">
        <f>Github!E$133</f>
        <v>Hard</v>
      </c>
      <c r="J310" s="10" t="str">
        <f>IF(TRIM(Github!D$133)="TRUE","FALSE","TRUE")</f>
        <v>TRUE</v>
      </c>
      <c r="K310" s="10" t="b">
        <f>Github!M$133</f>
        <v>1</v>
      </c>
      <c r="L310" s="10" t="b">
        <f>Github!N$133</f>
        <v>0</v>
      </c>
      <c r="M310" s="10" t="str">
        <f>ROUND(Github!O$133, 2)&amp;"%"</f>
        <v>33.15%</v>
      </c>
      <c r="N310" s="10">
        <f>Github!P$133</f>
        <v>201749</v>
      </c>
      <c r="O310" s="10">
        <f>Github!Q$133</f>
        <v>608634</v>
      </c>
    </row>
    <row r="311">
      <c r="A311" s="10">
        <f>Github!J$460</f>
        <v>459</v>
      </c>
      <c r="B311" s="11" t="str">
        <f>HYPERLINK(CONCAT("http://leetcode.com/problems/",Github!C$460), Github!B$460)</f>
        <v>Repeated Substring Pattern</v>
      </c>
      <c r="C311" s="10">
        <f>Github!F$460</f>
        <v>3291</v>
      </c>
      <c r="D311" s="10">
        <f>Github!G$460</f>
        <v>313</v>
      </c>
      <c r="E311" s="10">
        <f>Github!F$460+Github!G$460</f>
        <v>3604</v>
      </c>
      <c r="F311" s="12">
        <f t="shared" si="1"/>
        <v>10.51</v>
      </c>
      <c r="G311" s="10" t="str">
        <f>Github!H$460</f>
        <v>Algorithms</v>
      </c>
      <c r="H311" s="13" t="str">
        <f>SUBSTITUTE(Github!L$460, ";", ", ")</f>
        <v>String, String Matching, </v>
      </c>
      <c r="I311" s="10" t="str">
        <f>Github!E$460</f>
        <v>Easy</v>
      </c>
      <c r="J311" s="10" t="str">
        <f>IF(TRIM(Github!D$460)="TRUE","FALSE","TRUE")</f>
        <v>TRUE</v>
      </c>
      <c r="K311" s="10" t="b">
        <f>Github!M$460</f>
        <v>0</v>
      </c>
      <c r="L311" s="10" t="b">
        <f>Github!N$460</f>
        <v>0</v>
      </c>
      <c r="M311" s="10" t="str">
        <f>ROUND(Github!O$460, 2)&amp;"%"</f>
        <v>43.58%</v>
      </c>
      <c r="N311" s="10">
        <f>Github!P$460</f>
        <v>239409</v>
      </c>
      <c r="O311" s="10">
        <f>Github!Q$460</f>
        <v>549345</v>
      </c>
    </row>
    <row r="312">
      <c r="A312" s="10">
        <f>Github!J$702</f>
        <v>701</v>
      </c>
      <c r="B312" s="11" t="str">
        <f>HYPERLINK(CONCAT("http://leetcode.com/problems/",Github!C$702), Github!B$702)</f>
        <v>Insert into a Binary Search Tree</v>
      </c>
      <c r="C312" s="10">
        <f>Github!F$702</f>
        <v>3290</v>
      </c>
      <c r="D312" s="10">
        <f>Github!G$702</f>
        <v>142</v>
      </c>
      <c r="E312" s="10">
        <f>Github!F$702+Github!G$702</f>
        <v>3432</v>
      </c>
      <c r="F312" s="12">
        <f t="shared" si="1"/>
        <v>23.17</v>
      </c>
      <c r="G312" s="10" t="str">
        <f>Github!H$702</f>
        <v>Algorithms</v>
      </c>
      <c r="H312" s="13" t="str">
        <f>SUBSTITUTE(Github!L$702, ";", ", ")</f>
        <v>Tree, Binary Search Tree, Binary Tree, </v>
      </c>
      <c r="I312" s="10" t="str">
        <f>Github!E$702</f>
        <v>Medium</v>
      </c>
      <c r="J312" s="10" t="str">
        <f>IF(TRIM(Github!D$702)="TRUE","FALSE","TRUE")</f>
        <v>TRUE</v>
      </c>
      <c r="K312" s="10" t="b">
        <f>Github!M$702</f>
        <v>1</v>
      </c>
      <c r="L312" s="10" t="b">
        <f>Github!N$702</f>
        <v>0</v>
      </c>
      <c r="M312" s="10" t="str">
        <f>ROUND(Github!O$702, 2)&amp;"%"</f>
        <v>74.94%</v>
      </c>
      <c r="N312" s="10">
        <f>Github!P$702</f>
        <v>302592</v>
      </c>
      <c r="O312" s="10">
        <f>Github!Q$702</f>
        <v>403803</v>
      </c>
    </row>
    <row r="313">
      <c r="A313" s="10">
        <f>Github!J$701</f>
        <v>700</v>
      </c>
      <c r="B313" s="11" t="str">
        <f>HYPERLINK(CONCAT("http://leetcode.com/problems/",Github!C$701), Github!B$701)</f>
        <v>Search in a Binary Search Tree</v>
      </c>
      <c r="C313" s="10">
        <f>Github!F$701</f>
        <v>3280</v>
      </c>
      <c r="D313" s="10">
        <f>Github!G$701</f>
        <v>151</v>
      </c>
      <c r="E313" s="10">
        <f>Github!F$701+Github!G$701</f>
        <v>3431</v>
      </c>
      <c r="F313" s="12">
        <f t="shared" si="1"/>
        <v>21.72</v>
      </c>
      <c r="G313" s="10" t="str">
        <f>Github!H$701</f>
        <v>Algorithms</v>
      </c>
      <c r="H313" s="13" t="str">
        <f>SUBSTITUTE(Github!L$701, ";", ", ")</f>
        <v>Tree, Binary Search Tree, Binary Tree, </v>
      </c>
      <c r="I313" s="10" t="str">
        <f>Github!E$701</f>
        <v>Easy</v>
      </c>
      <c r="J313" s="10" t="str">
        <f>IF(TRIM(Github!D$701)="TRUE","FALSE","TRUE")</f>
        <v>TRUE</v>
      </c>
      <c r="K313" s="10" t="b">
        <f>Github!M$701</f>
        <v>1</v>
      </c>
      <c r="L313" s="10" t="b">
        <f>Github!N$701</f>
        <v>0</v>
      </c>
      <c r="M313" s="10" t="str">
        <f>ROUND(Github!O$701, 2)&amp;"%"</f>
        <v>76.37%</v>
      </c>
      <c r="N313" s="10">
        <f>Github!P$701</f>
        <v>475442</v>
      </c>
      <c r="O313" s="10">
        <f>Github!Q$701</f>
        <v>622522</v>
      </c>
    </row>
    <row r="314">
      <c r="A314" s="10">
        <f>Github!J$405</f>
        <v>404</v>
      </c>
      <c r="B314" s="11" t="str">
        <f>HYPERLINK(CONCAT("http://leetcode.com/problems/",Github!C$405), Github!B$405)</f>
        <v>Sum of Left Leaves</v>
      </c>
      <c r="C314" s="10">
        <f>Github!F$405</f>
        <v>3274</v>
      </c>
      <c r="D314" s="10">
        <f>Github!G$405</f>
        <v>244</v>
      </c>
      <c r="E314" s="10">
        <f>Github!F$405+Github!G$405</f>
        <v>3518</v>
      </c>
      <c r="F314" s="12">
        <f t="shared" si="1"/>
        <v>13.42</v>
      </c>
      <c r="G314" s="10" t="str">
        <f>Github!H$405</f>
        <v>Algorithms</v>
      </c>
      <c r="H314" s="13" t="str">
        <f>SUBSTITUTE(Github!L$405, ";", ", ")</f>
        <v>Tree, Depth-First Search, Breadth-First Search, Binary Tree, </v>
      </c>
      <c r="I314" s="10" t="str">
        <f>Github!E$405</f>
        <v>Easy</v>
      </c>
      <c r="J314" s="10" t="str">
        <f>IF(TRIM(Github!D$405)="TRUE","FALSE","TRUE")</f>
        <v>TRUE</v>
      </c>
      <c r="K314" s="10" t="b">
        <f>Github!M$405</f>
        <v>1</v>
      </c>
      <c r="L314" s="10" t="b">
        <f>Github!N$405</f>
        <v>0</v>
      </c>
      <c r="M314" s="10" t="str">
        <f>ROUND(Github!O$405, 2)&amp;"%"</f>
        <v>55.06%</v>
      </c>
      <c r="N314" s="10">
        <f>Github!P$405</f>
        <v>344789</v>
      </c>
      <c r="O314" s="10">
        <f>Github!Q$405</f>
        <v>626190</v>
      </c>
    </row>
    <row r="315">
      <c r="A315" s="10">
        <f>Github!J$233</f>
        <v>232</v>
      </c>
      <c r="B315" s="11" t="str">
        <f>HYPERLINK(CONCAT("http://leetcode.com/problems/",Github!C$233), Github!B$233)</f>
        <v>Implement Queue using Stacks</v>
      </c>
      <c r="C315" s="10">
        <f>Github!F$233</f>
        <v>3263</v>
      </c>
      <c r="D315" s="10">
        <f>Github!G$233</f>
        <v>220</v>
      </c>
      <c r="E315" s="10">
        <f>Github!F$233+Github!G$233</f>
        <v>3483</v>
      </c>
      <c r="F315" s="12">
        <f t="shared" si="1"/>
        <v>14.83</v>
      </c>
      <c r="G315" s="10" t="str">
        <f>Github!H$233</f>
        <v>Algorithms</v>
      </c>
      <c r="H315" s="13" t="str">
        <f>SUBSTITUTE(Github!L$233, ";", ", ")</f>
        <v>Stack, Design, Queue, </v>
      </c>
      <c r="I315" s="10" t="str">
        <f>Github!E$233</f>
        <v>Easy</v>
      </c>
      <c r="J315" s="10" t="str">
        <f>IF(TRIM(Github!D$233)="TRUE","FALSE","TRUE")</f>
        <v>TRUE</v>
      </c>
      <c r="K315" s="10" t="b">
        <f>Github!M$233</f>
        <v>1</v>
      </c>
      <c r="L315" s="10" t="b">
        <f>Github!N$233</f>
        <v>0</v>
      </c>
      <c r="M315" s="10" t="str">
        <f>ROUND(Github!O$233, 2)&amp;"%"</f>
        <v>58.11%</v>
      </c>
      <c r="N315" s="10">
        <f>Github!P$233</f>
        <v>400965</v>
      </c>
      <c r="O315" s="10">
        <f>Github!Q$233</f>
        <v>690056</v>
      </c>
    </row>
    <row r="316">
      <c r="A316" s="10">
        <f>Github!J$172</f>
        <v>171</v>
      </c>
      <c r="B316" s="11" t="str">
        <f>HYPERLINK(CONCAT("http://leetcode.com/problems/",Github!C$172), Github!B$172)</f>
        <v>Excel Sheet Column Number</v>
      </c>
      <c r="C316" s="10">
        <f>Github!F$172</f>
        <v>3244</v>
      </c>
      <c r="D316" s="10">
        <f>Github!G$172</f>
        <v>272</v>
      </c>
      <c r="E316" s="10">
        <f>Github!F$172+Github!G$172</f>
        <v>3516</v>
      </c>
      <c r="F316" s="12">
        <f t="shared" si="1"/>
        <v>11.93</v>
      </c>
      <c r="G316" s="10" t="str">
        <f>Github!H$172</f>
        <v>Algorithms</v>
      </c>
      <c r="H316" s="13" t="str">
        <f>SUBSTITUTE(Github!L$172, ";", ", ")</f>
        <v>Math, String, </v>
      </c>
      <c r="I316" s="10" t="str">
        <f>Github!E$172</f>
        <v>Easy</v>
      </c>
      <c r="J316" s="10" t="str">
        <f>IF(TRIM(Github!D$172)="TRUE","FALSE","TRUE")</f>
        <v>TRUE</v>
      </c>
      <c r="K316" s="10" t="b">
        <f>Github!M$172</f>
        <v>1</v>
      </c>
      <c r="L316" s="10" t="b">
        <f>Github!N$172</f>
        <v>0</v>
      </c>
      <c r="M316" s="10" t="str">
        <f>ROUND(Github!O$172, 2)&amp;"%"</f>
        <v>60.63%</v>
      </c>
      <c r="N316" s="10">
        <f>Github!P$172</f>
        <v>498741</v>
      </c>
      <c r="O316" s="10">
        <f>Github!Q$172</f>
        <v>822608</v>
      </c>
    </row>
    <row r="317">
      <c r="A317" s="10">
        <f>Github!J$1278</f>
        <v>1277</v>
      </c>
      <c r="B317" s="11" t="str">
        <f>HYPERLINK(CONCAT("http://leetcode.com/problems/",Github!C$1278), Github!B$1278)</f>
        <v>Count Square Submatrices with All Ones</v>
      </c>
      <c r="C317" s="10">
        <f>Github!F$1278</f>
        <v>3251</v>
      </c>
      <c r="D317" s="10">
        <f>Github!G$1278</f>
        <v>54</v>
      </c>
      <c r="E317" s="10">
        <f>Github!F$1278+Github!G$1278</f>
        <v>3305</v>
      </c>
      <c r="F317" s="12">
        <f t="shared" si="1"/>
        <v>60.2</v>
      </c>
      <c r="G317" s="10" t="str">
        <f>Github!H$1278</f>
        <v>Algorithms</v>
      </c>
      <c r="H317" s="13" t="str">
        <f>SUBSTITUTE(Github!L$1278, ";", ", ")</f>
        <v>Array, Dynamic Programming, Matrix, </v>
      </c>
      <c r="I317" s="10" t="str">
        <f>Github!E$1278</f>
        <v>Medium</v>
      </c>
      <c r="J317" s="10" t="str">
        <f>IF(TRIM(Github!D$1278)="TRUE","FALSE","TRUE")</f>
        <v>TRUE</v>
      </c>
      <c r="K317" s="10" t="b">
        <f>Github!M$1278</f>
        <v>0</v>
      </c>
      <c r="L317" s="10" t="b">
        <f>Github!N$1278</f>
        <v>0</v>
      </c>
      <c r="M317" s="10" t="str">
        <f>ROUND(Github!O$1278, 2)&amp;"%"</f>
        <v>74.18%</v>
      </c>
      <c r="N317" s="10">
        <f>Github!P$1278</f>
        <v>160939</v>
      </c>
      <c r="O317" s="10">
        <f>Github!Q$1278</f>
        <v>216957</v>
      </c>
    </row>
    <row r="318">
      <c r="A318" s="10">
        <f>Github!J$785</f>
        <v>784</v>
      </c>
      <c r="B318" s="11" t="str">
        <f>HYPERLINK(CONCAT("http://leetcode.com/problems/",Github!C$785), Github!B$785)</f>
        <v>Letter Case Permutation</v>
      </c>
      <c r="C318" s="10">
        <f>Github!F$785</f>
        <v>3242</v>
      </c>
      <c r="D318" s="10">
        <f>Github!G$785</f>
        <v>142</v>
      </c>
      <c r="E318" s="10">
        <f>Github!F$785+Github!G$785</f>
        <v>3384</v>
      </c>
      <c r="F318" s="12">
        <f t="shared" si="1"/>
        <v>22.83</v>
      </c>
      <c r="G318" s="10" t="str">
        <f>Github!H$785</f>
        <v>Algorithms</v>
      </c>
      <c r="H318" s="13" t="str">
        <f>SUBSTITUTE(Github!L$785, ";", ", ")</f>
        <v>String, Backtracking, Bit Manipulation, </v>
      </c>
      <c r="I318" s="10" t="str">
        <f>Github!E$785</f>
        <v>Medium</v>
      </c>
      <c r="J318" s="10" t="str">
        <f>IF(TRIM(Github!D$785)="TRUE","FALSE","TRUE")</f>
        <v>TRUE</v>
      </c>
      <c r="K318" s="10" t="b">
        <f>Github!M$785</f>
        <v>1</v>
      </c>
      <c r="L318" s="10" t="b">
        <f>Github!N$785</f>
        <v>0</v>
      </c>
      <c r="M318" s="10" t="str">
        <f>ROUND(Github!O$785, 2)&amp;"%"</f>
        <v>72.34%</v>
      </c>
      <c r="N318" s="10">
        <f>Github!P$785</f>
        <v>210939</v>
      </c>
      <c r="O318" s="10">
        <f>Github!Q$785</f>
        <v>291588</v>
      </c>
    </row>
    <row r="319">
      <c r="A319" s="10">
        <f>Github!J$457</f>
        <v>456</v>
      </c>
      <c r="B319" s="11" t="str">
        <f>HYPERLINK(CONCAT("http://leetcode.com/problems/",Github!C$457), Github!B$457)</f>
        <v>132 Pattern</v>
      </c>
      <c r="C319" s="10">
        <f>Github!F$457</f>
        <v>3225</v>
      </c>
      <c r="D319" s="10">
        <f>Github!G$457</f>
        <v>181</v>
      </c>
      <c r="E319" s="10">
        <f>Github!F$457+Github!G$457</f>
        <v>3406</v>
      </c>
      <c r="F319" s="12">
        <f t="shared" si="1"/>
        <v>17.82</v>
      </c>
      <c r="G319" s="10" t="str">
        <f>Github!H$457</f>
        <v>Algorithms</v>
      </c>
      <c r="H319" s="13" t="str">
        <f>SUBSTITUTE(Github!L$457, ";", ", ")</f>
        <v>Array, Binary Search, Stack, Monotonic Stack, Ordered Set, </v>
      </c>
      <c r="I319" s="10" t="str">
        <f>Github!E$457</f>
        <v>Medium</v>
      </c>
      <c r="J319" s="10" t="str">
        <f>IF(TRIM(Github!D$457)="TRUE","FALSE","TRUE")</f>
        <v>TRUE</v>
      </c>
      <c r="K319" s="10" t="b">
        <f>Github!M$457</f>
        <v>1</v>
      </c>
      <c r="L319" s="10" t="b">
        <f>Github!N$457</f>
        <v>1</v>
      </c>
      <c r="M319" s="10" t="str">
        <f>ROUND(Github!O$457, 2)&amp;"%"</f>
        <v>30.9%</v>
      </c>
      <c r="N319" s="10">
        <f>Github!P$457</f>
        <v>106886</v>
      </c>
      <c r="O319" s="10">
        <f>Github!Q$457</f>
        <v>345896</v>
      </c>
    </row>
    <row r="320">
      <c r="A320" s="10">
        <f>Github!J$416</f>
        <v>415</v>
      </c>
      <c r="B320" s="11" t="str">
        <f>HYPERLINK(CONCAT("http://leetcode.com/problems/",Github!C$416), Github!B$416)</f>
        <v>Add Strings</v>
      </c>
      <c r="C320" s="10">
        <f>Github!F$416</f>
        <v>3204</v>
      </c>
      <c r="D320" s="10">
        <f>Github!G$416</f>
        <v>545</v>
      </c>
      <c r="E320" s="10">
        <f>Github!F$416+Github!G$416</f>
        <v>3749</v>
      </c>
      <c r="F320" s="12">
        <f t="shared" si="1"/>
        <v>5.88</v>
      </c>
      <c r="G320" s="10" t="str">
        <f>Github!H$416</f>
        <v>Algorithms</v>
      </c>
      <c r="H320" s="13" t="str">
        <f>SUBSTITUTE(Github!L$416, ";", ", ")</f>
        <v>Math, String, Simulation, </v>
      </c>
      <c r="I320" s="10" t="str">
        <f>Github!E$416</f>
        <v>Easy</v>
      </c>
      <c r="J320" s="10" t="str">
        <f>IF(TRIM(Github!D$416)="TRUE","FALSE","TRUE")</f>
        <v>TRUE</v>
      </c>
      <c r="K320" s="10" t="b">
        <f>Github!M$416</f>
        <v>1</v>
      </c>
      <c r="L320" s="10" t="b">
        <f>Github!N$416</f>
        <v>0</v>
      </c>
      <c r="M320" s="10" t="str">
        <f>ROUND(Github!O$416, 2)&amp;"%"</f>
        <v>52.13%</v>
      </c>
      <c r="N320" s="10">
        <f>Github!P$416</f>
        <v>467366</v>
      </c>
      <c r="O320" s="10">
        <f>Github!Q$416</f>
        <v>896481</v>
      </c>
    </row>
    <row r="321">
      <c r="A321" s="10">
        <f>Github!J$653</f>
        <v>652</v>
      </c>
      <c r="B321" s="11" t="str">
        <f>HYPERLINK(CONCAT("http://leetcode.com/problems/",Github!C$653), Github!B$653)</f>
        <v>Find Duplicate Subtrees</v>
      </c>
      <c r="C321" s="10">
        <f>Github!F$653</f>
        <v>3180</v>
      </c>
      <c r="D321" s="10">
        <f>Github!G$653</f>
        <v>294</v>
      </c>
      <c r="E321" s="10">
        <f>Github!F$653+Github!G$653</f>
        <v>3474</v>
      </c>
      <c r="F321" s="12">
        <f t="shared" si="1"/>
        <v>10.82</v>
      </c>
      <c r="G321" s="10" t="str">
        <f>Github!H$653</f>
        <v>Algorithms</v>
      </c>
      <c r="H321" s="13" t="str">
        <f>SUBSTITUTE(Github!L$653, ";", ", ")</f>
        <v>Hash Table, Tree, Depth-First Search, Binary Tree, </v>
      </c>
      <c r="I321" s="10" t="str">
        <f>Github!E$653</f>
        <v>Medium</v>
      </c>
      <c r="J321" s="10" t="str">
        <f>IF(TRIM(Github!D$653)="TRUE","FALSE","TRUE")</f>
        <v>TRUE</v>
      </c>
      <c r="K321" s="10" t="b">
        <f>Github!M$653</f>
        <v>0</v>
      </c>
      <c r="L321" s="10" t="b">
        <f>Github!N$653</f>
        <v>0</v>
      </c>
      <c r="M321" s="10" t="str">
        <f>ROUND(Github!O$653, 2)&amp;"%"</f>
        <v>55.8%</v>
      </c>
      <c r="N321" s="10">
        <f>Github!P$653</f>
        <v>148327</v>
      </c>
      <c r="O321" s="10">
        <f>Github!Q$653</f>
        <v>265819</v>
      </c>
    </row>
    <row r="322">
      <c r="A322" s="10">
        <f>Github!J$898</f>
        <v>897</v>
      </c>
      <c r="B322" s="11" t="str">
        <f>HYPERLINK(CONCAT("http://leetcode.com/problems/",Github!C$898), Github!B$898)</f>
        <v>Increasing Order Search Tree</v>
      </c>
      <c r="C322" s="10">
        <f>Github!F$898</f>
        <v>3181</v>
      </c>
      <c r="D322" s="10">
        <f>Github!G$898</f>
        <v>629</v>
      </c>
      <c r="E322" s="10">
        <f>Github!F$898+Github!G$898</f>
        <v>3810</v>
      </c>
      <c r="F322" s="12">
        <f t="shared" si="1"/>
        <v>5.06</v>
      </c>
      <c r="G322" s="10" t="str">
        <f>Github!H$898</f>
        <v>Algorithms</v>
      </c>
      <c r="H322" s="13" t="str">
        <f>SUBSTITUTE(Github!L$898, ";", ", ")</f>
        <v>Stack, Tree, Depth-First Search, Binary Search Tree, Binary Tree, </v>
      </c>
      <c r="I322" s="10" t="str">
        <f>Github!E$898</f>
        <v>Easy</v>
      </c>
      <c r="J322" s="10" t="str">
        <f>IF(TRIM(Github!D$898)="TRUE","FALSE","TRUE")</f>
        <v>TRUE</v>
      </c>
      <c r="K322" s="10" t="b">
        <f>Github!M$898</f>
        <v>1</v>
      </c>
      <c r="L322" s="10" t="b">
        <f>Github!N$898</f>
        <v>0</v>
      </c>
      <c r="M322" s="10" t="str">
        <f>ROUND(Github!O$898, 2)&amp;"%"</f>
        <v>78.29%</v>
      </c>
      <c r="N322" s="10">
        <f>Github!P$898</f>
        <v>211054</v>
      </c>
      <c r="O322" s="10">
        <f>Github!Q$898</f>
        <v>269571</v>
      </c>
    </row>
    <row r="323">
      <c r="A323" s="10">
        <f>Github!J$369</f>
        <v>368</v>
      </c>
      <c r="B323" s="11" t="str">
        <f>HYPERLINK(CONCAT("http://leetcode.com/problems/",Github!C$369), Github!B$369)</f>
        <v>Largest Divisible Subset</v>
      </c>
      <c r="C323" s="10">
        <f>Github!F$369</f>
        <v>3168</v>
      </c>
      <c r="D323" s="10">
        <f>Github!G$369</f>
        <v>148</v>
      </c>
      <c r="E323" s="10">
        <f>Github!F$369+Github!G$369</f>
        <v>3316</v>
      </c>
      <c r="F323" s="12">
        <f t="shared" si="1"/>
        <v>21.41</v>
      </c>
      <c r="G323" s="10" t="str">
        <f>Github!H$369</f>
        <v>Algorithms</v>
      </c>
      <c r="H323" s="13" t="str">
        <f>SUBSTITUTE(Github!L$369, ";", ", ")</f>
        <v>Array, Math, Dynamic Programming, Sorting, </v>
      </c>
      <c r="I323" s="10" t="str">
        <f>Github!E$369</f>
        <v>Medium</v>
      </c>
      <c r="J323" s="10" t="str">
        <f>IF(TRIM(Github!D$369)="TRUE","FALSE","TRUE")</f>
        <v>TRUE</v>
      </c>
      <c r="K323" s="10" t="b">
        <f>Github!M$369</f>
        <v>1</v>
      </c>
      <c r="L323" s="10" t="b">
        <f>Github!N$369</f>
        <v>0</v>
      </c>
      <c r="M323" s="10" t="str">
        <f>ROUND(Github!O$369, 2)&amp;"%"</f>
        <v>40.54%</v>
      </c>
      <c r="N323" s="10">
        <f>Github!P$369</f>
        <v>149927</v>
      </c>
      <c r="O323" s="10">
        <f>Github!Q$369</f>
        <v>369854</v>
      </c>
    </row>
    <row r="324">
      <c r="A324" s="10">
        <f>Github!J$461</f>
        <v>460</v>
      </c>
      <c r="B324" s="11" t="str">
        <f>HYPERLINK(CONCAT("http://leetcode.com/problems/",Github!C$461), Github!B$461)</f>
        <v>LFU Cache</v>
      </c>
      <c r="C324" s="10">
        <f>Github!F$461</f>
        <v>3161</v>
      </c>
      <c r="D324" s="10">
        <f>Github!G$461</f>
        <v>206</v>
      </c>
      <c r="E324" s="10">
        <f>Github!F$461+Github!G$461</f>
        <v>3367</v>
      </c>
      <c r="F324" s="12">
        <f t="shared" si="1"/>
        <v>15.34</v>
      </c>
      <c r="G324" s="10" t="str">
        <f>Github!H$461</f>
        <v>Algorithms</v>
      </c>
      <c r="H324" s="13" t="str">
        <f>SUBSTITUTE(Github!L$461, ";", ", ")</f>
        <v>Hash Table, Linked List, Design, Doubly-Linked List, </v>
      </c>
      <c r="I324" s="10" t="str">
        <f>Github!E$461</f>
        <v>Hard</v>
      </c>
      <c r="J324" s="10" t="str">
        <f>IF(TRIM(Github!D$461)="TRUE","FALSE","TRUE")</f>
        <v>TRUE</v>
      </c>
      <c r="K324" s="10" t="b">
        <f>Github!M$461</f>
        <v>0</v>
      </c>
      <c r="L324" s="10" t="b">
        <f>Github!N$461</f>
        <v>0</v>
      </c>
      <c r="M324" s="10" t="str">
        <f>ROUND(Github!O$461, 2)&amp;"%"</f>
        <v>39.38%</v>
      </c>
      <c r="N324" s="10">
        <f>Github!P$461</f>
        <v>151463</v>
      </c>
      <c r="O324" s="10">
        <f>Github!Q$461</f>
        <v>384605</v>
      </c>
    </row>
    <row r="325">
      <c r="A325" s="10">
        <f>Github!J$988</f>
        <v>987</v>
      </c>
      <c r="B325" s="11" t="str">
        <f>HYPERLINK(CONCAT("http://leetcode.com/problems/",Github!C$988), Github!B$988)</f>
        <v>Vertical Order Traversal of a Binary Tree</v>
      </c>
      <c r="C325" s="10">
        <f>Github!F$988</f>
        <v>3173</v>
      </c>
      <c r="D325" s="10">
        <f>Github!G$988</f>
        <v>3309</v>
      </c>
      <c r="E325" s="10">
        <f>Github!F$988+Github!G$988</f>
        <v>6482</v>
      </c>
      <c r="F325" s="12">
        <f t="shared" si="1"/>
        <v>0.96</v>
      </c>
      <c r="G325" s="10" t="str">
        <f>Github!H$988</f>
        <v>Algorithms</v>
      </c>
      <c r="H325" s="13" t="str">
        <f>SUBSTITUTE(Github!L$988, ";", ", ")</f>
        <v>Hash Table, Tree, Depth-First Search, Breadth-First Search, Binary Tree, </v>
      </c>
      <c r="I325" s="10" t="str">
        <f>Github!E$988</f>
        <v>Hard</v>
      </c>
      <c r="J325" s="10" t="str">
        <f>IF(TRIM(Github!D$988)="TRUE","FALSE","TRUE")</f>
        <v>TRUE</v>
      </c>
      <c r="K325" s="10" t="b">
        <f>Github!M$988</f>
        <v>1</v>
      </c>
      <c r="L325" s="10" t="b">
        <f>Github!N$988</f>
        <v>1</v>
      </c>
      <c r="M325" s="10" t="str">
        <f>ROUND(Github!O$988, 2)&amp;"%"</f>
        <v>41.52%</v>
      </c>
      <c r="N325" s="10">
        <f>Github!P$988</f>
        <v>218649</v>
      </c>
      <c r="O325" s="10">
        <f>Github!Q$988</f>
        <v>526598</v>
      </c>
    </row>
    <row r="326">
      <c r="A326" s="10">
        <f>Github!J$108</f>
        <v>107</v>
      </c>
      <c r="B326" s="11" t="str">
        <f>HYPERLINK(CONCAT("http://leetcode.com/problems/",Github!C$108), Github!B$108)</f>
        <v>Binary Tree Level Order Traversal II</v>
      </c>
      <c r="C326" s="10">
        <f>Github!F$108</f>
        <v>3156</v>
      </c>
      <c r="D326" s="10">
        <f>Github!G$108</f>
        <v>277</v>
      </c>
      <c r="E326" s="10">
        <f>Github!F$108+Github!G$108</f>
        <v>3433</v>
      </c>
      <c r="F326" s="12">
        <f t="shared" si="1"/>
        <v>11.39</v>
      </c>
      <c r="G326" s="10" t="str">
        <f>Github!H$108</f>
        <v>Algorithms</v>
      </c>
      <c r="H326" s="13" t="str">
        <f>SUBSTITUTE(Github!L$108, ";", ", ")</f>
        <v>Tree, Breadth-First Search, Binary Tree, </v>
      </c>
      <c r="I326" s="10" t="str">
        <f>Github!E$108</f>
        <v>Medium</v>
      </c>
      <c r="J326" s="10" t="str">
        <f>IF(TRIM(Github!D$108)="TRUE","FALSE","TRUE")</f>
        <v>TRUE</v>
      </c>
      <c r="K326" s="10" t="b">
        <f>Github!M$108</f>
        <v>1</v>
      </c>
      <c r="L326" s="10" t="b">
        <f>Github!N$108</f>
        <v>0</v>
      </c>
      <c r="M326" s="10" t="str">
        <f>ROUND(Github!O$108, 2)&amp;"%"</f>
        <v>58.66%</v>
      </c>
      <c r="N326" s="10">
        <f>Github!P$108</f>
        <v>495847</v>
      </c>
      <c r="O326" s="10">
        <f>Github!Q$108</f>
        <v>845296</v>
      </c>
    </row>
    <row r="327">
      <c r="A327" s="10">
        <f>Github!J$1236</f>
        <v>1235</v>
      </c>
      <c r="B327" s="11" t="str">
        <f>HYPERLINK(CONCAT("http://leetcode.com/problems/",Github!C$1236), Github!B$1236)</f>
        <v>Maximum Profit in Job Scheduling</v>
      </c>
      <c r="C327" s="10">
        <f>Github!F$1236</f>
        <v>3143</v>
      </c>
      <c r="D327" s="10">
        <f>Github!G$1236</f>
        <v>34</v>
      </c>
      <c r="E327" s="10">
        <f>Github!F$1236+Github!G$1236</f>
        <v>3177</v>
      </c>
      <c r="F327" s="12">
        <f t="shared" si="1"/>
        <v>92.44</v>
      </c>
      <c r="G327" s="10" t="str">
        <f>Github!H$1236</f>
        <v>Algorithms</v>
      </c>
      <c r="H327" s="13" t="str">
        <f>SUBSTITUTE(Github!L$1236, ";", ", ")</f>
        <v>Array, Binary Search, Dynamic Programming, Sorting, </v>
      </c>
      <c r="I327" s="10" t="str">
        <f>Github!E$1236</f>
        <v>Hard</v>
      </c>
      <c r="J327" s="10" t="str">
        <f>IF(TRIM(Github!D$1236)="TRUE","FALSE","TRUE")</f>
        <v>TRUE</v>
      </c>
      <c r="K327" s="10" t="b">
        <f>Github!M$1236</f>
        <v>1</v>
      </c>
      <c r="L327" s="10" t="b">
        <f>Github!N$1236</f>
        <v>0</v>
      </c>
      <c r="M327" s="10" t="str">
        <f>ROUND(Github!O$1236, 2)&amp;"%"</f>
        <v>50.89%</v>
      </c>
      <c r="N327" s="10">
        <f>Github!P$1236</f>
        <v>111765</v>
      </c>
      <c r="O327" s="10">
        <f>Github!Q$1236</f>
        <v>219641</v>
      </c>
    </row>
    <row r="328">
      <c r="A328" s="10">
        <f>Github!J$232</f>
        <v>231</v>
      </c>
      <c r="B328" s="11" t="str">
        <f>HYPERLINK(CONCAT("http://leetcode.com/problems/",Github!C$232), Github!B$232)</f>
        <v>Power of Two</v>
      </c>
      <c r="C328" s="10">
        <f>Github!F$232</f>
        <v>3162</v>
      </c>
      <c r="D328" s="10">
        <f>Github!G$232</f>
        <v>288</v>
      </c>
      <c r="E328" s="10">
        <f>Github!F$232+Github!G$232</f>
        <v>3450</v>
      </c>
      <c r="F328" s="12">
        <f t="shared" si="1"/>
        <v>10.98</v>
      </c>
      <c r="G328" s="10" t="str">
        <f>Github!H$232</f>
        <v>Algorithms</v>
      </c>
      <c r="H328" s="13" t="str">
        <f>SUBSTITUTE(Github!L$232, ";", ", ")</f>
        <v>Math, Bit Manipulation, Recursion, </v>
      </c>
      <c r="I328" s="10" t="str">
        <f>Github!E$232</f>
        <v>Easy</v>
      </c>
      <c r="J328" s="10" t="str">
        <f>IF(TRIM(Github!D$232)="TRUE","FALSE","TRUE")</f>
        <v>TRUE</v>
      </c>
      <c r="K328" s="10" t="b">
        <f>Github!M$232</f>
        <v>1</v>
      </c>
      <c r="L328" s="10" t="b">
        <f>Github!N$232</f>
        <v>0</v>
      </c>
      <c r="M328" s="10" t="str">
        <f>ROUND(Github!O$232, 2)&amp;"%"</f>
        <v>44.99%</v>
      </c>
      <c r="N328" s="10">
        <f>Github!P$232</f>
        <v>615941</v>
      </c>
      <c r="O328" s="10">
        <f>Github!Q$232</f>
        <v>1368970</v>
      </c>
    </row>
    <row r="329">
      <c r="A329" s="10">
        <f>Github!J$1048</f>
        <v>1047</v>
      </c>
      <c r="B329" s="11" t="str">
        <f>HYPERLINK(CONCAT("http://leetcode.com/problems/",Github!C$1048), Github!B$1048)</f>
        <v>Remove All Adjacent Duplicates In String</v>
      </c>
      <c r="C329" s="10">
        <f>Github!F$1048</f>
        <v>3135</v>
      </c>
      <c r="D329" s="10">
        <f>Github!G$1048</f>
        <v>153</v>
      </c>
      <c r="E329" s="10">
        <f>Github!F$1048+Github!G$1048</f>
        <v>3288</v>
      </c>
      <c r="F329" s="12">
        <f t="shared" si="1"/>
        <v>20.49</v>
      </c>
      <c r="G329" s="10" t="str">
        <f>Github!H$1048</f>
        <v>Algorithms</v>
      </c>
      <c r="H329" s="13" t="str">
        <f>SUBSTITUTE(Github!L$1048, ";", ", ")</f>
        <v>String, Stack, </v>
      </c>
      <c r="I329" s="10" t="str">
        <f>Github!E$1048</f>
        <v>Easy</v>
      </c>
      <c r="J329" s="10" t="str">
        <f>IF(TRIM(Github!D$1048)="TRUE","FALSE","TRUE")</f>
        <v>TRUE</v>
      </c>
      <c r="K329" s="10" t="b">
        <f>Github!M$1048</f>
        <v>1</v>
      </c>
      <c r="L329" s="10" t="b">
        <f>Github!N$1048</f>
        <v>0</v>
      </c>
      <c r="M329" s="10" t="str">
        <f>ROUND(Github!O$1048, 2)&amp;"%"</f>
        <v>70.95%</v>
      </c>
      <c r="N329" s="10">
        <f>Github!P$1048</f>
        <v>281168</v>
      </c>
      <c r="O329" s="10">
        <f>Github!Q$1048</f>
        <v>396266</v>
      </c>
    </row>
    <row r="330">
      <c r="A330" s="10">
        <f>Github!J$1095</f>
        <v>1094</v>
      </c>
      <c r="B330" s="11" t="str">
        <f>HYPERLINK(CONCAT("http://leetcode.com/problems/",Github!C$1095), Github!B$1095)</f>
        <v>Car Pooling</v>
      </c>
      <c r="C330" s="10">
        <f>Github!F$1095</f>
        <v>3118</v>
      </c>
      <c r="D330" s="10">
        <f>Github!G$1095</f>
        <v>67</v>
      </c>
      <c r="E330" s="10">
        <f>Github!F$1095+Github!G$1095</f>
        <v>3185</v>
      </c>
      <c r="F330" s="12">
        <f t="shared" si="1"/>
        <v>46.54</v>
      </c>
      <c r="G330" s="10" t="str">
        <f>Github!H$1095</f>
        <v>Algorithms</v>
      </c>
      <c r="H330" s="13" t="str">
        <f>SUBSTITUTE(Github!L$1095, ";", ", ")</f>
        <v>Array, Sorting, Heap (Priority Queue), Simulation, Prefix Sum, </v>
      </c>
      <c r="I330" s="10" t="str">
        <f>Github!E$1095</f>
        <v>Medium</v>
      </c>
      <c r="J330" s="10" t="str">
        <f>IF(TRIM(Github!D$1095)="TRUE","FALSE","TRUE")</f>
        <v>TRUE</v>
      </c>
      <c r="K330" s="10" t="b">
        <f>Github!M$1095</f>
        <v>1</v>
      </c>
      <c r="L330" s="10" t="b">
        <f>Github!N$1095</f>
        <v>0</v>
      </c>
      <c r="M330" s="10" t="str">
        <f>ROUND(Github!O$1095, 2)&amp;"%"</f>
        <v>58.21%</v>
      </c>
      <c r="N330" s="10">
        <f>Github!P$1095</f>
        <v>151545</v>
      </c>
      <c r="O330" s="10">
        <f>Github!Q$1095</f>
        <v>260364</v>
      </c>
    </row>
    <row r="331">
      <c r="A331" s="10">
        <f>Github!J$1047</f>
        <v>1046</v>
      </c>
      <c r="B331" s="11" t="str">
        <f>HYPERLINK(CONCAT("http://leetcode.com/problems/",Github!C$1047), Github!B$1047)</f>
        <v>Last Stone Weight</v>
      </c>
      <c r="C331" s="10">
        <f>Github!F$1047</f>
        <v>3105</v>
      </c>
      <c r="D331" s="10">
        <f>Github!G$1047</f>
        <v>61</v>
      </c>
      <c r="E331" s="10">
        <f>Github!F$1047+Github!G$1047</f>
        <v>3166</v>
      </c>
      <c r="F331" s="12">
        <f t="shared" si="1"/>
        <v>50.9</v>
      </c>
      <c r="G331" s="10" t="str">
        <f>Github!H$1047</f>
        <v>Algorithms</v>
      </c>
      <c r="H331" s="13" t="str">
        <f>SUBSTITUTE(Github!L$1047, ";", ", ")</f>
        <v>Array, Heap (Priority Queue), </v>
      </c>
      <c r="I331" s="10" t="str">
        <f>Github!E$1047</f>
        <v>Easy</v>
      </c>
      <c r="J331" s="10" t="str">
        <f>IF(TRIM(Github!D$1047)="TRUE","FALSE","TRUE")</f>
        <v>TRUE</v>
      </c>
      <c r="K331" s="10" t="b">
        <f>Github!M$1047</f>
        <v>1</v>
      </c>
      <c r="L331" s="10" t="b">
        <f>Github!N$1047</f>
        <v>0</v>
      </c>
      <c r="M331" s="10" t="str">
        <f>ROUND(Github!O$1047, 2)&amp;"%"</f>
        <v>64.37%</v>
      </c>
      <c r="N331" s="10">
        <f>Github!P$1047</f>
        <v>280162</v>
      </c>
      <c r="O331" s="10">
        <f>Github!Q$1047</f>
        <v>435232</v>
      </c>
    </row>
    <row r="332">
      <c r="A332" s="10">
        <f>Github!J$725</f>
        <v>724</v>
      </c>
      <c r="B332" s="11" t="str">
        <f>HYPERLINK(CONCAT("http://leetcode.com/problems/",Github!C$725), Github!B$725)</f>
        <v>Find Pivot Index</v>
      </c>
      <c r="C332" s="10">
        <f>Github!F$725</f>
        <v>3110</v>
      </c>
      <c r="D332" s="10">
        <f>Github!G$725</f>
        <v>368</v>
      </c>
      <c r="E332" s="10">
        <f>Github!F$725+Github!G$725</f>
        <v>3478</v>
      </c>
      <c r="F332" s="12">
        <f t="shared" si="1"/>
        <v>8.45</v>
      </c>
      <c r="G332" s="10" t="str">
        <f>Github!H$725</f>
        <v>Algorithms</v>
      </c>
      <c r="H332" s="13" t="str">
        <f>SUBSTITUTE(Github!L$725, ";", ", ")</f>
        <v>Array, Prefix Sum, </v>
      </c>
      <c r="I332" s="10" t="str">
        <f>Github!E$725</f>
        <v>Easy</v>
      </c>
      <c r="J332" s="10" t="str">
        <f>IF(TRIM(Github!D$725)="TRUE","FALSE","TRUE")</f>
        <v>TRUE</v>
      </c>
      <c r="K332" s="10" t="b">
        <f>Github!M$725</f>
        <v>1</v>
      </c>
      <c r="L332" s="10" t="b">
        <f>Github!N$725</f>
        <v>0</v>
      </c>
      <c r="M332" s="10" t="str">
        <f>ROUND(Github!O$725, 2)&amp;"%"</f>
        <v>51.57%</v>
      </c>
      <c r="N332" s="10">
        <f>Github!P$725</f>
        <v>304370</v>
      </c>
      <c r="O332" s="10">
        <f>Github!Q$725</f>
        <v>590216</v>
      </c>
    </row>
    <row r="333">
      <c r="A333" s="10">
        <f>Github!J$1011</f>
        <v>1010</v>
      </c>
      <c r="B333" s="11" t="str">
        <f>HYPERLINK(CONCAT("http://leetcode.com/problems/",Github!C$1011), Github!B$1011)</f>
        <v>Pairs of Songs With Total Durations Divisible by 60</v>
      </c>
      <c r="C333" s="10">
        <f>Github!F$1011</f>
        <v>3094</v>
      </c>
      <c r="D333" s="10">
        <f>Github!G$1011</f>
        <v>118</v>
      </c>
      <c r="E333" s="10">
        <f>Github!F$1011+Github!G$1011</f>
        <v>3212</v>
      </c>
      <c r="F333" s="12">
        <f t="shared" si="1"/>
        <v>26.22</v>
      </c>
      <c r="G333" s="10" t="str">
        <f>Github!H$1011</f>
        <v>Algorithms</v>
      </c>
      <c r="H333" s="13" t="str">
        <f>SUBSTITUTE(Github!L$1011, ";", ", ")</f>
        <v>Array, Hash Table, Counting, </v>
      </c>
      <c r="I333" s="10" t="str">
        <f>Github!E$1011</f>
        <v>Medium</v>
      </c>
      <c r="J333" s="10" t="str">
        <f>IF(TRIM(Github!D$1011)="TRUE","FALSE","TRUE")</f>
        <v>TRUE</v>
      </c>
      <c r="K333" s="10" t="b">
        <f>Github!M$1011</f>
        <v>1</v>
      </c>
      <c r="L333" s="10" t="b">
        <f>Github!N$1011</f>
        <v>0</v>
      </c>
      <c r="M333" s="10" t="str">
        <f>ROUND(Github!O$1011, 2)&amp;"%"</f>
        <v>53.62%</v>
      </c>
      <c r="N333" s="10">
        <f>Github!P$1011</f>
        <v>190792</v>
      </c>
      <c r="O333" s="10">
        <f>Github!Q$1011</f>
        <v>355804</v>
      </c>
    </row>
    <row r="334">
      <c r="A334" s="10">
        <f>Github!J$342</f>
        <v>341</v>
      </c>
      <c r="B334" s="11" t="str">
        <f>HYPERLINK(CONCAT("http://leetcode.com/problems/",Github!C$342), Github!B$342)</f>
        <v>Flatten Nested List Iterator</v>
      </c>
      <c r="C334" s="10">
        <f>Github!F$342</f>
        <v>3077</v>
      </c>
      <c r="D334" s="10">
        <f>Github!G$342</f>
        <v>1079</v>
      </c>
      <c r="E334" s="10">
        <f>Github!F$342+Github!G$342</f>
        <v>4156</v>
      </c>
      <c r="F334" s="12">
        <f t="shared" si="1"/>
        <v>2.85</v>
      </c>
      <c r="G334" s="10" t="str">
        <f>Github!H$342</f>
        <v>Algorithms</v>
      </c>
      <c r="H334" s="13" t="str">
        <f>SUBSTITUTE(Github!L$342, ";", ", ")</f>
        <v>Stack, Tree, Depth-First Search, Design, Queue, Iterator, </v>
      </c>
      <c r="I334" s="10" t="str">
        <f>Github!E$342</f>
        <v>Medium</v>
      </c>
      <c r="J334" s="10" t="str">
        <f>IF(TRIM(Github!D$342)="TRUE","FALSE","TRUE")</f>
        <v>TRUE</v>
      </c>
      <c r="K334" s="10" t="b">
        <f>Github!M$342</f>
        <v>1</v>
      </c>
      <c r="L334" s="10" t="b">
        <f>Github!N$342</f>
        <v>0</v>
      </c>
      <c r="M334" s="10" t="str">
        <f>ROUND(Github!O$342, 2)&amp;"%"</f>
        <v>58.74%</v>
      </c>
      <c r="N334" s="10">
        <f>Github!P$342</f>
        <v>286235</v>
      </c>
      <c r="O334" s="10">
        <f>Github!Q$342</f>
        <v>487333</v>
      </c>
    </row>
    <row r="335">
      <c r="A335" s="10">
        <f>Github!J$688</f>
        <v>687</v>
      </c>
      <c r="B335" s="11" t="str">
        <f>HYPERLINK(CONCAT("http://leetcode.com/problems/",Github!C$688), Github!B$688)</f>
        <v>Longest Univalue Path</v>
      </c>
      <c r="C335" s="10">
        <f>Github!F$688</f>
        <v>3077</v>
      </c>
      <c r="D335" s="10">
        <f>Github!G$688</f>
        <v>608</v>
      </c>
      <c r="E335" s="10">
        <f>Github!F$688+Github!G$688</f>
        <v>3685</v>
      </c>
      <c r="F335" s="12">
        <f t="shared" si="1"/>
        <v>5.06</v>
      </c>
      <c r="G335" s="10" t="str">
        <f>Github!H$688</f>
        <v>Algorithms</v>
      </c>
      <c r="H335" s="13" t="str">
        <f>SUBSTITUTE(Github!L$688, ";", ", ")</f>
        <v>Tree, Depth-First Search, Binary Tree, </v>
      </c>
      <c r="I335" s="10" t="str">
        <f>Github!E$688</f>
        <v>Medium</v>
      </c>
      <c r="J335" s="10" t="str">
        <f>IF(TRIM(Github!D$688)="TRUE","FALSE","TRUE")</f>
        <v>TRUE</v>
      </c>
      <c r="K335" s="10" t="b">
        <f>Github!M$688</f>
        <v>1</v>
      </c>
      <c r="L335" s="10" t="b">
        <f>Github!N$688</f>
        <v>0</v>
      </c>
      <c r="M335" s="10" t="str">
        <f>ROUND(Github!O$688, 2)&amp;"%"</f>
        <v>39.36%</v>
      </c>
      <c r="N335" s="10">
        <f>Github!P$688</f>
        <v>140773</v>
      </c>
      <c r="O335" s="10">
        <f>Github!Q$688</f>
        <v>357619</v>
      </c>
    </row>
    <row r="336">
      <c r="A336" s="10">
        <f>Github!J$13</f>
        <v>12</v>
      </c>
      <c r="B336" s="11" t="str">
        <f>HYPERLINK(CONCAT("http://leetcode.com/problems/",Github!C$13), Github!B$13)</f>
        <v>Integer to Roman</v>
      </c>
      <c r="C336" s="10">
        <f>Github!F$13</f>
        <v>3094</v>
      </c>
      <c r="D336" s="10">
        <f>Github!G$13</f>
        <v>3983</v>
      </c>
      <c r="E336" s="10">
        <f>Github!F$13+Github!G$13</f>
        <v>7077</v>
      </c>
      <c r="F336" s="12">
        <f t="shared" si="1"/>
        <v>0.78</v>
      </c>
      <c r="G336" s="10" t="str">
        <f>Github!H$13</f>
        <v>Algorithms</v>
      </c>
      <c r="H336" s="13" t="str">
        <f>SUBSTITUTE(Github!L$13, ";", ", ")</f>
        <v>Hash Table, Math, String, </v>
      </c>
      <c r="I336" s="10" t="str">
        <f>Github!E$13</f>
        <v>Medium</v>
      </c>
      <c r="J336" s="10" t="str">
        <f>IF(TRIM(Github!D$13)="TRUE","FALSE","TRUE")</f>
        <v>TRUE</v>
      </c>
      <c r="K336" s="10" t="b">
        <f>Github!M$13</f>
        <v>1</v>
      </c>
      <c r="L336" s="10" t="b">
        <f>Github!N$13</f>
        <v>0</v>
      </c>
      <c r="M336" s="10" t="str">
        <f>ROUND(Github!O$13, 2)&amp;"%"</f>
        <v>59.41%</v>
      </c>
      <c r="N336" s="10">
        <f>Github!P$13</f>
        <v>682504</v>
      </c>
      <c r="O336" s="10">
        <f>Github!Q$13</f>
        <v>1148752</v>
      </c>
    </row>
    <row r="337">
      <c r="A337" s="10">
        <f>Github!J$1366</f>
        <v>1365</v>
      </c>
      <c r="B337" s="11" t="str">
        <f>HYPERLINK(CONCAT("http://leetcode.com/problems/",Github!C$1366), Github!B$1366)</f>
        <v>How Many Numbers Are Smaller Than the Current Number</v>
      </c>
      <c r="C337" s="10">
        <f>Github!F$1366</f>
        <v>3080</v>
      </c>
      <c r="D337" s="10">
        <f>Github!G$1366</f>
        <v>63</v>
      </c>
      <c r="E337" s="10">
        <f>Github!F$1366+Github!G$1366</f>
        <v>3143</v>
      </c>
      <c r="F337" s="12">
        <f t="shared" si="1"/>
        <v>48.89</v>
      </c>
      <c r="G337" s="10" t="str">
        <f>Github!H$1366</f>
        <v>Algorithms</v>
      </c>
      <c r="H337" s="13" t="str">
        <f>SUBSTITUTE(Github!L$1366, ";", ", ")</f>
        <v>Array, Hash Table, Sorting, Counting, </v>
      </c>
      <c r="I337" s="10" t="str">
        <f>Github!E$1366</f>
        <v>Easy</v>
      </c>
      <c r="J337" s="10" t="str">
        <f>IF(TRIM(Github!D$1366)="TRUE","FALSE","TRUE")</f>
        <v>TRUE</v>
      </c>
      <c r="K337" s="10" t="b">
        <f>Github!M$1366</f>
        <v>0</v>
      </c>
      <c r="L337" s="10" t="b">
        <f>Github!N$1366</f>
        <v>0</v>
      </c>
      <c r="M337" s="10" t="str">
        <f>ROUND(Github!O$1366, 2)&amp;"%"</f>
        <v>86.34%</v>
      </c>
      <c r="N337" s="10">
        <f>Github!P$1366</f>
        <v>303539</v>
      </c>
      <c r="O337" s="10">
        <f>Github!Q$1366</f>
        <v>351549</v>
      </c>
    </row>
    <row r="338">
      <c r="A338" s="10">
        <f>Github!J$919</f>
        <v>918</v>
      </c>
      <c r="B338" s="11" t="str">
        <f>HYPERLINK(CONCAT("http://leetcode.com/problems/",Github!C$919), Github!B$919)</f>
        <v>Maximum Sum Circular Subarray</v>
      </c>
      <c r="C338" s="10">
        <f>Github!F$919</f>
        <v>3084</v>
      </c>
      <c r="D338" s="10">
        <f>Github!G$919</f>
        <v>140</v>
      </c>
      <c r="E338" s="10">
        <f>Github!F$919+Github!G$919</f>
        <v>3224</v>
      </c>
      <c r="F338" s="12">
        <f t="shared" si="1"/>
        <v>22.03</v>
      </c>
      <c r="G338" s="10" t="str">
        <f>Github!H$919</f>
        <v>Algorithms</v>
      </c>
      <c r="H338" s="13" t="str">
        <f>SUBSTITUTE(Github!L$919, ";", ", ")</f>
        <v>Array, Divide and Conquer, Dynamic Programming, Queue, Monotonic Queue, </v>
      </c>
      <c r="I338" s="10" t="str">
        <f>Github!E$919</f>
        <v>Medium</v>
      </c>
      <c r="J338" s="10" t="str">
        <f>IF(TRIM(Github!D$919)="TRUE","FALSE","TRUE")</f>
        <v>TRUE</v>
      </c>
      <c r="K338" s="10" t="b">
        <f>Github!M$919</f>
        <v>1</v>
      </c>
      <c r="L338" s="10" t="b">
        <f>Github!N$919</f>
        <v>0</v>
      </c>
      <c r="M338" s="10" t="str">
        <f>ROUND(Github!O$919, 2)&amp;"%"</f>
        <v>37.15%</v>
      </c>
      <c r="N338" s="10">
        <f>Github!P$919</f>
        <v>115138</v>
      </c>
      <c r="O338" s="10">
        <f>Github!Q$919</f>
        <v>309935</v>
      </c>
    </row>
    <row r="339">
      <c r="A339" s="10">
        <f>Github!J$1131</f>
        <v>1130</v>
      </c>
      <c r="B339" s="11" t="str">
        <f>HYPERLINK(CONCAT("http://leetcode.com/problems/",Github!C$1131), Github!B$1131)</f>
        <v>Minimum Cost Tree From Leaf Values</v>
      </c>
      <c r="C339" s="10">
        <f>Github!F$1131</f>
        <v>3043</v>
      </c>
      <c r="D339" s="10">
        <f>Github!G$1131</f>
        <v>214</v>
      </c>
      <c r="E339" s="10">
        <f>Github!F$1131+Github!G$1131</f>
        <v>3257</v>
      </c>
      <c r="F339" s="12">
        <f t="shared" si="1"/>
        <v>14.22</v>
      </c>
      <c r="G339" s="10" t="str">
        <f>Github!H$1131</f>
        <v>Algorithms</v>
      </c>
      <c r="H339" s="13" t="str">
        <f>SUBSTITUTE(Github!L$1131, ";", ", ")</f>
        <v>Dynamic Programming, Stack, Greedy, Monotonic Stack, </v>
      </c>
      <c r="I339" s="10" t="str">
        <f>Github!E$1131</f>
        <v>Medium</v>
      </c>
      <c r="J339" s="10" t="str">
        <f>IF(TRIM(Github!D$1131)="TRUE","FALSE","TRUE")</f>
        <v>TRUE</v>
      </c>
      <c r="K339" s="10" t="b">
        <f>Github!M$1131</f>
        <v>0</v>
      </c>
      <c r="L339" s="10" t="b">
        <f>Github!N$1131</f>
        <v>0</v>
      </c>
      <c r="M339" s="10" t="str">
        <f>ROUND(Github!O$1131, 2)&amp;"%"</f>
        <v>68.47%</v>
      </c>
      <c r="N339" s="10">
        <f>Github!P$1131</f>
        <v>70975</v>
      </c>
      <c r="O339" s="10">
        <f>Github!Q$1131</f>
        <v>103665</v>
      </c>
    </row>
    <row r="340">
      <c r="A340" s="10">
        <f>Github!J$152</f>
        <v>151</v>
      </c>
      <c r="B340" s="11" t="str">
        <f>HYPERLINK(CONCAT("http://leetcode.com/problems/",Github!C$152), Github!B$152)</f>
        <v>Reverse Words in a String</v>
      </c>
      <c r="C340" s="10">
        <f>Github!F$152</f>
        <v>3044</v>
      </c>
      <c r="D340" s="10">
        <f>Github!G$152</f>
        <v>3865</v>
      </c>
      <c r="E340" s="10">
        <f>Github!F$152+Github!G$152</f>
        <v>6909</v>
      </c>
      <c r="F340" s="12">
        <f t="shared" si="1"/>
        <v>0.79</v>
      </c>
      <c r="G340" s="10" t="str">
        <f>Github!H$152</f>
        <v>Algorithms</v>
      </c>
      <c r="H340" s="13" t="str">
        <f>SUBSTITUTE(Github!L$152, ";", ", ")</f>
        <v>Two Pointers, String, </v>
      </c>
      <c r="I340" s="10" t="str">
        <f>Github!E$152</f>
        <v>Medium</v>
      </c>
      <c r="J340" s="10" t="str">
        <f>IF(TRIM(Github!D$152)="TRUE","FALSE","TRUE")</f>
        <v>TRUE</v>
      </c>
      <c r="K340" s="10" t="b">
        <f>Github!M$152</f>
        <v>1</v>
      </c>
      <c r="L340" s="10" t="b">
        <f>Github!N$152</f>
        <v>0</v>
      </c>
      <c r="M340" s="10" t="str">
        <f>ROUND(Github!O$152, 2)&amp;"%"</f>
        <v>28.46%</v>
      </c>
      <c r="N340" s="10">
        <f>Github!P$152</f>
        <v>695054</v>
      </c>
      <c r="O340" s="10">
        <f>Github!Q$152</f>
        <v>2442010</v>
      </c>
    </row>
    <row r="341">
      <c r="A341" s="10">
        <f>Github!J$462</f>
        <v>461</v>
      </c>
      <c r="B341" s="11" t="str">
        <f>HYPERLINK(CONCAT("http://leetcode.com/problems/",Github!C$462), Github!B$462)</f>
        <v>Hamming Distance</v>
      </c>
      <c r="C341" s="10">
        <f>Github!F$462</f>
        <v>3028</v>
      </c>
      <c r="D341" s="10">
        <f>Github!G$462</f>
        <v>197</v>
      </c>
      <c r="E341" s="10">
        <f>Github!F$462+Github!G$462</f>
        <v>3225</v>
      </c>
      <c r="F341" s="12">
        <f t="shared" si="1"/>
        <v>15.37</v>
      </c>
      <c r="G341" s="10" t="str">
        <f>Github!H$462</f>
        <v>Algorithms</v>
      </c>
      <c r="H341" s="13" t="str">
        <f>SUBSTITUTE(Github!L$462, ";", ", ")</f>
        <v>Bit Manipulation, </v>
      </c>
      <c r="I341" s="10" t="str">
        <f>Github!E$462</f>
        <v>Easy</v>
      </c>
      <c r="J341" s="10" t="str">
        <f>IF(TRIM(Github!D$462)="TRUE","FALSE","TRUE")</f>
        <v>TRUE</v>
      </c>
      <c r="K341" s="10" t="b">
        <f>Github!M$462</f>
        <v>1</v>
      </c>
      <c r="L341" s="10" t="b">
        <f>Github!N$462</f>
        <v>0</v>
      </c>
      <c r="M341" s="10" t="str">
        <f>ROUND(Github!O$462, 2)&amp;"%"</f>
        <v>74.49%</v>
      </c>
      <c r="N341" s="10">
        <f>Github!P$462</f>
        <v>471575</v>
      </c>
      <c r="O341" s="10">
        <f>Github!Q$462</f>
        <v>633038</v>
      </c>
    </row>
    <row r="342">
      <c r="A342" s="10">
        <f>Github!J$355</f>
        <v>354</v>
      </c>
      <c r="B342" s="11" t="str">
        <f>HYPERLINK(CONCAT("http://leetcode.com/problems/",Github!C$355), Github!B$355)</f>
        <v>Russian Doll Envelopes</v>
      </c>
      <c r="C342" s="10">
        <f>Github!F$355</f>
        <v>3006</v>
      </c>
      <c r="D342" s="10">
        <f>Github!G$355</f>
        <v>73</v>
      </c>
      <c r="E342" s="10">
        <f>Github!F$355+Github!G$355</f>
        <v>3079</v>
      </c>
      <c r="F342" s="12">
        <f t="shared" si="1"/>
        <v>41.18</v>
      </c>
      <c r="G342" s="10" t="str">
        <f>Github!H$355</f>
        <v>Algorithms</v>
      </c>
      <c r="H342" s="13" t="str">
        <f>SUBSTITUTE(Github!L$355, ";", ", ")</f>
        <v>Array, Binary Search, Dynamic Programming, Sorting, </v>
      </c>
      <c r="I342" s="10" t="str">
        <f>Github!E$355</f>
        <v>Hard</v>
      </c>
      <c r="J342" s="10" t="str">
        <f>IF(TRIM(Github!D$355)="TRUE","FALSE","TRUE")</f>
        <v>TRUE</v>
      </c>
      <c r="K342" s="10" t="b">
        <f>Github!M$355</f>
        <v>1</v>
      </c>
      <c r="L342" s="10" t="b">
        <f>Github!N$355</f>
        <v>0</v>
      </c>
      <c r="M342" s="10" t="str">
        <f>ROUND(Github!O$355, 2)&amp;"%"</f>
        <v>38.93%</v>
      </c>
      <c r="N342" s="10">
        <f>Github!P$355</f>
        <v>135311</v>
      </c>
      <c r="O342" s="10">
        <f>Github!Q$355</f>
        <v>347591</v>
      </c>
    </row>
    <row r="343">
      <c r="A343" s="10">
        <f>Github!J$374</f>
        <v>373</v>
      </c>
      <c r="B343" s="11" t="str">
        <f>HYPERLINK(CONCAT("http://leetcode.com/problems/",Github!C$374), Github!B$374)</f>
        <v>Find K Pairs with Smallest Sums</v>
      </c>
      <c r="C343" s="10">
        <f>Github!F$374</f>
        <v>3007</v>
      </c>
      <c r="D343" s="10">
        <f>Github!G$374</f>
        <v>186</v>
      </c>
      <c r="E343" s="10">
        <f>Github!F$374+Github!G$374</f>
        <v>3193</v>
      </c>
      <c r="F343" s="12">
        <f t="shared" si="1"/>
        <v>16.17</v>
      </c>
      <c r="G343" s="10" t="str">
        <f>Github!H$374</f>
        <v>Algorithms</v>
      </c>
      <c r="H343" s="13" t="str">
        <f>SUBSTITUTE(Github!L$374, ";", ", ")</f>
        <v>Array, Heap (Priority Queue), </v>
      </c>
      <c r="I343" s="10" t="str">
        <f>Github!E$374</f>
        <v>Medium</v>
      </c>
      <c r="J343" s="10" t="str">
        <f>IF(TRIM(Github!D$374)="TRUE","FALSE","TRUE")</f>
        <v>TRUE</v>
      </c>
      <c r="K343" s="10" t="b">
        <f>Github!M$374</f>
        <v>0</v>
      </c>
      <c r="L343" s="10" t="b">
        <f>Github!N$374</f>
        <v>0</v>
      </c>
      <c r="M343" s="10" t="str">
        <f>ROUND(Github!O$374, 2)&amp;"%"</f>
        <v>38.77%</v>
      </c>
      <c r="N343" s="10">
        <f>Github!P$374</f>
        <v>168305</v>
      </c>
      <c r="O343" s="10">
        <f>Github!Q$374</f>
        <v>434121</v>
      </c>
    </row>
    <row r="344">
      <c r="A344" s="10">
        <f>Github!J$882</f>
        <v>881</v>
      </c>
      <c r="B344" s="11" t="str">
        <f>HYPERLINK(CONCAT("http://leetcode.com/problems/",Github!C$882), Github!B$882)</f>
        <v>Boats to Save People</v>
      </c>
      <c r="C344" s="10">
        <f>Github!F$882</f>
        <v>2993</v>
      </c>
      <c r="D344" s="10">
        <f>Github!G$882</f>
        <v>79</v>
      </c>
      <c r="E344" s="10">
        <f>Github!F$882+Github!G$882</f>
        <v>3072</v>
      </c>
      <c r="F344" s="12">
        <f t="shared" si="1"/>
        <v>37.89</v>
      </c>
      <c r="G344" s="10" t="str">
        <f>Github!H$882</f>
        <v>Algorithms</v>
      </c>
      <c r="H344" s="13" t="str">
        <f>SUBSTITUTE(Github!L$882, ";", ", ")</f>
        <v>Array, Two Pointers, Greedy, Sorting, </v>
      </c>
      <c r="I344" s="10" t="str">
        <f>Github!E$882</f>
        <v>Medium</v>
      </c>
      <c r="J344" s="10" t="str">
        <f>IF(TRIM(Github!D$882)="TRUE","FALSE","TRUE")</f>
        <v>TRUE</v>
      </c>
      <c r="K344" s="10" t="b">
        <f>Github!M$882</f>
        <v>1</v>
      </c>
      <c r="L344" s="10" t="b">
        <f>Github!N$882</f>
        <v>0</v>
      </c>
      <c r="M344" s="10" t="str">
        <f>ROUND(Github!O$882, 2)&amp;"%"</f>
        <v>52.46%</v>
      </c>
      <c r="N344" s="10">
        <f>Github!P$882</f>
        <v>142877</v>
      </c>
      <c r="O344" s="10">
        <f>Github!Q$882</f>
        <v>272350</v>
      </c>
    </row>
    <row r="345">
      <c r="A345" s="10">
        <f>Github!J$842</f>
        <v>841</v>
      </c>
      <c r="B345" s="11" t="str">
        <f>HYPERLINK(CONCAT("http://leetcode.com/problems/",Github!C$842), Github!B$842)</f>
        <v>Keys and Rooms</v>
      </c>
      <c r="C345" s="10">
        <f>Github!F$842</f>
        <v>2982</v>
      </c>
      <c r="D345" s="10">
        <f>Github!G$842</f>
        <v>171</v>
      </c>
      <c r="E345" s="10">
        <f>Github!F$842+Github!G$842</f>
        <v>3153</v>
      </c>
      <c r="F345" s="12">
        <f t="shared" si="1"/>
        <v>17.44</v>
      </c>
      <c r="G345" s="10" t="str">
        <f>Github!H$842</f>
        <v>Algorithms</v>
      </c>
      <c r="H345" s="13" t="str">
        <f>SUBSTITUTE(Github!L$842, ";", ", ")</f>
        <v>Depth-First Search, Breadth-First Search, Graph, </v>
      </c>
      <c r="I345" s="10" t="str">
        <f>Github!E$842</f>
        <v>Medium</v>
      </c>
      <c r="J345" s="10" t="str">
        <f>IF(TRIM(Github!D$842)="TRUE","FALSE","TRUE")</f>
        <v>TRUE</v>
      </c>
      <c r="K345" s="10" t="b">
        <f>Github!M$842</f>
        <v>1</v>
      </c>
      <c r="L345" s="10" t="b">
        <f>Github!N$842</f>
        <v>0</v>
      </c>
      <c r="M345" s="10" t="str">
        <f>ROUND(Github!O$842, 2)&amp;"%"</f>
        <v>68.94%</v>
      </c>
      <c r="N345" s="10">
        <f>Github!P$842</f>
        <v>191229</v>
      </c>
      <c r="O345" s="10">
        <f>Github!Q$842</f>
        <v>277378</v>
      </c>
    </row>
    <row r="346">
      <c r="A346" s="10">
        <f>Github!J$191</f>
        <v>190</v>
      </c>
      <c r="B346" s="11" t="str">
        <f>HYPERLINK(CONCAT("http://leetcode.com/problems/",Github!C$191), Github!B$191)</f>
        <v>Reverse Bits</v>
      </c>
      <c r="C346" s="10">
        <f>Github!F$191</f>
        <v>2973</v>
      </c>
      <c r="D346" s="10">
        <f>Github!G$191</f>
        <v>792</v>
      </c>
      <c r="E346" s="10">
        <f>Github!F$191+Github!G$191</f>
        <v>3765</v>
      </c>
      <c r="F346" s="12">
        <f t="shared" si="1"/>
        <v>3.75</v>
      </c>
      <c r="G346" s="10" t="str">
        <f>Github!H$191</f>
        <v>Algorithms</v>
      </c>
      <c r="H346" s="13" t="str">
        <f>SUBSTITUTE(Github!L$191, ";", ", ")</f>
        <v>Divide and Conquer, Bit Manipulation, </v>
      </c>
      <c r="I346" s="10" t="str">
        <f>Github!E$191</f>
        <v>Easy</v>
      </c>
      <c r="J346" s="10" t="str">
        <f>IF(TRIM(Github!D$191)="TRUE","FALSE","TRUE")</f>
        <v>TRUE</v>
      </c>
      <c r="K346" s="10" t="b">
        <f>Github!M$191</f>
        <v>1</v>
      </c>
      <c r="L346" s="10" t="b">
        <f>Github!N$191</f>
        <v>0</v>
      </c>
      <c r="M346" s="10" t="str">
        <f>ROUND(Github!O$191, 2)&amp;"%"</f>
        <v>48.85%</v>
      </c>
      <c r="N346" s="10">
        <f>Github!P$191</f>
        <v>464389</v>
      </c>
      <c r="O346" s="10">
        <f>Github!Q$191</f>
        <v>950688</v>
      </c>
    </row>
    <row r="347">
      <c r="A347" s="10">
        <f>Github!J$192</f>
        <v>191</v>
      </c>
      <c r="B347" s="11" t="str">
        <f>HYPERLINK(CONCAT("http://leetcode.com/problems/",Github!C$192), Github!B$192)</f>
        <v>Number of 1 Bits</v>
      </c>
      <c r="C347" s="10">
        <f>Github!F$192</f>
        <v>2982</v>
      </c>
      <c r="D347" s="10">
        <f>Github!G$192</f>
        <v>791</v>
      </c>
      <c r="E347" s="10">
        <f>Github!F$192+Github!G$192</f>
        <v>3773</v>
      </c>
      <c r="F347" s="12">
        <f t="shared" si="1"/>
        <v>3.77</v>
      </c>
      <c r="G347" s="10" t="str">
        <f>Github!H$192</f>
        <v>Algorithms</v>
      </c>
      <c r="H347" s="13" t="str">
        <f>SUBSTITUTE(Github!L$192, ";", ", ")</f>
        <v>Bit Manipulation, </v>
      </c>
      <c r="I347" s="10" t="str">
        <f>Github!E$192</f>
        <v>Easy</v>
      </c>
      <c r="J347" s="10" t="str">
        <f>IF(TRIM(Github!D$192)="TRUE","FALSE","TRUE")</f>
        <v>TRUE</v>
      </c>
      <c r="K347" s="10" t="b">
        <f>Github!M$192</f>
        <v>1</v>
      </c>
      <c r="L347" s="10" t="b">
        <f>Github!N$192</f>
        <v>0</v>
      </c>
      <c r="M347" s="10" t="str">
        <f>ROUND(Github!O$192, 2)&amp;"%"</f>
        <v>60.46%</v>
      </c>
      <c r="N347" s="10">
        <f>Github!P$192</f>
        <v>707084</v>
      </c>
      <c r="O347" s="10">
        <f>Github!Q$192</f>
        <v>1169553</v>
      </c>
    </row>
    <row r="348">
      <c r="A348" s="10">
        <f>Github!J$638</f>
        <v>637</v>
      </c>
      <c r="B348" s="11" t="str">
        <f>HYPERLINK(CONCAT("http://leetcode.com/problems/",Github!C$638), Github!B$638)</f>
        <v>Average of Levels in Binary Tree</v>
      </c>
      <c r="C348" s="10">
        <f>Github!F$638</f>
        <v>2945</v>
      </c>
      <c r="D348" s="10">
        <f>Github!G$638</f>
        <v>234</v>
      </c>
      <c r="E348" s="10">
        <f>Github!F$638+Github!G$638</f>
        <v>3179</v>
      </c>
      <c r="F348" s="12">
        <f t="shared" si="1"/>
        <v>12.59</v>
      </c>
      <c r="G348" s="10" t="str">
        <f>Github!H$638</f>
        <v>Algorithms</v>
      </c>
      <c r="H348" s="13" t="str">
        <f>SUBSTITUTE(Github!L$638, ";", ", ")</f>
        <v>Tree, Depth-First Search, Breadth-First Search, Binary Tree, </v>
      </c>
      <c r="I348" s="10" t="str">
        <f>Github!E$638</f>
        <v>Easy</v>
      </c>
      <c r="J348" s="10" t="str">
        <f>IF(TRIM(Github!D$638)="TRUE","FALSE","TRUE")</f>
        <v>TRUE</v>
      </c>
      <c r="K348" s="10" t="b">
        <f>Github!M$638</f>
        <v>1</v>
      </c>
      <c r="L348" s="10" t="b">
        <f>Github!N$638</f>
        <v>0</v>
      </c>
      <c r="M348" s="10" t="str">
        <f>ROUND(Github!O$638, 2)&amp;"%"</f>
        <v>68.65%</v>
      </c>
      <c r="N348" s="10">
        <f>Github!P$638</f>
        <v>266436</v>
      </c>
      <c r="O348" s="10">
        <f>Github!Q$638</f>
        <v>388101</v>
      </c>
    </row>
    <row r="349">
      <c r="A349" s="10">
        <f>Github!J$1042</f>
        <v>1041</v>
      </c>
      <c r="B349" s="11" t="str">
        <f>HYPERLINK(CONCAT("http://leetcode.com/problems/",Github!C$1042), Github!B$1042)</f>
        <v>Robot Bounded In Circle</v>
      </c>
      <c r="C349" s="10">
        <f>Github!F$1042</f>
        <v>2934</v>
      </c>
      <c r="D349" s="10">
        <f>Github!G$1042</f>
        <v>612</v>
      </c>
      <c r="E349" s="10">
        <f>Github!F$1042+Github!G$1042</f>
        <v>3546</v>
      </c>
      <c r="F349" s="12">
        <f t="shared" si="1"/>
        <v>4.79</v>
      </c>
      <c r="G349" s="10" t="str">
        <f>Github!H$1042</f>
        <v>Algorithms</v>
      </c>
      <c r="H349" s="13" t="str">
        <f>SUBSTITUTE(Github!L$1042, ";", ", ")</f>
        <v>Math, String, Simulation, </v>
      </c>
      <c r="I349" s="10" t="str">
        <f>Github!E$1042</f>
        <v>Medium</v>
      </c>
      <c r="J349" s="10" t="str">
        <f>IF(TRIM(Github!D$1042)="TRUE","FALSE","TRUE")</f>
        <v>TRUE</v>
      </c>
      <c r="K349" s="10" t="b">
        <f>Github!M$1042</f>
        <v>1</v>
      </c>
      <c r="L349" s="10" t="b">
        <f>Github!N$1042</f>
        <v>0</v>
      </c>
      <c r="M349" s="10" t="str">
        <f>ROUND(Github!O$1042, 2)&amp;"%"</f>
        <v>55.41%</v>
      </c>
      <c r="N349" s="10">
        <f>Github!P$1042</f>
        <v>183520</v>
      </c>
      <c r="O349" s="10">
        <f>Github!Q$1042</f>
        <v>331183</v>
      </c>
    </row>
    <row r="350">
      <c r="A350" s="10">
        <f>Github!J$151</f>
        <v>150</v>
      </c>
      <c r="B350" s="11" t="str">
        <f>HYPERLINK(CONCAT("http://leetcode.com/problems/",Github!C$151), Github!B$151)</f>
        <v>Evaluate Reverse Polish Notation</v>
      </c>
      <c r="C350" s="10">
        <f>Github!F$151</f>
        <v>2947</v>
      </c>
      <c r="D350" s="10">
        <f>Github!G$151</f>
        <v>624</v>
      </c>
      <c r="E350" s="10">
        <f>Github!F$151+Github!G$151</f>
        <v>3571</v>
      </c>
      <c r="F350" s="12">
        <f t="shared" si="1"/>
        <v>4.72</v>
      </c>
      <c r="G350" s="10" t="str">
        <f>Github!H$151</f>
        <v>Algorithms</v>
      </c>
      <c r="H350" s="13" t="str">
        <f>SUBSTITUTE(Github!L$151, ";", ", ")</f>
        <v>Array, Math, Stack, </v>
      </c>
      <c r="I350" s="10" t="str">
        <f>Github!E$151</f>
        <v>Medium</v>
      </c>
      <c r="J350" s="10" t="str">
        <f>IF(TRIM(Github!D$151)="TRUE","FALSE","TRUE")</f>
        <v>TRUE</v>
      </c>
      <c r="K350" s="10" t="b">
        <f>Github!M$151</f>
        <v>1</v>
      </c>
      <c r="L350" s="10" t="b">
        <f>Github!N$151</f>
        <v>0</v>
      </c>
      <c r="M350" s="10" t="str">
        <f>ROUND(Github!O$151, 2)&amp;"%"</f>
        <v>42.49%</v>
      </c>
      <c r="N350" s="10">
        <f>Github!P$151</f>
        <v>403099</v>
      </c>
      <c r="O350" s="10">
        <f>Github!Q$151</f>
        <v>948734</v>
      </c>
    </row>
    <row r="351">
      <c r="A351" s="10">
        <f>Github!J$993</f>
        <v>992</v>
      </c>
      <c r="B351" s="11" t="str">
        <f>HYPERLINK(CONCAT("http://leetcode.com/problems/",Github!C$993), Github!B$993)</f>
        <v>Subarrays with K Different Integers</v>
      </c>
      <c r="C351" s="10">
        <f>Github!F$993</f>
        <v>2913</v>
      </c>
      <c r="D351" s="10">
        <f>Github!G$993</f>
        <v>40</v>
      </c>
      <c r="E351" s="10">
        <f>Github!F$993+Github!G$993</f>
        <v>2953</v>
      </c>
      <c r="F351" s="12">
        <f t="shared" si="1"/>
        <v>72.83</v>
      </c>
      <c r="G351" s="10" t="str">
        <f>Github!H$993</f>
        <v>Algorithms</v>
      </c>
      <c r="H351" s="13" t="str">
        <f>SUBSTITUTE(Github!L$993, ";", ", ")</f>
        <v>Array, Hash Table, Sliding Window, Counting, </v>
      </c>
      <c r="I351" s="10" t="str">
        <f>Github!E$993</f>
        <v>Hard</v>
      </c>
      <c r="J351" s="10" t="str">
        <f>IF(TRIM(Github!D$993)="TRUE","FALSE","TRUE")</f>
        <v>TRUE</v>
      </c>
      <c r="K351" s="10" t="b">
        <f>Github!M$993</f>
        <v>0</v>
      </c>
      <c r="L351" s="10" t="b">
        <f>Github!N$993</f>
        <v>0</v>
      </c>
      <c r="M351" s="10" t="str">
        <f>ROUND(Github!O$993, 2)&amp;"%"</f>
        <v>53.36%</v>
      </c>
      <c r="N351" s="10">
        <f>Github!P$993</f>
        <v>68205</v>
      </c>
      <c r="O351" s="10">
        <f>Github!Q$993</f>
        <v>127828</v>
      </c>
    </row>
    <row r="352">
      <c r="A352" s="10">
        <f>Github!J$793</f>
        <v>792</v>
      </c>
      <c r="B352" s="11" t="str">
        <f>HYPERLINK(CONCAT("http://leetcode.com/problems/",Github!C$793), Github!B$793)</f>
        <v>Number of Matching Subsequences</v>
      </c>
      <c r="C352" s="10">
        <f>Github!F$793</f>
        <v>2908</v>
      </c>
      <c r="D352" s="10">
        <f>Github!G$793</f>
        <v>150</v>
      </c>
      <c r="E352" s="10">
        <f>Github!F$793+Github!G$793</f>
        <v>3058</v>
      </c>
      <c r="F352" s="12">
        <f t="shared" si="1"/>
        <v>19.39</v>
      </c>
      <c r="G352" s="10" t="str">
        <f>Github!H$793</f>
        <v>Algorithms</v>
      </c>
      <c r="H352" s="13" t="str">
        <f>SUBSTITUTE(Github!L$793, ";", ", ")</f>
        <v>Hash Table, String, Trie, Sorting, </v>
      </c>
      <c r="I352" s="10" t="str">
        <f>Github!E$793</f>
        <v>Medium</v>
      </c>
      <c r="J352" s="10" t="str">
        <f>IF(TRIM(Github!D$793)="TRUE","FALSE","TRUE")</f>
        <v>TRUE</v>
      </c>
      <c r="K352" s="10" t="b">
        <f>Github!M$793</f>
        <v>1</v>
      </c>
      <c r="L352" s="10" t="b">
        <f>Github!N$793</f>
        <v>0</v>
      </c>
      <c r="M352" s="10" t="str">
        <f>ROUND(Github!O$793, 2)&amp;"%"</f>
        <v>50.51%</v>
      </c>
      <c r="N352" s="10">
        <f>Github!P$793</f>
        <v>129287</v>
      </c>
      <c r="O352" s="10">
        <f>Github!Q$793</f>
        <v>255956</v>
      </c>
    </row>
    <row r="353">
      <c r="A353" s="10">
        <f>Github!J$606</f>
        <v>605</v>
      </c>
      <c r="B353" s="11" t="str">
        <f>HYPERLINK(CONCAT("http://leetcode.com/problems/",Github!C$606), Github!B$606)</f>
        <v>Can Place Flowers</v>
      </c>
      <c r="C353" s="10">
        <f>Github!F$606</f>
        <v>2878</v>
      </c>
      <c r="D353" s="10">
        <f>Github!G$606</f>
        <v>644</v>
      </c>
      <c r="E353" s="10">
        <f>Github!F$606+Github!G$606</f>
        <v>3522</v>
      </c>
      <c r="F353" s="12">
        <f t="shared" si="1"/>
        <v>4.47</v>
      </c>
      <c r="G353" s="10" t="str">
        <f>Github!H$606</f>
        <v>Algorithms</v>
      </c>
      <c r="H353" s="13" t="str">
        <f>SUBSTITUTE(Github!L$606, ";", ", ")</f>
        <v>Array, Greedy, </v>
      </c>
      <c r="I353" s="10" t="str">
        <f>Github!E$606</f>
        <v>Easy</v>
      </c>
      <c r="J353" s="10" t="str">
        <f>IF(TRIM(Github!D$606)="TRUE","FALSE","TRUE")</f>
        <v>TRUE</v>
      </c>
      <c r="K353" s="10" t="b">
        <f>Github!M$606</f>
        <v>1</v>
      </c>
      <c r="L353" s="10" t="b">
        <f>Github!N$606</f>
        <v>0</v>
      </c>
      <c r="M353" s="10" t="str">
        <f>ROUND(Github!O$606, 2)&amp;"%"</f>
        <v>33.08%</v>
      </c>
      <c r="N353" s="10">
        <f>Github!P$606</f>
        <v>291539</v>
      </c>
      <c r="O353" s="10">
        <f>Github!Q$606</f>
        <v>881327</v>
      </c>
    </row>
    <row r="354">
      <c r="A354" s="10">
        <f>Github!J$487</f>
        <v>486</v>
      </c>
      <c r="B354" s="11" t="str">
        <f>HYPERLINK(CONCAT("http://leetcode.com/problems/",Github!C$487), Github!B$487)</f>
        <v>Predict the Winner</v>
      </c>
      <c r="C354" s="10">
        <f>Github!F$487</f>
        <v>2858</v>
      </c>
      <c r="D354" s="10">
        <f>Github!G$487</f>
        <v>147</v>
      </c>
      <c r="E354" s="10">
        <f>Github!F$487+Github!G$487</f>
        <v>3005</v>
      </c>
      <c r="F354" s="12">
        <f t="shared" si="1"/>
        <v>19.44</v>
      </c>
      <c r="G354" s="10" t="str">
        <f>Github!H$487</f>
        <v>Algorithms</v>
      </c>
      <c r="H354" s="13" t="str">
        <f>SUBSTITUTE(Github!L$487, ";", ", ")</f>
        <v>Array, Math, Dynamic Programming, Recursion, Game Theory, </v>
      </c>
      <c r="I354" s="10" t="str">
        <f>Github!E$487</f>
        <v>Medium</v>
      </c>
      <c r="J354" s="10" t="str">
        <f>IF(TRIM(Github!D$487)="TRUE","FALSE","TRUE")</f>
        <v>TRUE</v>
      </c>
      <c r="K354" s="10" t="b">
        <f>Github!M$487</f>
        <v>1</v>
      </c>
      <c r="L354" s="10" t="b">
        <f>Github!N$487</f>
        <v>0</v>
      </c>
      <c r="M354" s="10" t="str">
        <f>ROUND(Github!O$487, 2)&amp;"%"</f>
        <v>50.21%</v>
      </c>
      <c r="N354" s="10">
        <f>Github!P$487</f>
        <v>111343</v>
      </c>
      <c r="O354" s="10">
        <f>Github!Q$487</f>
        <v>221740</v>
      </c>
    </row>
    <row r="355">
      <c r="A355" s="10">
        <f>Github!J$155</f>
        <v>154</v>
      </c>
      <c r="B355" s="11" t="str">
        <f>HYPERLINK(CONCAT("http://leetcode.com/problems/",Github!C$155), Github!B$155)</f>
        <v>Find Minimum in Rotated Sorted Array II</v>
      </c>
      <c r="C355" s="10">
        <f>Github!F$155</f>
        <v>2859</v>
      </c>
      <c r="D355" s="10">
        <f>Github!G$155</f>
        <v>370</v>
      </c>
      <c r="E355" s="10">
        <f>Github!F$155+Github!G$155</f>
        <v>3229</v>
      </c>
      <c r="F355" s="12">
        <f t="shared" si="1"/>
        <v>7.73</v>
      </c>
      <c r="G355" s="10" t="str">
        <f>Github!H$155</f>
        <v>Algorithms</v>
      </c>
      <c r="H355" s="13" t="str">
        <f>SUBSTITUTE(Github!L$155, ";", ", ")</f>
        <v>Array, Binary Search, </v>
      </c>
      <c r="I355" s="10" t="str">
        <f>Github!E$155</f>
        <v>Hard</v>
      </c>
      <c r="J355" s="10" t="str">
        <f>IF(TRIM(Github!D$155)="TRUE","FALSE","TRUE")</f>
        <v>TRUE</v>
      </c>
      <c r="K355" s="10" t="b">
        <f>Github!M$155</f>
        <v>1</v>
      </c>
      <c r="L355" s="10" t="b">
        <f>Github!N$155</f>
        <v>0</v>
      </c>
      <c r="M355" s="10" t="str">
        <f>ROUND(Github!O$155, 2)&amp;"%"</f>
        <v>43.27%</v>
      </c>
      <c r="N355" s="10">
        <f>Github!P$155</f>
        <v>324155</v>
      </c>
      <c r="O355" s="10">
        <f>Github!Q$155</f>
        <v>749163</v>
      </c>
    </row>
    <row r="356">
      <c r="A356" s="10">
        <f>Github!J$704</f>
        <v>703</v>
      </c>
      <c r="B356" s="11" t="str">
        <f>HYPERLINK(CONCAT("http://leetcode.com/problems/",Github!C$704), Github!B$704)</f>
        <v>Kth Largest Element in a Stream</v>
      </c>
      <c r="C356" s="10">
        <f>Github!F$704</f>
        <v>2846</v>
      </c>
      <c r="D356" s="10">
        <f>Github!G$704</f>
        <v>1699</v>
      </c>
      <c r="E356" s="10">
        <f>Github!F$704+Github!G$704</f>
        <v>4545</v>
      </c>
      <c r="F356" s="12">
        <f t="shared" si="1"/>
        <v>1.68</v>
      </c>
      <c r="G356" s="10" t="str">
        <f>Github!H$704</f>
        <v>Algorithms</v>
      </c>
      <c r="H356" s="13" t="str">
        <f>SUBSTITUTE(Github!L$704, ";", ", ")</f>
        <v>Tree, Design, Binary Search Tree, Heap (Priority Queue), Binary Tree, Data Stream, </v>
      </c>
      <c r="I356" s="10" t="str">
        <f>Github!E$704</f>
        <v>Easy</v>
      </c>
      <c r="J356" s="10" t="str">
        <f>IF(TRIM(Github!D$704)="TRUE","FALSE","TRUE")</f>
        <v>TRUE</v>
      </c>
      <c r="K356" s="10" t="b">
        <f>Github!M$704</f>
        <v>1</v>
      </c>
      <c r="L356" s="10" t="b">
        <f>Github!N$704</f>
        <v>0</v>
      </c>
      <c r="M356" s="10" t="str">
        <f>ROUND(Github!O$704, 2)&amp;"%"</f>
        <v>54.78%</v>
      </c>
      <c r="N356" s="10">
        <f>Github!P$704</f>
        <v>245418</v>
      </c>
      <c r="O356" s="10">
        <f>Github!Q$704</f>
        <v>448033</v>
      </c>
    </row>
    <row r="357">
      <c r="A357" s="10">
        <f>Github!J$863</f>
        <v>862</v>
      </c>
      <c r="B357" s="11" t="str">
        <f>HYPERLINK(CONCAT("http://leetcode.com/problems/",Github!C$863), Github!B$863)</f>
        <v>Shortest Subarray with Sum at Least K</v>
      </c>
      <c r="C357" s="10">
        <f>Github!F$863</f>
        <v>2845</v>
      </c>
      <c r="D357" s="10">
        <f>Github!G$863</f>
        <v>74</v>
      </c>
      <c r="E357" s="10">
        <f>Github!F$863+Github!G$863</f>
        <v>2919</v>
      </c>
      <c r="F357" s="12">
        <f t="shared" si="1"/>
        <v>38.45</v>
      </c>
      <c r="G357" s="10" t="str">
        <f>Github!H$863</f>
        <v>Algorithms</v>
      </c>
      <c r="H357" s="13" t="str">
        <f>SUBSTITUTE(Github!L$863, ";", ", ")</f>
        <v>Array, Binary Search, Queue, Sliding Window, Heap (Priority Queue), Prefix Sum, Monotonic Queue, </v>
      </c>
      <c r="I357" s="10" t="str">
        <f>Github!E$863</f>
        <v>Hard</v>
      </c>
      <c r="J357" s="10" t="str">
        <f>IF(TRIM(Github!D$863)="TRUE","FALSE","TRUE")</f>
        <v>TRUE</v>
      </c>
      <c r="K357" s="10" t="b">
        <f>Github!M$863</f>
        <v>1</v>
      </c>
      <c r="L357" s="10" t="b">
        <f>Github!N$863</f>
        <v>0</v>
      </c>
      <c r="M357" s="10" t="str">
        <f>ROUND(Github!O$863, 2)&amp;"%"</f>
        <v>26.15%</v>
      </c>
      <c r="N357" s="10">
        <f>Github!P$863</f>
        <v>69544</v>
      </c>
      <c r="O357" s="10">
        <f>Github!Q$863</f>
        <v>265977</v>
      </c>
    </row>
    <row r="358">
      <c r="A358" s="10">
        <f>Github!J$697</f>
        <v>696</v>
      </c>
      <c r="B358" s="11" t="str">
        <f>HYPERLINK(CONCAT("http://leetcode.com/problems/",Github!C$697), Github!B$697)</f>
        <v>Count Binary Substrings</v>
      </c>
      <c r="C358" s="10">
        <f>Github!F$697</f>
        <v>2839</v>
      </c>
      <c r="D358" s="10">
        <f>Github!G$697</f>
        <v>602</v>
      </c>
      <c r="E358" s="10">
        <f>Github!F$697+Github!G$697</f>
        <v>3441</v>
      </c>
      <c r="F358" s="12">
        <f t="shared" si="1"/>
        <v>4.72</v>
      </c>
      <c r="G358" s="10" t="str">
        <f>Github!H$697</f>
        <v>Algorithms</v>
      </c>
      <c r="H358" s="13" t="str">
        <f>SUBSTITUTE(Github!L$697, ";", ", ")</f>
        <v>Two Pointers, String, </v>
      </c>
      <c r="I358" s="10" t="str">
        <f>Github!E$697</f>
        <v>Easy</v>
      </c>
      <c r="J358" s="10" t="str">
        <f>IF(TRIM(Github!D$697)="TRUE","FALSE","TRUE")</f>
        <v>TRUE</v>
      </c>
      <c r="K358" s="10" t="b">
        <f>Github!M$697</f>
        <v>1</v>
      </c>
      <c r="L358" s="10" t="b">
        <f>Github!N$697</f>
        <v>0</v>
      </c>
      <c r="M358" s="10" t="str">
        <f>ROUND(Github!O$697, 2)&amp;"%"</f>
        <v>64.86%</v>
      </c>
      <c r="N358" s="10">
        <f>Github!P$697</f>
        <v>148454</v>
      </c>
      <c r="O358" s="10">
        <f>Github!Q$697</f>
        <v>228878</v>
      </c>
    </row>
    <row r="359">
      <c r="A359" s="10">
        <f>Github!J$475</f>
        <v>474</v>
      </c>
      <c r="B359" s="11" t="str">
        <f>HYPERLINK(CONCAT("http://leetcode.com/problems/",Github!C$475), Github!B$475)</f>
        <v>Ones and Zeroes</v>
      </c>
      <c r="C359" s="10">
        <f>Github!F$475</f>
        <v>2828</v>
      </c>
      <c r="D359" s="10">
        <f>Github!G$475</f>
        <v>322</v>
      </c>
      <c r="E359" s="10">
        <f>Github!F$475+Github!G$475</f>
        <v>3150</v>
      </c>
      <c r="F359" s="12">
        <f t="shared" si="1"/>
        <v>8.78</v>
      </c>
      <c r="G359" s="10" t="str">
        <f>Github!H$475</f>
        <v>Algorithms</v>
      </c>
      <c r="H359" s="13" t="str">
        <f>SUBSTITUTE(Github!L$475, ";", ", ")</f>
        <v>Array, String, Dynamic Programming, </v>
      </c>
      <c r="I359" s="10" t="str">
        <f>Github!E$475</f>
        <v>Medium</v>
      </c>
      <c r="J359" s="10" t="str">
        <f>IF(TRIM(Github!D$475)="TRUE","FALSE","TRUE")</f>
        <v>TRUE</v>
      </c>
      <c r="K359" s="10" t="b">
        <f>Github!M$475</f>
        <v>1</v>
      </c>
      <c r="L359" s="10" t="b">
        <f>Github!N$475</f>
        <v>0</v>
      </c>
      <c r="M359" s="10" t="str">
        <f>ROUND(Github!O$475, 2)&amp;"%"</f>
        <v>44.58%</v>
      </c>
      <c r="N359" s="10">
        <f>Github!P$475</f>
        <v>106439</v>
      </c>
      <c r="O359" s="10">
        <f>Github!Q$475</f>
        <v>238785</v>
      </c>
    </row>
    <row r="360">
      <c r="A360" s="10">
        <f>Github!J$1111</f>
        <v>1110</v>
      </c>
      <c r="B360" s="11" t="str">
        <f>HYPERLINK(CONCAT("http://leetcode.com/problems/",Github!C$1111), Github!B$1111)</f>
        <v>Delete Nodes And Return Forest</v>
      </c>
      <c r="C360" s="10">
        <f>Github!F$1111</f>
        <v>2795</v>
      </c>
      <c r="D360" s="10">
        <f>Github!G$1111</f>
        <v>81</v>
      </c>
      <c r="E360" s="10">
        <f>Github!F$1111+Github!G$1111</f>
        <v>2876</v>
      </c>
      <c r="F360" s="12">
        <f t="shared" si="1"/>
        <v>34.51</v>
      </c>
      <c r="G360" s="10" t="str">
        <f>Github!H$1111</f>
        <v>Algorithms</v>
      </c>
      <c r="H360" s="13" t="str">
        <f>SUBSTITUTE(Github!L$1111, ";", ", ")</f>
        <v>Tree, Depth-First Search, Binary Tree, </v>
      </c>
      <c r="I360" s="10" t="str">
        <f>Github!E$1111</f>
        <v>Medium</v>
      </c>
      <c r="J360" s="10" t="str">
        <f>IF(TRIM(Github!D$1111)="TRUE","FALSE","TRUE")</f>
        <v>TRUE</v>
      </c>
      <c r="K360" s="10" t="b">
        <f>Github!M$1111</f>
        <v>0</v>
      </c>
      <c r="L360" s="10" t="b">
        <f>Github!N$1111</f>
        <v>0</v>
      </c>
      <c r="M360" s="10" t="str">
        <f>ROUND(Github!O$1111, 2)&amp;"%"</f>
        <v>69.29%</v>
      </c>
      <c r="N360" s="10">
        <f>Github!P$1111</f>
        <v>156489</v>
      </c>
      <c r="O360" s="10">
        <f>Github!Q$1111</f>
        <v>225858</v>
      </c>
    </row>
    <row r="361">
      <c r="A361" s="10">
        <f>Github!J$1424</f>
        <v>1423</v>
      </c>
      <c r="B361" s="11" t="str">
        <f>HYPERLINK(CONCAT("http://leetcode.com/problems/",Github!C$1424), Github!B$1424)</f>
        <v>Maximum Points You Can Obtain from Cards</v>
      </c>
      <c r="C361" s="10">
        <f>Github!F$1424</f>
        <v>2812</v>
      </c>
      <c r="D361" s="10">
        <f>Github!G$1424</f>
        <v>116</v>
      </c>
      <c r="E361" s="10">
        <f>Github!F$1424+Github!G$1424</f>
        <v>2928</v>
      </c>
      <c r="F361" s="12">
        <f t="shared" si="1"/>
        <v>24.24</v>
      </c>
      <c r="G361" s="10" t="str">
        <f>Github!H$1424</f>
        <v>Algorithms</v>
      </c>
      <c r="H361" s="13" t="str">
        <f>SUBSTITUTE(Github!L$1424, ";", ", ")</f>
        <v>Array, Sliding Window, Prefix Sum, </v>
      </c>
      <c r="I361" s="10" t="str">
        <f>Github!E$1424</f>
        <v>Medium</v>
      </c>
      <c r="J361" s="10" t="str">
        <f>IF(TRIM(Github!D$1424)="TRUE","FALSE","TRUE")</f>
        <v>TRUE</v>
      </c>
      <c r="K361" s="10" t="b">
        <f>Github!M$1424</f>
        <v>1</v>
      </c>
      <c r="L361" s="10" t="b">
        <f>Github!N$1424</f>
        <v>0</v>
      </c>
      <c r="M361" s="10" t="str">
        <f>ROUND(Github!O$1424, 2)&amp;"%"</f>
        <v>50.05%</v>
      </c>
      <c r="N361" s="10">
        <f>Github!P$1424</f>
        <v>129119</v>
      </c>
      <c r="O361" s="10">
        <f>Github!Q$1424</f>
        <v>257971</v>
      </c>
    </row>
    <row r="362">
      <c r="A362" s="10">
        <f>Github!J$753</f>
        <v>752</v>
      </c>
      <c r="B362" s="11" t="str">
        <f>HYPERLINK(CONCAT("http://leetcode.com/problems/",Github!C$753), Github!B$753)</f>
        <v>Open the Lock</v>
      </c>
      <c r="C362" s="10">
        <f>Github!F$753</f>
        <v>2781</v>
      </c>
      <c r="D362" s="10">
        <f>Github!G$753</f>
        <v>94</v>
      </c>
      <c r="E362" s="10">
        <f>Github!F$753+Github!G$753</f>
        <v>2875</v>
      </c>
      <c r="F362" s="12">
        <f t="shared" si="1"/>
        <v>29.59</v>
      </c>
      <c r="G362" s="10" t="str">
        <f>Github!H$753</f>
        <v>Algorithms</v>
      </c>
      <c r="H362" s="13" t="str">
        <f>SUBSTITUTE(Github!L$753, ";", ", ")</f>
        <v>Array, Hash Table, String, Breadth-First Search, </v>
      </c>
      <c r="I362" s="10" t="str">
        <f>Github!E$753</f>
        <v>Medium</v>
      </c>
      <c r="J362" s="10" t="str">
        <f>IF(TRIM(Github!D$753)="TRUE","FALSE","TRUE")</f>
        <v>TRUE</v>
      </c>
      <c r="K362" s="10" t="b">
        <f>Github!M$753</f>
        <v>1</v>
      </c>
      <c r="L362" s="10" t="b">
        <f>Github!N$753</f>
        <v>0</v>
      </c>
      <c r="M362" s="10" t="str">
        <f>ROUND(Github!O$753, 2)&amp;"%"</f>
        <v>55.34%</v>
      </c>
      <c r="N362" s="10">
        <f>Github!P$753</f>
        <v>160086</v>
      </c>
      <c r="O362" s="10">
        <f>Github!Q$753</f>
        <v>289255</v>
      </c>
    </row>
    <row r="363">
      <c r="A363" s="10">
        <f>Github!J$350</f>
        <v>349</v>
      </c>
      <c r="B363" s="11" t="str">
        <f>HYPERLINK(CONCAT("http://leetcode.com/problems/",Github!C$350), Github!B$350)</f>
        <v>Intersection of Two Arrays</v>
      </c>
      <c r="C363" s="10">
        <f>Github!F$350</f>
        <v>2786</v>
      </c>
      <c r="D363" s="10">
        <f>Github!G$350</f>
        <v>1889</v>
      </c>
      <c r="E363" s="10">
        <f>Github!F$350+Github!G$350</f>
        <v>4675</v>
      </c>
      <c r="F363" s="12">
        <f t="shared" si="1"/>
        <v>1.47</v>
      </c>
      <c r="G363" s="10" t="str">
        <f>Github!H$350</f>
        <v>Algorithms</v>
      </c>
      <c r="H363" s="13" t="str">
        <f>SUBSTITUTE(Github!L$350, ";", ", ")</f>
        <v>Array, Hash Table, Two Pointers, Binary Search, Sorting, </v>
      </c>
      <c r="I363" s="10" t="str">
        <f>Github!E$350</f>
        <v>Easy</v>
      </c>
      <c r="J363" s="10" t="str">
        <f>IF(TRIM(Github!D$350)="TRUE","FALSE","TRUE")</f>
        <v>TRUE</v>
      </c>
      <c r="K363" s="10" t="b">
        <f>Github!M$350</f>
        <v>1</v>
      </c>
      <c r="L363" s="10" t="b">
        <f>Github!N$350</f>
        <v>0</v>
      </c>
      <c r="M363" s="10" t="str">
        <f>ROUND(Github!O$350, 2)&amp;"%"</f>
        <v>69.01%</v>
      </c>
      <c r="N363" s="10">
        <f>Github!P$350</f>
        <v>654153</v>
      </c>
      <c r="O363" s="10">
        <f>Github!Q$350</f>
        <v>947916</v>
      </c>
    </row>
    <row r="364">
      <c r="A364" s="10">
        <f>Github!J$981</f>
        <v>980</v>
      </c>
      <c r="B364" s="11" t="str">
        <f>HYPERLINK(CONCAT("http://leetcode.com/problems/",Github!C$981), Github!B$981)</f>
        <v>Unique Paths III</v>
      </c>
      <c r="C364" s="10">
        <f>Github!F$981</f>
        <v>2772</v>
      </c>
      <c r="D364" s="10">
        <f>Github!G$981</f>
        <v>132</v>
      </c>
      <c r="E364" s="10">
        <f>Github!F$981+Github!G$981</f>
        <v>2904</v>
      </c>
      <c r="F364" s="12">
        <f t="shared" si="1"/>
        <v>21</v>
      </c>
      <c r="G364" s="10" t="str">
        <f>Github!H$981</f>
        <v>Algorithms</v>
      </c>
      <c r="H364" s="13" t="str">
        <f>SUBSTITUTE(Github!L$981, ";", ", ")</f>
        <v>Array, Backtracking, Bit Manipulation, Matrix, </v>
      </c>
      <c r="I364" s="10" t="str">
        <f>Github!E$981</f>
        <v>Hard</v>
      </c>
      <c r="J364" s="10" t="str">
        <f>IF(TRIM(Github!D$981)="TRUE","FALSE","TRUE")</f>
        <v>TRUE</v>
      </c>
      <c r="K364" s="10" t="b">
        <f>Github!M$981</f>
        <v>1</v>
      </c>
      <c r="L364" s="10" t="b">
        <f>Github!N$981</f>
        <v>0</v>
      </c>
      <c r="M364" s="10" t="str">
        <f>ROUND(Github!O$981, 2)&amp;"%"</f>
        <v>79.43%</v>
      </c>
      <c r="N364" s="10">
        <f>Github!P$981</f>
        <v>113866</v>
      </c>
      <c r="O364" s="10">
        <f>Github!Q$981</f>
        <v>143362</v>
      </c>
    </row>
    <row r="365">
      <c r="A365" s="10">
        <f>Github!J$954</f>
        <v>953</v>
      </c>
      <c r="B365" s="11" t="str">
        <f>HYPERLINK(CONCAT("http://leetcode.com/problems/",Github!C$954), Github!B$954)</f>
        <v>Verifying an Alien Dictionary</v>
      </c>
      <c r="C365" s="10">
        <f>Github!F$954</f>
        <v>2773</v>
      </c>
      <c r="D365" s="10">
        <f>Github!G$954</f>
        <v>921</v>
      </c>
      <c r="E365" s="10">
        <f>Github!F$954+Github!G$954</f>
        <v>3694</v>
      </c>
      <c r="F365" s="12">
        <f t="shared" si="1"/>
        <v>3.01</v>
      </c>
      <c r="G365" s="10" t="str">
        <f>Github!H$954</f>
        <v>Algorithms</v>
      </c>
      <c r="H365" s="13" t="str">
        <f>SUBSTITUTE(Github!L$954, ";", ", ")</f>
        <v>Array, Hash Table, String, </v>
      </c>
      <c r="I365" s="10" t="str">
        <f>Github!E$954</f>
        <v>Easy</v>
      </c>
      <c r="J365" s="10" t="str">
        <f>IF(TRIM(Github!D$954)="TRUE","FALSE","TRUE")</f>
        <v>TRUE</v>
      </c>
      <c r="K365" s="10" t="b">
        <f>Github!M$954</f>
        <v>1</v>
      </c>
      <c r="L365" s="10" t="b">
        <f>Github!N$954</f>
        <v>0</v>
      </c>
      <c r="M365" s="10" t="str">
        <f>ROUND(Github!O$954, 2)&amp;"%"</f>
        <v>52.53%</v>
      </c>
      <c r="N365" s="10">
        <f>Github!P$954</f>
        <v>347065</v>
      </c>
      <c r="O365" s="10">
        <f>Github!Q$954</f>
        <v>660761</v>
      </c>
    </row>
    <row r="366">
      <c r="A366" s="10">
        <f>Github!J$217</f>
        <v>216</v>
      </c>
      <c r="B366" s="11" t="str">
        <f>HYPERLINK(CONCAT("http://leetcode.com/problems/",Github!C$217), Github!B$217)</f>
        <v>Combination Sum III</v>
      </c>
      <c r="C366" s="10">
        <f>Github!F$217</f>
        <v>2762</v>
      </c>
      <c r="D366" s="10">
        <f>Github!G$217</f>
        <v>74</v>
      </c>
      <c r="E366" s="10">
        <f>Github!F$217+Github!G$217</f>
        <v>2836</v>
      </c>
      <c r="F366" s="12">
        <f t="shared" si="1"/>
        <v>37.32</v>
      </c>
      <c r="G366" s="10" t="str">
        <f>Github!H$217</f>
        <v>Algorithms</v>
      </c>
      <c r="H366" s="13" t="str">
        <f>SUBSTITUTE(Github!L$217, ";", ", ")</f>
        <v>Array, Backtracking, </v>
      </c>
      <c r="I366" s="10" t="str">
        <f>Github!E$217</f>
        <v>Medium</v>
      </c>
      <c r="J366" s="10" t="str">
        <f>IF(TRIM(Github!D$217)="TRUE","FALSE","TRUE")</f>
        <v>TRUE</v>
      </c>
      <c r="K366" s="10" t="b">
        <f>Github!M$217</f>
        <v>1</v>
      </c>
      <c r="L366" s="10" t="b">
        <f>Github!N$217</f>
        <v>0</v>
      </c>
      <c r="M366" s="10" t="str">
        <f>ROUND(Github!O$217, 2)&amp;"%"</f>
        <v>63.97%</v>
      </c>
      <c r="N366" s="10">
        <f>Github!P$217</f>
        <v>286088</v>
      </c>
      <c r="O366" s="10">
        <f>Github!Q$217</f>
        <v>447209</v>
      </c>
    </row>
    <row r="367">
      <c r="A367" s="10">
        <f>Github!J$494</f>
        <v>493</v>
      </c>
      <c r="B367" s="11" t="str">
        <f>HYPERLINK(CONCAT("http://leetcode.com/problems/",Github!C$494), Github!B$494)</f>
        <v>Reverse Pairs</v>
      </c>
      <c r="C367" s="10">
        <f>Github!F$494</f>
        <v>2756</v>
      </c>
      <c r="D367" s="10">
        <f>Github!G$494</f>
        <v>179</v>
      </c>
      <c r="E367" s="10">
        <f>Github!F$494+Github!G$494</f>
        <v>2935</v>
      </c>
      <c r="F367" s="12">
        <f t="shared" si="1"/>
        <v>15.4</v>
      </c>
      <c r="G367" s="10" t="str">
        <f>Github!H$494</f>
        <v>Algorithms</v>
      </c>
      <c r="H367" s="13" t="str">
        <f>SUBSTITUTE(Github!L$494, ";", ", ")</f>
        <v>Array, Binary Search, Divide and Conquer, Binary Indexed Tree, Segment Tree, Merge Sort, Ordered Set, </v>
      </c>
      <c r="I367" s="10" t="str">
        <f>Github!E$494</f>
        <v>Hard</v>
      </c>
      <c r="J367" s="10" t="str">
        <f>IF(TRIM(Github!D$494)="TRUE","FALSE","TRUE")</f>
        <v>TRUE</v>
      </c>
      <c r="K367" s="10" t="b">
        <f>Github!M$494</f>
        <v>0</v>
      </c>
      <c r="L367" s="10" t="b">
        <f>Github!N$494</f>
        <v>0</v>
      </c>
      <c r="M367" s="10" t="str">
        <f>ROUND(Github!O$494, 2)&amp;"%"</f>
        <v>29.88%</v>
      </c>
      <c r="N367" s="10">
        <f>Github!P$494</f>
        <v>81597</v>
      </c>
      <c r="O367" s="10">
        <f>Github!Q$494</f>
        <v>273050</v>
      </c>
    </row>
    <row r="368">
      <c r="A368" s="10">
        <f>Github!J$136</f>
        <v>135</v>
      </c>
      <c r="B368" s="11" t="str">
        <f>HYPERLINK(CONCAT("http://leetcode.com/problems/",Github!C$136), Github!B$136)</f>
        <v>Candy</v>
      </c>
      <c r="C368" s="10">
        <f>Github!F$136</f>
        <v>2737</v>
      </c>
      <c r="D368" s="10">
        <f>Github!G$136</f>
        <v>248</v>
      </c>
      <c r="E368" s="10">
        <f>Github!F$136+Github!G$136</f>
        <v>2985</v>
      </c>
      <c r="F368" s="12">
        <f t="shared" si="1"/>
        <v>11.04</v>
      </c>
      <c r="G368" s="10" t="str">
        <f>Github!H$136</f>
        <v>Algorithms</v>
      </c>
      <c r="H368" s="13" t="str">
        <f>SUBSTITUTE(Github!L$136, ";", ", ")</f>
        <v>Array, Greedy, </v>
      </c>
      <c r="I368" s="10" t="str">
        <f>Github!E$136</f>
        <v>Hard</v>
      </c>
      <c r="J368" s="10" t="str">
        <f>IF(TRIM(Github!D$136)="TRUE","FALSE","TRUE")</f>
        <v>TRUE</v>
      </c>
      <c r="K368" s="10" t="b">
        <f>Github!M$136</f>
        <v>1</v>
      </c>
      <c r="L368" s="10" t="b">
        <f>Github!N$136</f>
        <v>0</v>
      </c>
      <c r="M368" s="10" t="str">
        <f>ROUND(Github!O$136, 2)&amp;"%"</f>
        <v>37.02%</v>
      </c>
      <c r="N368" s="10">
        <f>Github!P$136</f>
        <v>212011</v>
      </c>
      <c r="O368" s="10">
        <f>Github!Q$136</f>
        <v>572712</v>
      </c>
    </row>
    <row r="369">
      <c r="A369" s="10">
        <f>Github!J$975</f>
        <v>974</v>
      </c>
      <c r="B369" s="11" t="str">
        <f>HYPERLINK(CONCAT("http://leetcode.com/problems/",Github!C$975), Github!B$975)</f>
        <v>Subarray Sums Divisible by K</v>
      </c>
      <c r="C369" s="10">
        <f>Github!F$975</f>
        <v>2738</v>
      </c>
      <c r="D369" s="10">
        <f>Github!G$975</f>
        <v>133</v>
      </c>
      <c r="E369" s="10">
        <f>Github!F$975+Github!G$975</f>
        <v>2871</v>
      </c>
      <c r="F369" s="12">
        <f t="shared" si="1"/>
        <v>20.59</v>
      </c>
      <c r="G369" s="10" t="str">
        <f>Github!H$975</f>
        <v>Algorithms</v>
      </c>
      <c r="H369" s="13" t="str">
        <f>SUBSTITUTE(Github!L$975, ";", ", ")</f>
        <v>Array, Hash Table, Prefix Sum, </v>
      </c>
      <c r="I369" s="10" t="str">
        <f>Github!E$975</f>
        <v>Medium</v>
      </c>
      <c r="J369" s="10" t="str">
        <f>IF(TRIM(Github!D$975)="TRUE","FALSE","TRUE")</f>
        <v>TRUE</v>
      </c>
      <c r="K369" s="10" t="b">
        <f>Github!M$975</f>
        <v>0</v>
      </c>
      <c r="L369" s="10" t="b">
        <f>Github!N$975</f>
        <v>0</v>
      </c>
      <c r="M369" s="10" t="str">
        <f>ROUND(Github!O$975, 2)&amp;"%"</f>
        <v>53.25%</v>
      </c>
      <c r="N369" s="10">
        <f>Github!P$975</f>
        <v>93577</v>
      </c>
      <c r="O369" s="10">
        <f>Github!Q$975</f>
        <v>175746</v>
      </c>
    </row>
    <row r="370">
      <c r="A370" s="10">
        <f>Github!J$169</f>
        <v>168</v>
      </c>
      <c r="B370" s="11" t="str">
        <f>HYPERLINK(CONCAT("http://leetcode.com/problems/",Github!C$169), Github!B$169)</f>
        <v>Excel Sheet Column Title</v>
      </c>
      <c r="C370" s="10">
        <f>Github!F$169</f>
        <v>2738</v>
      </c>
      <c r="D370" s="10">
        <f>Github!G$169</f>
        <v>409</v>
      </c>
      <c r="E370" s="10">
        <f>Github!F$169+Github!G$169</f>
        <v>3147</v>
      </c>
      <c r="F370" s="12">
        <f t="shared" si="1"/>
        <v>6.69</v>
      </c>
      <c r="G370" s="10" t="str">
        <f>Github!H$169</f>
        <v>Algorithms</v>
      </c>
      <c r="H370" s="13" t="str">
        <f>SUBSTITUTE(Github!L$169, ";", ", ")</f>
        <v>Math, String, </v>
      </c>
      <c r="I370" s="10" t="str">
        <f>Github!E$169</f>
        <v>Easy</v>
      </c>
      <c r="J370" s="10" t="str">
        <f>IF(TRIM(Github!D$169)="TRUE","FALSE","TRUE")</f>
        <v>TRUE</v>
      </c>
      <c r="K370" s="10" t="b">
        <f>Github!M$169</f>
        <v>0</v>
      </c>
      <c r="L370" s="10" t="b">
        <f>Github!N$169</f>
        <v>0</v>
      </c>
      <c r="M370" s="10" t="str">
        <f>ROUND(Github!O$169, 2)&amp;"%"</f>
        <v>33.89%</v>
      </c>
      <c r="N370" s="10">
        <f>Github!P$169</f>
        <v>311757</v>
      </c>
      <c r="O370" s="10">
        <f>Github!Q$169</f>
        <v>919947</v>
      </c>
    </row>
    <row r="371">
      <c r="A371" s="10">
        <f>Github!J$584</f>
        <v>583</v>
      </c>
      <c r="B371" s="11" t="str">
        <f>HYPERLINK(CONCAT("http://leetcode.com/problems/",Github!C$584), Github!B$584)</f>
        <v>Delete Operation for Two Strings</v>
      </c>
      <c r="C371" s="10">
        <f>Github!F$584</f>
        <v>2731</v>
      </c>
      <c r="D371" s="10">
        <f>Github!G$584</f>
        <v>45</v>
      </c>
      <c r="E371" s="10">
        <f>Github!F$584+Github!G$584</f>
        <v>2776</v>
      </c>
      <c r="F371" s="12">
        <f t="shared" si="1"/>
        <v>60.69</v>
      </c>
      <c r="G371" s="10" t="str">
        <f>Github!H$584</f>
        <v>Algorithms</v>
      </c>
      <c r="H371" s="13" t="str">
        <f>SUBSTITUTE(Github!L$584, ";", ", ")</f>
        <v>String, Dynamic Programming, </v>
      </c>
      <c r="I371" s="10" t="str">
        <f>Github!E$584</f>
        <v>Medium</v>
      </c>
      <c r="J371" s="10" t="str">
        <f>IF(TRIM(Github!D$584)="TRUE","FALSE","TRUE")</f>
        <v>TRUE</v>
      </c>
      <c r="K371" s="10" t="b">
        <f>Github!M$584</f>
        <v>1</v>
      </c>
      <c r="L371" s="10" t="b">
        <f>Github!N$584</f>
        <v>0</v>
      </c>
      <c r="M371" s="10" t="str">
        <f>ROUND(Github!O$584, 2)&amp;"%"</f>
        <v>55.79%</v>
      </c>
      <c r="N371" s="10">
        <f>Github!P$584</f>
        <v>114312</v>
      </c>
      <c r="O371" s="10">
        <f>Github!Q$584</f>
        <v>204910</v>
      </c>
    </row>
    <row r="372">
      <c r="A372" s="10">
        <f>Github!J$344</f>
        <v>343</v>
      </c>
      <c r="B372" s="11" t="str">
        <f>HYPERLINK(CONCAT("http://leetcode.com/problems/",Github!C$344), Github!B$344)</f>
        <v>Integer Break</v>
      </c>
      <c r="C372" s="10">
        <f>Github!F$344</f>
        <v>2722</v>
      </c>
      <c r="D372" s="10">
        <f>Github!G$344</f>
        <v>325</v>
      </c>
      <c r="E372" s="10">
        <f>Github!F$344+Github!G$344</f>
        <v>3047</v>
      </c>
      <c r="F372" s="12">
        <f t="shared" si="1"/>
        <v>8.38</v>
      </c>
      <c r="G372" s="10" t="str">
        <f>Github!H$344</f>
        <v>Algorithms</v>
      </c>
      <c r="H372" s="13" t="str">
        <f>SUBSTITUTE(Github!L$344, ";", ", ")</f>
        <v>Math, Dynamic Programming, </v>
      </c>
      <c r="I372" s="10" t="str">
        <f>Github!E$344</f>
        <v>Medium</v>
      </c>
      <c r="J372" s="10" t="str">
        <f>IF(TRIM(Github!D$344)="TRUE","FALSE","TRUE")</f>
        <v>TRUE</v>
      </c>
      <c r="K372" s="10" t="b">
        <f>Github!M$344</f>
        <v>0</v>
      </c>
      <c r="L372" s="10" t="b">
        <f>Github!N$344</f>
        <v>0</v>
      </c>
      <c r="M372" s="10" t="str">
        <f>ROUND(Github!O$344, 2)&amp;"%"</f>
        <v>54.1%</v>
      </c>
      <c r="N372" s="10">
        <f>Github!P$344</f>
        <v>184151</v>
      </c>
      <c r="O372" s="10">
        <f>Github!Q$344</f>
        <v>340410</v>
      </c>
    </row>
    <row r="373">
      <c r="A373" s="10">
        <f>Github!J$558</f>
        <v>557</v>
      </c>
      <c r="B373" s="11" t="str">
        <f>HYPERLINK(CONCAT("http://leetcode.com/problems/",Github!C$558), Github!B$558)</f>
        <v>Reverse Words in a String III</v>
      </c>
      <c r="C373" s="10">
        <f>Github!F$558</f>
        <v>2733</v>
      </c>
      <c r="D373" s="10">
        <f>Github!G$558</f>
        <v>163</v>
      </c>
      <c r="E373" s="10">
        <f>Github!F$558+Github!G$558</f>
        <v>2896</v>
      </c>
      <c r="F373" s="12">
        <f t="shared" si="1"/>
        <v>16.77</v>
      </c>
      <c r="G373" s="10" t="str">
        <f>Github!H$558</f>
        <v>Algorithms</v>
      </c>
      <c r="H373" s="13" t="str">
        <f>SUBSTITUTE(Github!L$558, ";", ", ")</f>
        <v>Two Pointers, String, </v>
      </c>
      <c r="I373" s="10" t="str">
        <f>Github!E$558</f>
        <v>Easy</v>
      </c>
      <c r="J373" s="10" t="str">
        <f>IF(TRIM(Github!D$558)="TRUE","FALSE","TRUE")</f>
        <v>TRUE</v>
      </c>
      <c r="K373" s="10" t="b">
        <f>Github!M$558</f>
        <v>1</v>
      </c>
      <c r="L373" s="10" t="b">
        <f>Github!N$558</f>
        <v>0</v>
      </c>
      <c r="M373" s="10" t="str">
        <f>ROUND(Github!O$558, 2)&amp;"%"</f>
        <v>78.67%</v>
      </c>
      <c r="N373" s="10">
        <f>Github!P$558</f>
        <v>437323</v>
      </c>
      <c r="O373" s="10">
        <f>Github!Q$558</f>
        <v>555930</v>
      </c>
    </row>
    <row r="374">
      <c r="A374" s="10">
        <f>Github!J$390</f>
        <v>389</v>
      </c>
      <c r="B374" s="11" t="str">
        <f>HYPERLINK(CONCAT("http://leetcode.com/problems/",Github!C$390), Github!B$390)</f>
        <v>Find the Difference</v>
      </c>
      <c r="C374" s="10">
        <f>Github!F$390</f>
        <v>2726</v>
      </c>
      <c r="D374" s="10">
        <f>Github!G$390</f>
        <v>381</v>
      </c>
      <c r="E374" s="10">
        <f>Github!F$390+Github!G$390</f>
        <v>3107</v>
      </c>
      <c r="F374" s="12">
        <f t="shared" si="1"/>
        <v>7.15</v>
      </c>
      <c r="G374" s="10" t="str">
        <f>Github!H$390</f>
        <v>Algorithms</v>
      </c>
      <c r="H374" s="13" t="str">
        <f>SUBSTITUTE(Github!L$390, ";", ", ")</f>
        <v>Hash Table, String, Bit Manipulation, Sorting, </v>
      </c>
      <c r="I374" s="10" t="str">
        <f>Github!E$390</f>
        <v>Easy</v>
      </c>
      <c r="J374" s="10" t="str">
        <f>IF(TRIM(Github!D$390)="TRUE","FALSE","TRUE")</f>
        <v>TRUE</v>
      </c>
      <c r="K374" s="10" t="b">
        <f>Github!M$390</f>
        <v>1</v>
      </c>
      <c r="L374" s="10" t="b">
        <f>Github!N$390</f>
        <v>0</v>
      </c>
      <c r="M374" s="10" t="str">
        <f>ROUND(Github!O$390, 2)&amp;"%"</f>
        <v>60.54%</v>
      </c>
      <c r="N374" s="10">
        <f>Github!P$390</f>
        <v>387974</v>
      </c>
      <c r="O374" s="10">
        <f>Github!Q$390</f>
        <v>640858</v>
      </c>
    </row>
    <row r="375">
      <c r="A375" s="10">
        <f>Github!J$1722</f>
        <v>1721</v>
      </c>
      <c r="B375" s="11" t="str">
        <f>HYPERLINK(CONCAT("http://leetcode.com/problems/",Github!C$1722), Github!B$1722)</f>
        <v>Swapping Nodes in a Linked List</v>
      </c>
      <c r="C375" s="10">
        <f>Github!F$1722</f>
        <v>2719</v>
      </c>
      <c r="D375" s="10">
        <f>Github!G$1722</f>
        <v>102</v>
      </c>
      <c r="E375" s="10">
        <f>Github!F$1722+Github!G$1722</f>
        <v>2821</v>
      </c>
      <c r="F375" s="12">
        <f t="shared" si="1"/>
        <v>26.66</v>
      </c>
      <c r="G375" s="10" t="str">
        <f>Github!H$1722</f>
        <v>Algorithms</v>
      </c>
      <c r="H375" s="13" t="str">
        <f>SUBSTITUTE(Github!L$1722, ";", ", ")</f>
        <v>Linked List, Two Pointers, </v>
      </c>
      <c r="I375" s="10" t="str">
        <f>Github!E$1722</f>
        <v>Medium</v>
      </c>
      <c r="J375" s="10" t="str">
        <f>IF(TRIM(Github!D$1722)="TRUE","FALSE","TRUE")</f>
        <v>TRUE</v>
      </c>
      <c r="K375" s="10" t="b">
        <f>Github!M$1722</f>
        <v>1</v>
      </c>
      <c r="L375" s="10" t="b">
        <f>Github!N$1722</f>
        <v>0</v>
      </c>
      <c r="M375" s="10" t="str">
        <f>ROUND(Github!O$1722, 2)&amp;"%"</f>
        <v>68.39%</v>
      </c>
      <c r="N375" s="10">
        <f>Github!P$1722</f>
        <v>158852</v>
      </c>
      <c r="O375" s="10">
        <f>Github!Q$1722</f>
        <v>232270</v>
      </c>
    </row>
    <row r="376">
      <c r="A376" s="10">
        <f>Github!J$994</f>
        <v>993</v>
      </c>
      <c r="B376" s="11" t="str">
        <f>HYPERLINK(CONCAT("http://leetcode.com/problems/",Github!C$994), Github!B$994)</f>
        <v>Cousins in Binary Tree</v>
      </c>
      <c r="C376" s="10">
        <f>Github!F$994</f>
        <v>2713</v>
      </c>
      <c r="D376" s="10">
        <f>Github!G$994</f>
        <v>138</v>
      </c>
      <c r="E376" s="10">
        <f>Github!F$994+Github!G$994</f>
        <v>2851</v>
      </c>
      <c r="F376" s="12">
        <f t="shared" si="1"/>
        <v>19.66</v>
      </c>
      <c r="G376" s="10" t="str">
        <f>Github!H$994</f>
        <v>Algorithms</v>
      </c>
      <c r="H376" s="13" t="str">
        <f>SUBSTITUTE(Github!L$994, ";", ", ")</f>
        <v>Tree, Depth-First Search, Breadth-First Search, Binary Tree, </v>
      </c>
      <c r="I376" s="10" t="str">
        <f>Github!E$994</f>
        <v>Easy</v>
      </c>
      <c r="J376" s="10" t="str">
        <f>IF(TRIM(Github!D$994)="TRUE","FALSE","TRUE")</f>
        <v>TRUE</v>
      </c>
      <c r="K376" s="10" t="b">
        <f>Github!M$994</f>
        <v>1</v>
      </c>
      <c r="L376" s="10" t="b">
        <f>Github!N$994</f>
        <v>0</v>
      </c>
      <c r="M376" s="10" t="str">
        <f>ROUND(Github!O$994, 2)&amp;"%"</f>
        <v>53.82%</v>
      </c>
      <c r="N376" s="10">
        <f>Github!P$994</f>
        <v>205563</v>
      </c>
      <c r="O376" s="10">
        <f>Github!Q$994</f>
        <v>381962</v>
      </c>
    </row>
    <row r="377">
      <c r="A377" s="10">
        <f>Github!J$308</f>
        <v>307</v>
      </c>
      <c r="B377" s="11" t="str">
        <f>HYPERLINK(CONCAT("http://leetcode.com/problems/",Github!C$308), Github!B$308)</f>
        <v>Range Sum Query - Mutable</v>
      </c>
      <c r="C377" s="10">
        <f>Github!F$308</f>
        <v>2704</v>
      </c>
      <c r="D377" s="10">
        <f>Github!G$308</f>
        <v>143</v>
      </c>
      <c r="E377" s="10">
        <f>Github!F$308+Github!G$308</f>
        <v>2847</v>
      </c>
      <c r="F377" s="12">
        <f t="shared" si="1"/>
        <v>18.91</v>
      </c>
      <c r="G377" s="10" t="str">
        <f>Github!H$308</f>
        <v>Algorithms</v>
      </c>
      <c r="H377" s="13" t="str">
        <f>SUBSTITUTE(Github!L$308, ";", ", ")</f>
        <v>Array, Design, Binary Indexed Tree, Segment Tree, </v>
      </c>
      <c r="I377" s="10" t="str">
        <f>Github!E$308</f>
        <v>Medium</v>
      </c>
      <c r="J377" s="10" t="str">
        <f>IF(TRIM(Github!D$308)="TRUE","FALSE","TRUE")</f>
        <v>TRUE</v>
      </c>
      <c r="K377" s="10" t="b">
        <f>Github!M$308</f>
        <v>1</v>
      </c>
      <c r="L377" s="10" t="b">
        <f>Github!N$308</f>
        <v>0</v>
      </c>
      <c r="M377" s="10" t="str">
        <f>ROUND(Github!O$308, 2)&amp;"%"</f>
        <v>38.68%</v>
      </c>
      <c r="N377" s="10">
        <f>Github!P$308</f>
        <v>180568</v>
      </c>
      <c r="O377" s="10">
        <f>Github!Q$308</f>
        <v>466780</v>
      </c>
    </row>
    <row r="378">
      <c r="A378" s="10">
        <f>Github!J$30</f>
        <v>29</v>
      </c>
      <c r="B378" s="11" t="str">
        <f>HYPERLINK(CONCAT("http://leetcode.com/problems/",Github!C$30), Github!B$30)</f>
        <v>Divide Two Integers</v>
      </c>
      <c r="C378" s="10">
        <f>Github!F$30</f>
        <v>2692</v>
      </c>
      <c r="D378" s="10">
        <f>Github!G$30</f>
        <v>9429</v>
      </c>
      <c r="E378" s="10">
        <f>Github!F$30+Github!G$30</f>
        <v>12121</v>
      </c>
      <c r="F378" s="12">
        <f t="shared" si="1"/>
        <v>0.29</v>
      </c>
      <c r="G378" s="10" t="str">
        <f>Github!H$30</f>
        <v>Algorithms</v>
      </c>
      <c r="H378" s="13" t="str">
        <f>SUBSTITUTE(Github!L$30, ";", ", ")</f>
        <v>Math, Bit Manipulation, </v>
      </c>
      <c r="I378" s="10" t="str">
        <f>Github!E$30</f>
        <v>Medium</v>
      </c>
      <c r="J378" s="10" t="str">
        <f>IF(TRIM(Github!D$30)="TRUE","FALSE","TRUE")</f>
        <v>TRUE</v>
      </c>
      <c r="K378" s="10" t="b">
        <f>Github!M$30</f>
        <v>1</v>
      </c>
      <c r="L378" s="10" t="b">
        <f>Github!N$30</f>
        <v>0</v>
      </c>
      <c r="M378" s="10" t="str">
        <f>ROUND(Github!O$30, 2)&amp;"%"</f>
        <v>17.01%</v>
      </c>
      <c r="N378" s="10">
        <f>Github!P$30</f>
        <v>465461</v>
      </c>
      <c r="O378" s="10">
        <f>Github!Q$30</f>
        <v>2736391</v>
      </c>
    </row>
    <row r="379">
      <c r="A379" s="10">
        <f>Github!J$408</f>
        <v>407</v>
      </c>
      <c r="B379" s="11" t="str">
        <f>HYPERLINK(CONCAT("http://leetcode.com/problems/",Github!C$408), Github!B$408)</f>
        <v>Trapping Rain Water II</v>
      </c>
      <c r="C379" s="10">
        <f>Github!F$408</f>
        <v>2687</v>
      </c>
      <c r="D379" s="10">
        <f>Github!G$408</f>
        <v>60</v>
      </c>
      <c r="E379" s="10">
        <f>Github!F$408+Github!G$408</f>
        <v>2747</v>
      </c>
      <c r="F379" s="12">
        <f t="shared" si="1"/>
        <v>44.78</v>
      </c>
      <c r="G379" s="10" t="str">
        <f>Github!H$408</f>
        <v>Algorithms</v>
      </c>
      <c r="H379" s="13" t="str">
        <f>SUBSTITUTE(Github!L$408, ";", ", ")</f>
        <v>Array, Breadth-First Search, Heap (Priority Queue), Matrix, </v>
      </c>
      <c r="I379" s="10" t="str">
        <f>Github!E$408</f>
        <v>Hard</v>
      </c>
      <c r="J379" s="10" t="str">
        <f>IF(TRIM(Github!D$408)="TRUE","FALSE","TRUE")</f>
        <v>TRUE</v>
      </c>
      <c r="K379" s="10" t="b">
        <f>Github!M$408</f>
        <v>0</v>
      </c>
      <c r="L379" s="10" t="b">
        <f>Github!N$408</f>
        <v>0</v>
      </c>
      <c r="M379" s="10" t="str">
        <f>ROUND(Github!O$408, 2)&amp;"%"</f>
        <v>46.97%</v>
      </c>
      <c r="N379" s="10">
        <f>Github!P$408</f>
        <v>68601</v>
      </c>
      <c r="O379" s="10">
        <f>Github!Q$408</f>
        <v>146067</v>
      </c>
    </row>
    <row r="380">
      <c r="A380" s="10">
        <f>Github!J$94</f>
        <v>93</v>
      </c>
      <c r="B380" s="11" t="str">
        <f>HYPERLINK(CONCAT("http://leetcode.com/problems/",Github!C$94), Github!B$94)</f>
        <v>Restore IP Addresses</v>
      </c>
      <c r="C380" s="10">
        <f>Github!F$94</f>
        <v>2671</v>
      </c>
      <c r="D380" s="10">
        <f>Github!G$94</f>
        <v>627</v>
      </c>
      <c r="E380" s="10">
        <f>Github!F$94+Github!G$94</f>
        <v>3298</v>
      </c>
      <c r="F380" s="12">
        <f t="shared" si="1"/>
        <v>4.26</v>
      </c>
      <c r="G380" s="10" t="str">
        <f>Github!H$94</f>
        <v>Algorithms</v>
      </c>
      <c r="H380" s="13" t="str">
        <f>SUBSTITUTE(Github!L$94, ";", ", ")</f>
        <v>String, Backtracking, </v>
      </c>
      <c r="I380" s="10" t="str">
        <f>Github!E$94</f>
        <v>Medium</v>
      </c>
      <c r="J380" s="10" t="str">
        <f>IF(TRIM(Github!D$94)="TRUE","FALSE","TRUE")</f>
        <v>TRUE</v>
      </c>
      <c r="K380" s="10" t="b">
        <f>Github!M$94</f>
        <v>1</v>
      </c>
      <c r="L380" s="10" t="b">
        <f>Github!N$94</f>
        <v>0</v>
      </c>
      <c r="M380" s="10" t="str">
        <f>ROUND(Github!O$94, 2)&amp;"%"</f>
        <v>41.81%</v>
      </c>
      <c r="N380" s="10">
        <f>Github!P$94</f>
        <v>296211</v>
      </c>
      <c r="O380" s="10">
        <f>Github!Q$94</f>
        <v>708547</v>
      </c>
    </row>
    <row r="381">
      <c r="A381" s="10">
        <f>Github!J$1307</f>
        <v>1306</v>
      </c>
      <c r="B381" s="11" t="str">
        <f>HYPERLINK(CONCAT("http://leetcode.com/problems/",Github!C$1307), Github!B$1307)</f>
        <v>Jump Game III</v>
      </c>
      <c r="C381" s="10">
        <f>Github!F$1307</f>
        <v>2657</v>
      </c>
      <c r="D381" s="10">
        <f>Github!G$1307</f>
        <v>65</v>
      </c>
      <c r="E381" s="10">
        <f>Github!F$1307+Github!G$1307</f>
        <v>2722</v>
      </c>
      <c r="F381" s="12">
        <f t="shared" si="1"/>
        <v>40.88</v>
      </c>
      <c r="G381" s="10" t="str">
        <f>Github!H$1307</f>
        <v>Algorithms</v>
      </c>
      <c r="H381" s="13" t="str">
        <f>SUBSTITUTE(Github!L$1307, ";", ", ")</f>
        <v>Array, Depth-First Search, Breadth-First Search, </v>
      </c>
      <c r="I381" s="10" t="str">
        <f>Github!E$1307</f>
        <v>Medium</v>
      </c>
      <c r="J381" s="10" t="str">
        <f>IF(TRIM(Github!D$1307)="TRUE","FALSE","TRUE")</f>
        <v>TRUE</v>
      </c>
      <c r="K381" s="10" t="b">
        <f>Github!M$1307</f>
        <v>1</v>
      </c>
      <c r="L381" s="10" t="b">
        <f>Github!N$1307</f>
        <v>1</v>
      </c>
      <c r="M381" s="10" t="str">
        <f>ROUND(Github!O$1307, 2)&amp;"%"</f>
        <v>62.78%</v>
      </c>
      <c r="N381" s="10">
        <f>Github!P$1307</f>
        <v>143111</v>
      </c>
      <c r="O381" s="10">
        <f>Github!Q$1307</f>
        <v>227961</v>
      </c>
    </row>
    <row r="382">
      <c r="A382" s="10">
        <f>Github!J$906</f>
        <v>905</v>
      </c>
      <c r="B382" s="11" t="str">
        <f>HYPERLINK(CONCAT("http://leetcode.com/problems/",Github!C$906), Github!B$906)</f>
        <v>Sort Array By Parity</v>
      </c>
      <c r="C382" s="10">
        <f>Github!F$906</f>
        <v>2656</v>
      </c>
      <c r="D382" s="10">
        <f>Github!G$906</f>
        <v>111</v>
      </c>
      <c r="E382" s="10">
        <f>Github!F$906+Github!G$906</f>
        <v>2767</v>
      </c>
      <c r="F382" s="12">
        <f t="shared" si="1"/>
        <v>23.93</v>
      </c>
      <c r="G382" s="10" t="str">
        <f>Github!H$906</f>
        <v>Algorithms</v>
      </c>
      <c r="H382" s="13" t="str">
        <f>SUBSTITUTE(Github!L$906, ";", ", ")</f>
        <v>Array, Two Pointers, Sorting, </v>
      </c>
      <c r="I382" s="10" t="str">
        <f>Github!E$906</f>
        <v>Easy</v>
      </c>
      <c r="J382" s="10" t="str">
        <f>IF(TRIM(Github!D$906)="TRUE","FALSE","TRUE")</f>
        <v>TRUE</v>
      </c>
      <c r="K382" s="10" t="b">
        <f>Github!M$906</f>
        <v>1</v>
      </c>
      <c r="L382" s="10" t="b">
        <f>Github!N$906</f>
        <v>0</v>
      </c>
      <c r="M382" s="10" t="str">
        <f>ROUND(Github!O$906, 2)&amp;"%"</f>
        <v>74.81%</v>
      </c>
      <c r="N382" s="10">
        <f>Github!P$906</f>
        <v>437441</v>
      </c>
      <c r="O382" s="10">
        <f>Github!Q$906</f>
        <v>584698</v>
      </c>
    </row>
    <row r="383">
      <c r="A383" s="10">
        <f>Github!J$450</f>
        <v>449</v>
      </c>
      <c r="B383" s="11" t="str">
        <f>HYPERLINK(CONCAT("http://leetcode.com/problems/",Github!C$450), Github!B$450)</f>
        <v>Serialize and Deserialize BST</v>
      </c>
      <c r="C383" s="10">
        <f>Github!F$450</f>
        <v>2656</v>
      </c>
      <c r="D383" s="10">
        <f>Github!G$450</f>
        <v>132</v>
      </c>
      <c r="E383" s="10">
        <f>Github!F$450+Github!G$450</f>
        <v>2788</v>
      </c>
      <c r="F383" s="12">
        <f t="shared" si="1"/>
        <v>20.12</v>
      </c>
      <c r="G383" s="10" t="str">
        <f>Github!H$450</f>
        <v>Algorithms</v>
      </c>
      <c r="H383" s="13" t="str">
        <f>SUBSTITUTE(Github!L$450, ";", ", ")</f>
        <v>String, Tree, Depth-First Search, Breadth-First Search, Design, Binary Search Tree, Binary Tree, </v>
      </c>
      <c r="I383" s="10" t="str">
        <f>Github!E$450</f>
        <v>Medium</v>
      </c>
      <c r="J383" s="10" t="str">
        <f>IF(TRIM(Github!D$450)="TRUE","FALSE","TRUE")</f>
        <v>TRUE</v>
      </c>
      <c r="K383" s="10" t="b">
        <f>Github!M$450</f>
        <v>1</v>
      </c>
      <c r="L383" s="10" t="b">
        <f>Github!N$450</f>
        <v>0</v>
      </c>
      <c r="M383" s="10" t="str">
        <f>ROUND(Github!O$450, 2)&amp;"%"</f>
        <v>56.17%</v>
      </c>
      <c r="N383" s="10">
        <f>Github!P$450</f>
        <v>192091</v>
      </c>
      <c r="O383" s="10">
        <f>Github!Q$450</f>
        <v>342003</v>
      </c>
    </row>
    <row r="384">
      <c r="A384" s="10">
        <f>Github!J$497</f>
        <v>496</v>
      </c>
      <c r="B384" s="11" t="str">
        <f>HYPERLINK(CONCAT("http://leetcode.com/problems/",Github!C$497), Github!B$497)</f>
        <v>Next Greater Element I</v>
      </c>
      <c r="C384" s="10">
        <f>Github!F$497</f>
        <v>2684</v>
      </c>
      <c r="D384" s="10">
        <f>Github!G$497</f>
        <v>180</v>
      </c>
      <c r="E384" s="10">
        <f>Github!F$497+Github!G$497</f>
        <v>2864</v>
      </c>
      <c r="F384" s="12">
        <f t="shared" si="1"/>
        <v>14.91</v>
      </c>
      <c r="G384" s="10" t="str">
        <f>Github!H$497</f>
        <v>Algorithms</v>
      </c>
      <c r="H384" s="13" t="str">
        <f>SUBSTITUTE(Github!L$497, ";", ", ")</f>
        <v>Array, Hash Table, Stack, Monotonic Stack, </v>
      </c>
      <c r="I384" s="10" t="str">
        <f>Github!E$497</f>
        <v>Easy</v>
      </c>
      <c r="J384" s="10" t="str">
        <f>IF(TRIM(Github!D$497)="TRUE","FALSE","TRUE")</f>
        <v>TRUE</v>
      </c>
      <c r="K384" s="10" t="b">
        <f>Github!M$497</f>
        <v>1</v>
      </c>
      <c r="L384" s="10" t="b">
        <f>Github!N$497</f>
        <v>0</v>
      </c>
      <c r="M384" s="10" t="str">
        <f>ROUND(Github!O$497, 2)&amp;"%"</f>
        <v>70.03%</v>
      </c>
      <c r="N384" s="10">
        <f>Github!P$497</f>
        <v>351875</v>
      </c>
      <c r="O384" s="10">
        <f>Github!Q$497</f>
        <v>502451</v>
      </c>
    </row>
    <row r="385">
      <c r="A385" s="10">
        <f>Github!J$629</f>
        <v>628</v>
      </c>
      <c r="B385" s="11" t="str">
        <f>HYPERLINK(CONCAT("http://leetcode.com/problems/",Github!C$629), Github!B$629)</f>
        <v>Maximum Product of Three Numbers</v>
      </c>
      <c r="C385" s="10">
        <f>Github!F$629</f>
        <v>2649</v>
      </c>
      <c r="D385" s="10">
        <f>Github!G$629</f>
        <v>522</v>
      </c>
      <c r="E385" s="10">
        <f>Github!F$629+Github!G$629</f>
        <v>3171</v>
      </c>
      <c r="F385" s="12">
        <f t="shared" si="1"/>
        <v>5.07</v>
      </c>
      <c r="G385" s="10" t="str">
        <f>Github!H$629</f>
        <v>Algorithms</v>
      </c>
      <c r="H385" s="13" t="str">
        <f>SUBSTITUTE(Github!L$629, ";", ", ")</f>
        <v>Array, Math, Sorting, </v>
      </c>
      <c r="I385" s="10" t="str">
        <f>Github!E$629</f>
        <v>Easy</v>
      </c>
      <c r="J385" s="10" t="str">
        <f>IF(TRIM(Github!D$629)="TRUE","FALSE","TRUE")</f>
        <v>TRUE</v>
      </c>
      <c r="K385" s="10" t="b">
        <f>Github!M$629</f>
        <v>1</v>
      </c>
      <c r="L385" s="10" t="b">
        <f>Github!N$629</f>
        <v>0</v>
      </c>
      <c r="M385" s="10" t="str">
        <f>ROUND(Github!O$629, 2)&amp;"%"</f>
        <v>46.74%</v>
      </c>
      <c r="N385" s="10">
        <f>Github!P$629</f>
        <v>206147</v>
      </c>
      <c r="O385" s="10">
        <f>Github!Q$629</f>
        <v>441042</v>
      </c>
    </row>
    <row r="386">
      <c r="A386" s="10">
        <f>Github!J$377</f>
        <v>376</v>
      </c>
      <c r="B386" s="11" t="str">
        <f>HYPERLINK(CONCAT("http://leetcode.com/problems/",Github!C$377), Github!B$377)</f>
        <v>Wiggle Subsequence</v>
      </c>
      <c r="C386" s="10">
        <f>Github!F$377</f>
        <v>2636</v>
      </c>
      <c r="D386" s="10">
        <f>Github!G$377</f>
        <v>93</v>
      </c>
      <c r="E386" s="10">
        <f>Github!F$377+Github!G$377</f>
        <v>2729</v>
      </c>
      <c r="F386" s="12">
        <f t="shared" si="1"/>
        <v>28.34</v>
      </c>
      <c r="G386" s="10" t="str">
        <f>Github!H$377</f>
        <v>Algorithms</v>
      </c>
      <c r="H386" s="13" t="str">
        <f>SUBSTITUTE(Github!L$377, ";", ", ")</f>
        <v>Array, Dynamic Programming, Greedy, </v>
      </c>
      <c r="I386" s="10" t="str">
        <f>Github!E$377</f>
        <v>Medium</v>
      </c>
      <c r="J386" s="10" t="str">
        <f>IF(TRIM(Github!D$377)="TRUE","FALSE","TRUE")</f>
        <v>TRUE</v>
      </c>
      <c r="K386" s="10" t="b">
        <f>Github!M$377</f>
        <v>1</v>
      </c>
      <c r="L386" s="10" t="b">
        <f>Github!N$377</f>
        <v>0</v>
      </c>
      <c r="M386" s="10" t="str">
        <f>ROUND(Github!O$377, 2)&amp;"%"</f>
        <v>44.91%</v>
      </c>
      <c r="N386" s="10">
        <f>Github!P$377</f>
        <v>136268</v>
      </c>
      <c r="O386" s="10">
        <f>Github!Q$377</f>
        <v>303450</v>
      </c>
    </row>
    <row r="387">
      <c r="A387" s="10">
        <f>Github!J$337</f>
        <v>336</v>
      </c>
      <c r="B387" s="11" t="str">
        <f>HYPERLINK(CONCAT("http://leetcode.com/problems/",Github!C$337), Github!B$337)</f>
        <v>Palindrome Pairs</v>
      </c>
      <c r="C387" s="10">
        <f>Github!F$337</f>
        <v>2639</v>
      </c>
      <c r="D387" s="10">
        <f>Github!G$337</f>
        <v>248</v>
      </c>
      <c r="E387" s="10">
        <f>Github!F$337+Github!G$337</f>
        <v>2887</v>
      </c>
      <c r="F387" s="12">
        <f t="shared" si="1"/>
        <v>10.64</v>
      </c>
      <c r="G387" s="10" t="str">
        <f>Github!H$337</f>
        <v>Algorithms</v>
      </c>
      <c r="H387" s="13" t="str">
        <f>SUBSTITUTE(Github!L$337, ";", ", ")</f>
        <v>Array, Hash Table, String, Trie, </v>
      </c>
      <c r="I387" s="10" t="str">
        <f>Github!E$337</f>
        <v>Hard</v>
      </c>
      <c r="J387" s="10" t="str">
        <f>IF(TRIM(Github!D$337)="TRUE","FALSE","TRUE")</f>
        <v>TRUE</v>
      </c>
      <c r="K387" s="10" t="b">
        <f>Github!M$337</f>
        <v>1</v>
      </c>
      <c r="L387" s="10" t="b">
        <f>Github!N$337</f>
        <v>0</v>
      </c>
      <c r="M387" s="10" t="str">
        <f>ROUND(Github!O$337, 2)&amp;"%"</f>
        <v>35.82%</v>
      </c>
      <c r="N387" s="10">
        <f>Github!P$337</f>
        <v>147256</v>
      </c>
      <c r="O387" s="10">
        <f>Github!Q$337</f>
        <v>411068</v>
      </c>
    </row>
    <row r="388">
      <c r="A388" s="10">
        <f>Github!J$969</f>
        <v>968</v>
      </c>
      <c r="B388" s="11" t="str">
        <f>HYPERLINK(CONCAT("http://leetcode.com/problems/",Github!C$969), Github!B$969)</f>
        <v>Binary Tree Cameras</v>
      </c>
      <c r="C388" s="10">
        <f>Github!F$969</f>
        <v>2628</v>
      </c>
      <c r="D388" s="10">
        <f>Github!G$969</f>
        <v>33</v>
      </c>
      <c r="E388" s="10">
        <f>Github!F$969+Github!G$969</f>
        <v>2661</v>
      </c>
      <c r="F388" s="12">
        <f t="shared" si="1"/>
        <v>79.64</v>
      </c>
      <c r="G388" s="10" t="str">
        <f>Github!H$969</f>
        <v>Algorithms</v>
      </c>
      <c r="H388" s="13" t="str">
        <f>SUBSTITUTE(Github!L$969, ";", ", ")</f>
        <v>Dynamic Programming, Tree, Depth-First Search, Binary Tree, </v>
      </c>
      <c r="I388" s="10" t="str">
        <f>Github!E$969</f>
        <v>Hard</v>
      </c>
      <c r="J388" s="10" t="str">
        <f>IF(TRIM(Github!D$969)="TRUE","FALSE","TRUE")</f>
        <v>TRUE</v>
      </c>
      <c r="K388" s="10" t="b">
        <f>Github!M$969</f>
        <v>1</v>
      </c>
      <c r="L388" s="10" t="b">
        <f>Github!N$969</f>
        <v>0</v>
      </c>
      <c r="M388" s="10" t="str">
        <f>ROUND(Github!O$969, 2)&amp;"%"</f>
        <v>41.89%</v>
      </c>
      <c r="N388" s="10">
        <f>Github!P$969</f>
        <v>63931</v>
      </c>
      <c r="O388" s="10">
        <f>Github!Q$969</f>
        <v>152610</v>
      </c>
    </row>
    <row r="389">
      <c r="A389" s="10">
        <f>Github!J$410</f>
        <v>409</v>
      </c>
      <c r="B389" s="11" t="str">
        <f>HYPERLINK(CONCAT("http://leetcode.com/problems/",Github!C$410), Github!B$410)</f>
        <v>Longest Palindrome</v>
      </c>
      <c r="C389" s="10">
        <f>Github!F$410</f>
        <v>2622</v>
      </c>
      <c r="D389" s="10">
        <f>Github!G$410</f>
        <v>154</v>
      </c>
      <c r="E389" s="10">
        <f>Github!F$410+Github!G$410</f>
        <v>2776</v>
      </c>
      <c r="F389" s="12">
        <f t="shared" si="1"/>
        <v>17.03</v>
      </c>
      <c r="G389" s="10" t="str">
        <f>Github!H$410</f>
        <v>Algorithms</v>
      </c>
      <c r="H389" s="13" t="str">
        <f>SUBSTITUTE(Github!L$410, ";", ", ")</f>
        <v>Hash Table, String, Greedy, </v>
      </c>
      <c r="I389" s="10" t="str">
        <f>Github!E$410</f>
        <v>Easy</v>
      </c>
      <c r="J389" s="10" t="str">
        <f>IF(TRIM(Github!D$410)="TRUE","FALSE","TRUE")</f>
        <v>TRUE</v>
      </c>
      <c r="K389" s="10" t="b">
        <f>Github!M$410</f>
        <v>1</v>
      </c>
      <c r="L389" s="10" t="b">
        <f>Github!N$410</f>
        <v>0</v>
      </c>
      <c r="M389" s="10" t="str">
        <f>ROUND(Github!O$410, 2)&amp;"%"</f>
        <v>53.57%</v>
      </c>
      <c r="N389" s="10">
        <f>Github!P$410</f>
        <v>268462</v>
      </c>
      <c r="O389" s="10">
        <f>Github!Q$410</f>
        <v>501171</v>
      </c>
    </row>
    <row r="390">
      <c r="A390" s="10">
        <f>Github!J$707</f>
        <v>706</v>
      </c>
      <c r="B390" s="11" t="str">
        <f>HYPERLINK(CONCAT("http://leetcode.com/problems/",Github!C$707), Github!B$707)</f>
        <v>Design HashMap</v>
      </c>
      <c r="C390" s="10">
        <f>Github!F$707</f>
        <v>3149</v>
      </c>
      <c r="D390" s="10">
        <f>Github!G$707</f>
        <v>308</v>
      </c>
      <c r="E390" s="10">
        <f>Github!F$707+Github!G$707</f>
        <v>3457</v>
      </c>
      <c r="F390" s="12">
        <f t="shared" si="1"/>
        <v>10.22</v>
      </c>
      <c r="G390" s="10" t="str">
        <f>Github!H$707</f>
        <v>Algorithms</v>
      </c>
      <c r="H390" s="13" t="str">
        <f>SUBSTITUTE(Github!L$707, ";", ", ")</f>
        <v>Array, Hash Table, Linked List, Design, Hash Function, </v>
      </c>
      <c r="I390" s="10" t="str">
        <f>Github!E$707</f>
        <v>Easy</v>
      </c>
      <c r="J390" s="10" t="str">
        <f>IF(TRIM(Github!D$707)="TRUE","FALSE","TRUE")</f>
        <v>TRUE</v>
      </c>
      <c r="K390" s="10" t="b">
        <f>Github!M$707</f>
        <v>1</v>
      </c>
      <c r="L390" s="10" t="b">
        <f>Github!N$707</f>
        <v>0</v>
      </c>
      <c r="M390" s="10" t="str">
        <f>ROUND(Github!O$707, 2)&amp;"%"</f>
        <v>65.27%</v>
      </c>
      <c r="N390" s="10">
        <f>Github!P$707</f>
        <v>326061</v>
      </c>
      <c r="O390" s="10">
        <f>Github!Q$707</f>
        <v>499569</v>
      </c>
    </row>
    <row r="391">
      <c r="A391" s="10">
        <f>Github!J$902</f>
        <v>901</v>
      </c>
      <c r="B391" s="11" t="str">
        <f>HYPERLINK(CONCAT("http://leetcode.com/problems/",Github!C$902), Github!B$902)</f>
        <v>Online Stock Span</v>
      </c>
      <c r="C391" s="10">
        <f>Github!F$902</f>
        <v>2604</v>
      </c>
      <c r="D391" s="10">
        <f>Github!G$902</f>
        <v>207</v>
      </c>
      <c r="E391" s="10">
        <f>Github!F$902+Github!G$902</f>
        <v>2811</v>
      </c>
      <c r="F391" s="12">
        <f t="shared" si="1"/>
        <v>12.58</v>
      </c>
      <c r="G391" s="10" t="str">
        <f>Github!H$902</f>
        <v>Algorithms</v>
      </c>
      <c r="H391" s="13" t="str">
        <f>SUBSTITUTE(Github!L$902, ";", ", ")</f>
        <v>Stack, Design, Monotonic Stack, Data Stream, </v>
      </c>
      <c r="I391" s="10" t="str">
        <f>Github!E$902</f>
        <v>Medium</v>
      </c>
      <c r="J391" s="10" t="str">
        <f>IF(TRIM(Github!D$902)="TRUE","FALSE","TRUE")</f>
        <v>TRUE</v>
      </c>
      <c r="K391" s="10" t="b">
        <f>Github!M$902</f>
        <v>0</v>
      </c>
      <c r="L391" s="10" t="b">
        <f>Github!N$902</f>
        <v>0</v>
      </c>
      <c r="M391" s="10" t="str">
        <f>ROUND(Github!O$902, 2)&amp;"%"</f>
        <v>63.08%</v>
      </c>
      <c r="N391" s="10">
        <f>Github!P$902</f>
        <v>123380</v>
      </c>
      <c r="O391" s="10">
        <f>Github!Q$902</f>
        <v>195605</v>
      </c>
    </row>
    <row r="392">
      <c r="A392" s="10">
        <f>Github!J$1210</f>
        <v>1209</v>
      </c>
      <c r="B392" s="11" t="str">
        <f>HYPERLINK(CONCAT("http://leetcode.com/problems/",Github!C$1210), Github!B$1210)</f>
        <v>Remove All Adjacent Duplicates in String II</v>
      </c>
      <c r="C392" s="10">
        <f>Github!F$1210</f>
        <v>2598</v>
      </c>
      <c r="D392" s="10">
        <f>Github!G$1210</f>
        <v>50</v>
      </c>
      <c r="E392" s="10">
        <f>Github!F$1210+Github!G$1210</f>
        <v>2648</v>
      </c>
      <c r="F392" s="12">
        <f t="shared" si="1"/>
        <v>51.96</v>
      </c>
      <c r="G392" s="10" t="str">
        <f>Github!H$1210</f>
        <v>Algorithms</v>
      </c>
      <c r="H392" s="13" t="str">
        <f>SUBSTITUTE(Github!L$1210, ";", ", ")</f>
        <v>String, Stack, </v>
      </c>
      <c r="I392" s="10" t="str">
        <f>Github!E$1210</f>
        <v>Medium</v>
      </c>
      <c r="J392" s="10" t="str">
        <f>IF(TRIM(Github!D$1210)="TRUE","FALSE","TRUE")</f>
        <v>TRUE</v>
      </c>
      <c r="K392" s="10" t="b">
        <f>Github!M$1210</f>
        <v>1</v>
      </c>
      <c r="L392" s="10" t="b">
        <f>Github!N$1210</f>
        <v>0</v>
      </c>
      <c r="M392" s="10" t="str">
        <f>ROUND(Github!O$1210, 2)&amp;"%"</f>
        <v>55.96%</v>
      </c>
      <c r="N392" s="10">
        <f>Github!P$1210</f>
        <v>158078</v>
      </c>
      <c r="O392" s="10">
        <f>Github!Q$1210</f>
        <v>282495</v>
      </c>
    </row>
    <row r="393">
      <c r="A393" s="10">
        <f>Github!J$742</f>
        <v>741</v>
      </c>
      <c r="B393" s="11" t="str">
        <f>HYPERLINK(CONCAT("http://leetcode.com/problems/",Github!C$742), Github!B$742)</f>
        <v>Cherry Pickup</v>
      </c>
      <c r="C393" s="10">
        <f>Github!F$742</f>
        <v>2576</v>
      </c>
      <c r="D393" s="10">
        <f>Github!G$742</f>
        <v>120</v>
      </c>
      <c r="E393" s="10">
        <f>Github!F$742+Github!G$742</f>
        <v>2696</v>
      </c>
      <c r="F393" s="12">
        <f t="shared" si="1"/>
        <v>21.47</v>
      </c>
      <c r="G393" s="10" t="str">
        <f>Github!H$742</f>
        <v>Algorithms</v>
      </c>
      <c r="H393" s="13" t="str">
        <f>SUBSTITUTE(Github!L$742, ";", ", ")</f>
        <v>Array, Dynamic Programming, Matrix, </v>
      </c>
      <c r="I393" s="10" t="str">
        <f>Github!E$742</f>
        <v>Hard</v>
      </c>
      <c r="J393" s="10" t="str">
        <f>IF(TRIM(Github!D$742)="TRUE","FALSE","TRUE")</f>
        <v>TRUE</v>
      </c>
      <c r="K393" s="10" t="b">
        <f>Github!M$742</f>
        <v>1</v>
      </c>
      <c r="L393" s="10" t="b">
        <f>Github!N$742</f>
        <v>0</v>
      </c>
      <c r="M393" s="10" t="str">
        <f>ROUND(Github!O$742, 2)&amp;"%"</f>
        <v>36.21%</v>
      </c>
      <c r="N393" s="10">
        <f>Github!P$742</f>
        <v>52738</v>
      </c>
      <c r="O393" s="10">
        <f>Github!Q$742</f>
        <v>145629</v>
      </c>
    </row>
    <row r="394">
      <c r="A394" s="10">
        <f>Github!J$533</f>
        <v>532</v>
      </c>
      <c r="B394" s="11" t="str">
        <f>HYPERLINK(CONCAT("http://leetcode.com/problems/",Github!C$533), Github!B$533)</f>
        <v>K-diff Pairs in an Array</v>
      </c>
      <c r="C394" s="10">
        <f>Github!F$533</f>
        <v>2568</v>
      </c>
      <c r="D394" s="10">
        <f>Github!G$533</f>
        <v>2050</v>
      </c>
      <c r="E394" s="10">
        <f>Github!F$533+Github!G$533</f>
        <v>4618</v>
      </c>
      <c r="F394" s="12">
        <f t="shared" si="1"/>
        <v>1.25</v>
      </c>
      <c r="G394" s="10" t="str">
        <f>Github!H$533</f>
        <v>Algorithms</v>
      </c>
      <c r="H394" s="13" t="str">
        <f>SUBSTITUTE(Github!L$533, ";", ", ")</f>
        <v>Array, Hash Table, Two Pointers, Binary Search, Sorting, </v>
      </c>
      <c r="I394" s="10" t="str">
        <f>Github!E$533</f>
        <v>Medium</v>
      </c>
      <c r="J394" s="10" t="str">
        <f>IF(TRIM(Github!D$533)="TRUE","FALSE","TRUE")</f>
        <v>TRUE</v>
      </c>
      <c r="K394" s="10" t="b">
        <f>Github!M$533</f>
        <v>1</v>
      </c>
      <c r="L394" s="10" t="b">
        <f>Github!N$533</f>
        <v>0</v>
      </c>
      <c r="M394" s="10" t="str">
        <f>ROUND(Github!O$533, 2)&amp;"%"</f>
        <v>40.12%</v>
      </c>
      <c r="N394" s="10">
        <f>Github!P$533</f>
        <v>252356</v>
      </c>
      <c r="O394" s="10">
        <f>Github!Q$533</f>
        <v>628956</v>
      </c>
    </row>
    <row r="395">
      <c r="A395" s="10">
        <f>Github!J$651</f>
        <v>650</v>
      </c>
      <c r="B395" s="11" t="str">
        <f>HYPERLINK(CONCAT("http://leetcode.com/problems/",Github!C$651), Github!B$651)</f>
        <v>2 Keys Keyboard</v>
      </c>
      <c r="C395" s="10">
        <f>Github!F$651</f>
        <v>2563</v>
      </c>
      <c r="D395" s="10">
        <f>Github!G$651</f>
        <v>158</v>
      </c>
      <c r="E395" s="10">
        <f>Github!F$651+Github!G$651</f>
        <v>2721</v>
      </c>
      <c r="F395" s="12">
        <f t="shared" si="1"/>
        <v>16.22</v>
      </c>
      <c r="G395" s="10" t="str">
        <f>Github!H$651</f>
        <v>Algorithms</v>
      </c>
      <c r="H395" s="13" t="str">
        <f>SUBSTITUTE(Github!L$651, ";", ", ")</f>
        <v>Math, Dynamic Programming, </v>
      </c>
      <c r="I395" s="10" t="str">
        <f>Github!E$651</f>
        <v>Medium</v>
      </c>
      <c r="J395" s="10" t="str">
        <f>IF(TRIM(Github!D$651)="TRUE","FALSE","TRUE")</f>
        <v>TRUE</v>
      </c>
      <c r="K395" s="10" t="b">
        <f>Github!M$651</f>
        <v>1</v>
      </c>
      <c r="L395" s="10" t="b">
        <f>Github!N$651</f>
        <v>0</v>
      </c>
      <c r="M395" s="10" t="str">
        <f>ROUND(Github!O$651, 2)&amp;"%"</f>
        <v>52.34%</v>
      </c>
      <c r="N395" s="10">
        <f>Github!P$651</f>
        <v>98943</v>
      </c>
      <c r="O395" s="10">
        <f>Github!Q$651</f>
        <v>189040</v>
      </c>
    </row>
    <row r="396">
      <c r="A396" s="10">
        <f>Github!J$850</f>
        <v>849</v>
      </c>
      <c r="B396" s="11" t="str">
        <f>HYPERLINK(CONCAT("http://leetcode.com/problems/",Github!C$850), Github!B$850)</f>
        <v>Maximize Distance to Closest Person</v>
      </c>
      <c r="C396" s="10">
        <f>Github!F$850</f>
        <v>2569</v>
      </c>
      <c r="D396" s="10">
        <f>Github!G$850</f>
        <v>163</v>
      </c>
      <c r="E396" s="10">
        <f>Github!F$850+Github!G$850</f>
        <v>2732</v>
      </c>
      <c r="F396" s="12">
        <f t="shared" si="1"/>
        <v>15.76</v>
      </c>
      <c r="G396" s="10" t="str">
        <f>Github!H$850</f>
        <v>Algorithms</v>
      </c>
      <c r="H396" s="13" t="str">
        <f>SUBSTITUTE(Github!L$850, ";", ", ")</f>
        <v>Array, </v>
      </c>
      <c r="I396" s="10" t="str">
        <f>Github!E$850</f>
        <v>Medium</v>
      </c>
      <c r="J396" s="10" t="str">
        <f>IF(TRIM(Github!D$850)="TRUE","FALSE","TRUE")</f>
        <v>TRUE</v>
      </c>
      <c r="K396" s="10" t="b">
        <f>Github!M$850</f>
        <v>1</v>
      </c>
      <c r="L396" s="10" t="b">
        <f>Github!N$850</f>
        <v>0</v>
      </c>
      <c r="M396" s="10" t="str">
        <f>ROUND(Github!O$850, 2)&amp;"%"</f>
        <v>47.4%</v>
      </c>
      <c r="N396" s="10">
        <f>Github!P$850</f>
        <v>171731</v>
      </c>
      <c r="O396" s="10">
        <f>Github!Q$850</f>
        <v>362296</v>
      </c>
    </row>
    <row r="397">
      <c r="A397" s="10">
        <f>Github!J$895</f>
        <v>894</v>
      </c>
      <c r="B397" s="11" t="str">
        <f>HYPERLINK(CONCAT("http://leetcode.com/problems/",Github!C$895), Github!B$895)</f>
        <v>All Possible Full Binary Trees</v>
      </c>
      <c r="C397" s="10">
        <f>Github!F$895</f>
        <v>2575</v>
      </c>
      <c r="D397" s="10">
        <f>Github!G$895</f>
        <v>192</v>
      </c>
      <c r="E397" s="10">
        <f>Github!F$895+Github!G$895</f>
        <v>2767</v>
      </c>
      <c r="F397" s="12">
        <f t="shared" si="1"/>
        <v>13.41</v>
      </c>
      <c r="G397" s="10" t="str">
        <f>Github!H$895</f>
        <v>Algorithms</v>
      </c>
      <c r="H397" s="13" t="str">
        <f>SUBSTITUTE(Github!L$895, ";", ", ")</f>
        <v>Dynamic Programming, Tree, Recursion, Memoization, Binary Tree, </v>
      </c>
      <c r="I397" s="10" t="str">
        <f>Github!E$895</f>
        <v>Medium</v>
      </c>
      <c r="J397" s="10" t="str">
        <f>IF(TRIM(Github!D$895)="TRUE","FALSE","TRUE")</f>
        <v>TRUE</v>
      </c>
      <c r="K397" s="10" t="b">
        <f>Github!M$895</f>
        <v>1</v>
      </c>
      <c r="L397" s="10" t="b">
        <f>Github!N$895</f>
        <v>0</v>
      </c>
      <c r="M397" s="10" t="str">
        <f>ROUND(Github!O$895, 2)&amp;"%"</f>
        <v>79.46%</v>
      </c>
      <c r="N397" s="10">
        <f>Github!P$895</f>
        <v>83515</v>
      </c>
      <c r="O397" s="10">
        <f>Github!Q$895</f>
        <v>105102</v>
      </c>
    </row>
    <row r="398">
      <c r="A398" s="10">
        <f>Github!J$486</f>
        <v>485</v>
      </c>
      <c r="B398" s="11" t="str">
        <f>HYPERLINK(CONCAT("http://leetcode.com/problems/",Github!C$486), Github!B$486)</f>
        <v>Max Consecutive Ones</v>
      </c>
      <c r="C398" s="10">
        <f>Github!F$486</f>
        <v>2561</v>
      </c>
      <c r="D398" s="10">
        <f>Github!G$486</f>
        <v>396</v>
      </c>
      <c r="E398" s="10">
        <f>Github!F$486+Github!G$486</f>
        <v>2957</v>
      </c>
      <c r="F398" s="12">
        <f t="shared" si="1"/>
        <v>6.47</v>
      </c>
      <c r="G398" s="10" t="str">
        <f>Github!H$486</f>
        <v>Algorithms</v>
      </c>
      <c r="H398" s="13" t="str">
        <f>SUBSTITUTE(Github!L$486, ";", ", ")</f>
        <v>Array, </v>
      </c>
      <c r="I398" s="10" t="str">
        <f>Github!E$486</f>
        <v>Easy</v>
      </c>
      <c r="J398" s="10" t="str">
        <f>IF(TRIM(Github!D$486)="TRUE","FALSE","TRUE")</f>
        <v>TRUE</v>
      </c>
      <c r="K398" s="10" t="b">
        <f>Github!M$486</f>
        <v>1</v>
      </c>
      <c r="L398" s="10" t="b">
        <f>Github!N$486</f>
        <v>0</v>
      </c>
      <c r="M398" s="10" t="str">
        <f>ROUND(Github!O$486, 2)&amp;"%"</f>
        <v>55.06%</v>
      </c>
      <c r="N398" s="10">
        <f>Github!P$486</f>
        <v>644857</v>
      </c>
      <c r="O398" s="10">
        <f>Github!Q$486</f>
        <v>1171209</v>
      </c>
    </row>
    <row r="399">
      <c r="A399" s="10">
        <f>Github!J$853</f>
        <v>852</v>
      </c>
      <c r="B399" s="11" t="str">
        <f>HYPERLINK(CONCAT("http://leetcode.com/problems/",Github!C$853), Github!B$853)</f>
        <v>Peak Index in a Mountain Array</v>
      </c>
      <c r="C399" s="10">
        <f>Github!F$853</f>
        <v>2574</v>
      </c>
      <c r="D399" s="10">
        <f>Github!G$853</f>
        <v>1628</v>
      </c>
      <c r="E399" s="10">
        <f>Github!F$853+Github!G$853</f>
        <v>4202</v>
      </c>
      <c r="F399" s="12">
        <f t="shared" si="1"/>
        <v>1.58</v>
      </c>
      <c r="G399" s="10" t="str">
        <f>Github!H$853</f>
        <v>Algorithms</v>
      </c>
      <c r="H399" s="13" t="str">
        <f>SUBSTITUTE(Github!L$853, ";", ", ")</f>
        <v>Array, Binary Search, </v>
      </c>
      <c r="I399" s="10" t="str">
        <f>Github!E$853</f>
        <v>Easy</v>
      </c>
      <c r="J399" s="10" t="str">
        <f>IF(TRIM(Github!D$853)="TRUE","FALSE","TRUE")</f>
        <v>TRUE</v>
      </c>
      <c r="K399" s="10" t="b">
        <f>Github!M$853</f>
        <v>1</v>
      </c>
      <c r="L399" s="10" t="b">
        <f>Github!N$853</f>
        <v>0</v>
      </c>
      <c r="M399" s="10" t="str">
        <f>ROUND(Github!O$853, 2)&amp;"%"</f>
        <v>70.48%</v>
      </c>
      <c r="N399" s="10">
        <f>Github!P$853</f>
        <v>361644</v>
      </c>
      <c r="O399" s="10">
        <f>Github!Q$853</f>
        <v>513138</v>
      </c>
    </row>
    <row r="400">
      <c r="A400" s="10">
        <f>Github!J$1481</f>
        <v>1480</v>
      </c>
      <c r="B400" s="11" t="str">
        <f>HYPERLINK(CONCAT("http://leetcode.com/problems/",Github!C$1481), Github!B$1481)</f>
        <v>Running Sum of 1d Array</v>
      </c>
      <c r="C400" s="10">
        <f>Github!F$1481</f>
        <v>2544</v>
      </c>
      <c r="D400" s="10">
        <f>Github!G$1481</f>
        <v>177</v>
      </c>
      <c r="E400" s="10">
        <f>Github!F$1481+Github!G$1481</f>
        <v>2721</v>
      </c>
      <c r="F400" s="12">
        <f t="shared" si="1"/>
        <v>14.37</v>
      </c>
      <c r="G400" s="10" t="str">
        <f>Github!H$1481</f>
        <v>Algorithms</v>
      </c>
      <c r="H400" s="13" t="str">
        <f>SUBSTITUTE(Github!L$1481, ";", ", ")</f>
        <v>Array, Prefix Sum, </v>
      </c>
      <c r="I400" s="10" t="str">
        <f>Github!E$1481</f>
        <v>Easy</v>
      </c>
      <c r="J400" s="10" t="str">
        <f>IF(TRIM(Github!D$1481)="TRUE","FALSE","TRUE")</f>
        <v>TRUE</v>
      </c>
      <c r="K400" s="10" t="b">
        <f>Github!M$1481</f>
        <v>1</v>
      </c>
      <c r="L400" s="10" t="b">
        <f>Github!N$1481</f>
        <v>0</v>
      </c>
      <c r="M400" s="10" t="str">
        <f>ROUND(Github!O$1481, 2)&amp;"%"</f>
        <v>89.6%</v>
      </c>
      <c r="N400" s="10">
        <f>Github!P$1481</f>
        <v>512267</v>
      </c>
      <c r="O400" s="10">
        <f>Github!Q$1481</f>
        <v>571749</v>
      </c>
    </row>
    <row r="401">
      <c r="A401" s="10">
        <f>Github!J$1039</f>
        <v>1038</v>
      </c>
      <c r="B401" s="11" t="str">
        <f>HYPERLINK(CONCAT("http://leetcode.com/problems/",Github!C$1039), Github!B$1039)</f>
        <v>Binary Search Tree to Greater Sum Tree</v>
      </c>
      <c r="C401" s="10">
        <f>Github!F$1039</f>
        <v>2539</v>
      </c>
      <c r="D401" s="10">
        <f>Github!G$1039</f>
        <v>134</v>
      </c>
      <c r="E401" s="10">
        <f>Github!F$1039+Github!G$1039</f>
        <v>2673</v>
      </c>
      <c r="F401" s="12">
        <f t="shared" si="1"/>
        <v>18.95</v>
      </c>
      <c r="G401" s="10" t="str">
        <f>Github!H$1039</f>
        <v>Algorithms</v>
      </c>
      <c r="H401" s="13" t="str">
        <f>SUBSTITUTE(Github!L$1039, ";", ", ")</f>
        <v>Tree, Depth-First Search, Binary Search Tree, Binary Tree, </v>
      </c>
      <c r="I401" s="10" t="str">
        <f>Github!E$1039</f>
        <v>Medium</v>
      </c>
      <c r="J401" s="10" t="str">
        <f>IF(TRIM(Github!D$1039)="TRUE","FALSE","TRUE")</f>
        <v>TRUE</v>
      </c>
      <c r="K401" s="10" t="b">
        <f>Github!M$1039</f>
        <v>0</v>
      </c>
      <c r="L401" s="10" t="b">
        <f>Github!N$1039</f>
        <v>0</v>
      </c>
      <c r="M401" s="10" t="str">
        <f>ROUND(Github!O$1039, 2)&amp;"%"</f>
        <v>84.74%</v>
      </c>
      <c r="N401" s="10">
        <f>Github!P$1039</f>
        <v>119691</v>
      </c>
      <c r="O401" s="10">
        <f>Github!Q$1039</f>
        <v>141241</v>
      </c>
    </row>
    <row r="402">
      <c r="A402" s="10">
        <f>Github!J$1092</f>
        <v>1091</v>
      </c>
      <c r="B402" s="11" t="str">
        <f>HYPERLINK(CONCAT("http://leetcode.com/problems/",Github!C$1092), Github!B$1092)</f>
        <v>Shortest Path in Binary Matrix</v>
      </c>
      <c r="C402" s="10">
        <f>Github!F$1092</f>
        <v>2537</v>
      </c>
      <c r="D402" s="10">
        <f>Github!G$1092</f>
        <v>124</v>
      </c>
      <c r="E402" s="10">
        <f>Github!F$1092+Github!G$1092</f>
        <v>2661</v>
      </c>
      <c r="F402" s="12">
        <f t="shared" si="1"/>
        <v>20.46</v>
      </c>
      <c r="G402" s="10" t="str">
        <f>Github!H$1092</f>
        <v>Algorithms</v>
      </c>
      <c r="H402" s="13" t="str">
        <f>SUBSTITUTE(Github!L$1092, ";", ", ")</f>
        <v>Array, Breadth-First Search, Matrix, </v>
      </c>
      <c r="I402" s="10" t="str">
        <f>Github!E$1092</f>
        <v>Medium</v>
      </c>
      <c r="J402" s="10" t="str">
        <f>IF(TRIM(Github!D$1092)="TRUE","FALSE","TRUE")</f>
        <v>TRUE</v>
      </c>
      <c r="K402" s="10" t="b">
        <f>Github!M$1092</f>
        <v>1</v>
      </c>
      <c r="L402" s="10" t="b">
        <f>Github!N$1092</f>
        <v>0</v>
      </c>
      <c r="M402" s="10" t="str">
        <f>ROUND(Github!O$1092, 2)&amp;"%"</f>
        <v>42.65%</v>
      </c>
      <c r="N402" s="10">
        <f>Github!P$1092</f>
        <v>182277</v>
      </c>
      <c r="O402" s="10">
        <f>Github!Q$1092</f>
        <v>427338</v>
      </c>
    </row>
    <row r="403">
      <c r="A403" s="10">
        <f>Github!J$305</f>
        <v>304</v>
      </c>
      <c r="B403" s="11" t="str">
        <f>HYPERLINK(CONCAT("http://leetcode.com/problems/",Github!C$305), Github!B$305)</f>
        <v>Range Sum Query 2D - Immutable</v>
      </c>
      <c r="C403" s="10">
        <f>Github!F$305</f>
        <v>2526</v>
      </c>
      <c r="D403" s="10">
        <f>Github!G$305</f>
        <v>244</v>
      </c>
      <c r="E403" s="10">
        <f>Github!F$305+Github!G$305</f>
        <v>2770</v>
      </c>
      <c r="F403" s="12">
        <f t="shared" si="1"/>
        <v>10.35</v>
      </c>
      <c r="G403" s="10" t="str">
        <f>Github!H$305</f>
        <v>Algorithms</v>
      </c>
      <c r="H403" s="13" t="str">
        <f>SUBSTITUTE(Github!L$305, ";", ", ")</f>
        <v>Array, Design, Matrix, Prefix Sum, </v>
      </c>
      <c r="I403" s="10" t="str">
        <f>Github!E$305</f>
        <v>Medium</v>
      </c>
      <c r="J403" s="10" t="str">
        <f>IF(TRIM(Github!D$305)="TRUE","FALSE","TRUE")</f>
        <v>TRUE</v>
      </c>
      <c r="K403" s="10" t="b">
        <f>Github!M$305</f>
        <v>1</v>
      </c>
      <c r="L403" s="10" t="b">
        <f>Github!N$305</f>
        <v>0</v>
      </c>
      <c r="M403" s="10" t="str">
        <f>ROUND(Github!O$305, 2)&amp;"%"</f>
        <v>47.67%</v>
      </c>
      <c r="N403" s="10">
        <f>Github!P$305</f>
        <v>222735</v>
      </c>
      <c r="O403" s="10">
        <f>Github!Q$305</f>
        <v>467241</v>
      </c>
    </row>
    <row r="404">
      <c r="A404" s="10">
        <f>Github!J$935</f>
        <v>934</v>
      </c>
      <c r="B404" s="11" t="str">
        <f>HYPERLINK(CONCAT("http://leetcode.com/problems/",Github!C$935), Github!B$935)</f>
        <v>Shortest Bridge</v>
      </c>
      <c r="C404" s="10">
        <f>Github!F$935</f>
        <v>2511</v>
      </c>
      <c r="D404" s="10">
        <f>Github!G$935</f>
        <v>128</v>
      </c>
      <c r="E404" s="10">
        <f>Github!F$935+Github!G$935</f>
        <v>2639</v>
      </c>
      <c r="F404" s="12">
        <f t="shared" si="1"/>
        <v>19.62</v>
      </c>
      <c r="G404" s="10" t="str">
        <f>Github!H$935</f>
        <v>Algorithms</v>
      </c>
      <c r="H404" s="13" t="str">
        <f>SUBSTITUTE(Github!L$935, ";", ", ")</f>
        <v>Array, Depth-First Search, Breadth-First Search, Matrix, </v>
      </c>
      <c r="I404" s="10" t="str">
        <f>Github!E$935</f>
        <v>Medium</v>
      </c>
      <c r="J404" s="10" t="str">
        <f>IF(TRIM(Github!D$935)="TRUE","FALSE","TRUE")</f>
        <v>TRUE</v>
      </c>
      <c r="K404" s="10" t="b">
        <f>Github!M$935</f>
        <v>0</v>
      </c>
      <c r="L404" s="10" t="b">
        <f>Github!N$935</f>
        <v>0</v>
      </c>
      <c r="M404" s="10" t="str">
        <f>ROUND(Github!O$935, 2)&amp;"%"</f>
        <v>52.75%</v>
      </c>
      <c r="N404" s="10">
        <f>Github!P$935</f>
        <v>90614</v>
      </c>
      <c r="O404" s="10">
        <f>Github!Q$935</f>
        <v>171792</v>
      </c>
    </row>
    <row r="405">
      <c r="A405" s="10">
        <f>Github!J$120</f>
        <v>119</v>
      </c>
      <c r="B405" s="11" t="str">
        <f>HYPERLINK(CONCAT("http://leetcode.com/problems/",Github!C$120), Github!B$120)</f>
        <v>Pascal's Triangle II</v>
      </c>
      <c r="C405" s="10">
        <f>Github!F$120</f>
        <v>2511</v>
      </c>
      <c r="D405" s="10">
        <f>Github!G$120</f>
        <v>265</v>
      </c>
      <c r="E405" s="10">
        <f>Github!F$120+Github!G$120</f>
        <v>2776</v>
      </c>
      <c r="F405" s="12">
        <f t="shared" si="1"/>
        <v>9.48</v>
      </c>
      <c r="G405" s="10" t="str">
        <f>Github!H$120</f>
        <v>Algorithms</v>
      </c>
      <c r="H405" s="13" t="str">
        <f>SUBSTITUTE(Github!L$120, ";", ", ")</f>
        <v>Array, Dynamic Programming, </v>
      </c>
      <c r="I405" s="10" t="str">
        <f>Github!E$120</f>
        <v>Easy</v>
      </c>
      <c r="J405" s="10" t="str">
        <f>IF(TRIM(Github!D$120)="TRUE","FALSE","TRUE")</f>
        <v>TRUE</v>
      </c>
      <c r="K405" s="10" t="b">
        <f>Github!M$120</f>
        <v>1</v>
      </c>
      <c r="L405" s="10" t="b">
        <f>Github!N$120</f>
        <v>0</v>
      </c>
      <c r="M405" s="10" t="str">
        <f>ROUND(Github!O$120, 2)&amp;"%"</f>
        <v>57.47%</v>
      </c>
      <c r="N405" s="10">
        <f>Github!P$120</f>
        <v>514303</v>
      </c>
      <c r="O405" s="10">
        <f>Github!Q$120</f>
        <v>894970</v>
      </c>
    </row>
    <row r="406">
      <c r="A406" s="10">
        <f>Github!J$1023</f>
        <v>1022</v>
      </c>
      <c r="B406" s="11" t="str">
        <f>HYPERLINK(CONCAT("http://leetcode.com/problems/",Github!C$1023), Github!B$1023)</f>
        <v>Sum of Root To Leaf Binary Numbers</v>
      </c>
      <c r="C406" s="10">
        <f>Github!F$1023</f>
        <v>2496</v>
      </c>
      <c r="D406" s="10">
        <f>Github!G$1023</f>
        <v>150</v>
      </c>
      <c r="E406" s="10">
        <f>Github!F$1023+Github!G$1023</f>
        <v>2646</v>
      </c>
      <c r="F406" s="12">
        <f t="shared" si="1"/>
        <v>16.64</v>
      </c>
      <c r="G406" s="10" t="str">
        <f>Github!H$1023</f>
        <v>Algorithms</v>
      </c>
      <c r="H406" s="13" t="str">
        <f>SUBSTITUTE(Github!L$1023, ";", ", ")</f>
        <v>Tree, Depth-First Search, Binary Tree, </v>
      </c>
      <c r="I406" s="10" t="str">
        <f>Github!E$1023</f>
        <v>Easy</v>
      </c>
      <c r="J406" s="10" t="str">
        <f>IF(TRIM(Github!D$1023)="TRUE","FALSE","TRUE")</f>
        <v>TRUE</v>
      </c>
      <c r="K406" s="10" t="b">
        <f>Github!M$1023</f>
        <v>1</v>
      </c>
      <c r="L406" s="10" t="b">
        <f>Github!N$1023</f>
        <v>0</v>
      </c>
      <c r="M406" s="10" t="str">
        <f>ROUND(Github!O$1023, 2)&amp;"%"</f>
        <v>73.89%</v>
      </c>
      <c r="N406" s="10">
        <f>Github!P$1023</f>
        <v>160801</v>
      </c>
      <c r="O406" s="10">
        <f>Github!Q$1023</f>
        <v>217624</v>
      </c>
    </row>
    <row r="407">
      <c r="A407" s="10">
        <f>Github!J$283</f>
        <v>282</v>
      </c>
      <c r="B407" s="11" t="str">
        <f>HYPERLINK(CONCAT("http://leetcode.com/problems/",Github!C$283), Github!B$283)</f>
        <v>Expression Add Operators</v>
      </c>
      <c r="C407" s="10">
        <f>Github!F$283</f>
        <v>2487</v>
      </c>
      <c r="D407" s="10">
        <f>Github!G$283</f>
        <v>424</v>
      </c>
      <c r="E407" s="10">
        <f>Github!F$283+Github!G$283</f>
        <v>2911</v>
      </c>
      <c r="F407" s="12">
        <f t="shared" si="1"/>
        <v>5.87</v>
      </c>
      <c r="G407" s="10" t="str">
        <f>Github!H$283</f>
        <v>Algorithms</v>
      </c>
      <c r="H407" s="13" t="str">
        <f>SUBSTITUTE(Github!L$283, ";", ", ")</f>
        <v>Math, String, Backtracking, </v>
      </c>
      <c r="I407" s="10" t="str">
        <f>Github!E$283</f>
        <v>Hard</v>
      </c>
      <c r="J407" s="10" t="str">
        <f>IF(TRIM(Github!D$283)="TRUE","FALSE","TRUE")</f>
        <v>TRUE</v>
      </c>
      <c r="K407" s="10" t="b">
        <f>Github!M$283</f>
        <v>1</v>
      </c>
      <c r="L407" s="10" t="b">
        <f>Github!N$283</f>
        <v>0</v>
      </c>
      <c r="M407" s="10" t="str">
        <f>ROUND(Github!O$283, 2)&amp;"%"</f>
        <v>39.16%</v>
      </c>
      <c r="N407" s="10">
        <f>Github!P$283</f>
        <v>181297</v>
      </c>
      <c r="O407" s="10">
        <f>Github!Q$283</f>
        <v>463025</v>
      </c>
    </row>
    <row r="408">
      <c r="A408" s="10">
        <f>Github!J$612</f>
        <v>611</v>
      </c>
      <c r="B408" s="11" t="str">
        <f>HYPERLINK(CONCAT("http://leetcode.com/problems/",Github!C$612), Github!B$612)</f>
        <v>Valid Triangle Number</v>
      </c>
      <c r="C408" s="10">
        <f>Github!F$612</f>
        <v>2502</v>
      </c>
      <c r="D408" s="10">
        <f>Github!G$612</f>
        <v>151</v>
      </c>
      <c r="E408" s="10">
        <f>Github!F$612+Github!G$612</f>
        <v>2653</v>
      </c>
      <c r="F408" s="12">
        <f t="shared" si="1"/>
        <v>16.57</v>
      </c>
      <c r="G408" s="10" t="str">
        <f>Github!H$612</f>
        <v>Algorithms</v>
      </c>
      <c r="H408" s="13" t="str">
        <f>SUBSTITUTE(Github!L$612, ";", ", ")</f>
        <v>Array, Two Pointers, Binary Search, Greedy, Sorting, </v>
      </c>
      <c r="I408" s="10" t="str">
        <f>Github!E$612</f>
        <v>Medium</v>
      </c>
      <c r="J408" s="10" t="str">
        <f>IF(TRIM(Github!D$612)="TRUE","FALSE","TRUE")</f>
        <v>TRUE</v>
      </c>
      <c r="K408" s="10" t="b">
        <f>Github!M$612</f>
        <v>1</v>
      </c>
      <c r="L408" s="10" t="b">
        <f>Github!N$612</f>
        <v>0</v>
      </c>
      <c r="M408" s="10" t="str">
        <f>ROUND(Github!O$612, 2)&amp;"%"</f>
        <v>49.73%</v>
      </c>
      <c r="N408" s="10">
        <f>Github!P$612</f>
        <v>135538</v>
      </c>
      <c r="O408" s="10">
        <f>Github!Q$612</f>
        <v>272540</v>
      </c>
    </row>
    <row r="409">
      <c r="A409" s="10">
        <f>Github!J$835</f>
        <v>834</v>
      </c>
      <c r="B409" s="11" t="str">
        <f>HYPERLINK(CONCAT("http://leetcode.com/problems/",Github!C$835), Github!B$835)</f>
        <v>Sum of Distances in Tree</v>
      </c>
      <c r="C409" s="10">
        <f>Github!F$835</f>
        <v>2492</v>
      </c>
      <c r="D409" s="10">
        <f>Github!G$835</f>
        <v>58</v>
      </c>
      <c r="E409" s="10">
        <f>Github!F$835+Github!G$835</f>
        <v>2550</v>
      </c>
      <c r="F409" s="12">
        <f t="shared" si="1"/>
        <v>42.97</v>
      </c>
      <c r="G409" s="10" t="str">
        <f>Github!H$835</f>
        <v>Algorithms</v>
      </c>
      <c r="H409" s="13" t="str">
        <f>SUBSTITUTE(Github!L$835, ";", ", ")</f>
        <v>Dynamic Programming, Tree, Depth-First Search, Graph, </v>
      </c>
      <c r="I409" s="10" t="str">
        <f>Github!E$835</f>
        <v>Hard</v>
      </c>
      <c r="J409" s="10" t="str">
        <f>IF(TRIM(Github!D$835)="TRUE","FALSE","TRUE")</f>
        <v>TRUE</v>
      </c>
      <c r="K409" s="10" t="b">
        <f>Github!M$835</f>
        <v>1</v>
      </c>
      <c r="L409" s="10" t="b">
        <f>Github!N$835</f>
        <v>0</v>
      </c>
      <c r="M409" s="10" t="str">
        <f>ROUND(Github!O$835, 2)&amp;"%"</f>
        <v>52.99%</v>
      </c>
      <c r="N409" s="10">
        <f>Github!P$835</f>
        <v>40994</v>
      </c>
      <c r="O409" s="10">
        <f>Github!Q$835</f>
        <v>77355</v>
      </c>
    </row>
    <row r="410">
      <c r="A410" s="10">
        <f>Github!J$372</f>
        <v>371</v>
      </c>
      <c r="B410" s="11" t="str">
        <f>HYPERLINK(CONCAT("http://leetcode.com/problems/",Github!C$372), Github!B$372)</f>
        <v>Sum of Two Integers</v>
      </c>
      <c r="C410" s="10">
        <f>Github!F$372</f>
        <v>2504</v>
      </c>
      <c r="D410" s="10">
        <f>Github!G$372</f>
        <v>3747</v>
      </c>
      <c r="E410" s="10">
        <f>Github!F$372+Github!G$372</f>
        <v>6251</v>
      </c>
      <c r="F410" s="12">
        <f t="shared" si="1"/>
        <v>0.67</v>
      </c>
      <c r="G410" s="10" t="str">
        <f>Github!H$372</f>
        <v>Algorithms</v>
      </c>
      <c r="H410" s="13" t="str">
        <f>SUBSTITUTE(Github!L$372, ";", ", ")</f>
        <v>Math, Bit Manipulation, </v>
      </c>
      <c r="I410" s="10" t="str">
        <f>Github!E$372</f>
        <v>Medium</v>
      </c>
      <c r="J410" s="10" t="str">
        <f>IF(TRIM(Github!D$372)="TRUE","FALSE","TRUE")</f>
        <v>TRUE</v>
      </c>
      <c r="K410" s="10" t="b">
        <f>Github!M$372</f>
        <v>1</v>
      </c>
      <c r="L410" s="10" t="b">
        <f>Github!N$372</f>
        <v>0</v>
      </c>
      <c r="M410" s="10" t="str">
        <f>ROUND(Github!O$372, 2)&amp;"%"</f>
        <v>50.64%</v>
      </c>
      <c r="N410" s="10">
        <f>Github!P$372</f>
        <v>294230</v>
      </c>
      <c r="O410" s="10">
        <f>Github!Q$372</f>
        <v>581031</v>
      </c>
    </row>
    <row r="411">
      <c r="A411" s="10">
        <f>Github!J$1291</f>
        <v>1290</v>
      </c>
      <c r="B411" s="11" t="str">
        <f>HYPERLINK(CONCAT("http://leetcode.com/problems/",Github!C$1291), Github!B$1291)</f>
        <v>Convert Binary Number in a Linked List to Integer</v>
      </c>
      <c r="C411" s="10">
        <f>Github!F$1291</f>
        <v>2491</v>
      </c>
      <c r="D411" s="10">
        <f>Github!G$1291</f>
        <v>126</v>
      </c>
      <c r="E411" s="10">
        <f>Github!F$1291+Github!G$1291</f>
        <v>2617</v>
      </c>
      <c r="F411" s="12">
        <f t="shared" si="1"/>
        <v>19.77</v>
      </c>
      <c r="G411" s="10" t="str">
        <f>Github!H$1291</f>
        <v>Algorithms</v>
      </c>
      <c r="H411" s="13" t="str">
        <f>SUBSTITUTE(Github!L$1291, ";", ", ")</f>
        <v>Linked List, Math, </v>
      </c>
      <c r="I411" s="10" t="str">
        <f>Github!E$1291</f>
        <v>Easy</v>
      </c>
      <c r="J411" s="10" t="str">
        <f>IF(TRIM(Github!D$1291)="TRUE","FALSE","TRUE")</f>
        <v>TRUE</v>
      </c>
      <c r="K411" s="10" t="b">
        <f>Github!M$1291</f>
        <v>1</v>
      </c>
      <c r="L411" s="10" t="b">
        <f>Github!N$1291</f>
        <v>0</v>
      </c>
      <c r="M411" s="10" t="str">
        <f>ROUND(Github!O$1291, 2)&amp;"%"</f>
        <v>82.66%</v>
      </c>
      <c r="N411" s="10">
        <f>Github!P$1291</f>
        <v>284172</v>
      </c>
      <c r="O411" s="10">
        <f>Github!Q$1291</f>
        <v>343797</v>
      </c>
    </row>
    <row r="412">
      <c r="A412" s="10">
        <f>Github!J$922</f>
        <v>921</v>
      </c>
      <c r="B412" s="11" t="str">
        <f>HYPERLINK(CONCAT("http://leetcode.com/problems/",Github!C$922), Github!B$922)</f>
        <v>Minimum Add to Make Parentheses Valid</v>
      </c>
      <c r="C412" s="10">
        <f>Github!F$922</f>
        <v>2490</v>
      </c>
      <c r="D412" s="10">
        <f>Github!G$922</f>
        <v>143</v>
      </c>
      <c r="E412" s="10">
        <f>Github!F$922+Github!G$922</f>
        <v>2633</v>
      </c>
      <c r="F412" s="12">
        <f t="shared" si="1"/>
        <v>17.41</v>
      </c>
      <c r="G412" s="10" t="str">
        <f>Github!H$922</f>
        <v>Algorithms</v>
      </c>
      <c r="H412" s="13" t="str">
        <f>SUBSTITUTE(Github!L$922, ";", ", ")</f>
        <v>String, Stack, Greedy, </v>
      </c>
      <c r="I412" s="10" t="str">
        <f>Github!E$922</f>
        <v>Medium</v>
      </c>
      <c r="J412" s="10" t="str">
        <f>IF(TRIM(Github!D$922)="TRUE","FALSE","TRUE")</f>
        <v>TRUE</v>
      </c>
      <c r="K412" s="10" t="b">
        <f>Github!M$922</f>
        <v>1</v>
      </c>
      <c r="L412" s="10" t="b">
        <f>Github!N$922</f>
        <v>0</v>
      </c>
      <c r="M412" s="10" t="str">
        <f>ROUND(Github!O$922, 2)&amp;"%"</f>
        <v>77.1%</v>
      </c>
      <c r="N412" s="10">
        <f>Github!P$922</f>
        <v>205819</v>
      </c>
      <c r="O412" s="10">
        <f>Github!Q$922</f>
        <v>266938</v>
      </c>
    </row>
    <row r="413">
      <c r="A413" s="10">
        <f>Github!J$404</f>
        <v>403</v>
      </c>
      <c r="B413" s="11" t="str">
        <f>HYPERLINK(CONCAT("http://leetcode.com/problems/",Github!C$404), Github!B$404)</f>
        <v>Frog Jump</v>
      </c>
      <c r="C413" s="10">
        <f>Github!F$404</f>
        <v>2476</v>
      </c>
      <c r="D413" s="10">
        <f>Github!G$404</f>
        <v>161</v>
      </c>
      <c r="E413" s="10">
        <f>Github!F$404+Github!G$404</f>
        <v>2637</v>
      </c>
      <c r="F413" s="12">
        <f t="shared" si="1"/>
        <v>15.38</v>
      </c>
      <c r="G413" s="10" t="str">
        <f>Github!H$404</f>
        <v>Algorithms</v>
      </c>
      <c r="H413" s="13" t="str">
        <f>SUBSTITUTE(Github!L$404, ";", ", ")</f>
        <v>Array, Dynamic Programming, </v>
      </c>
      <c r="I413" s="10" t="str">
        <f>Github!E$404</f>
        <v>Hard</v>
      </c>
      <c r="J413" s="10" t="str">
        <f>IF(TRIM(Github!D$404)="TRUE","FALSE","TRUE")</f>
        <v>TRUE</v>
      </c>
      <c r="K413" s="10" t="b">
        <f>Github!M$404</f>
        <v>1</v>
      </c>
      <c r="L413" s="10" t="b">
        <f>Github!N$404</f>
        <v>0</v>
      </c>
      <c r="M413" s="10" t="str">
        <f>ROUND(Github!O$404, 2)&amp;"%"</f>
        <v>42.95%</v>
      </c>
      <c r="N413" s="10">
        <f>Github!P$404</f>
        <v>152527</v>
      </c>
      <c r="O413" s="10">
        <f>Github!Q$404</f>
        <v>355104</v>
      </c>
    </row>
    <row r="414">
      <c r="A414" s="10">
        <f>Github!J$671</f>
        <v>670</v>
      </c>
      <c r="B414" s="11" t="str">
        <f>HYPERLINK(CONCAT("http://leetcode.com/problems/",Github!C$671), Github!B$671)</f>
        <v>Maximum Swap</v>
      </c>
      <c r="C414" s="10">
        <f>Github!F$671</f>
        <v>2462</v>
      </c>
      <c r="D414" s="10">
        <f>Github!G$671</f>
        <v>142</v>
      </c>
      <c r="E414" s="10">
        <f>Github!F$671+Github!G$671</f>
        <v>2604</v>
      </c>
      <c r="F414" s="12">
        <f t="shared" si="1"/>
        <v>17.34</v>
      </c>
      <c r="G414" s="10" t="str">
        <f>Github!H$671</f>
        <v>Algorithms</v>
      </c>
      <c r="H414" s="13" t="str">
        <f>SUBSTITUTE(Github!L$671, ";", ", ")</f>
        <v>Math, Greedy, </v>
      </c>
      <c r="I414" s="10" t="str">
        <f>Github!E$671</f>
        <v>Medium</v>
      </c>
      <c r="J414" s="10" t="str">
        <f>IF(TRIM(Github!D$671)="TRUE","FALSE","TRUE")</f>
        <v>TRUE</v>
      </c>
      <c r="K414" s="10" t="b">
        <f>Github!M$671</f>
        <v>0</v>
      </c>
      <c r="L414" s="10" t="b">
        <f>Github!N$671</f>
        <v>0</v>
      </c>
      <c r="M414" s="10" t="str">
        <f>ROUND(Github!O$671, 2)&amp;"%"</f>
        <v>47.55%</v>
      </c>
      <c r="N414" s="10">
        <f>Github!P$671</f>
        <v>166955</v>
      </c>
      <c r="O414" s="10">
        <f>Github!Q$671</f>
        <v>351133</v>
      </c>
    </row>
    <row r="415">
      <c r="A415" s="10">
        <f>Github!J$872</f>
        <v>871</v>
      </c>
      <c r="B415" s="11" t="str">
        <f>HYPERLINK(CONCAT("http://leetcode.com/problems/",Github!C$872), Github!B$872)</f>
        <v>Minimum Number of Refueling Stops</v>
      </c>
      <c r="C415" s="10">
        <f>Github!F$872</f>
        <v>2453</v>
      </c>
      <c r="D415" s="10">
        <f>Github!G$872</f>
        <v>48</v>
      </c>
      <c r="E415" s="10">
        <f>Github!F$872+Github!G$872</f>
        <v>2501</v>
      </c>
      <c r="F415" s="12">
        <f t="shared" si="1"/>
        <v>51.1</v>
      </c>
      <c r="G415" s="10" t="str">
        <f>Github!H$872</f>
        <v>Algorithms</v>
      </c>
      <c r="H415" s="13" t="str">
        <f>SUBSTITUTE(Github!L$872, ";", ", ")</f>
        <v>Array, Dynamic Programming, Greedy, Heap (Priority Queue), </v>
      </c>
      <c r="I415" s="10" t="str">
        <f>Github!E$872</f>
        <v>Hard</v>
      </c>
      <c r="J415" s="10" t="str">
        <f>IF(TRIM(Github!D$872)="TRUE","FALSE","TRUE")</f>
        <v>TRUE</v>
      </c>
      <c r="K415" s="10" t="b">
        <f>Github!M$872</f>
        <v>1</v>
      </c>
      <c r="L415" s="10" t="b">
        <f>Github!N$872</f>
        <v>0</v>
      </c>
      <c r="M415" s="10" t="str">
        <f>ROUND(Github!O$872, 2)&amp;"%"</f>
        <v>35.69%</v>
      </c>
      <c r="N415" s="10">
        <f>Github!P$872</f>
        <v>70244</v>
      </c>
      <c r="O415" s="10">
        <f>Github!Q$872</f>
        <v>196825</v>
      </c>
    </row>
    <row r="416">
      <c r="A416" s="10">
        <f>Github!J$1008</f>
        <v>1007</v>
      </c>
      <c r="B416" s="11" t="str">
        <f>HYPERLINK(CONCAT("http://leetcode.com/problems/",Github!C$1008), Github!B$1008)</f>
        <v>Minimum Domino Rotations For Equal Row</v>
      </c>
      <c r="C416" s="10">
        <f>Github!F$1008</f>
        <v>2430</v>
      </c>
      <c r="D416" s="10">
        <f>Github!G$1008</f>
        <v>240</v>
      </c>
      <c r="E416" s="10">
        <f>Github!F$1008+Github!G$1008</f>
        <v>2670</v>
      </c>
      <c r="F416" s="12">
        <f t="shared" si="1"/>
        <v>10.13</v>
      </c>
      <c r="G416" s="10" t="str">
        <f>Github!H$1008</f>
        <v>Algorithms</v>
      </c>
      <c r="H416" s="13" t="str">
        <f>SUBSTITUTE(Github!L$1008, ";", ", ")</f>
        <v>Array, Greedy, </v>
      </c>
      <c r="I416" s="10" t="str">
        <f>Github!E$1008</f>
        <v>Medium</v>
      </c>
      <c r="J416" s="10" t="str">
        <f>IF(TRIM(Github!D$1008)="TRUE","FALSE","TRUE")</f>
        <v>TRUE</v>
      </c>
      <c r="K416" s="10" t="b">
        <f>Github!M$1008</f>
        <v>1</v>
      </c>
      <c r="L416" s="10" t="b">
        <f>Github!N$1008</f>
        <v>0</v>
      </c>
      <c r="M416" s="10" t="str">
        <f>ROUND(Github!O$1008, 2)&amp;"%"</f>
        <v>52.62%</v>
      </c>
      <c r="N416" s="10">
        <f>Github!P$1008</f>
        <v>178432</v>
      </c>
      <c r="O416" s="10">
        <f>Github!Q$1008</f>
        <v>339093</v>
      </c>
    </row>
    <row r="417">
      <c r="A417" s="10">
        <f>Github!J$1303</f>
        <v>1302</v>
      </c>
      <c r="B417" s="11" t="str">
        <f>HYPERLINK(CONCAT("http://leetcode.com/problems/",Github!C$1303), Github!B$1303)</f>
        <v>Deepest Leaves Sum</v>
      </c>
      <c r="C417" s="10">
        <f>Github!F$1303</f>
        <v>2441</v>
      </c>
      <c r="D417" s="10">
        <f>Github!G$1303</f>
        <v>77</v>
      </c>
      <c r="E417" s="10">
        <f>Github!F$1303+Github!G$1303</f>
        <v>2518</v>
      </c>
      <c r="F417" s="12">
        <f t="shared" si="1"/>
        <v>31.7</v>
      </c>
      <c r="G417" s="10" t="str">
        <f>Github!H$1303</f>
        <v>Algorithms</v>
      </c>
      <c r="H417" s="13" t="str">
        <f>SUBSTITUTE(Github!L$1303, ";", ", ")</f>
        <v>Tree, Depth-First Search, Breadth-First Search, Binary Tree, </v>
      </c>
      <c r="I417" s="10" t="str">
        <f>Github!E$1303</f>
        <v>Medium</v>
      </c>
      <c r="J417" s="10" t="str">
        <f>IF(TRIM(Github!D$1303)="TRUE","FALSE","TRUE")</f>
        <v>TRUE</v>
      </c>
      <c r="K417" s="10" t="b">
        <f>Github!M$1303</f>
        <v>1</v>
      </c>
      <c r="L417" s="10" t="b">
        <f>Github!N$1303</f>
        <v>0</v>
      </c>
      <c r="M417" s="10" t="str">
        <f>ROUND(Github!O$1303, 2)&amp;"%"</f>
        <v>85.66%</v>
      </c>
      <c r="N417" s="10">
        <f>Github!P$1303</f>
        <v>168008</v>
      </c>
      <c r="O417" s="10">
        <f>Github!Q$1303</f>
        <v>196124</v>
      </c>
    </row>
    <row r="418">
      <c r="A418" s="10">
        <f>Github!J$259</f>
        <v>258</v>
      </c>
      <c r="B418" s="11" t="str">
        <f>HYPERLINK(CONCAT("http://leetcode.com/problems/",Github!C$259), Github!B$259)</f>
        <v>Add Digits</v>
      </c>
      <c r="C418" s="10">
        <f>Github!F$259</f>
        <v>2425</v>
      </c>
      <c r="D418" s="10">
        <f>Github!G$259</f>
        <v>1645</v>
      </c>
      <c r="E418" s="10">
        <f>Github!F$259+Github!G$259</f>
        <v>4070</v>
      </c>
      <c r="F418" s="12">
        <f t="shared" si="1"/>
        <v>1.47</v>
      </c>
      <c r="G418" s="10" t="str">
        <f>Github!H$259</f>
        <v>Algorithms</v>
      </c>
      <c r="H418" s="13" t="str">
        <f>SUBSTITUTE(Github!L$259, ";", ", ")</f>
        <v>Math, Simulation, Number Theory, </v>
      </c>
      <c r="I418" s="10" t="str">
        <f>Github!E$259</f>
        <v>Easy</v>
      </c>
      <c r="J418" s="10" t="str">
        <f>IF(TRIM(Github!D$259)="TRUE","FALSE","TRUE")</f>
        <v>TRUE</v>
      </c>
      <c r="K418" s="10" t="b">
        <f>Github!M$259</f>
        <v>1</v>
      </c>
      <c r="L418" s="10" t="b">
        <f>Github!N$259</f>
        <v>0</v>
      </c>
      <c r="M418" s="10" t="str">
        <f>ROUND(Github!O$259, 2)&amp;"%"</f>
        <v>62.45%</v>
      </c>
      <c r="N418" s="10">
        <f>Github!P$259</f>
        <v>466098</v>
      </c>
      <c r="O418" s="10">
        <f>Github!Q$259</f>
        <v>746363</v>
      </c>
    </row>
    <row r="419">
      <c r="A419" s="10">
        <f>Github!J$1540</f>
        <v>1539</v>
      </c>
      <c r="B419" s="11" t="str">
        <f>HYPERLINK(CONCAT("http://leetcode.com/problems/",Github!C$1540), Github!B$1540)</f>
        <v>Kth Missing Positive Number</v>
      </c>
      <c r="C419" s="10">
        <f>Github!F$1540</f>
        <v>2430</v>
      </c>
      <c r="D419" s="10">
        <f>Github!G$1540</f>
        <v>175</v>
      </c>
      <c r="E419" s="10">
        <f>Github!F$1540+Github!G$1540</f>
        <v>2605</v>
      </c>
      <c r="F419" s="12">
        <f t="shared" si="1"/>
        <v>13.89</v>
      </c>
      <c r="G419" s="10" t="str">
        <f>Github!H$1540</f>
        <v>Algorithms</v>
      </c>
      <c r="H419" s="13" t="str">
        <f>SUBSTITUTE(Github!L$1540, ";", ", ")</f>
        <v>Array, Binary Search, </v>
      </c>
      <c r="I419" s="10" t="str">
        <f>Github!E$1540</f>
        <v>Easy</v>
      </c>
      <c r="J419" s="10" t="str">
        <f>IF(TRIM(Github!D$1540)="TRUE","FALSE","TRUE")</f>
        <v>TRUE</v>
      </c>
      <c r="K419" s="10" t="b">
        <f>Github!M$1540</f>
        <v>1</v>
      </c>
      <c r="L419" s="10" t="b">
        <f>Github!N$1540</f>
        <v>0</v>
      </c>
      <c r="M419" s="10" t="str">
        <f>ROUND(Github!O$1540, 2)&amp;"%"</f>
        <v>55.5%</v>
      </c>
      <c r="N419" s="10">
        <f>Github!P$1540</f>
        <v>161377</v>
      </c>
      <c r="O419" s="10">
        <f>Github!Q$1540</f>
        <v>290757</v>
      </c>
    </row>
    <row r="420">
      <c r="A420" s="10">
        <f>Github!J$1513</f>
        <v>1512</v>
      </c>
      <c r="B420" s="11" t="str">
        <f>HYPERLINK(CONCAT("http://leetcode.com/problems/",Github!C$1513), Github!B$1513)</f>
        <v>Number of Good Pairs</v>
      </c>
      <c r="C420" s="10">
        <f>Github!F$1513</f>
        <v>2409</v>
      </c>
      <c r="D420" s="10">
        <f>Github!G$1513</f>
        <v>141</v>
      </c>
      <c r="E420" s="10">
        <f>Github!F$1513+Github!G$1513</f>
        <v>2550</v>
      </c>
      <c r="F420" s="12">
        <f t="shared" si="1"/>
        <v>17.09</v>
      </c>
      <c r="G420" s="10" t="str">
        <f>Github!H$1513</f>
        <v>Algorithms</v>
      </c>
      <c r="H420" s="13" t="str">
        <f>SUBSTITUTE(Github!L$1513, ";", ", ")</f>
        <v>Array, Hash Table, Math, Counting, </v>
      </c>
      <c r="I420" s="10" t="str">
        <f>Github!E$1513</f>
        <v>Easy</v>
      </c>
      <c r="J420" s="10" t="str">
        <f>IF(TRIM(Github!D$1513)="TRUE","FALSE","TRUE")</f>
        <v>TRUE</v>
      </c>
      <c r="K420" s="10" t="b">
        <f>Github!M$1513</f>
        <v>0</v>
      </c>
      <c r="L420" s="10" t="b">
        <f>Github!N$1513</f>
        <v>0</v>
      </c>
      <c r="M420" s="10" t="str">
        <f>ROUND(Github!O$1513, 2)&amp;"%"</f>
        <v>87.96%</v>
      </c>
      <c r="N420" s="10">
        <f>Github!P$1513</f>
        <v>289756</v>
      </c>
      <c r="O420" s="10">
        <f>Github!Q$1513</f>
        <v>329426</v>
      </c>
    </row>
    <row r="421">
      <c r="A421" s="10">
        <f>Github!J$220</f>
        <v>219</v>
      </c>
      <c r="B421" s="11" t="str">
        <f>HYPERLINK(CONCAT("http://leetcode.com/problems/",Github!C$220), Github!B$220)</f>
        <v>Contains Duplicate II</v>
      </c>
      <c r="C421" s="10">
        <f>Github!F$220</f>
        <v>2403</v>
      </c>
      <c r="D421" s="10">
        <f>Github!G$220</f>
        <v>1861</v>
      </c>
      <c r="E421" s="10">
        <f>Github!F$220+Github!G$220</f>
        <v>4264</v>
      </c>
      <c r="F421" s="12">
        <f t="shared" si="1"/>
        <v>1.29</v>
      </c>
      <c r="G421" s="10" t="str">
        <f>Github!H$220</f>
        <v>Algorithms</v>
      </c>
      <c r="H421" s="13" t="str">
        <f>SUBSTITUTE(Github!L$220, ";", ", ")</f>
        <v>Array, Hash Table, Sliding Window, </v>
      </c>
      <c r="I421" s="10" t="str">
        <f>Github!E$220</f>
        <v>Easy</v>
      </c>
      <c r="J421" s="10" t="str">
        <f>IF(TRIM(Github!D$220)="TRUE","FALSE","TRUE")</f>
        <v>TRUE</v>
      </c>
      <c r="K421" s="10" t="b">
        <f>Github!M$220</f>
        <v>1</v>
      </c>
      <c r="L421" s="10" t="b">
        <f>Github!N$220</f>
        <v>0</v>
      </c>
      <c r="M421" s="10" t="str">
        <f>ROUND(Github!O$220, 2)&amp;"%"</f>
        <v>40.66%</v>
      </c>
      <c r="N421" s="10">
        <f>Github!P$220</f>
        <v>454853</v>
      </c>
      <c r="O421" s="10">
        <f>Github!Q$220</f>
        <v>1118582</v>
      </c>
    </row>
    <row r="422">
      <c r="A422" s="10">
        <f>Github!J$815</f>
        <v>814</v>
      </c>
      <c r="B422" s="11" t="str">
        <f>HYPERLINK(CONCAT("http://leetcode.com/problems/",Github!C$815), Github!B$815)</f>
        <v>Binary Tree Pruning</v>
      </c>
      <c r="C422" s="10">
        <f>Github!F$815</f>
        <v>2383</v>
      </c>
      <c r="D422" s="10">
        <f>Github!G$815</f>
        <v>66</v>
      </c>
      <c r="E422" s="10">
        <f>Github!F$815+Github!G$815</f>
        <v>2449</v>
      </c>
      <c r="F422" s="12">
        <f t="shared" si="1"/>
        <v>36.11</v>
      </c>
      <c r="G422" s="10" t="str">
        <f>Github!H$815</f>
        <v>Algorithms</v>
      </c>
      <c r="H422" s="13" t="str">
        <f>SUBSTITUTE(Github!L$815, ";", ", ")</f>
        <v>Tree, Depth-First Search, Binary Tree, </v>
      </c>
      <c r="I422" s="10" t="str">
        <f>Github!E$815</f>
        <v>Medium</v>
      </c>
      <c r="J422" s="10" t="str">
        <f>IF(TRIM(Github!D$815)="TRUE","FALSE","TRUE")</f>
        <v>TRUE</v>
      </c>
      <c r="K422" s="10" t="b">
        <f>Github!M$815</f>
        <v>1</v>
      </c>
      <c r="L422" s="10" t="b">
        <f>Github!N$815</f>
        <v>0</v>
      </c>
      <c r="M422" s="10" t="str">
        <f>ROUND(Github!O$815, 2)&amp;"%"</f>
        <v>70.98%</v>
      </c>
      <c r="N422" s="10">
        <f>Github!P$815</f>
        <v>140265</v>
      </c>
      <c r="O422" s="10">
        <f>Github!Q$815</f>
        <v>197620</v>
      </c>
    </row>
    <row r="423">
      <c r="A423" s="10">
        <f>Github!J$315</f>
        <v>314</v>
      </c>
      <c r="B423" s="11" t="str">
        <f>HYPERLINK(CONCAT("http://leetcode.com/problems/",Github!C$315), Github!B$315)</f>
        <v>Binary Tree Vertical Order Traversal</v>
      </c>
      <c r="C423" s="10">
        <f>Github!F$315</f>
        <v>2386</v>
      </c>
      <c r="D423" s="10">
        <f>Github!G$315</f>
        <v>259</v>
      </c>
      <c r="E423" s="10">
        <f>Github!F$315+Github!G$315</f>
        <v>2645</v>
      </c>
      <c r="F423" s="12">
        <f t="shared" si="1"/>
        <v>9.21</v>
      </c>
      <c r="G423" s="10" t="str">
        <f>Github!H$315</f>
        <v>Algorithms</v>
      </c>
      <c r="H423" s="13" t="str">
        <f>SUBSTITUTE(Github!L$315, ";", ", ")</f>
        <v>Hash Table, Tree, Depth-First Search, Breadth-First Search, Binary Tree, </v>
      </c>
      <c r="I423" s="10" t="str">
        <f>Github!E$315</f>
        <v>Medium</v>
      </c>
      <c r="J423" s="10" t="str">
        <f>IF(TRIM(Github!D$315)="TRUE","FALSE","TRUE")</f>
        <v>FALSE</v>
      </c>
      <c r="K423" s="10" t="b">
        <f>Github!M$315</f>
        <v>1</v>
      </c>
      <c r="L423" s="10" t="b">
        <f>Github!N$315</f>
        <v>0</v>
      </c>
      <c r="M423" s="10" t="str">
        <f>ROUND(Github!O$315, 2)&amp;"%"</f>
        <v>51.19%</v>
      </c>
      <c r="N423" s="10">
        <f>Github!P$315</f>
        <v>267584</v>
      </c>
      <c r="O423" s="10">
        <f>Github!Q$315</f>
        <v>522715</v>
      </c>
    </row>
    <row r="424">
      <c r="A424" s="10">
        <f>Github!J$848</f>
        <v>847</v>
      </c>
      <c r="B424" s="11" t="str">
        <f>HYPERLINK(CONCAT("http://leetcode.com/problems/",Github!C$848), Github!B$848)</f>
        <v>Shortest Path Visiting All Nodes</v>
      </c>
      <c r="C424" s="10">
        <f>Github!F$848</f>
        <v>2382</v>
      </c>
      <c r="D424" s="10">
        <f>Github!G$848</f>
        <v>122</v>
      </c>
      <c r="E424" s="10">
        <f>Github!F$848+Github!G$848</f>
        <v>2504</v>
      </c>
      <c r="F424" s="12">
        <f t="shared" si="1"/>
        <v>19.52</v>
      </c>
      <c r="G424" s="10" t="str">
        <f>Github!H$848</f>
        <v>Algorithms</v>
      </c>
      <c r="H424" s="13" t="str">
        <f>SUBSTITUTE(Github!L$848, ";", ", ")</f>
        <v>Dynamic Programming, Bit Manipulation, Breadth-First Search, Graph, Bitmask, </v>
      </c>
      <c r="I424" s="10" t="str">
        <f>Github!E$848</f>
        <v>Hard</v>
      </c>
      <c r="J424" s="10" t="str">
        <f>IF(TRIM(Github!D$848)="TRUE","FALSE","TRUE")</f>
        <v>TRUE</v>
      </c>
      <c r="K424" s="10" t="b">
        <f>Github!M$848</f>
        <v>1</v>
      </c>
      <c r="L424" s="10" t="b">
        <f>Github!N$848</f>
        <v>0</v>
      </c>
      <c r="M424" s="10" t="str">
        <f>ROUND(Github!O$848, 2)&amp;"%"</f>
        <v>61.24%</v>
      </c>
      <c r="N424" s="10">
        <f>Github!P$848</f>
        <v>55856</v>
      </c>
      <c r="O424" s="10">
        <f>Github!Q$848</f>
        <v>91208</v>
      </c>
    </row>
    <row r="425">
      <c r="A425" s="10">
        <f>Github!J$948</f>
        <v>947</v>
      </c>
      <c r="B425" s="11" t="str">
        <f>HYPERLINK(CONCAT("http://leetcode.com/problems/",Github!C$948), Github!B$948)</f>
        <v>Most Stones Removed with Same Row or Column</v>
      </c>
      <c r="C425" s="10">
        <f>Github!F$948</f>
        <v>2384</v>
      </c>
      <c r="D425" s="10">
        <f>Github!G$948</f>
        <v>507</v>
      </c>
      <c r="E425" s="10">
        <f>Github!F$948+Github!G$948</f>
        <v>2891</v>
      </c>
      <c r="F425" s="12">
        <f t="shared" si="1"/>
        <v>4.7</v>
      </c>
      <c r="G425" s="10" t="str">
        <f>Github!H$948</f>
        <v>Algorithms</v>
      </c>
      <c r="H425" s="13" t="str">
        <f>SUBSTITUTE(Github!L$948, ";", ", ")</f>
        <v>Depth-First Search, Union Find, Graph, </v>
      </c>
      <c r="I425" s="10" t="str">
        <f>Github!E$948</f>
        <v>Medium</v>
      </c>
      <c r="J425" s="10" t="str">
        <f>IF(TRIM(Github!D$948)="TRUE","FALSE","TRUE")</f>
        <v>TRUE</v>
      </c>
      <c r="K425" s="10" t="b">
        <f>Github!M$948</f>
        <v>0</v>
      </c>
      <c r="L425" s="10" t="b">
        <f>Github!N$948</f>
        <v>0</v>
      </c>
      <c r="M425" s="10" t="str">
        <f>ROUND(Github!O$948, 2)&amp;"%"</f>
        <v>56.29%</v>
      </c>
      <c r="N425" s="10">
        <f>Github!P$948</f>
        <v>100939</v>
      </c>
      <c r="O425" s="10">
        <f>Github!Q$948</f>
        <v>179321</v>
      </c>
    </row>
    <row r="426">
      <c r="A426" s="10">
        <f>Github!J$888</f>
        <v>887</v>
      </c>
      <c r="B426" s="11" t="str">
        <f>HYPERLINK(CONCAT("http://leetcode.com/problems/",Github!C$888), Github!B$888)</f>
        <v>Super Egg Drop</v>
      </c>
      <c r="C426" s="10">
        <f>Github!F$888</f>
        <v>2359</v>
      </c>
      <c r="D426" s="10">
        <f>Github!G$888</f>
        <v>129</v>
      </c>
      <c r="E426" s="10">
        <f>Github!F$888+Github!G$888</f>
        <v>2488</v>
      </c>
      <c r="F426" s="12">
        <f t="shared" si="1"/>
        <v>18.29</v>
      </c>
      <c r="G426" s="10" t="str">
        <f>Github!H$888</f>
        <v>Algorithms</v>
      </c>
      <c r="H426" s="13" t="str">
        <f>SUBSTITUTE(Github!L$888, ";", ", ")</f>
        <v>Math, Binary Search, Dynamic Programming, </v>
      </c>
      <c r="I426" s="10" t="str">
        <f>Github!E$888</f>
        <v>Hard</v>
      </c>
      <c r="J426" s="10" t="str">
        <f>IF(TRIM(Github!D$888)="TRUE","FALSE","TRUE")</f>
        <v>TRUE</v>
      </c>
      <c r="K426" s="10" t="b">
        <f>Github!M$888</f>
        <v>1</v>
      </c>
      <c r="L426" s="10" t="b">
        <f>Github!N$888</f>
        <v>0</v>
      </c>
      <c r="M426" s="10" t="str">
        <f>ROUND(Github!O$888, 2)&amp;"%"</f>
        <v>27.22%</v>
      </c>
      <c r="N426" s="10">
        <f>Github!P$888</f>
        <v>45154</v>
      </c>
      <c r="O426" s="10">
        <f>Github!Q$888</f>
        <v>165912</v>
      </c>
    </row>
    <row r="427">
      <c r="A427" s="10">
        <f>Github!J$262</f>
        <v>261</v>
      </c>
      <c r="B427" s="11" t="str">
        <f>HYPERLINK(CONCAT("http://leetcode.com/problems/",Github!C$262), Github!B$262)</f>
        <v>Graph Valid Tree</v>
      </c>
      <c r="C427" s="10">
        <f>Github!F$262</f>
        <v>2360</v>
      </c>
      <c r="D427" s="10">
        <f>Github!G$262</f>
        <v>62</v>
      </c>
      <c r="E427" s="10">
        <f>Github!F$262+Github!G$262</f>
        <v>2422</v>
      </c>
      <c r="F427" s="12">
        <f t="shared" si="1"/>
        <v>38.06</v>
      </c>
      <c r="G427" s="10" t="str">
        <f>Github!H$262</f>
        <v>Algorithms</v>
      </c>
      <c r="H427" s="13" t="str">
        <f>SUBSTITUTE(Github!L$262, ";", ", ")</f>
        <v>Depth-First Search, Breadth-First Search, Union Find, Graph, </v>
      </c>
      <c r="I427" s="10" t="str">
        <f>Github!E$262</f>
        <v>Medium</v>
      </c>
      <c r="J427" s="10" t="str">
        <f>IF(TRIM(Github!D$262)="TRUE","FALSE","TRUE")</f>
        <v>FALSE</v>
      </c>
      <c r="K427" s="10" t="b">
        <f>Github!M$262</f>
        <v>1</v>
      </c>
      <c r="L427" s="10" t="b">
        <f>Github!N$262</f>
        <v>0</v>
      </c>
      <c r="M427" s="10" t="str">
        <f>ROUND(Github!O$262, 2)&amp;"%"</f>
        <v>45.77%</v>
      </c>
      <c r="N427" s="10">
        <f>Github!P$262</f>
        <v>256790</v>
      </c>
      <c r="O427" s="10">
        <f>Github!Q$262</f>
        <v>561054</v>
      </c>
    </row>
    <row r="428">
      <c r="A428" s="10">
        <f>Github!J$367</f>
        <v>366</v>
      </c>
      <c r="B428" s="11" t="str">
        <f>HYPERLINK(CONCAT("http://leetcode.com/problems/",Github!C$367), Github!B$367)</f>
        <v>Find Leaves of Binary Tree</v>
      </c>
      <c r="C428" s="10">
        <f>Github!F$367</f>
        <v>2367</v>
      </c>
      <c r="D428" s="10">
        <f>Github!G$367</f>
        <v>42</v>
      </c>
      <c r="E428" s="10">
        <f>Github!F$367+Github!G$367</f>
        <v>2409</v>
      </c>
      <c r="F428" s="12">
        <f t="shared" si="1"/>
        <v>56.36</v>
      </c>
      <c r="G428" s="10" t="str">
        <f>Github!H$367</f>
        <v>Algorithms</v>
      </c>
      <c r="H428" s="13" t="str">
        <f>SUBSTITUTE(Github!L$367, ";", ", ")</f>
        <v>Tree, Depth-First Search, Binary Tree, </v>
      </c>
      <c r="I428" s="10" t="str">
        <f>Github!E$367</f>
        <v>Medium</v>
      </c>
      <c r="J428" s="10" t="str">
        <f>IF(TRIM(Github!D$367)="TRUE","FALSE","TRUE")</f>
        <v>FALSE</v>
      </c>
      <c r="K428" s="10" t="b">
        <f>Github!M$367</f>
        <v>1</v>
      </c>
      <c r="L428" s="10" t="b">
        <f>Github!N$367</f>
        <v>0</v>
      </c>
      <c r="M428" s="10" t="str">
        <f>ROUND(Github!O$367, 2)&amp;"%"</f>
        <v>78.52%</v>
      </c>
      <c r="N428" s="10">
        <f>Github!P$367</f>
        <v>172025</v>
      </c>
      <c r="O428" s="10">
        <f>Github!Q$367</f>
        <v>219095</v>
      </c>
    </row>
    <row r="429">
      <c r="A429" s="10">
        <f>Github!J$215</f>
        <v>214</v>
      </c>
      <c r="B429" s="11" t="str">
        <f>HYPERLINK(CONCAT("http://leetcode.com/problems/",Github!C$215), Github!B$215)</f>
        <v>Shortest Palindrome</v>
      </c>
      <c r="C429" s="10">
        <f>Github!F$215</f>
        <v>2338</v>
      </c>
      <c r="D429" s="10">
        <f>Github!G$215</f>
        <v>188</v>
      </c>
      <c r="E429" s="10">
        <f>Github!F$215+Github!G$215</f>
        <v>2526</v>
      </c>
      <c r="F429" s="12">
        <f t="shared" si="1"/>
        <v>12.44</v>
      </c>
      <c r="G429" s="10" t="str">
        <f>Github!H$215</f>
        <v>Algorithms</v>
      </c>
      <c r="H429" s="13" t="str">
        <f>SUBSTITUTE(Github!L$215, ";", ", ")</f>
        <v>String, Rolling Hash, String Matching, Hash Function, </v>
      </c>
      <c r="I429" s="10" t="str">
        <f>Github!E$215</f>
        <v>Hard</v>
      </c>
      <c r="J429" s="10" t="str">
        <f>IF(TRIM(Github!D$215)="TRUE","FALSE","TRUE")</f>
        <v>TRUE</v>
      </c>
      <c r="K429" s="10" t="b">
        <f>Github!M$215</f>
        <v>1</v>
      </c>
      <c r="L429" s="10" t="b">
        <f>Github!N$215</f>
        <v>0</v>
      </c>
      <c r="M429" s="10" t="str">
        <f>ROUND(Github!O$215, 2)&amp;"%"</f>
        <v>31.77%</v>
      </c>
      <c r="N429" s="10">
        <f>Github!P$215</f>
        <v>135599</v>
      </c>
      <c r="O429" s="10">
        <f>Github!Q$215</f>
        <v>426818</v>
      </c>
    </row>
    <row r="430">
      <c r="A430" s="10">
        <f>Github!J$1338</f>
        <v>1337</v>
      </c>
      <c r="B430" s="11" t="str">
        <f>HYPERLINK(CONCAT("http://leetcode.com/problems/",Github!C$1338), Github!B$1338)</f>
        <v>The K Weakest Rows in a Matrix</v>
      </c>
      <c r="C430" s="10">
        <f>Github!F$1338</f>
        <v>2345</v>
      </c>
      <c r="D430" s="10">
        <f>Github!G$1338</f>
        <v>129</v>
      </c>
      <c r="E430" s="10">
        <f>Github!F$1338+Github!G$1338</f>
        <v>2474</v>
      </c>
      <c r="F430" s="12">
        <f t="shared" si="1"/>
        <v>18.18</v>
      </c>
      <c r="G430" s="10" t="str">
        <f>Github!H$1338</f>
        <v>Algorithms</v>
      </c>
      <c r="H430" s="13" t="str">
        <f>SUBSTITUTE(Github!L$1338, ";", ", ")</f>
        <v>Array, Binary Search, Sorting, Heap (Priority Queue), Matrix, </v>
      </c>
      <c r="I430" s="10" t="str">
        <f>Github!E$1338</f>
        <v>Easy</v>
      </c>
      <c r="J430" s="10" t="str">
        <f>IF(TRIM(Github!D$1338)="TRUE","FALSE","TRUE")</f>
        <v>TRUE</v>
      </c>
      <c r="K430" s="10" t="b">
        <f>Github!M$1338</f>
        <v>1</v>
      </c>
      <c r="L430" s="10" t="b">
        <f>Github!N$1338</f>
        <v>0</v>
      </c>
      <c r="M430" s="10" t="str">
        <f>ROUND(Github!O$1338, 2)&amp;"%"</f>
        <v>74.34%</v>
      </c>
      <c r="N430" s="10">
        <f>Github!P$1338</f>
        <v>158470</v>
      </c>
      <c r="O430" s="10">
        <f>Github!Q$1338</f>
        <v>213159</v>
      </c>
    </row>
    <row r="431">
      <c r="A431" s="10">
        <f>Github!J$1027</f>
        <v>1026</v>
      </c>
      <c r="B431" s="11" t="str">
        <f>HYPERLINK(CONCAT("http://leetcode.com/problems/",Github!C$1027), Github!B$1027)</f>
        <v>Maximum Difference Between Node and Ancestor</v>
      </c>
      <c r="C431" s="10">
        <f>Github!F$1027</f>
        <v>2340</v>
      </c>
      <c r="D431" s="10">
        <f>Github!G$1027</f>
        <v>64</v>
      </c>
      <c r="E431" s="10">
        <f>Github!F$1027+Github!G$1027</f>
        <v>2404</v>
      </c>
      <c r="F431" s="12">
        <f t="shared" si="1"/>
        <v>36.56</v>
      </c>
      <c r="G431" s="10" t="str">
        <f>Github!H$1027</f>
        <v>Algorithms</v>
      </c>
      <c r="H431" s="13" t="str">
        <f>SUBSTITUTE(Github!L$1027, ";", ", ")</f>
        <v>Tree, Depth-First Search, Binary Tree, </v>
      </c>
      <c r="I431" s="10" t="str">
        <f>Github!E$1027</f>
        <v>Medium</v>
      </c>
      <c r="J431" s="10" t="str">
        <f>IF(TRIM(Github!D$1027)="TRUE","FALSE","TRUE")</f>
        <v>TRUE</v>
      </c>
      <c r="K431" s="10" t="b">
        <f>Github!M$1027</f>
        <v>1</v>
      </c>
      <c r="L431" s="10" t="b">
        <f>Github!N$1027</f>
        <v>0</v>
      </c>
      <c r="M431" s="10" t="str">
        <f>ROUND(Github!O$1027, 2)&amp;"%"</f>
        <v>73.17%</v>
      </c>
      <c r="N431" s="10">
        <f>Github!P$1027</f>
        <v>129737</v>
      </c>
      <c r="O431" s="10">
        <f>Github!Q$1027</f>
        <v>177312</v>
      </c>
    </row>
    <row r="432">
      <c r="A432" s="10">
        <f>Github!J$72</f>
        <v>71</v>
      </c>
      <c r="B432" s="11" t="str">
        <f>HYPERLINK(CONCAT("http://leetcode.com/problems/",Github!C$72), Github!B$72)</f>
        <v>Simplify Path</v>
      </c>
      <c r="C432" s="10">
        <f>Github!F$72</f>
        <v>2349</v>
      </c>
      <c r="D432" s="10">
        <f>Github!G$72</f>
        <v>473</v>
      </c>
      <c r="E432" s="10">
        <f>Github!F$72+Github!G$72</f>
        <v>2822</v>
      </c>
      <c r="F432" s="12">
        <f t="shared" si="1"/>
        <v>4.97</v>
      </c>
      <c r="G432" s="10" t="str">
        <f>Github!H$72</f>
        <v>Algorithms</v>
      </c>
      <c r="H432" s="13" t="str">
        <f>SUBSTITUTE(Github!L$72, ";", ", ")</f>
        <v>String, Stack, </v>
      </c>
      <c r="I432" s="10" t="str">
        <f>Github!E$72</f>
        <v>Medium</v>
      </c>
      <c r="J432" s="10" t="str">
        <f>IF(TRIM(Github!D$72)="TRUE","FALSE","TRUE")</f>
        <v>TRUE</v>
      </c>
      <c r="K432" s="10" t="b">
        <f>Github!M$72</f>
        <v>1</v>
      </c>
      <c r="L432" s="10" t="b">
        <f>Github!N$72</f>
        <v>0</v>
      </c>
      <c r="M432" s="10" t="str">
        <f>ROUND(Github!O$72, 2)&amp;"%"</f>
        <v>38.8%</v>
      </c>
      <c r="N432" s="10">
        <f>Github!P$72</f>
        <v>423250</v>
      </c>
      <c r="O432" s="10">
        <f>Github!Q$72</f>
        <v>1090867</v>
      </c>
    </row>
    <row r="433">
      <c r="A433" s="10">
        <f>Github!J$800</f>
        <v>799</v>
      </c>
      <c r="B433" s="11" t="str">
        <f>HYPERLINK(CONCAT("http://leetcode.com/problems/",Github!C$800), Github!B$800)</f>
        <v>Champagne Tower</v>
      </c>
      <c r="C433" s="10">
        <f>Github!F$800</f>
        <v>2322</v>
      </c>
      <c r="D433" s="10">
        <f>Github!G$800</f>
        <v>129</v>
      </c>
      <c r="E433" s="10">
        <f>Github!F$800+Github!G$800</f>
        <v>2451</v>
      </c>
      <c r="F433" s="12">
        <f t="shared" si="1"/>
        <v>18</v>
      </c>
      <c r="G433" s="10" t="str">
        <f>Github!H$800</f>
        <v>Algorithms</v>
      </c>
      <c r="H433" s="13" t="str">
        <f>SUBSTITUTE(Github!L$800, ";", ", ")</f>
        <v>Dynamic Programming, </v>
      </c>
      <c r="I433" s="10" t="str">
        <f>Github!E$800</f>
        <v>Medium</v>
      </c>
      <c r="J433" s="10" t="str">
        <f>IF(TRIM(Github!D$800)="TRUE","FALSE","TRUE")</f>
        <v>TRUE</v>
      </c>
      <c r="K433" s="10" t="b">
        <f>Github!M$800</f>
        <v>1</v>
      </c>
      <c r="L433" s="10" t="b">
        <f>Github!N$800</f>
        <v>0</v>
      </c>
      <c r="M433" s="10" t="str">
        <f>ROUND(Github!O$800, 2)&amp;"%"</f>
        <v>51.2%</v>
      </c>
      <c r="N433" s="10">
        <f>Github!P$800</f>
        <v>75646</v>
      </c>
      <c r="O433" s="10">
        <f>Github!Q$800</f>
        <v>147736</v>
      </c>
    </row>
    <row r="434">
      <c r="A434" s="10">
        <f>Github!J$287</f>
        <v>286</v>
      </c>
      <c r="B434" s="11" t="str">
        <f>HYPERLINK(CONCAT("http://leetcode.com/problems/",Github!C$287), Github!B$287)</f>
        <v>Walls and Gates</v>
      </c>
      <c r="C434" s="10">
        <f>Github!F$287</f>
        <v>2326</v>
      </c>
      <c r="D434" s="10">
        <f>Github!G$287</f>
        <v>36</v>
      </c>
      <c r="E434" s="10">
        <f>Github!F$287+Github!G$287</f>
        <v>2362</v>
      </c>
      <c r="F434" s="12">
        <f t="shared" si="1"/>
        <v>64.61</v>
      </c>
      <c r="G434" s="10" t="str">
        <f>Github!H$287</f>
        <v>Algorithms</v>
      </c>
      <c r="H434" s="13" t="str">
        <f>SUBSTITUTE(Github!L$287, ";", ", ")</f>
        <v>Array, Breadth-First Search, Matrix, </v>
      </c>
      <c r="I434" s="10" t="str">
        <f>Github!E$287</f>
        <v>Medium</v>
      </c>
      <c r="J434" s="10" t="str">
        <f>IF(TRIM(Github!D$287)="TRUE","FALSE","TRUE")</f>
        <v>FALSE</v>
      </c>
      <c r="K434" s="10" t="b">
        <f>Github!M$287</f>
        <v>1</v>
      </c>
      <c r="L434" s="10" t="b">
        <f>Github!N$287</f>
        <v>0</v>
      </c>
      <c r="M434" s="10" t="str">
        <f>ROUND(Github!O$287, 2)&amp;"%"</f>
        <v>59.27%</v>
      </c>
      <c r="N434" s="10">
        <f>Github!P$287</f>
        <v>216920</v>
      </c>
      <c r="O434" s="10">
        <f>Github!Q$287</f>
        <v>365986</v>
      </c>
    </row>
    <row r="435">
      <c r="A435" s="10">
        <f>Github!J$1003</f>
        <v>1002</v>
      </c>
      <c r="B435" s="11" t="str">
        <f>HYPERLINK(CONCAT("http://leetcode.com/problems/",Github!C$1003), Github!B$1003)</f>
        <v>Find Common Characters</v>
      </c>
      <c r="C435" s="10">
        <f>Github!F$1003</f>
        <v>2292</v>
      </c>
      <c r="D435" s="10">
        <f>Github!G$1003</f>
        <v>185</v>
      </c>
      <c r="E435" s="10">
        <f>Github!F$1003+Github!G$1003</f>
        <v>2477</v>
      </c>
      <c r="F435" s="12">
        <f t="shared" si="1"/>
        <v>12.39</v>
      </c>
      <c r="G435" s="10" t="str">
        <f>Github!H$1003</f>
        <v>Algorithms</v>
      </c>
      <c r="H435" s="13" t="str">
        <f>SUBSTITUTE(Github!L$1003, ";", ", ")</f>
        <v>Array, Hash Table, String, </v>
      </c>
      <c r="I435" s="10" t="str">
        <f>Github!E$1003</f>
        <v>Easy</v>
      </c>
      <c r="J435" s="10" t="str">
        <f>IF(TRIM(Github!D$1003)="TRUE","FALSE","TRUE")</f>
        <v>TRUE</v>
      </c>
      <c r="K435" s="10" t="b">
        <f>Github!M$1003</f>
        <v>0</v>
      </c>
      <c r="L435" s="10" t="b">
        <f>Github!N$1003</f>
        <v>0</v>
      </c>
      <c r="M435" s="10" t="str">
        <f>ROUND(Github!O$1003, 2)&amp;"%"</f>
        <v>68.41%</v>
      </c>
      <c r="N435" s="10">
        <f>Github!P$1003</f>
        <v>142889</v>
      </c>
      <c r="O435" s="10">
        <f>Github!Q$1003</f>
        <v>208861</v>
      </c>
    </row>
    <row r="436">
      <c r="A436" s="10">
        <f>Github!J$1471</f>
        <v>1470</v>
      </c>
      <c r="B436" s="11" t="str">
        <f>HYPERLINK(CONCAT("http://leetcode.com/problems/",Github!C$1471), Github!B$1471)</f>
        <v>Shuffle the Array</v>
      </c>
      <c r="C436" s="10">
        <f>Github!F$1471</f>
        <v>2294</v>
      </c>
      <c r="D436" s="10">
        <f>Github!G$1471</f>
        <v>170</v>
      </c>
      <c r="E436" s="10">
        <f>Github!F$1471+Github!G$1471</f>
        <v>2464</v>
      </c>
      <c r="F436" s="12">
        <f t="shared" si="1"/>
        <v>13.49</v>
      </c>
      <c r="G436" s="10" t="str">
        <f>Github!H$1471</f>
        <v>Algorithms</v>
      </c>
      <c r="H436" s="13" t="str">
        <f>SUBSTITUTE(Github!L$1471, ";", ", ")</f>
        <v>Array, </v>
      </c>
      <c r="I436" s="10" t="str">
        <f>Github!E$1471</f>
        <v>Easy</v>
      </c>
      <c r="J436" s="10" t="str">
        <f>IF(TRIM(Github!D$1471)="TRUE","FALSE","TRUE")</f>
        <v>TRUE</v>
      </c>
      <c r="K436" s="10" t="b">
        <f>Github!M$1471</f>
        <v>0</v>
      </c>
      <c r="L436" s="10" t="b">
        <f>Github!N$1471</f>
        <v>0</v>
      </c>
      <c r="M436" s="10" t="str">
        <f>ROUND(Github!O$1471, 2)&amp;"%"</f>
        <v>88.32%</v>
      </c>
      <c r="N436" s="10">
        <f>Github!P$1471</f>
        <v>310590</v>
      </c>
      <c r="O436" s="10">
        <f>Github!Q$1471</f>
        <v>351647</v>
      </c>
    </row>
    <row r="437">
      <c r="A437" s="10">
        <f>Github!J$1449</f>
        <v>1448</v>
      </c>
      <c r="B437" s="11" t="str">
        <f>HYPERLINK(CONCAT("http://leetcode.com/problems/",Github!C$1449), Github!B$1449)</f>
        <v>Count Good Nodes in Binary Tree</v>
      </c>
      <c r="C437" s="10">
        <f>Github!F$1449</f>
        <v>2308</v>
      </c>
      <c r="D437" s="10">
        <f>Github!G$1449</f>
        <v>76</v>
      </c>
      <c r="E437" s="10">
        <f>Github!F$1449+Github!G$1449</f>
        <v>2384</v>
      </c>
      <c r="F437" s="12">
        <f t="shared" si="1"/>
        <v>30.37</v>
      </c>
      <c r="G437" s="10" t="str">
        <f>Github!H$1449</f>
        <v>Algorithms</v>
      </c>
      <c r="H437" s="13" t="str">
        <f>SUBSTITUTE(Github!L$1449, ";", ", ")</f>
        <v>Tree, Depth-First Search, Breadth-First Search, Binary Tree, </v>
      </c>
      <c r="I437" s="10" t="str">
        <f>Github!E$1449</f>
        <v>Medium</v>
      </c>
      <c r="J437" s="10" t="str">
        <f>IF(TRIM(Github!D$1449)="TRUE","FALSE","TRUE")</f>
        <v>TRUE</v>
      </c>
      <c r="K437" s="10" t="b">
        <f>Github!M$1449</f>
        <v>1</v>
      </c>
      <c r="L437" s="10" t="b">
        <f>Github!N$1449</f>
        <v>1</v>
      </c>
      <c r="M437" s="10" t="str">
        <f>ROUND(Github!O$1449, 2)&amp;"%"</f>
        <v>72.96%</v>
      </c>
      <c r="N437" s="10">
        <f>Github!P$1449</f>
        <v>160822</v>
      </c>
      <c r="O437" s="10">
        <f>Github!Q$1449</f>
        <v>220438</v>
      </c>
    </row>
    <row r="438">
      <c r="A438" s="10">
        <f>Github!J$221</f>
        <v>220</v>
      </c>
      <c r="B438" s="11" t="str">
        <f>HYPERLINK(CONCAT("http://leetcode.com/problems/",Github!C$221), Github!B$221)</f>
        <v>Contains Duplicate III</v>
      </c>
      <c r="C438" s="10">
        <f>Github!F$221</f>
        <v>2291</v>
      </c>
      <c r="D438" s="10">
        <f>Github!G$221</f>
        <v>2233</v>
      </c>
      <c r="E438" s="10">
        <f>Github!F$221+Github!G$221</f>
        <v>4524</v>
      </c>
      <c r="F438" s="12">
        <f t="shared" si="1"/>
        <v>1.03</v>
      </c>
      <c r="G438" s="10" t="str">
        <f>Github!H$221</f>
        <v>Algorithms</v>
      </c>
      <c r="H438" s="13" t="str">
        <f>SUBSTITUTE(Github!L$221, ";", ", ")</f>
        <v>Array, Sliding Window, Sorting, Bucket Sort, Ordered Set, </v>
      </c>
      <c r="I438" s="10" t="str">
        <f>Github!E$221</f>
        <v>Medium</v>
      </c>
      <c r="J438" s="10" t="str">
        <f>IF(TRIM(Github!D$221)="TRUE","FALSE","TRUE")</f>
        <v>TRUE</v>
      </c>
      <c r="K438" s="10" t="b">
        <f>Github!M$221</f>
        <v>1</v>
      </c>
      <c r="L438" s="10" t="b">
        <f>Github!N$221</f>
        <v>0</v>
      </c>
      <c r="M438" s="10" t="str">
        <f>ROUND(Github!O$221, 2)&amp;"%"</f>
        <v>21.71%</v>
      </c>
      <c r="N438" s="10">
        <f>Github!P$221</f>
        <v>200685</v>
      </c>
      <c r="O438" s="10">
        <f>Github!Q$221</f>
        <v>924525</v>
      </c>
    </row>
    <row r="439">
      <c r="A439" s="10">
        <f>Github!J$341</f>
        <v>340</v>
      </c>
      <c r="B439" s="11" t="str">
        <f>HYPERLINK(CONCAT("http://leetcode.com/problems/",Github!C$341), Github!B$341)</f>
        <v>Longest Substring with At Most K Distinct Characters</v>
      </c>
      <c r="C439" s="10">
        <f>Github!F$341</f>
        <v>2270</v>
      </c>
      <c r="D439" s="10">
        <f>Github!G$341</f>
        <v>69</v>
      </c>
      <c r="E439" s="10">
        <f>Github!F$341+Github!G$341</f>
        <v>2339</v>
      </c>
      <c r="F439" s="12">
        <f t="shared" si="1"/>
        <v>32.9</v>
      </c>
      <c r="G439" s="10" t="str">
        <f>Github!H$341</f>
        <v>Algorithms</v>
      </c>
      <c r="H439" s="13" t="str">
        <f>SUBSTITUTE(Github!L$341, ";", ", ")</f>
        <v>Hash Table, String, Sliding Window, </v>
      </c>
      <c r="I439" s="10" t="str">
        <f>Github!E$341</f>
        <v>Medium</v>
      </c>
      <c r="J439" s="10" t="str">
        <f>IF(TRIM(Github!D$341)="TRUE","FALSE","TRUE")</f>
        <v>FALSE</v>
      </c>
      <c r="K439" s="10" t="b">
        <f>Github!M$341</f>
        <v>1</v>
      </c>
      <c r="L439" s="10" t="b">
        <f>Github!N$341</f>
        <v>1</v>
      </c>
      <c r="M439" s="10" t="str">
        <f>ROUND(Github!O$341, 2)&amp;"%"</f>
        <v>47.32%</v>
      </c>
      <c r="N439" s="10">
        <f>Github!P$341</f>
        <v>272539</v>
      </c>
      <c r="O439" s="10">
        <f>Github!Q$341</f>
        <v>575972</v>
      </c>
    </row>
    <row r="440">
      <c r="A440" s="10">
        <f>Github!J$828</f>
        <v>827</v>
      </c>
      <c r="B440" s="11" t="str">
        <f>HYPERLINK(CONCAT("http://leetcode.com/problems/",Github!C$828), Github!B$828)</f>
        <v>Making A Large Island</v>
      </c>
      <c r="C440" s="10">
        <f>Github!F$828</f>
        <v>2270</v>
      </c>
      <c r="D440" s="10">
        <f>Github!G$828</f>
        <v>49</v>
      </c>
      <c r="E440" s="10">
        <f>Github!F$828+Github!G$828</f>
        <v>2319</v>
      </c>
      <c r="F440" s="12">
        <f t="shared" si="1"/>
        <v>46.33</v>
      </c>
      <c r="G440" s="10" t="str">
        <f>Github!H$828</f>
        <v>Algorithms</v>
      </c>
      <c r="H440" s="13" t="str">
        <f>SUBSTITUTE(Github!L$828, ";", ", ")</f>
        <v>Array, Depth-First Search, Breadth-First Search, Union Find, Matrix, </v>
      </c>
      <c r="I440" s="10" t="str">
        <f>Github!E$828</f>
        <v>Hard</v>
      </c>
      <c r="J440" s="10" t="str">
        <f>IF(TRIM(Github!D$828)="TRUE","FALSE","TRUE")</f>
        <v>TRUE</v>
      </c>
      <c r="K440" s="10" t="b">
        <f>Github!M$828</f>
        <v>1</v>
      </c>
      <c r="L440" s="10" t="b">
        <f>Github!N$828</f>
        <v>0</v>
      </c>
      <c r="M440" s="10" t="str">
        <f>ROUND(Github!O$828, 2)&amp;"%"</f>
        <v>44.78%</v>
      </c>
      <c r="N440" s="10">
        <f>Github!P$828</f>
        <v>107314</v>
      </c>
      <c r="O440" s="10">
        <f>Github!Q$828</f>
        <v>239663</v>
      </c>
    </row>
    <row r="441">
      <c r="A441" s="10">
        <f>Github!J$992</f>
        <v>991</v>
      </c>
      <c r="B441" s="11" t="str">
        <f>HYPERLINK(CONCAT("http://leetcode.com/problems/",Github!C$992), Github!B$992)</f>
        <v>Broken Calculator</v>
      </c>
      <c r="C441" s="10">
        <f>Github!F$992</f>
        <v>2257</v>
      </c>
      <c r="D441" s="10">
        <f>Github!G$992</f>
        <v>187</v>
      </c>
      <c r="E441" s="10">
        <f>Github!F$992+Github!G$992</f>
        <v>2444</v>
      </c>
      <c r="F441" s="12">
        <f t="shared" si="1"/>
        <v>12.07</v>
      </c>
      <c r="G441" s="10" t="str">
        <f>Github!H$992</f>
        <v>Algorithms</v>
      </c>
      <c r="H441" s="13" t="str">
        <f>SUBSTITUTE(Github!L$992, ";", ", ")</f>
        <v>Math, Greedy, </v>
      </c>
      <c r="I441" s="10" t="str">
        <f>Github!E$992</f>
        <v>Medium</v>
      </c>
      <c r="J441" s="10" t="str">
        <f>IF(TRIM(Github!D$992)="TRUE","FALSE","TRUE")</f>
        <v>TRUE</v>
      </c>
      <c r="K441" s="10" t="b">
        <f>Github!M$992</f>
        <v>1</v>
      </c>
      <c r="L441" s="10" t="b">
        <f>Github!N$992</f>
        <v>0</v>
      </c>
      <c r="M441" s="10" t="str">
        <f>ROUND(Github!O$992, 2)&amp;"%"</f>
        <v>54.15%</v>
      </c>
      <c r="N441" s="10">
        <f>Github!P$992</f>
        <v>85694</v>
      </c>
      <c r="O441" s="10">
        <f>Github!Q$992</f>
        <v>158242</v>
      </c>
    </row>
    <row r="442">
      <c r="A442" s="10">
        <f>Github!J$887</f>
        <v>886</v>
      </c>
      <c r="B442" s="11" t="str">
        <f>HYPERLINK(CONCAT("http://leetcode.com/problems/",Github!C$887), Github!B$887)</f>
        <v>Possible Bipartition</v>
      </c>
      <c r="C442" s="10">
        <f>Github!F$887</f>
        <v>2261</v>
      </c>
      <c r="D442" s="10">
        <f>Github!G$887</f>
        <v>52</v>
      </c>
      <c r="E442" s="10">
        <f>Github!F$887+Github!G$887</f>
        <v>2313</v>
      </c>
      <c r="F442" s="12">
        <f t="shared" si="1"/>
        <v>43.48</v>
      </c>
      <c r="G442" s="10" t="str">
        <f>Github!H$887</f>
        <v>Algorithms</v>
      </c>
      <c r="H442" s="13" t="str">
        <f>SUBSTITUTE(Github!L$887, ";", ", ")</f>
        <v>Depth-First Search, Breadth-First Search, Union Find, Graph, </v>
      </c>
      <c r="I442" s="10" t="str">
        <f>Github!E$887</f>
        <v>Medium</v>
      </c>
      <c r="J442" s="10" t="str">
        <f>IF(TRIM(Github!D$887)="TRUE","FALSE","TRUE")</f>
        <v>TRUE</v>
      </c>
      <c r="K442" s="10" t="b">
        <f>Github!M$887</f>
        <v>0</v>
      </c>
      <c r="L442" s="10" t="b">
        <f>Github!N$887</f>
        <v>0</v>
      </c>
      <c r="M442" s="10" t="str">
        <f>ROUND(Github!O$887, 2)&amp;"%"</f>
        <v>47.31%</v>
      </c>
      <c r="N442" s="10">
        <f>Github!P$887</f>
        <v>105566</v>
      </c>
      <c r="O442" s="10">
        <f>Github!Q$887</f>
        <v>223140</v>
      </c>
    </row>
    <row r="443">
      <c r="A443" s="10">
        <f>Github!J$278</f>
        <v>277</v>
      </c>
      <c r="B443" s="11" t="str">
        <f>HYPERLINK(CONCAT("http://leetcode.com/problems/",Github!C$278), Github!B$278)</f>
        <v>Find the Celebrity</v>
      </c>
      <c r="C443" s="10">
        <f>Github!F$278</f>
        <v>2262</v>
      </c>
      <c r="D443" s="10">
        <f>Github!G$278</f>
        <v>207</v>
      </c>
      <c r="E443" s="10">
        <f>Github!F$278+Github!G$278</f>
        <v>2469</v>
      </c>
      <c r="F443" s="12">
        <f t="shared" si="1"/>
        <v>10.93</v>
      </c>
      <c r="G443" s="10" t="str">
        <f>Github!H$278</f>
        <v>Algorithms</v>
      </c>
      <c r="H443" s="13" t="str">
        <f>SUBSTITUTE(Github!L$278, ";", ", ")</f>
        <v>Two Pointers, Greedy, Graph, Interactive, </v>
      </c>
      <c r="I443" s="10" t="str">
        <f>Github!E$278</f>
        <v>Medium</v>
      </c>
      <c r="J443" s="10" t="str">
        <f>IF(TRIM(Github!D$278)="TRUE","FALSE","TRUE")</f>
        <v>FALSE</v>
      </c>
      <c r="K443" s="10" t="b">
        <f>Github!M$278</f>
        <v>1</v>
      </c>
      <c r="L443" s="10" t="b">
        <f>Github!N$278</f>
        <v>1</v>
      </c>
      <c r="M443" s="10" t="str">
        <f>ROUND(Github!O$278, 2)&amp;"%"</f>
        <v>46.47%</v>
      </c>
      <c r="N443" s="10">
        <f>Github!P$278</f>
        <v>217789</v>
      </c>
      <c r="O443" s="10">
        <f>Github!Q$278</f>
        <v>468660</v>
      </c>
    </row>
    <row r="444">
      <c r="A444" s="10">
        <f>Github!J$932</f>
        <v>931</v>
      </c>
      <c r="B444" s="11" t="str">
        <f>HYPERLINK(CONCAT("http://leetcode.com/problems/",Github!C$932), Github!B$932)</f>
        <v>Minimum Falling Path Sum</v>
      </c>
      <c r="C444" s="10">
        <f>Github!F$932</f>
        <v>2249</v>
      </c>
      <c r="D444" s="10">
        <f>Github!G$932</f>
        <v>92</v>
      </c>
      <c r="E444" s="10">
        <f>Github!F$932+Github!G$932</f>
        <v>2341</v>
      </c>
      <c r="F444" s="12">
        <f t="shared" si="1"/>
        <v>24.45</v>
      </c>
      <c r="G444" s="10" t="str">
        <f>Github!H$932</f>
        <v>Algorithms</v>
      </c>
      <c r="H444" s="13" t="str">
        <f>SUBSTITUTE(Github!L$932, ";", ", ")</f>
        <v>Array, Dynamic Programming, Matrix, </v>
      </c>
      <c r="I444" s="10" t="str">
        <f>Github!E$932</f>
        <v>Medium</v>
      </c>
      <c r="J444" s="10" t="str">
        <f>IF(TRIM(Github!D$932)="TRUE","FALSE","TRUE")</f>
        <v>TRUE</v>
      </c>
      <c r="K444" s="10" t="b">
        <f>Github!M$932</f>
        <v>0</v>
      </c>
      <c r="L444" s="10" t="b">
        <f>Github!N$932</f>
        <v>0</v>
      </c>
      <c r="M444" s="10" t="str">
        <f>ROUND(Github!O$932, 2)&amp;"%"</f>
        <v>67.35%</v>
      </c>
      <c r="N444" s="10">
        <f>Github!P$932</f>
        <v>122921</v>
      </c>
      <c r="O444" s="10">
        <f>Github!Q$932</f>
        <v>182510</v>
      </c>
    </row>
    <row r="445">
      <c r="A445" s="10">
        <f>Github!J$202</f>
        <v>201</v>
      </c>
      <c r="B445" s="11" t="str">
        <f>HYPERLINK(CONCAT("http://leetcode.com/problems/",Github!C$202), Github!B$202)</f>
        <v>Bitwise AND of Numbers Range</v>
      </c>
      <c r="C445" s="10">
        <f>Github!F$202</f>
        <v>2242</v>
      </c>
      <c r="D445" s="10">
        <f>Github!G$202</f>
        <v>177</v>
      </c>
      <c r="E445" s="10">
        <f>Github!F$202+Github!G$202</f>
        <v>2419</v>
      </c>
      <c r="F445" s="12">
        <f t="shared" si="1"/>
        <v>12.67</v>
      </c>
      <c r="G445" s="10" t="str">
        <f>Github!H$202</f>
        <v>Algorithms</v>
      </c>
      <c r="H445" s="13" t="str">
        <f>SUBSTITUTE(Github!L$202, ";", ", ")</f>
        <v>Bit Manipulation, </v>
      </c>
      <c r="I445" s="10" t="str">
        <f>Github!E$202</f>
        <v>Medium</v>
      </c>
      <c r="J445" s="10" t="str">
        <f>IF(TRIM(Github!D$202)="TRUE","FALSE","TRUE")</f>
        <v>TRUE</v>
      </c>
      <c r="K445" s="10" t="b">
        <f>Github!M$202</f>
        <v>1</v>
      </c>
      <c r="L445" s="10" t="b">
        <f>Github!N$202</f>
        <v>0</v>
      </c>
      <c r="M445" s="10" t="str">
        <f>ROUND(Github!O$202, 2)&amp;"%"</f>
        <v>41.78%</v>
      </c>
      <c r="N445" s="10">
        <f>Github!P$202</f>
        <v>214131</v>
      </c>
      <c r="O445" s="10">
        <f>Github!Q$202</f>
        <v>512568</v>
      </c>
    </row>
    <row r="446">
      <c r="A446" s="10">
        <f>Github!J$1269</f>
        <v>1268</v>
      </c>
      <c r="B446" s="11" t="str">
        <f>HYPERLINK(CONCAT("http://leetcode.com/problems/",Github!C$1269), Github!B$1269)</f>
        <v>Search Suggestions System</v>
      </c>
      <c r="C446" s="10">
        <f>Github!F$1269</f>
        <v>2242</v>
      </c>
      <c r="D446" s="10">
        <f>Github!G$1269</f>
        <v>135</v>
      </c>
      <c r="E446" s="10">
        <f>Github!F$1269+Github!G$1269</f>
        <v>2377</v>
      </c>
      <c r="F446" s="12">
        <f t="shared" si="1"/>
        <v>16.61</v>
      </c>
      <c r="G446" s="10" t="str">
        <f>Github!H$1269</f>
        <v>Algorithms</v>
      </c>
      <c r="H446" s="13" t="str">
        <f>SUBSTITUTE(Github!L$1269, ";", ", ")</f>
        <v>Array, String, Trie, </v>
      </c>
      <c r="I446" s="10" t="str">
        <f>Github!E$1269</f>
        <v>Medium</v>
      </c>
      <c r="J446" s="10" t="str">
        <f>IF(TRIM(Github!D$1269)="TRUE","FALSE","TRUE")</f>
        <v>TRUE</v>
      </c>
      <c r="K446" s="10" t="b">
        <f>Github!M$1269</f>
        <v>1</v>
      </c>
      <c r="L446" s="10" t="b">
        <f>Github!N$1269</f>
        <v>0</v>
      </c>
      <c r="M446" s="10" t="str">
        <f>ROUND(Github!O$1269, 2)&amp;"%"</f>
        <v>65.35%</v>
      </c>
      <c r="N446" s="10">
        <f>Github!P$1269</f>
        <v>152925</v>
      </c>
      <c r="O446" s="10">
        <f>Github!Q$1269</f>
        <v>234002</v>
      </c>
    </row>
    <row r="447">
      <c r="A447" s="10">
        <f>Github!J$647</f>
        <v>646</v>
      </c>
      <c r="B447" s="11" t="str">
        <f>HYPERLINK(CONCAT("http://leetcode.com/problems/",Github!C$647), Github!B$647)</f>
        <v>Maximum Length of Pair Chain</v>
      </c>
      <c r="C447" s="10">
        <f>Github!F$647</f>
        <v>2208</v>
      </c>
      <c r="D447" s="10">
        <f>Github!G$647</f>
        <v>101</v>
      </c>
      <c r="E447" s="10">
        <f>Github!F$647+Github!G$647</f>
        <v>2309</v>
      </c>
      <c r="F447" s="12">
        <f t="shared" si="1"/>
        <v>21.86</v>
      </c>
      <c r="G447" s="10" t="str">
        <f>Github!H$647</f>
        <v>Algorithms</v>
      </c>
      <c r="H447" s="13" t="str">
        <f>SUBSTITUTE(Github!L$647, ";", ", ")</f>
        <v>Array, Dynamic Programming, Greedy, Sorting, </v>
      </c>
      <c r="I447" s="10" t="str">
        <f>Github!E$647</f>
        <v>Medium</v>
      </c>
      <c r="J447" s="10" t="str">
        <f>IF(TRIM(Github!D$647)="TRUE","FALSE","TRUE")</f>
        <v>TRUE</v>
      </c>
      <c r="K447" s="10" t="b">
        <f>Github!M$647</f>
        <v>1</v>
      </c>
      <c r="L447" s="10" t="b">
        <f>Github!N$647</f>
        <v>0</v>
      </c>
      <c r="M447" s="10" t="str">
        <f>ROUND(Github!O$647, 2)&amp;"%"</f>
        <v>55.66%</v>
      </c>
      <c r="N447" s="10">
        <f>Github!P$647</f>
        <v>107570</v>
      </c>
      <c r="O447" s="10">
        <f>Github!Q$647</f>
        <v>193264</v>
      </c>
    </row>
    <row r="448">
      <c r="A448" s="10">
        <f>Github!J$924</f>
        <v>923</v>
      </c>
      <c r="B448" s="11" t="str">
        <f>HYPERLINK(CONCAT("http://leetcode.com/problems/",Github!C$924), Github!B$924)</f>
        <v>3Sum With Multiplicity</v>
      </c>
      <c r="C448" s="10">
        <f>Github!F$924</f>
        <v>2202</v>
      </c>
      <c r="D448" s="10">
        <f>Github!G$924</f>
        <v>265</v>
      </c>
      <c r="E448" s="10">
        <f>Github!F$924+Github!G$924</f>
        <v>2467</v>
      </c>
      <c r="F448" s="12">
        <f t="shared" si="1"/>
        <v>8.31</v>
      </c>
      <c r="G448" s="10" t="str">
        <f>Github!H$924</f>
        <v>Algorithms</v>
      </c>
      <c r="H448" s="13" t="str">
        <f>SUBSTITUTE(Github!L$924, ";", ", ")</f>
        <v>Array, Hash Table, Two Pointers, Sorting, Counting, </v>
      </c>
      <c r="I448" s="10" t="str">
        <f>Github!E$924</f>
        <v>Medium</v>
      </c>
      <c r="J448" s="10" t="str">
        <f>IF(TRIM(Github!D$924)="TRUE","FALSE","TRUE")</f>
        <v>TRUE</v>
      </c>
      <c r="K448" s="10" t="b">
        <f>Github!M$924</f>
        <v>1</v>
      </c>
      <c r="L448" s="10" t="b">
        <f>Github!N$924</f>
        <v>0</v>
      </c>
      <c r="M448" s="10" t="str">
        <f>ROUND(Github!O$924, 2)&amp;"%"</f>
        <v>45.43%</v>
      </c>
      <c r="N448" s="10">
        <f>Github!P$924</f>
        <v>86143</v>
      </c>
      <c r="O448" s="10">
        <f>Github!Q$924</f>
        <v>189634</v>
      </c>
    </row>
    <row r="449">
      <c r="A449" s="10">
        <f>Github!J$1306</f>
        <v>1305</v>
      </c>
      <c r="B449" s="11" t="str">
        <f>HYPERLINK(CONCAT("http://leetcode.com/problems/",Github!C$1306), Github!B$1306)</f>
        <v>All Elements in Two Binary Search Trees</v>
      </c>
      <c r="C449" s="10">
        <f>Github!F$1306</f>
        <v>2203</v>
      </c>
      <c r="D449" s="10">
        <f>Github!G$1306</f>
        <v>64</v>
      </c>
      <c r="E449" s="10">
        <f>Github!F$1306+Github!G$1306</f>
        <v>2267</v>
      </c>
      <c r="F449" s="12">
        <f t="shared" si="1"/>
        <v>34.42</v>
      </c>
      <c r="G449" s="10" t="str">
        <f>Github!H$1306</f>
        <v>Algorithms</v>
      </c>
      <c r="H449" s="13" t="str">
        <f>SUBSTITUTE(Github!L$1306, ";", ", ")</f>
        <v>Tree, Depth-First Search, Binary Search Tree, Sorting, Binary Tree, </v>
      </c>
      <c r="I449" s="10" t="str">
        <f>Github!E$1306</f>
        <v>Medium</v>
      </c>
      <c r="J449" s="10" t="str">
        <f>IF(TRIM(Github!D$1306)="TRUE","FALSE","TRUE")</f>
        <v>TRUE</v>
      </c>
      <c r="K449" s="10" t="b">
        <f>Github!M$1306</f>
        <v>1</v>
      </c>
      <c r="L449" s="10" t="b">
        <f>Github!N$1306</f>
        <v>0</v>
      </c>
      <c r="M449" s="10" t="str">
        <f>ROUND(Github!O$1306, 2)&amp;"%"</f>
        <v>79.61%</v>
      </c>
      <c r="N449" s="10">
        <f>Github!P$1306</f>
        <v>160867</v>
      </c>
      <c r="O449" s="10">
        <f>Github!Q$1306</f>
        <v>202074</v>
      </c>
    </row>
    <row r="450">
      <c r="A450" s="10">
        <f>Github!J$368</f>
        <v>367</v>
      </c>
      <c r="B450" s="11" t="str">
        <f>HYPERLINK(CONCAT("http://leetcode.com/problems/",Github!C$368), Github!B$368)</f>
        <v>Valid Perfect Square</v>
      </c>
      <c r="C450" s="10">
        <f>Github!F$368</f>
        <v>2218</v>
      </c>
      <c r="D450" s="10">
        <f>Github!G$368</f>
        <v>232</v>
      </c>
      <c r="E450" s="10">
        <f>Github!F$368+Github!G$368</f>
        <v>2450</v>
      </c>
      <c r="F450" s="12">
        <f t="shared" si="1"/>
        <v>9.56</v>
      </c>
      <c r="G450" s="10" t="str">
        <f>Github!H$368</f>
        <v>Algorithms</v>
      </c>
      <c r="H450" s="13" t="str">
        <f>SUBSTITUTE(Github!L$368, ";", ", ")</f>
        <v>Math, Binary Search, </v>
      </c>
      <c r="I450" s="10" t="str">
        <f>Github!E$368</f>
        <v>Easy</v>
      </c>
      <c r="J450" s="10" t="str">
        <f>IF(TRIM(Github!D$368)="TRUE","FALSE","TRUE")</f>
        <v>TRUE</v>
      </c>
      <c r="K450" s="10" t="b">
        <f>Github!M$368</f>
        <v>1</v>
      </c>
      <c r="L450" s="10" t="b">
        <f>Github!N$368</f>
        <v>0</v>
      </c>
      <c r="M450" s="10" t="str">
        <f>ROUND(Github!O$368, 2)&amp;"%"</f>
        <v>43%</v>
      </c>
      <c r="N450" s="10">
        <f>Github!P$368</f>
        <v>357717</v>
      </c>
      <c r="O450" s="10">
        <f>Github!Q$368</f>
        <v>831922</v>
      </c>
    </row>
    <row r="451">
      <c r="A451" s="10">
        <f>Github!J$557</f>
        <v>556</v>
      </c>
      <c r="B451" s="11" t="str">
        <f>HYPERLINK(CONCAT("http://leetcode.com/problems/",Github!C$557), Github!B$557)</f>
        <v>Next Greater Element III</v>
      </c>
      <c r="C451" s="10">
        <f>Github!F$557</f>
        <v>2195</v>
      </c>
      <c r="D451" s="10">
        <f>Github!G$557</f>
        <v>344</v>
      </c>
      <c r="E451" s="10">
        <f>Github!F$557+Github!G$557</f>
        <v>2539</v>
      </c>
      <c r="F451" s="12">
        <f t="shared" si="1"/>
        <v>6.38</v>
      </c>
      <c r="G451" s="10" t="str">
        <f>Github!H$557</f>
        <v>Algorithms</v>
      </c>
      <c r="H451" s="13" t="str">
        <f>SUBSTITUTE(Github!L$557, ";", ", ")</f>
        <v>Math, Two Pointers, String, </v>
      </c>
      <c r="I451" s="10" t="str">
        <f>Github!E$557</f>
        <v>Medium</v>
      </c>
      <c r="J451" s="10" t="str">
        <f>IF(TRIM(Github!D$557)="TRUE","FALSE","TRUE")</f>
        <v>TRUE</v>
      </c>
      <c r="K451" s="10" t="b">
        <f>Github!M$557</f>
        <v>1</v>
      </c>
      <c r="L451" s="10" t="b">
        <f>Github!N$557</f>
        <v>0</v>
      </c>
      <c r="M451" s="10" t="str">
        <f>ROUND(Github!O$557, 2)&amp;"%"</f>
        <v>33.81%</v>
      </c>
      <c r="N451" s="10">
        <f>Github!P$557</f>
        <v>97845</v>
      </c>
      <c r="O451" s="10">
        <f>Github!Q$557</f>
        <v>289422</v>
      </c>
    </row>
    <row r="452">
      <c r="A452" s="10">
        <f>Github!J$567</f>
        <v>566</v>
      </c>
      <c r="B452" s="11" t="str">
        <f>HYPERLINK(CONCAT("http://leetcode.com/problems/",Github!C$567), Github!B$567)</f>
        <v>Reshape the Matrix</v>
      </c>
      <c r="C452" s="10">
        <f>Github!F$567</f>
        <v>2187</v>
      </c>
      <c r="D452" s="10">
        <f>Github!G$567</f>
        <v>245</v>
      </c>
      <c r="E452" s="10">
        <f>Github!F$567+Github!G$567</f>
        <v>2432</v>
      </c>
      <c r="F452" s="12">
        <f t="shared" si="1"/>
        <v>8.93</v>
      </c>
      <c r="G452" s="10" t="str">
        <f>Github!H$567</f>
        <v>Algorithms</v>
      </c>
      <c r="H452" s="13" t="str">
        <f>SUBSTITUTE(Github!L$567, ";", ", ")</f>
        <v>Array, Matrix, Simulation, </v>
      </c>
      <c r="I452" s="10" t="str">
        <f>Github!E$567</f>
        <v>Easy</v>
      </c>
      <c r="J452" s="10" t="str">
        <f>IF(TRIM(Github!D$567)="TRUE","FALSE","TRUE")</f>
        <v>TRUE</v>
      </c>
      <c r="K452" s="10" t="b">
        <f>Github!M$567</f>
        <v>1</v>
      </c>
      <c r="L452" s="10" t="b">
        <f>Github!N$567</f>
        <v>0</v>
      </c>
      <c r="M452" s="10" t="str">
        <f>ROUND(Github!O$567, 2)&amp;"%"</f>
        <v>62.42%</v>
      </c>
      <c r="N452" s="10">
        <f>Github!P$567</f>
        <v>231767</v>
      </c>
      <c r="O452" s="10">
        <f>Github!Q$567</f>
        <v>371325</v>
      </c>
    </row>
    <row r="453">
      <c r="A453" s="10">
        <f>Github!J$822</f>
        <v>821</v>
      </c>
      <c r="B453" s="11" t="str">
        <f>HYPERLINK(CONCAT("http://leetcode.com/problems/",Github!C$822), Github!B$822)</f>
        <v>Shortest Distance to a Character</v>
      </c>
      <c r="C453" s="10">
        <f>Github!F$822</f>
        <v>2187</v>
      </c>
      <c r="D453" s="10">
        <f>Github!G$822</f>
        <v>120</v>
      </c>
      <c r="E453" s="10">
        <f>Github!F$822+Github!G$822</f>
        <v>2307</v>
      </c>
      <c r="F453" s="12">
        <f t="shared" si="1"/>
        <v>18.23</v>
      </c>
      <c r="G453" s="10" t="str">
        <f>Github!H$822</f>
        <v>Algorithms</v>
      </c>
      <c r="H453" s="13" t="str">
        <f>SUBSTITUTE(Github!L$822, ";", ", ")</f>
        <v>Array, Two Pointers, String, </v>
      </c>
      <c r="I453" s="10" t="str">
        <f>Github!E$822</f>
        <v>Easy</v>
      </c>
      <c r="J453" s="10" t="str">
        <f>IF(TRIM(Github!D$822)="TRUE","FALSE","TRUE")</f>
        <v>TRUE</v>
      </c>
      <c r="K453" s="10" t="b">
        <f>Github!M$822</f>
        <v>1</v>
      </c>
      <c r="L453" s="10" t="b">
        <f>Github!N$822</f>
        <v>0</v>
      </c>
      <c r="M453" s="10" t="str">
        <f>ROUND(Github!O$822, 2)&amp;"%"</f>
        <v>70.97%</v>
      </c>
      <c r="N453" s="10">
        <f>Github!P$822</f>
        <v>131552</v>
      </c>
      <c r="O453" s="10">
        <f>Github!Q$822</f>
        <v>185365</v>
      </c>
    </row>
    <row r="454">
      <c r="A454" s="10">
        <f>Github!J$490</f>
        <v>489</v>
      </c>
      <c r="B454" s="11" t="str">
        <f>HYPERLINK(CONCAT("http://leetcode.com/problems/",Github!C$490), Github!B$490)</f>
        <v>Robot Room Cleaner</v>
      </c>
      <c r="C454" s="10">
        <f>Github!F$490</f>
        <v>2174</v>
      </c>
      <c r="D454" s="10">
        <f>Github!G$490</f>
        <v>129</v>
      </c>
      <c r="E454" s="10">
        <f>Github!F$490+Github!G$490</f>
        <v>2303</v>
      </c>
      <c r="F454" s="12">
        <f t="shared" si="1"/>
        <v>16.85</v>
      </c>
      <c r="G454" s="10" t="str">
        <f>Github!H$490</f>
        <v>Algorithms</v>
      </c>
      <c r="H454" s="13" t="str">
        <f>SUBSTITUTE(Github!L$490, ";", ", ")</f>
        <v>Backtracking, Interactive, </v>
      </c>
      <c r="I454" s="10" t="str">
        <f>Github!E$490</f>
        <v>Hard</v>
      </c>
      <c r="J454" s="10" t="str">
        <f>IF(TRIM(Github!D$490)="TRUE","FALSE","TRUE")</f>
        <v>FALSE</v>
      </c>
      <c r="K454" s="10" t="b">
        <f>Github!M$490</f>
        <v>1</v>
      </c>
      <c r="L454" s="10" t="b">
        <f>Github!N$490</f>
        <v>0</v>
      </c>
      <c r="M454" s="10" t="str">
        <f>ROUND(Github!O$490, 2)&amp;"%"</f>
        <v>75.68%</v>
      </c>
      <c r="N454" s="10">
        <f>Github!P$490</f>
        <v>117719</v>
      </c>
      <c r="O454" s="10">
        <f>Github!Q$490</f>
        <v>155539</v>
      </c>
    </row>
    <row r="455">
      <c r="A455" s="10">
        <f>Github!J$442</f>
        <v>441</v>
      </c>
      <c r="B455" s="11" t="str">
        <f>HYPERLINK(CONCAT("http://leetcode.com/problems/",Github!C$442), Github!B$442)</f>
        <v>Arranging Coins</v>
      </c>
      <c r="C455" s="10">
        <f>Github!F$442</f>
        <v>2186</v>
      </c>
      <c r="D455" s="10">
        <f>Github!G$442</f>
        <v>1014</v>
      </c>
      <c r="E455" s="10">
        <f>Github!F$442+Github!G$442</f>
        <v>3200</v>
      </c>
      <c r="F455" s="12">
        <f t="shared" si="1"/>
        <v>2.16</v>
      </c>
      <c r="G455" s="10" t="str">
        <f>Github!H$442</f>
        <v>Algorithms</v>
      </c>
      <c r="H455" s="13" t="str">
        <f>SUBSTITUTE(Github!L$442, ";", ", ")</f>
        <v>Math, Binary Search, </v>
      </c>
      <c r="I455" s="10" t="str">
        <f>Github!E$442</f>
        <v>Easy</v>
      </c>
      <c r="J455" s="10" t="str">
        <f>IF(TRIM(Github!D$442)="TRUE","FALSE","TRUE")</f>
        <v>TRUE</v>
      </c>
      <c r="K455" s="10" t="b">
        <f>Github!M$442</f>
        <v>1</v>
      </c>
      <c r="L455" s="10" t="b">
        <f>Github!N$442</f>
        <v>0</v>
      </c>
      <c r="M455" s="10" t="str">
        <f>ROUND(Github!O$442, 2)&amp;"%"</f>
        <v>45.36%</v>
      </c>
      <c r="N455" s="10">
        <f>Github!P$442</f>
        <v>275590</v>
      </c>
      <c r="O455" s="10">
        <f>Github!Q$442</f>
        <v>607589</v>
      </c>
    </row>
    <row r="456">
      <c r="A456" s="10">
        <f>Github!J$427</f>
        <v>426</v>
      </c>
      <c r="B456" s="11" t="str">
        <f>HYPERLINK(CONCAT("http://leetcode.com/problems/",Github!C$427), Github!B$427)</f>
        <v>Convert Binary Search Tree to Sorted Doubly Linked List</v>
      </c>
      <c r="C456" s="10">
        <f>Github!F$427</f>
        <v>2162</v>
      </c>
      <c r="D456" s="10">
        <f>Github!G$427</f>
        <v>175</v>
      </c>
      <c r="E456" s="10">
        <f>Github!F$427+Github!G$427</f>
        <v>2337</v>
      </c>
      <c r="F456" s="12">
        <f t="shared" si="1"/>
        <v>12.35</v>
      </c>
      <c r="G456" s="10" t="str">
        <f>Github!H$427</f>
        <v>Algorithms</v>
      </c>
      <c r="H456" s="13" t="str">
        <f>SUBSTITUTE(Github!L$427, ";", ", ")</f>
        <v>Linked List, Stack, Tree, Depth-First Search, Binary Search Tree, Binary Tree, Doubly-Linked List, </v>
      </c>
      <c r="I456" s="10" t="str">
        <f>Github!E$427</f>
        <v>Medium</v>
      </c>
      <c r="J456" s="10" t="str">
        <f>IF(TRIM(Github!D$427)="TRUE","FALSE","TRUE")</f>
        <v>FALSE</v>
      </c>
      <c r="K456" s="10" t="b">
        <f>Github!M$427</f>
        <v>1</v>
      </c>
      <c r="L456" s="10" t="b">
        <f>Github!N$427</f>
        <v>0</v>
      </c>
      <c r="M456" s="10" t="str">
        <f>ROUND(Github!O$427, 2)&amp;"%"</f>
        <v>64.36%</v>
      </c>
      <c r="N456" s="10">
        <f>Github!P$427</f>
        <v>209090</v>
      </c>
      <c r="O456" s="10">
        <f>Github!Q$427</f>
        <v>324862</v>
      </c>
    </row>
    <row r="457">
      <c r="A457" s="10">
        <f>Github!J$1093</f>
        <v>1092</v>
      </c>
      <c r="B457" s="11" t="str">
        <f>HYPERLINK(CONCAT("http://leetcode.com/problems/",Github!C$1093), Github!B$1093)</f>
        <v>Shortest Common Supersequence </v>
      </c>
      <c r="C457" s="10">
        <f>Github!F$1093</f>
        <v>2172</v>
      </c>
      <c r="D457" s="10">
        <f>Github!G$1093</f>
        <v>41</v>
      </c>
      <c r="E457" s="10">
        <f>Github!F$1093+Github!G$1093</f>
        <v>2213</v>
      </c>
      <c r="F457" s="12">
        <f t="shared" si="1"/>
        <v>52.98</v>
      </c>
      <c r="G457" s="10" t="str">
        <f>Github!H$1093</f>
        <v>Algorithms</v>
      </c>
      <c r="H457" s="13" t="str">
        <f>SUBSTITUTE(Github!L$1093, ";", ", ")</f>
        <v>String, Dynamic Programming, </v>
      </c>
      <c r="I457" s="10" t="str">
        <f>Github!E$1093</f>
        <v>Hard</v>
      </c>
      <c r="J457" s="10" t="str">
        <f>IF(TRIM(Github!D$1093)="TRUE","FALSE","TRUE")</f>
        <v>TRUE</v>
      </c>
      <c r="K457" s="10" t="b">
        <f>Github!M$1093</f>
        <v>0</v>
      </c>
      <c r="L457" s="10" t="b">
        <f>Github!N$1093</f>
        <v>0</v>
      </c>
      <c r="M457" s="10" t="str">
        <f>ROUND(Github!O$1093, 2)&amp;"%"</f>
        <v>55.99%</v>
      </c>
      <c r="N457" s="10">
        <f>Github!P$1093</f>
        <v>44455</v>
      </c>
      <c r="O457" s="10">
        <f>Github!Q$1093</f>
        <v>79397</v>
      </c>
    </row>
    <row r="458">
      <c r="A458" s="10">
        <f>Github!J$660</f>
        <v>659</v>
      </c>
      <c r="B458" s="11" t="str">
        <f>HYPERLINK(CONCAT("http://leetcode.com/problems/",Github!C$660), Github!B$660)</f>
        <v>Split Array into Consecutive Subsequences</v>
      </c>
      <c r="C458" s="10">
        <f>Github!F$660</f>
        <v>2140</v>
      </c>
      <c r="D458" s="10">
        <f>Github!G$660</f>
        <v>549</v>
      </c>
      <c r="E458" s="10">
        <f>Github!F$660+Github!G$660</f>
        <v>2689</v>
      </c>
      <c r="F458" s="12">
        <f t="shared" si="1"/>
        <v>3.9</v>
      </c>
      <c r="G458" s="10" t="str">
        <f>Github!H$660</f>
        <v>Algorithms</v>
      </c>
      <c r="H458" s="13" t="str">
        <f>SUBSTITUTE(Github!L$660, ";", ", ")</f>
        <v>Array, Hash Table, Greedy, Heap (Priority Queue), </v>
      </c>
      <c r="I458" s="10" t="str">
        <f>Github!E$660</f>
        <v>Medium</v>
      </c>
      <c r="J458" s="10" t="str">
        <f>IF(TRIM(Github!D$660)="TRUE","FALSE","TRUE")</f>
        <v>TRUE</v>
      </c>
      <c r="K458" s="10" t="b">
        <f>Github!M$660</f>
        <v>1</v>
      </c>
      <c r="L458" s="10" t="b">
        <f>Github!N$660</f>
        <v>0</v>
      </c>
      <c r="M458" s="10" t="str">
        <f>ROUND(Github!O$660, 2)&amp;"%"</f>
        <v>45.7%</v>
      </c>
      <c r="N458" s="10">
        <f>Github!P$660</f>
        <v>69363</v>
      </c>
      <c r="O458" s="10">
        <f>Github!Q$660</f>
        <v>151791</v>
      </c>
    </row>
    <row r="459">
      <c r="A459" s="10">
        <f>Github!J$499</f>
        <v>498</v>
      </c>
      <c r="B459" s="11" t="str">
        <f>HYPERLINK(CONCAT("http://leetcode.com/problems/",Github!C$499), Github!B$499)</f>
        <v>Diagonal Traverse</v>
      </c>
      <c r="C459" s="10">
        <f>Github!F$499</f>
        <v>2145</v>
      </c>
      <c r="D459" s="10">
        <f>Github!G$499</f>
        <v>529</v>
      </c>
      <c r="E459" s="10">
        <f>Github!F$499+Github!G$499</f>
        <v>2674</v>
      </c>
      <c r="F459" s="12">
        <f t="shared" si="1"/>
        <v>4.05</v>
      </c>
      <c r="G459" s="10" t="str">
        <f>Github!H$499</f>
        <v>Algorithms</v>
      </c>
      <c r="H459" s="13" t="str">
        <f>SUBSTITUTE(Github!L$499, ";", ", ")</f>
        <v>Array, Matrix, Simulation, </v>
      </c>
      <c r="I459" s="10" t="str">
        <f>Github!E$499</f>
        <v>Medium</v>
      </c>
      <c r="J459" s="10" t="str">
        <f>IF(TRIM(Github!D$499)="TRUE","FALSE","TRUE")</f>
        <v>TRUE</v>
      </c>
      <c r="K459" s="10" t="b">
        <f>Github!M$499</f>
        <v>1</v>
      </c>
      <c r="L459" s="10" t="b">
        <f>Github!N$499</f>
        <v>0</v>
      </c>
      <c r="M459" s="10" t="str">
        <f>ROUND(Github!O$499, 2)&amp;"%"</f>
        <v>56.68%</v>
      </c>
      <c r="N459" s="10">
        <f>Github!P$499</f>
        <v>197638</v>
      </c>
      <c r="O459" s="10">
        <f>Github!Q$499</f>
        <v>348680</v>
      </c>
    </row>
    <row r="460">
      <c r="A460" s="10">
        <f>Github!J$481</f>
        <v>480</v>
      </c>
      <c r="B460" s="11" t="str">
        <f>HYPERLINK(CONCAT("http://leetcode.com/problems/",Github!C$481), Github!B$481)</f>
        <v>Sliding Window Median</v>
      </c>
      <c r="C460" s="10">
        <f>Github!F$481</f>
        <v>2134</v>
      </c>
      <c r="D460" s="10">
        <f>Github!G$481</f>
        <v>131</v>
      </c>
      <c r="E460" s="10">
        <f>Github!F$481+Github!G$481</f>
        <v>2265</v>
      </c>
      <c r="F460" s="12">
        <f t="shared" si="1"/>
        <v>16.29</v>
      </c>
      <c r="G460" s="10" t="str">
        <f>Github!H$481</f>
        <v>Algorithms</v>
      </c>
      <c r="H460" s="13" t="str">
        <f>SUBSTITUTE(Github!L$481, ";", ", ")</f>
        <v>Array, Hash Table, Sliding Window, Heap (Priority Queue), </v>
      </c>
      <c r="I460" s="10" t="str">
        <f>Github!E$481</f>
        <v>Hard</v>
      </c>
      <c r="J460" s="10" t="str">
        <f>IF(TRIM(Github!D$481)="TRUE","FALSE","TRUE")</f>
        <v>TRUE</v>
      </c>
      <c r="K460" s="10" t="b">
        <f>Github!M$481</f>
        <v>1</v>
      </c>
      <c r="L460" s="10" t="b">
        <f>Github!N$481</f>
        <v>0</v>
      </c>
      <c r="M460" s="10" t="str">
        <f>ROUND(Github!O$481, 2)&amp;"%"</f>
        <v>40.89%</v>
      </c>
      <c r="N460" s="10">
        <f>Github!P$481</f>
        <v>103951</v>
      </c>
      <c r="O460" s="10">
        <f>Github!Q$481</f>
        <v>254223</v>
      </c>
    </row>
    <row r="461">
      <c r="A461" s="10">
        <f>Github!J$1020</f>
        <v>1019</v>
      </c>
      <c r="B461" s="11" t="str">
        <f>HYPERLINK(CONCAT("http://leetcode.com/problems/",Github!C$1020), Github!B$1020)</f>
        <v>Next Greater Node In Linked List</v>
      </c>
      <c r="C461" s="10">
        <f>Github!F$1020</f>
        <v>2120</v>
      </c>
      <c r="D461" s="10">
        <f>Github!G$1020</f>
        <v>96</v>
      </c>
      <c r="E461" s="10">
        <f>Github!F$1020+Github!G$1020</f>
        <v>2216</v>
      </c>
      <c r="F461" s="12">
        <f t="shared" si="1"/>
        <v>22.08</v>
      </c>
      <c r="G461" s="10" t="str">
        <f>Github!H$1020</f>
        <v>Algorithms</v>
      </c>
      <c r="H461" s="13" t="str">
        <f>SUBSTITUTE(Github!L$1020, ";", ", ")</f>
        <v>Array, Linked List, Stack, Monotonic Stack, </v>
      </c>
      <c r="I461" s="10" t="str">
        <f>Github!E$1020</f>
        <v>Medium</v>
      </c>
      <c r="J461" s="10" t="str">
        <f>IF(TRIM(Github!D$1020)="TRUE","FALSE","TRUE")</f>
        <v>TRUE</v>
      </c>
      <c r="K461" s="10" t="b">
        <f>Github!M$1020</f>
        <v>0</v>
      </c>
      <c r="L461" s="10" t="b">
        <f>Github!N$1020</f>
        <v>0</v>
      </c>
      <c r="M461" s="10" t="str">
        <f>ROUND(Github!O$1020, 2)&amp;"%"</f>
        <v>59.6%</v>
      </c>
      <c r="N461" s="10">
        <f>Github!P$1020</f>
        <v>101248</v>
      </c>
      <c r="O461" s="10">
        <f>Github!Q$1020</f>
        <v>169879</v>
      </c>
    </row>
    <row r="462">
      <c r="A462" s="10">
        <f>Github!J$527</f>
        <v>526</v>
      </c>
      <c r="B462" s="11" t="str">
        <f>HYPERLINK(CONCAT("http://leetcode.com/problems/",Github!C$527), Github!B$527)</f>
        <v>Beautiful Arrangement</v>
      </c>
      <c r="C462" s="10">
        <f>Github!F$527</f>
        <v>2120</v>
      </c>
      <c r="D462" s="10">
        <f>Github!G$527</f>
        <v>286</v>
      </c>
      <c r="E462" s="10">
        <f>Github!F$527+Github!G$527</f>
        <v>2406</v>
      </c>
      <c r="F462" s="12">
        <f t="shared" si="1"/>
        <v>7.41</v>
      </c>
      <c r="G462" s="10" t="str">
        <f>Github!H$527</f>
        <v>Algorithms</v>
      </c>
      <c r="H462" s="13" t="str">
        <f>SUBSTITUTE(Github!L$527, ";", ", ")</f>
        <v>Array, Dynamic Programming, Backtracking, Bit Manipulation, Bitmask, </v>
      </c>
      <c r="I462" s="10" t="str">
        <f>Github!E$527</f>
        <v>Medium</v>
      </c>
      <c r="J462" s="10" t="str">
        <f>IF(TRIM(Github!D$527)="TRUE","FALSE","TRUE")</f>
        <v>TRUE</v>
      </c>
      <c r="K462" s="10" t="b">
        <f>Github!M$527</f>
        <v>1</v>
      </c>
      <c r="L462" s="10" t="b">
        <f>Github!N$527</f>
        <v>0</v>
      </c>
      <c r="M462" s="10" t="str">
        <f>ROUND(Github!O$527, 2)&amp;"%"</f>
        <v>64.32%</v>
      </c>
      <c r="N462" s="10">
        <f>Github!P$527</f>
        <v>128372</v>
      </c>
      <c r="O462" s="10">
        <f>Github!Q$527</f>
        <v>199568</v>
      </c>
    </row>
    <row r="463">
      <c r="A463" s="10">
        <f>Github!J$1294</f>
        <v>1293</v>
      </c>
      <c r="B463" s="11" t="str">
        <f>HYPERLINK(CONCAT("http://leetcode.com/problems/",Github!C$1294), Github!B$1294)</f>
        <v>Shortest Path in a Grid with Obstacles Elimination</v>
      </c>
      <c r="C463" s="10">
        <f>Github!F$1294</f>
        <v>2141</v>
      </c>
      <c r="D463" s="10">
        <f>Github!G$1294</f>
        <v>41</v>
      </c>
      <c r="E463" s="10">
        <f>Github!F$1294+Github!G$1294</f>
        <v>2182</v>
      </c>
      <c r="F463" s="12">
        <f t="shared" si="1"/>
        <v>52.22</v>
      </c>
      <c r="G463" s="10" t="str">
        <f>Github!H$1294</f>
        <v>Algorithms</v>
      </c>
      <c r="H463" s="13" t="str">
        <f>SUBSTITUTE(Github!L$1294, ";", ", ")</f>
        <v>Array, Breadth-First Search, Matrix, </v>
      </c>
      <c r="I463" s="10" t="str">
        <f>Github!E$1294</f>
        <v>Hard</v>
      </c>
      <c r="J463" s="10" t="str">
        <f>IF(TRIM(Github!D$1294)="TRUE","FALSE","TRUE")</f>
        <v>TRUE</v>
      </c>
      <c r="K463" s="10" t="b">
        <f>Github!M$1294</f>
        <v>1</v>
      </c>
      <c r="L463" s="10" t="b">
        <f>Github!N$1294</f>
        <v>0</v>
      </c>
      <c r="M463" s="10" t="str">
        <f>ROUND(Github!O$1294, 2)&amp;"%"</f>
        <v>43.58%</v>
      </c>
      <c r="N463" s="10">
        <f>Github!P$1294</f>
        <v>93834</v>
      </c>
      <c r="O463" s="10">
        <f>Github!Q$1294</f>
        <v>215327</v>
      </c>
    </row>
    <row r="464">
      <c r="A464" s="10">
        <f>Github!J$1352</f>
        <v>1351</v>
      </c>
      <c r="B464" s="11" t="str">
        <f>HYPERLINK(CONCAT("http://leetcode.com/problems/",Github!C$1352), Github!B$1352)</f>
        <v>Count Negative Numbers in a Sorted Matrix</v>
      </c>
      <c r="C464" s="10">
        <f>Github!F$1352</f>
        <v>2133</v>
      </c>
      <c r="D464" s="10">
        <f>Github!G$1352</f>
        <v>71</v>
      </c>
      <c r="E464" s="10">
        <f>Github!F$1352+Github!G$1352</f>
        <v>2204</v>
      </c>
      <c r="F464" s="12">
        <f t="shared" si="1"/>
        <v>30.04</v>
      </c>
      <c r="G464" s="10" t="str">
        <f>Github!H$1352</f>
        <v>Algorithms</v>
      </c>
      <c r="H464" s="13" t="str">
        <f>SUBSTITUTE(Github!L$1352, ";", ", ")</f>
        <v>Array, Binary Search, Matrix, </v>
      </c>
      <c r="I464" s="10" t="str">
        <f>Github!E$1352</f>
        <v>Easy</v>
      </c>
      <c r="J464" s="10" t="str">
        <f>IF(TRIM(Github!D$1352)="TRUE","FALSE","TRUE")</f>
        <v>TRUE</v>
      </c>
      <c r="K464" s="10" t="b">
        <f>Github!M$1352</f>
        <v>0</v>
      </c>
      <c r="L464" s="10" t="b">
        <f>Github!N$1352</f>
        <v>0</v>
      </c>
      <c r="M464" s="10" t="str">
        <f>ROUND(Github!O$1352, 2)&amp;"%"</f>
        <v>75.19%</v>
      </c>
      <c r="N464" s="10">
        <f>Github!P$1352</f>
        <v>170693</v>
      </c>
      <c r="O464" s="10">
        <f>Github!Q$1352</f>
        <v>227029</v>
      </c>
    </row>
    <row r="465">
      <c r="A465" s="10">
        <f>Github!J$942</f>
        <v>941</v>
      </c>
      <c r="B465" s="11" t="str">
        <f>HYPERLINK(CONCAT("http://leetcode.com/problems/",Github!C$942), Github!B$942)</f>
        <v>Valid Mountain Array</v>
      </c>
      <c r="C465" s="10">
        <f>Github!F$942</f>
        <v>2115</v>
      </c>
      <c r="D465" s="10">
        <f>Github!G$942</f>
        <v>144</v>
      </c>
      <c r="E465" s="10">
        <f>Github!F$942+Github!G$942</f>
        <v>2259</v>
      </c>
      <c r="F465" s="12">
        <f t="shared" si="1"/>
        <v>14.69</v>
      </c>
      <c r="G465" s="10" t="str">
        <f>Github!H$942</f>
        <v>Algorithms</v>
      </c>
      <c r="H465" s="13" t="str">
        <f>SUBSTITUTE(Github!L$942, ";", ", ")</f>
        <v>Array, </v>
      </c>
      <c r="I465" s="10" t="str">
        <f>Github!E$942</f>
        <v>Easy</v>
      </c>
      <c r="J465" s="10" t="str">
        <f>IF(TRIM(Github!D$942)="TRUE","FALSE","TRUE")</f>
        <v>TRUE</v>
      </c>
      <c r="K465" s="10" t="b">
        <f>Github!M$942</f>
        <v>1</v>
      </c>
      <c r="L465" s="10" t="b">
        <f>Github!N$942</f>
        <v>0</v>
      </c>
      <c r="M465" s="10" t="str">
        <f>ROUND(Github!O$942, 2)&amp;"%"</f>
        <v>33.74%</v>
      </c>
      <c r="N465" s="10">
        <f>Github!P$942</f>
        <v>289555</v>
      </c>
      <c r="O465" s="10">
        <f>Github!Q$942</f>
        <v>858148</v>
      </c>
    </row>
    <row r="466">
      <c r="A466" s="10">
        <f>Github!J$633</f>
        <v>632</v>
      </c>
      <c r="B466" s="11" t="str">
        <f>HYPERLINK(CONCAT("http://leetcode.com/problems/",Github!C$633), Github!B$633)</f>
        <v>Smallest Range Covering Elements from K Lists</v>
      </c>
      <c r="C466" s="10">
        <f>Github!F$633</f>
        <v>2121</v>
      </c>
      <c r="D466" s="10">
        <f>Github!G$633</f>
        <v>36</v>
      </c>
      <c r="E466" s="10">
        <f>Github!F$633+Github!G$633</f>
        <v>2157</v>
      </c>
      <c r="F466" s="12">
        <f t="shared" si="1"/>
        <v>58.92</v>
      </c>
      <c r="G466" s="10" t="str">
        <f>Github!H$633</f>
        <v>Algorithms</v>
      </c>
      <c r="H466" s="13" t="str">
        <f>SUBSTITUTE(Github!L$633, ";", ", ")</f>
        <v>Array, Hash Table, Greedy, Sliding Window, Sorting, Heap (Priority Queue), </v>
      </c>
      <c r="I466" s="10" t="str">
        <f>Github!E$633</f>
        <v>Hard</v>
      </c>
      <c r="J466" s="10" t="str">
        <f>IF(TRIM(Github!D$633)="TRUE","FALSE","TRUE")</f>
        <v>TRUE</v>
      </c>
      <c r="K466" s="10" t="b">
        <f>Github!M$633</f>
        <v>1</v>
      </c>
      <c r="L466" s="10" t="b">
        <f>Github!N$633</f>
        <v>0</v>
      </c>
      <c r="M466" s="10" t="str">
        <f>ROUND(Github!O$633, 2)&amp;"%"</f>
        <v>58.51%</v>
      </c>
      <c r="N466" s="10">
        <f>Github!P$633</f>
        <v>64543</v>
      </c>
      <c r="O466" s="10">
        <f>Github!Q$633</f>
        <v>110318</v>
      </c>
    </row>
    <row r="467">
      <c r="A467" s="10">
        <f>Github!J$286</f>
        <v>285</v>
      </c>
      <c r="B467" s="11" t="str">
        <f>HYPERLINK(CONCAT("http://leetcode.com/problems/",Github!C$286), Github!B$286)</f>
        <v>Inorder Successor in BST</v>
      </c>
      <c r="C467" s="10">
        <f>Github!F$286</f>
        <v>2101</v>
      </c>
      <c r="D467" s="10">
        <f>Github!G$286</f>
        <v>78</v>
      </c>
      <c r="E467" s="10">
        <f>Github!F$286+Github!G$286</f>
        <v>2179</v>
      </c>
      <c r="F467" s="12">
        <f t="shared" si="1"/>
        <v>26.94</v>
      </c>
      <c r="G467" s="10" t="str">
        <f>Github!H$286</f>
        <v>Algorithms</v>
      </c>
      <c r="H467" s="13" t="str">
        <f>SUBSTITUTE(Github!L$286, ";", ", ")</f>
        <v>Tree, Depth-First Search, Binary Search Tree, Binary Tree, </v>
      </c>
      <c r="I467" s="10" t="str">
        <f>Github!E$286</f>
        <v>Medium</v>
      </c>
      <c r="J467" s="10" t="str">
        <f>IF(TRIM(Github!D$286)="TRUE","FALSE","TRUE")</f>
        <v>FALSE</v>
      </c>
      <c r="K467" s="10" t="b">
        <f>Github!M$286</f>
        <v>1</v>
      </c>
      <c r="L467" s="10" t="b">
        <f>Github!N$286</f>
        <v>0</v>
      </c>
      <c r="M467" s="10" t="str">
        <f>ROUND(Github!O$286, 2)&amp;"%"</f>
        <v>47.08%</v>
      </c>
      <c r="N467" s="10">
        <f>Github!P$286</f>
        <v>261428</v>
      </c>
      <c r="O467" s="10">
        <f>Github!Q$286</f>
        <v>555243</v>
      </c>
    </row>
    <row r="468">
      <c r="A468" s="10">
        <f>Github!J$1632</f>
        <v>1631</v>
      </c>
      <c r="B468" s="11" t="str">
        <f>HYPERLINK(CONCAT("http://leetcode.com/problems/",Github!C$1632), Github!B$1632)</f>
        <v>Path With Minimum Effort</v>
      </c>
      <c r="C468" s="10">
        <f>Github!F$1632</f>
        <v>2579</v>
      </c>
      <c r="D468" s="10">
        <f>Github!G$1632</f>
        <v>112</v>
      </c>
      <c r="E468" s="10">
        <f>Github!F$1632+Github!G$1632</f>
        <v>2691</v>
      </c>
      <c r="F468" s="12">
        <f t="shared" si="1"/>
        <v>23.03</v>
      </c>
      <c r="G468" s="10" t="str">
        <f>Github!H$1632</f>
        <v>Algorithms</v>
      </c>
      <c r="H468" s="13" t="str">
        <f>SUBSTITUTE(Github!L$1632, ";", ", ")</f>
        <v>Array, Binary Search, Depth-First Search, Breadth-First Search, Union Find, Heap (Priority Queue), Matrix, </v>
      </c>
      <c r="I468" s="10" t="str">
        <f>Github!E$1632</f>
        <v>Medium</v>
      </c>
      <c r="J468" s="10" t="str">
        <f>IF(TRIM(Github!D$1632)="TRUE","FALSE","TRUE")</f>
        <v>TRUE</v>
      </c>
      <c r="K468" s="10" t="b">
        <f>Github!M$1632</f>
        <v>1</v>
      </c>
      <c r="L468" s="10" t="b">
        <f>Github!N$1632</f>
        <v>0</v>
      </c>
      <c r="M468" s="10" t="str">
        <f>ROUND(Github!O$1632, 2)&amp;"%"</f>
        <v>53.45%</v>
      </c>
      <c r="N468" s="10">
        <f>Github!P$1632</f>
        <v>87700</v>
      </c>
      <c r="O468" s="10">
        <f>Github!Q$1632</f>
        <v>164123</v>
      </c>
    </row>
    <row r="469">
      <c r="A469" s="10">
        <f>Github!J$502</f>
        <v>501</v>
      </c>
      <c r="B469" s="11" t="str">
        <f>HYPERLINK(CONCAT("http://leetcode.com/problems/",Github!C$502), Github!B$502)</f>
        <v>Find Mode in Binary Search Tree</v>
      </c>
      <c r="C469" s="10">
        <f>Github!F$502</f>
        <v>2100</v>
      </c>
      <c r="D469" s="10">
        <f>Github!G$502</f>
        <v>559</v>
      </c>
      <c r="E469" s="10">
        <f>Github!F$502+Github!G$502</f>
        <v>2659</v>
      </c>
      <c r="F469" s="12">
        <f t="shared" si="1"/>
        <v>3.76</v>
      </c>
      <c r="G469" s="10" t="str">
        <f>Github!H$502</f>
        <v>Algorithms</v>
      </c>
      <c r="H469" s="13" t="str">
        <f>SUBSTITUTE(Github!L$502, ";", ", ")</f>
        <v>Tree, Depth-First Search, Binary Search Tree, Binary Tree, </v>
      </c>
      <c r="I469" s="10" t="str">
        <f>Github!E$502</f>
        <v>Easy</v>
      </c>
      <c r="J469" s="10" t="str">
        <f>IF(TRIM(Github!D$502)="TRUE","FALSE","TRUE")</f>
        <v>TRUE</v>
      </c>
      <c r="K469" s="10" t="b">
        <f>Github!M$502</f>
        <v>0</v>
      </c>
      <c r="L469" s="10" t="b">
        <f>Github!N$502</f>
        <v>0</v>
      </c>
      <c r="M469" s="10" t="str">
        <f>ROUND(Github!O$502, 2)&amp;"%"</f>
        <v>47.15%</v>
      </c>
      <c r="N469" s="10">
        <f>Github!P$502</f>
        <v>149967</v>
      </c>
      <c r="O469" s="10">
        <f>Github!Q$502</f>
        <v>318055</v>
      </c>
    </row>
    <row r="470">
      <c r="A470" s="10">
        <f>Github!J$1044</f>
        <v>1043</v>
      </c>
      <c r="B470" s="11" t="str">
        <f>HYPERLINK(CONCAT("http://leetcode.com/problems/",Github!C$1044), Github!B$1044)</f>
        <v>Partition Array for Maximum Sum</v>
      </c>
      <c r="C470" s="10">
        <f>Github!F$1044</f>
        <v>2106</v>
      </c>
      <c r="D470" s="10">
        <f>Github!G$1044</f>
        <v>196</v>
      </c>
      <c r="E470" s="10">
        <f>Github!F$1044+Github!G$1044</f>
        <v>2302</v>
      </c>
      <c r="F470" s="12">
        <f t="shared" si="1"/>
        <v>10.74</v>
      </c>
      <c r="G470" s="10" t="str">
        <f>Github!H$1044</f>
        <v>Algorithms</v>
      </c>
      <c r="H470" s="13" t="str">
        <f>SUBSTITUTE(Github!L$1044, ";", ", ")</f>
        <v>Array, Dynamic Programming, </v>
      </c>
      <c r="I470" s="10" t="str">
        <f>Github!E$1044</f>
        <v>Medium</v>
      </c>
      <c r="J470" s="10" t="str">
        <f>IF(TRIM(Github!D$1044)="TRUE","FALSE","TRUE")</f>
        <v>TRUE</v>
      </c>
      <c r="K470" s="10" t="b">
        <f>Github!M$1044</f>
        <v>0</v>
      </c>
      <c r="L470" s="10" t="b">
        <f>Github!N$1044</f>
        <v>0</v>
      </c>
      <c r="M470" s="10" t="str">
        <f>ROUND(Github!O$1044, 2)&amp;"%"</f>
        <v>70.28%</v>
      </c>
      <c r="N470" s="10">
        <f>Github!P$1044</f>
        <v>47542</v>
      </c>
      <c r="O470" s="10">
        <f>Github!Q$1044</f>
        <v>67647</v>
      </c>
    </row>
    <row r="471">
      <c r="A471" s="10">
        <f>Github!J$1050</f>
        <v>1049</v>
      </c>
      <c r="B471" s="11" t="str">
        <f>HYPERLINK(CONCAT("http://leetcode.com/problems/",Github!C$1050), Github!B$1050)</f>
        <v>Last Stone Weight II</v>
      </c>
      <c r="C471" s="10">
        <f>Github!F$1050</f>
        <v>2095</v>
      </c>
      <c r="D471" s="10">
        <f>Github!G$1050</f>
        <v>74</v>
      </c>
      <c r="E471" s="10">
        <f>Github!F$1050+Github!G$1050</f>
        <v>2169</v>
      </c>
      <c r="F471" s="12">
        <f t="shared" si="1"/>
        <v>28.31</v>
      </c>
      <c r="G471" s="10" t="str">
        <f>Github!H$1050</f>
        <v>Algorithms</v>
      </c>
      <c r="H471" s="13" t="str">
        <f>SUBSTITUTE(Github!L$1050, ";", ", ")</f>
        <v>Array, Dynamic Programming, </v>
      </c>
      <c r="I471" s="10" t="str">
        <f>Github!E$1050</f>
        <v>Medium</v>
      </c>
      <c r="J471" s="10" t="str">
        <f>IF(TRIM(Github!D$1050)="TRUE","FALSE","TRUE")</f>
        <v>TRUE</v>
      </c>
      <c r="K471" s="10" t="b">
        <f>Github!M$1050</f>
        <v>0</v>
      </c>
      <c r="L471" s="10" t="b">
        <f>Github!N$1050</f>
        <v>0</v>
      </c>
      <c r="M471" s="10" t="str">
        <f>ROUND(Github!O$1050, 2)&amp;"%"</f>
        <v>51.05%</v>
      </c>
      <c r="N471" s="10">
        <f>Github!P$1050</f>
        <v>52985</v>
      </c>
      <c r="O471" s="10">
        <f>Github!Q$1050</f>
        <v>103794</v>
      </c>
    </row>
    <row r="472">
      <c r="A472" s="10">
        <f>Github!J$833</f>
        <v>832</v>
      </c>
      <c r="B472" s="11" t="str">
        <f>HYPERLINK(CONCAT("http://leetcode.com/problems/",Github!C$833), Github!B$833)</f>
        <v>Flipping an Image</v>
      </c>
      <c r="C472" s="10">
        <f>Github!F$833</f>
        <v>2081</v>
      </c>
      <c r="D472" s="10">
        <f>Github!G$833</f>
        <v>202</v>
      </c>
      <c r="E472" s="10">
        <f>Github!F$833+Github!G$833</f>
        <v>2283</v>
      </c>
      <c r="F472" s="12">
        <f t="shared" si="1"/>
        <v>10.3</v>
      </c>
      <c r="G472" s="10" t="str">
        <f>Github!H$833</f>
        <v>Algorithms</v>
      </c>
      <c r="H472" s="13" t="str">
        <f>SUBSTITUTE(Github!L$833, ";", ", ")</f>
        <v>Array, Two Pointers, Matrix, Simulation, </v>
      </c>
      <c r="I472" s="10" t="str">
        <f>Github!E$833</f>
        <v>Easy</v>
      </c>
      <c r="J472" s="10" t="str">
        <f>IF(TRIM(Github!D$833)="TRUE","FALSE","TRUE")</f>
        <v>TRUE</v>
      </c>
      <c r="K472" s="10" t="b">
        <f>Github!M$833</f>
        <v>1</v>
      </c>
      <c r="L472" s="10" t="b">
        <f>Github!N$833</f>
        <v>0</v>
      </c>
      <c r="M472" s="10" t="str">
        <f>ROUND(Github!O$833, 2)&amp;"%"</f>
        <v>79.7%</v>
      </c>
      <c r="N472" s="10">
        <f>Github!P$833</f>
        <v>293491</v>
      </c>
      <c r="O472" s="10">
        <f>Github!Q$833</f>
        <v>368250</v>
      </c>
    </row>
    <row r="473">
      <c r="A473" s="10">
        <f>Github!J$1439</f>
        <v>1438</v>
      </c>
      <c r="B473" s="11" t="str">
        <f>HYPERLINK(CONCAT("http://leetcode.com/problems/",Github!C$1439), Github!B$1439)</f>
        <v>Longest Continuous Subarray With Absolute Diff Less Than or Equal to Limit</v>
      </c>
      <c r="C473" s="10">
        <f>Github!F$1439</f>
        <v>2091</v>
      </c>
      <c r="D473" s="10">
        <f>Github!G$1439</f>
        <v>89</v>
      </c>
      <c r="E473" s="10">
        <f>Github!F$1439+Github!G$1439</f>
        <v>2180</v>
      </c>
      <c r="F473" s="12">
        <f t="shared" si="1"/>
        <v>23.49</v>
      </c>
      <c r="G473" s="10" t="str">
        <f>Github!H$1439</f>
        <v>Algorithms</v>
      </c>
      <c r="H473" s="13" t="str">
        <f>SUBSTITUTE(Github!L$1439, ";", ", ")</f>
        <v>Array, Queue, Sliding Window, Heap (Priority Queue), Ordered Set, Monotonic Queue, </v>
      </c>
      <c r="I473" s="10" t="str">
        <f>Github!E$1439</f>
        <v>Medium</v>
      </c>
      <c r="J473" s="10" t="str">
        <f>IF(TRIM(Github!D$1439)="TRUE","FALSE","TRUE")</f>
        <v>TRUE</v>
      </c>
      <c r="K473" s="10" t="b">
        <f>Github!M$1439</f>
        <v>0</v>
      </c>
      <c r="L473" s="10" t="b">
        <f>Github!N$1439</f>
        <v>0</v>
      </c>
      <c r="M473" s="10" t="str">
        <f>ROUND(Github!O$1439, 2)&amp;"%"</f>
        <v>46.35%</v>
      </c>
      <c r="N473" s="10">
        <f>Github!P$1439</f>
        <v>80331</v>
      </c>
      <c r="O473" s="10">
        <f>Github!Q$1439</f>
        <v>173300</v>
      </c>
    </row>
    <row r="474">
      <c r="A474" s="10">
        <f>Github!J$514</f>
        <v>513</v>
      </c>
      <c r="B474" s="11" t="str">
        <f>HYPERLINK(CONCAT("http://leetcode.com/problems/",Github!C$514), Github!B$514)</f>
        <v>Find Bottom Left Tree Value</v>
      </c>
      <c r="C474" s="10">
        <f>Github!F$514</f>
        <v>2081</v>
      </c>
      <c r="D474" s="10">
        <f>Github!G$514</f>
        <v>213</v>
      </c>
      <c r="E474" s="10">
        <f>Github!F$514+Github!G$514</f>
        <v>2294</v>
      </c>
      <c r="F474" s="12">
        <f t="shared" si="1"/>
        <v>9.77</v>
      </c>
      <c r="G474" s="10" t="str">
        <f>Github!H$514</f>
        <v>Algorithms</v>
      </c>
      <c r="H474" s="13" t="str">
        <f>SUBSTITUTE(Github!L$514, ";", ", ")</f>
        <v>Tree, Depth-First Search, Breadth-First Search, Binary Tree, </v>
      </c>
      <c r="I474" s="10" t="str">
        <f>Github!E$514</f>
        <v>Medium</v>
      </c>
      <c r="J474" s="10" t="str">
        <f>IF(TRIM(Github!D$514)="TRUE","FALSE","TRUE")</f>
        <v>TRUE</v>
      </c>
      <c r="K474" s="10" t="b">
        <f>Github!M$514</f>
        <v>0</v>
      </c>
      <c r="L474" s="10" t="b">
        <f>Github!N$514</f>
        <v>0</v>
      </c>
      <c r="M474" s="10" t="str">
        <f>ROUND(Github!O$514, 2)&amp;"%"</f>
        <v>65.2%</v>
      </c>
      <c r="N474" s="10">
        <f>Github!P$514</f>
        <v>170393</v>
      </c>
      <c r="O474" s="10">
        <f>Github!Q$514</f>
        <v>261336</v>
      </c>
    </row>
    <row r="475">
      <c r="A475" s="10">
        <f>Github!J$325</f>
        <v>324</v>
      </c>
      <c r="B475" s="11" t="str">
        <f>HYPERLINK(CONCAT("http://leetcode.com/problems/",Github!C$325), Github!B$325)</f>
        <v>Wiggle Sort II</v>
      </c>
      <c r="C475" s="10">
        <f>Github!F$325</f>
        <v>2072</v>
      </c>
      <c r="D475" s="10">
        <f>Github!G$325</f>
        <v>797</v>
      </c>
      <c r="E475" s="10">
        <f>Github!F$325+Github!G$325</f>
        <v>2869</v>
      </c>
      <c r="F475" s="12">
        <f t="shared" si="1"/>
        <v>2.6</v>
      </c>
      <c r="G475" s="10" t="str">
        <f>Github!H$325</f>
        <v>Algorithms</v>
      </c>
      <c r="H475" s="13" t="str">
        <f>SUBSTITUTE(Github!L$325, ";", ", ")</f>
        <v>Array, Divide and Conquer, Sorting, Quickselect, </v>
      </c>
      <c r="I475" s="10" t="str">
        <f>Github!E$325</f>
        <v>Medium</v>
      </c>
      <c r="J475" s="10" t="str">
        <f>IF(TRIM(Github!D$325)="TRUE","FALSE","TRUE")</f>
        <v>TRUE</v>
      </c>
      <c r="K475" s="10" t="b">
        <f>Github!M$325</f>
        <v>0</v>
      </c>
      <c r="L475" s="10" t="b">
        <f>Github!N$325</f>
        <v>0</v>
      </c>
      <c r="M475" s="10" t="str">
        <f>ROUND(Github!O$325, 2)&amp;"%"</f>
        <v>32.21%</v>
      </c>
      <c r="N475" s="10">
        <f>Github!P$325</f>
        <v>120556</v>
      </c>
      <c r="O475" s="10">
        <f>Github!Q$325</f>
        <v>374253</v>
      </c>
    </row>
    <row r="476">
      <c r="A476" s="10">
        <f>Github!J$165</f>
        <v>164</v>
      </c>
      <c r="B476" s="11" t="str">
        <f>HYPERLINK(CONCAT("http://leetcode.com/problems/",Github!C$165), Github!B$165)</f>
        <v>Maximum Gap</v>
      </c>
      <c r="C476" s="10">
        <f>Github!F$165</f>
        <v>2069</v>
      </c>
      <c r="D476" s="10">
        <f>Github!G$165</f>
        <v>282</v>
      </c>
      <c r="E476" s="10">
        <f>Github!F$165+Github!G$165</f>
        <v>2351</v>
      </c>
      <c r="F476" s="12">
        <f t="shared" si="1"/>
        <v>7.34</v>
      </c>
      <c r="G476" s="10" t="str">
        <f>Github!H$165</f>
        <v>Algorithms</v>
      </c>
      <c r="H476" s="13" t="str">
        <f>SUBSTITUTE(Github!L$165, ";", ", ")</f>
        <v>Array, Sorting, Bucket Sort, Radix Sort, </v>
      </c>
      <c r="I476" s="10" t="str">
        <f>Github!E$165</f>
        <v>Hard</v>
      </c>
      <c r="J476" s="10" t="str">
        <f>IF(TRIM(Github!D$165)="TRUE","FALSE","TRUE")</f>
        <v>TRUE</v>
      </c>
      <c r="K476" s="10" t="b">
        <f>Github!M$165</f>
        <v>1</v>
      </c>
      <c r="L476" s="10" t="b">
        <f>Github!N$165</f>
        <v>0</v>
      </c>
      <c r="M476" s="10" t="str">
        <f>ROUND(Github!O$165, 2)&amp;"%"</f>
        <v>41.37%</v>
      </c>
      <c r="N476" s="10">
        <f>Github!P$165</f>
        <v>138420</v>
      </c>
      <c r="O476" s="10">
        <f>Github!Q$165</f>
        <v>334621</v>
      </c>
    </row>
    <row r="477">
      <c r="A477" s="10">
        <f>Github!J$1028</f>
        <v>1027</v>
      </c>
      <c r="B477" s="11" t="str">
        <f>HYPERLINK(CONCAT("http://leetcode.com/problems/",Github!C$1028), Github!B$1028)</f>
        <v>Longest Arithmetic Subsequence</v>
      </c>
      <c r="C477" s="10">
        <f>Github!F$1028</f>
        <v>2064</v>
      </c>
      <c r="D477" s="10">
        <f>Github!G$1028</f>
        <v>98</v>
      </c>
      <c r="E477" s="10">
        <f>Github!F$1028+Github!G$1028</f>
        <v>2162</v>
      </c>
      <c r="F477" s="12">
        <f t="shared" si="1"/>
        <v>21.06</v>
      </c>
      <c r="G477" s="10" t="str">
        <f>Github!H$1028</f>
        <v>Algorithms</v>
      </c>
      <c r="H477" s="13" t="str">
        <f>SUBSTITUTE(Github!L$1028, ";", ", ")</f>
        <v>Array, Hash Table, Binary Search, Dynamic Programming, </v>
      </c>
      <c r="I477" s="10" t="str">
        <f>Github!E$1028</f>
        <v>Medium</v>
      </c>
      <c r="J477" s="10" t="str">
        <f>IF(TRIM(Github!D$1028)="TRUE","FALSE","TRUE")</f>
        <v>TRUE</v>
      </c>
      <c r="K477" s="10" t="b">
        <f>Github!M$1028</f>
        <v>0</v>
      </c>
      <c r="L477" s="10" t="b">
        <f>Github!N$1028</f>
        <v>0</v>
      </c>
      <c r="M477" s="10" t="str">
        <f>ROUND(Github!O$1028, 2)&amp;"%"</f>
        <v>48.19%</v>
      </c>
      <c r="N477" s="10">
        <f>Github!P$1028</f>
        <v>85210</v>
      </c>
      <c r="O477" s="10">
        <f>Github!Q$1028</f>
        <v>176839</v>
      </c>
    </row>
    <row r="478">
      <c r="A478" s="10">
        <f>Github!J$226</f>
        <v>225</v>
      </c>
      <c r="B478" s="11" t="str">
        <f>HYPERLINK(CONCAT("http://leetcode.com/problems/",Github!C$226), Github!B$226)</f>
        <v>Implement Stack using Queues</v>
      </c>
      <c r="C478" s="10">
        <f>Github!F$226</f>
        <v>2066</v>
      </c>
      <c r="D478" s="10">
        <f>Github!G$226</f>
        <v>784</v>
      </c>
      <c r="E478" s="10">
        <f>Github!F$226+Github!G$226</f>
        <v>2850</v>
      </c>
      <c r="F478" s="12">
        <f t="shared" si="1"/>
        <v>2.64</v>
      </c>
      <c r="G478" s="10" t="str">
        <f>Github!H$226</f>
        <v>Algorithms</v>
      </c>
      <c r="H478" s="13" t="str">
        <f>SUBSTITUTE(Github!L$226, ";", ", ")</f>
        <v>Stack, Design, Queue, </v>
      </c>
      <c r="I478" s="10" t="str">
        <f>Github!E$226</f>
        <v>Easy</v>
      </c>
      <c r="J478" s="10" t="str">
        <f>IF(TRIM(Github!D$226)="TRUE","FALSE","TRUE")</f>
        <v>TRUE</v>
      </c>
      <c r="K478" s="10" t="b">
        <f>Github!M$226</f>
        <v>1</v>
      </c>
      <c r="L478" s="10" t="b">
        <f>Github!N$226</f>
        <v>0</v>
      </c>
      <c r="M478" s="10" t="str">
        <f>ROUND(Github!O$226, 2)&amp;"%"</f>
        <v>52.67%</v>
      </c>
      <c r="N478" s="10">
        <f>Github!P$226</f>
        <v>292691</v>
      </c>
      <c r="O478" s="10">
        <f>Github!Q$226</f>
        <v>555708</v>
      </c>
    </row>
    <row r="479">
      <c r="A479" s="10">
        <f>Github!J$960</f>
        <v>959</v>
      </c>
      <c r="B479" s="11" t="str">
        <f>HYPERLINK(CONCAT("http://leetcode.com/problems/",Github!C$960), Github!B$960)</f>
        <v>Regions Cut By Slashes</v>
      </c>
      <c r="C479" s="10">
        <f>Github!F$960</f>
        <v>2057</v>
      </c>
      <c r="D479" s="10">
        <f>Github!G$960</f>
        <v>398</v>
      </c>
      <c r="E479" s="10">
        <f>Github!F$960+Github!G$960</f>
        <v>2455</v>
      </c>
      <c r="F479" s="12">
        <f t="shared" si="1"/>
        <v>5.17</v>
      </c>
      <c r="G479" s="10" t="str">
        <f>Github!H$960</f>
        <v>Algorithms</v>
      </c>
      <c r="H479" s="13" t="str">
        <f>SUBSTITUTE(Github!L$960, ";", ", ")</f>
        <v>Depth-First Search, Breadth-First Search, Union Find, Graph, </v>
      </c>
      <c r="I479" s="10" t="str">
        <f>Github!E$960</f>
        <v>Medium</v>
      </c>
      <c r="J479" s="10" t="str">
        <f>IF(TRIM(Github!D$960)="TRUE","FALSE","TRUE")</f>
        <v>TRUE</v>
      </c>
      <c r="K479" s="10" t="b">
        <f>Github!M$960</f>
        <v>1</v>
      </c>
      <c r="L479" s="10" t="b">
        <f>Github!N$960</f>
        <v>0</v>
      </c>
      <c r="M479" s="10" t="str">
        <f>ROUND(Github!O$960, 2)&amp;"%"</f>
        <v>68.63%</v>
      </c>
      <c r="N479" s="10">
        <f>Github!P$960</f>
        <v>36468</v>
      </c>
      <c r="O479" s="10">
        <f>Github!Q$960</f>
        <v>53136</v>
      </c>
    </row>
    <row r="480">
      <c r="A480" s="10">
        <f>Github!J$229</f>
        <v>228</v>
      </c>
      <c r="B480" s="11" t="str">
        <f>HYPERLINK(CONCAT("http://leetcode.com/problems/",Github!C$229), Github!B$229)</f>
        <v>Summary Ranges</v>
      </c>
      <c r="C480" s="10">
        <f>Github!F$229</f>
        <v>2050</v>
      </c>
      <c r="D480" s="10">
        <f>Github!G$229</f>
        <v>1154</v>
      </c>
      <c r="E480" s="10">
        <f>Github!F$229+Github!G$229</f>
        <v>3204</v>
      </c>
      <c r="F480" s="12">
        <f t="shared" si="1"/>
        <v>1.78</v>
      </c>
      <c r="G480" s="10" t="str">
        <f>Github!H$229</f>
        <v>Algorithms</v>
      </c>
      <c r="H480" s="13" t="str">
        <f>SUBSTITUTE(Github!L$229, ";", ", ")</f>
        <v>Array, </v>
      </c>
      <c r="I480" s="10" t="str">
        <f>Github!E$229</f>
        <v>Easy</v>
      </c>
      <c r="J480" s="10" t="str">
        <f>IF(TRIM(Github!D$229)="TRUE","FALSE","TRUE")</f>
        <v>TRUE</v>
      </c>
      <c r="K480" s="10" t="b">
        <f>Github!M$229</f>
        <v>1</v>
      </c>
      <c r="L480" s="10" t="b">
        <f>Github!N$229</f>
        <v>0</v>
      </c>
      <c r="M480" s="10" t="str">
        <f>ROUND(Github!O$229, 2)&amp;"%"</f>
        <v>46.35%</v>
      </c>
      <c r="N480" s="10">
        <f>Github!P$229</f>
        <v>292929</v>
      </c>
      <c r="O480" s="10">
        <f>Github!Q$229</f>
        <v>631955</v>
      </c>
    </row>
    <row r="481">
      <c r="A481" s="10">
        <f>Github!J$1320</f>
        <v>1319</v>
      </c>
      <c r="B481" s="11" t="str">
        <f>HYPERLINK(CONCAT("http://leetcode.com/problems/",Github!C$1320), Github!B$1320)</f>
        <v>Number of Operations to Make Network Connected</v>
      </c>
      <c r="C481" s="10">
        <f>Github!F$1320</f>
        <v>2051</v>
      </c>
      <c r="D481" s="10">
        <f>Github!G$1320</f>
        <v>32</v>
      </c>
      <c r="E481" s="10">
        <f>Github!F$1320+Github!G$1320</f>
        <v>2083</v>
      </c>
      <c r="F481" s="12">
        <f t="shared" si="1"/>
        <v>64.09</v>
      </c>
      <c r="G481" s="10" t="str">
        <f>Github!H$1320</f>
        <v>Algorithms</v>
      </c>
      <c r="H481" s="13" t="str">
        <f>SUBSTITUTE(Github!L$1320, ";", ", ")</f>
        <v>Depth-First Search, Breadth-First Search, Union Find, Graph, </v>
      </c>
      <c r="I481" s="10" t="str">
        <f>Github!E$1320</f>
        <v>Medium</v>
      </c>
      <c r="J481" s="10" t="str">
        <f>IF(TRIM(Github!D$1320)="TRUE","FALSE","TRUE")</f>
        <v>TRUE</v>
      </c>
      <c r="K481" s="10" t="b">
        <f>Github!M$1320</f>
        <v>0</v>
      </c>
      <c r="L481" s="10" t="b">
        <f>Github!N$1320</f>
        <v>0</v>
      </c>
      <c r="M481" s="10" t="str">
        <f>ROUND(Github!O$1320, 2)&amp;"%"</f>
        <v>57.71%</v>
      </c>
      <c r="N481" s="10">
        <f>Github!P$1320</f>
        <v>74747</v>
      </c>
      <c r="O481" s="10">
        <f>Github!Q$1320</f>
        <v>129521</v>
      </c>
    </row>
    <row r="482">
      <c r="A482" s="10">
        <f>Github!J$274</f>
        <v>273</v>
      </c>
      <c r="B482" s="11" t="str">
        <f>HYPERLINK(CONCAT("http://leetcode.com/problems/",Github!C$274), Github!B$274)</f>
        <v>Integer to English Words</v>
      </c>
      <c r="C482" s="10">
        <f>Github!F$274</f>
        <v>2052</v>
      </c>
      <c r="D482" s="10">
        <f>Github!G$274</f>
        <v>4987</v>
      </c>
      <c r="E482" s="10">
        <f>Github!F$274+Github!G$274</f>
        <v>7039</v>
      </c>
      <c r="F482" s="12">
        <f t="shared" si="1"/>
        <v>0.41</v>
      </c>
      <c r="G482" s="10" t="str">
        <f>Github!H$274</f>
        <v>Algorithms</v>
      </c>
      <c r="H482" s="13" t="str">
        <f>SUBSTITUTE(Github!L$274, ";", ", ")</f>
        <v>Math, String, Recursion, </v>
      </c>
      <c r="I482" s="10" t="str">
        <f>Github!E$274</f>
        <v>Hard</v>
      </c>
      <c r="J482" s="10" t="str">
        <f>IF(TRIM(Github!D$274)="TRUE","FALSE","TRUE")</f>
        <v>TRUE</v>
      </c>
      <c r="K482" s="10" t="b">
        <f>Github!M$274</f>
        <v>1</v>
      </c>
      <c r="L482" s="10" t="b">
        <f>Github!N$274</f>
        <v>0</v>
      </c>
      <c r="M482" s="10" t="str">
        <f>ROUND(Github!O$274, 2)&amp;"%"</f>
        <v>29.57%</v>
      </c>
      <c r="N482" s="10">
        <f>Github!P$274</f>
        <v>300163</v>
      </c>
      <c r="O482" s="10">
        <f>Github!Q$274</f>
        <v>1014982</v>
      </c>
    </row>
    <row r="483">
      <c r="A483" s="10">
        <f>Github!J$982</f>
        <v>981</v>
      </c>
      <c r="B483" s="11" t="str">
        <f>HYPERLINK(CONCAT("http://leetcode.com/problems/",Github!C$982), Github!B$982)</f>
        <v>Time Based Key-Value Store</v>
      </c>
      <c r="C483" s="10">
        <f>Github!F$982</f>
        <v>2046</v>
      </c>
      <c r="D483" s="10">
        <f>Github!G$982</f>
        <v>209</v>
      </c>
      <c r="E483" s="10">
        <f>Github!F$982+Github!G$982</f>
        <v>2255</v>
      </c>
      <c r="F483" s="12">
        <f t="shared" si="1"/>
        <v>9.79</v>
      </c>
      <c r="G483" s="10" t="str">
        <f>Github!H$982</f>
        <v>Algorithms</v>
      </c>
      <c r="H483" s="13" t="str">
        <f>SUBSTITUTE(Github!L$982, ";", ", ")</f>
        <v>Hash Table, String, Binary Search, Design, </v>
      </c>
      <c r="I483" s="10" t="str">
        <f>Github!E$982</f>
        <v>Medium</v>
      </c>
      <c r="J483" s="10" t="str">
        <f>IF(TRIM(Github!D$982)="TRUE","FALSE","TRUE")</f>
        <v>TRUE</v>
      </c>
      <c r="K483" s="10" t="b">
        <f>Github!M$982</f>
        <v>0</v>
      </c>
      <c r="L483" s="10" t="b">
        <f>Github!N$982</f>
        <v>0</v>
      </c>
      <c r="M483" s="10" t="str">
        <f>ROUND(Github!O$982, 2)&amp;"%"</f>
        <v>52.72%</v>
      </c>
      <c r="N483" s="10">
        <f>Github!P$982</f>
        <v>176835</v>
      </c>
      <c r="O483" s="10">
        <f>Github!Q$982</f>
        <v>335436</v>
      </c>
    </row>
    <row r="484">
      <c r="A484" s="10">
        <f>Github!J$913</f>
        <v>912</v>
      </c>
      <c r="B484" s="11" t="str">
        <f>HYPERLINK(CONCAT("http://leetcode.com/problems/",Github!C$913), Github!B$913)</f>
        <v>Sort an Array</v>
      </c>
      <c r="C484" s="10">
        <f>Github!F$913</f>
        <v>2062</v>
      </c>
      <c r="D484" s="10">
        <f>Github!G$913</f>
        <v>518</v>
      </c>
      <c r="E484" s="10">
        <f>Github!F$913+Github!G$913</f>
        <v>2580</v>
      </c>
      <c r="F484" s="12">
        <f t="shared" si="1"/>
        <v>3.98</v>
      </c>
      <c r="G484" s="10" t="str">
        <f>Github!H$913</f>
        <v>Algorithms</v>
      </c>
      <c r="H484" s="13" t="str">
        <f>SUBSTITUTE(Github!L$913, ";", ", ")</f>
        <v>Array, Divide and Conquer, Sorting, Heap (Priority Queue), Merge Sort, Bucket Sort, Radix Sort, Counting Sort, </v>
      </c>
      <c r="I484" s="10" t="str">
        <f>Github!E$913</f>
        <v>Medium</v>
      </c>
      <c r="J484" s="10" t="str">
        <f>IF(TRIM(Github!D$913)="TRUE","FALSE","TRUE")</f>
        <v>TRUE</v>
      </c>
      <c r="K484" s="10" t="b">
        <f>Github!M$913</f>
        <v>0</v>
      </c>
      <c r="L484" s="10" t="b">
        <f>Github!N$913</f>
        <v>0</v>
      </c>
      <c r="M484" s="10" t="str">
        <f>ROUND(Github!O$913, 2)&amp;"%"</f>
        <v>61.45%</v>
      </c>
      <c r="N484" s="10">
        <f>Github!P$913</f>
        <v>260491</v>
      </c>
      <c r="O484" s="10">
        <f>Github!Q$913</f>
        <v>423909</v>
      </c>
    </row>
    <row r="485">
      <c r="A485" s="10">
        <f>Github!J$444</f>
        <v>443</v>
      </c>
      <c r="B485" s="11" t="str">
        <f>HYPERLINK(CONCAT("http://leetcode.com/problems/",Github!C$444), Github!B$444)</f>
        <v>String Compression</v>
      </c>
      <c r="C485" s="10">
        <f>Github!F$444</f>
        <v>2043</v>
      </c>
      <c r="D485" s="10">
        <f>Github!G$444</f>
        <v>4175</v>
      </c>
      <c r="E485" s="10">
        <f>Github!F$444+Github!G$444</f>
        <v>6218</v>
      </c>
      <c r="F485" s="12">
        <f t="shared" si="1"/>
        <v>0.49</v>
      </c>
      <c r="G485" s="10" t="str">
        <f>Github!H$444</f>
        <v>Algorithms</v>
      </c>
      <c r="H485" s="13" t="str">
        <f>SUBSTITUTE(Github!L$444, ";", ", ")</f>
        <v>Two Pointers, String, </v>
      </c>
      <c r="I485" s="10" t="str">
        <f>Github!E$444</f>
        <v>Medium</v>
      </c>
      <c r="J485" s="10" t="str">
        <f>IF(TRIM(Github!D$444)="TRUE","FALSE","TRUE")</f>
        <v>TRUE</v>
      </c>
      <c r="K485" s="10" t="b">
        <f>Github!M$444</f>
        <v>0</v>
      </c>
      <c r="L485" s="10" t="b">
        <f>Github!N$444</f>
        <v>0</v>
      </c>
      <c r="M485" s="10" t="str">
        <f>ROUND(Github!O$444, 2)&amp;"%"</f>
        <v>47.5%</v>
      </c>
      <c r="N485" s="10">
        <f>Github!P$444</f>
        <v>245055</v>
      </c>
      <c r="O485" s="10">
        <f>Github!Q$444</f>
        <v>515869</v>
      </c>
    </row>
    <row r="486">
      <c r="A486" s="10">
        <f>Github!J$803</f>
        <v>802</v>
      </c>
      <c r="B486" s="11" t="str">
        <f>HYPERLINK(CONCAT("http://leetcode.com/problems/",Github!C$803), Github!B$803)</f>
        <v>Find Eventual Safe States</v>
      </c>
      <c r="C486" s="10">
        <f>Github!F$803</f>
        <v>2046</v>
      </c>
      <c r="D486" s="10">
        <f>Github!G$803</f>
        <v>316</v>
      </c>
      <c r="E486" s="10">
        <f>Github!F$803+Github!G$803</f>
        <v>2362</v>
      </c>
      <c r="F486" s="12">
        <f t="shared" si="1"/>
        <v>6.47</v>
      </c>
      <c r="G486" s="10" t="str">
        <f>Github!H$803</f>
        <v>Algorithms</v>
      </c>
      <c r="H486" s="13" t="str">
        <f>SUBSTITUTE(Github!L$803, ";", ", ")</f>
        <v>Depth-First Search, Breadth-First Search, Graph, Topological Sort, </v>
      </c>
      <c r="I486" s="10" t="str">
        <f>Github!E$803</f>
        <v>Medium</v>
      </c>
      <c r="J486" s="10" t="str">
        <f>IF(TRIM(Github!D$803)="TRUE","FALSE","TRUE")</f>
        <v>TRUE</v>
      </c>
      <c r="K486" s="10" t="b">
        <f>Github!M$803</f>
        <v>1</v>
      </c>
      <c r="L486" s="10" t="b">
        <f>Github!N$803</f>
        <v>0</v>
      </c>
      <c r="M486" s="10" t="str">
        <f>ROUND(Github!O$803, 2)&amp;"%"</f>
        <v>52.52%</v>
      </c>
      <c r="N486" s="10">
        <f>Github!P$803</f>
        <v>77623</v>
      </c>
      <c r="O486" s="10">
        <f>Github!Q$803</f>
        <v>147789</v>
      </c>
    </row>
    <row r="487">
      <c r="A487" s="10">
        <f>Github!J$531</f>
        <v>530</v>
      </c>
      <c r="B487" s="11" t="str">
        <f>HYPERLINK(CONCAT("http://leetcode.com/problems/",Github!C$531), Github!B$531)</f>
        <v>Minimum Absolute Difference in BST</v>
      </c>
      <c r="C487" s="10">
        <f>Github!F$531</f>
        <v>2017</v>
      </c>
      <c r="D487" s="10">
        <f>Github!G$531</f>
        <v>118</v>
      </c>
      <c r="E487" s="10">
        <f>Github!F$531+Github!G$531</f>
        <v>2135</v>
      </c>
      <c r="F487" s="12">
        <f t="shared" si="1"/>
        <v>17.09</v>
      </c>
      <c r="G487" s="10" t="str">
        <f>Github!H$531</f>
        <v>Algorithms</v>
      </c>
      <c r="H487" s="13" t="str">
        <f>SUBSTITUTE(Github!L$531, ";", ", ")</f>
        <v>Tree, Depth-First Search, Breadth-First Search, Binary Search Tree, Binary Tree, </v>
      </c>
      <c r="I487" s="10" t="str">
        <f>Github!E$531</f>
        <v>Easy</v>
      </c>
      <c r="J487" s="10" t="str">
        <f>IF(TRIM(Github!D$531)="TRUE","FALSE","TRUE")</f>
        <v>TRUE</v>
      </c>
      <c r="K487" s="10" t="b">
        <f>Github!M$531</f>
        <v>0</v>
      </c>
      <c r="L487" s="10" t="b">
        <f>Github!N$531</f>
        <v>0</v>
      </c>
      <c r="M487" s="10" t="str">
        <f>ROUND(Github!O$531, 2)&amp;"%"</f>
        <v>56.24%</v>
      </c>
      <c r="N487" s="10">
        <f>Github!P$531</f>
        <v>155168</v>
      </c>
      <c r="O487" s="10">
        <f>Github!Q$531</f>
        <v>275898</v>
      </c>
    </row>
    <row r="488">
      <c r="A488" s="10">
        <f>Github!J$816</f>
        <v>815</v>
      </c>
      <c r="B488" s="11" t="str">
        <f>HYPERLINK(CONCAT("http://leetcode.com/problems/",Github!C$816), Github!B$816)</f>
        <v>Bus Routes</v>
      </c>
      <c r="C488" s="10">
        <f>Github!F$816</f>
        <v>2028</v>
      </c>
      <c r="D488" s="10">
        <f>Github!G$816</f>
        <v>51</v>
      </c>
      <c r="E488" s="10">
        <f>Github!F$816+Github!G$816</f>
        <v>2079</v>
      </c>
      <c r="F488" s="12">
        <f t="shared" si="1"/>
        <v>39.76</v>
      </c>
      <c r="G488" s="10" t="str">
        <f>Github!H$816</f>
        <v>Algorithms</v>
      </c>
      <c r="H488" s="13" t="str">
        <f>SUBSTITUTE(Github!L$816, ";", ", ")</f>
        <v>Array, Hash Table, Breadth-First Search, </v>
      </c>
      <c r="I488" s="10" t="str">
        <f>Github!E$816</f>
        <v>Hard</v>
      </c>
      <c r="J488" s="10" t="str">
        <f>IF(TRIM(Github!D$816)="TRUE","FALSE","TRUE")</f>
        <v>TRUE</v>
      </c>
      <c r="K488" s="10" t="b">
        <f>Github!M$816</f>
        <v>1</v>
      </c>
      <c r="L488" s="10" t="b">
        <f>Github!N$816</f>
        <v>0</v>
      </c>
      <c r="M488" s="10" t="str">
        <f>ROUND(Github!O$816, 2)&amp;"%"</f>
        <v>45.28%</v>
      </c>
      <c r="N488" s="10">
        <f>Github!P$816</f>
        <v>84310</v>
      </c>
      <c r="O488" s="10">
        <f>Github!Q$816</f>
        <v>186209</v>
      </c>
    </row>
    <row r="489">
      <c r="A489" s="10">
        <f>Github!J$516</f>
        <v>515</v>
      </c>
      <c r="B489" s="11" t="str">
        <f>HYPERLINK(CONCAT("http://leetcode.com/problems/",Github!C$516), Github!B$516)</f>
        <v>Find Largest Value in Each Tree Row</v>
      </c>
      <c r="C489" s="10">
        <f>Github!F$516</f>
        <v>2004</v>
      </c>
      <c r="D489" s="10">
        <f>Github!G$516</f>
        <v>83</v>
      </c>
      <c r="E489" s="10">
        <f>Github!F$516+Github!G$516</f>
        <v>2087</v>
      </c>
      <c r="F489" s="12">
        <f t="shared" si="1"/>
        <v>24.14</v>
      </c>
      <c r="G489" s="10" t="str">
        <f>Github!H$516</f>
        <v>Algorithms</v>
      </c>
      <c r="H489" s="13" t="str">
        <f>SUBSTITUTE(Github!L$516, ";", ", ")</f>
        <v>Tree, Depth-First Search, Breadth-First Search, Binary Tree, </v>
      </c>
      <c r="I489" s="10" t="str">
        <f>Github!E$516</f>
        <v>Medium</v>
      </c>
      <c r="J489" s="10" t="str">
        <f>IF(TRIM(Github!D$516)="TRUE","FALSE","TRUE")</f>
        <v>TRUE</v>
      </c>
      <c r="K489" s="10" t="b">
        <f>Github!M$516</f>
        <v>0</v>
      </c>
      <c r="L489" s="10" t="b">
        <f>Github!N$516</f>
        <v>0</v>
      </c>
      <c r="M489" s="10" t="str">
        <f>ROUND(Github!O$516, 2)&amp;"%"</f>
        <v>64.45%</v>
      </c>
      <c r="N489" s="10">
        <f>Github!P$516</f>
        <v>189544</v>
      </c>
      <c r="O489" s="10">
        <f>Github!Q$516</f>
        <v>294112</v>
      </c>
    </row>
    <row r="490">
      <c r="A490" s="10">
        <f>Github!J$792</f>
        <v>791</v>
      </c>
      <c r="B490" s="11" t="str">
        <f>HYPERLINK(CONCAT("http://leetcode.com/problems/",Github!C$792), Github!B$792)</f>
        <v>Custom Sort String</v>
      </c>
      <c r="C490" s="10">
        <f>Github!F$792</f>
        <v>1993</v>
      </c>
      <c r="D490" s="10">
        <f>Github!G$792</f>
        <v>290</v>
      </c>
      <c r="E490" s="10">
        <f>Github!F$792+Github!G$792</f>
        <v>2283</v>
      </c>
      <c r="F490" s="12">
        <f t="shared" si="1"/>
        <v>6.87</v>
      </c>
      <c r="G490" s="10" t="str">
        <f>Github!H$792</f>
        <v>Algorithms</v>
      </c>
      <c r="H490" s="13" t="str">
        <f>SUBSTITUTE(Github!L$792, ";", ", ")</f>
        <v>Hash Table, String, Sorting, </v>
      </c>
      <c r="I490" s="10" t="str">
        <f>Github!E$792</f>
        <v>Medium</v>
      </c>
      <c r="J490" s="10" t="str">
        <f>IF(TRIM(Github!D$792)="TRUE","FALSE","TRUE")</f>
        <v>TRUE</v>
      </c>
      <c r="K490" s="10" t="b">
        <f>Github!M$792</f>
        <v>1</v>
      </c>
      <c r="L490" s="10" t="b">
        <f>Github!N$792</f>
        <v>0</v>
      </c>
      <c r="M490" s="10" t="str">
        <f>ROUND(Github!O$792, 2)&amp;"%"</f>
        <v>69.14%</v>
      </c>
      <c r="N490" s="10">
        <f>Github!P$792</f>
        <v>177773</v>
      </c>
      <c r="O490" s="10">
        <f>Github!Q$792</f>
        <v>257112</v>
      </c>
    </row>
    <row r="491">
      <c r="A491" s="10">
        <f>Github!J$148</f>
        <v>147</v>
      </c>
      <c r="B491" s="11" t="str">
        <f>HYPERLINK(CONCAT("http://leetcode.com/problems/",Github!C$148), Github!B$148)</f>
        <v>Insertion Sort List</v>
      </c>
      <c r="C491" s="10">
        <f>Github!F$148</f>
        <v>1986</v>
      </c>
      <c r="D491" s="10">
        <f>Github!G$148</f>
        <v>788</v>
      </c>
      <c r="E491" s="10">
        <f>Github!F$148+Github!G$148</f>
        <v>2774</v>
      </c>
      <c r="F491" s="12">
        <f t="shared" si="1"/>
        <v>2.52</v>
      </c>
      <c r="G491" s="10" t="str">
        <f>Github!H$148</f>
        <v>Algorithms</v>
      </c>
      <c r="H491" s="13" t="str">
        <f>SUBSTITUTE(Github!L$148, ";", ", ")</f>
        <v>Linked List, Sorting, </v>
      </c>
      <c r="I491" s="10" t="str">
        <f>Github!E$148</f>
        <v>Medium</v>
      </c>
      <c r="J491" s="10" t="str">
        <f>IF(TRIM(Github!D$148)="TRUE","FALSE","TRUE")</f>
        <v>TRUE</v>
      </c>
      <c r="K491" s="10" t="b">
        <f>Github!M$148</f>
        <v>1</v>
      </c>
      <c r="L491" s="10" t="b">
        <f>Github!N$148</f>
        <v>1</v>
      </c>
      <c r="M491" s="10" t="str">
        <f>ROUND(Github!O$148, 2)&amp;"%"</f>
        <v>48.83%</v>
      </c>
      <c r="N491" s="10">
        <f>Github!P$148</f>
        <v>283026</v>
      </c>
      <c r="O491" s="10">
        <f>Github!Q$148</f>
        <v>579650</v>
      </c>
    </row>
    <row r="492">
      <c r="A492" s="10">
        <f>Github!J$802</f>
        <v>801</v>
      </c>
      <c r="B492" s="11" t="str">
        <f>HYPERLINK(CONCAT("http://leetcode.com/problems/",Github!C$802), Github!B$802)</f>
        <v>Minimum Swaps To Make Sequences Increasing</v>
      </c>
      <c r="C492" s="10">
        <f>Github!F$802</f>
        <v>1981</v>
      </c>
      <c r="D492" s="10">
        <f>Github!G$802</f>
        <v>123</v>
      </c>
      <c r="E492" s="10">
        <f>Github!F$802+Github!G$802</f>
        <v>2104</v>
      </c>
      <c r="F492" s="12">
        <f t="shared" si="1"/>
        <v>16.11</v>
      </c>
      <c r="G492" s="10" t="str">
        <f>Github!H$802</f>
        <v>Algorithms</v>
      </c>
      <c r="H492" s="13" t="str">
        <f>SUBSTITUTE(Github!L$802, ";", ", ")</f>
        <v>Array, Dynamic Programming, </v>
      </c>
      <c r="I492" s="10" t="str">
        <f>Github!E$802</f>
        <v>Hard</v>
      </c>
      <c r="J492" s="10" t="str">
        <f>IF(TRIM(Github!D$802)="TRUE","FALSE","TRUE")</f>
        <v>TRUE</v>
      </c>
      <c r="K492" s="10" t="b">
        <f>Github!M$802</f>
        <v>0</v>
      </c>
      <c r="L492" s="10" t="b">
        <f>Github!N$802</f>
        <v>0</v>
      </c>
      <c r="M492" s="10" t="str">
        <f>ROUND(Github!O$802, 2)&amp;"%"</f>
        <v>39.14%</v>
      </c>
      <c r="N492" s="10">
        <f>Github!P$802</f>
        <v>52631</v>
      </c>
      <c r="O492" s="10">
        <f>Github!Q$802</f>
        <v>134453</v>
      </c>
    </row>
    <row r="493">
      <c r="A493" s="10">
        <f>Github!J$356</f>
        <v>355</v>
      </c>
      <c r="B493" s="11" t="str">
        <f>HYPERLINK(CONCAT("http://leetcode.com/problems/",Github!C$356), Github!B$356)</f>
        <v>Design Twitter</v>
      </c>
      <c r="C493" s="10">
        <f>Github!F$356</f>
        <v>1985</v>
      </c>
      <c r="D493" s="10">
        <f>Github!G$356</f>
        <v>275</v>
      </c>
      <c r="E493" s="10">
        <f>Github!F$356+Github!G$356</f>
        <v>2260</v>
      </c>
      <c r="F493" s="12">
        <f t="shared" si="1"/>
        <v>7.22</v>
      </c>
      <c r="G493" s="10" t="str">
        <f>Github!H$356</f>
        <v>Algorithms</v>
      </c>
      <c r="H493" s="13" t="str">
        <f>SUBSTITUTE(Github!L$356, ";", ", ")</f>
        <v>Hash Table, Linked List, Design, Heap (Priority Queue), </v>
      </c>
      <c r="I493" s="10" t="str">
        <f>Github!E$356</f>
        <v>Medium</v>
      </c>
      <c r="J493" s="10" t="str">
        <f>IF(TRIM(Github!D$356)="TRUE","FALSE","TRUE")</f>
        <v>TRUE</v>
      </c>
      <c r="K493" s="10" t="b">
        <f>Github!M$356</f>
        <v>0</v>
      </c>
      <c r="L493" s="10" t="b">
        <f>Github!N$356</f>
        <v>0</v>
      </c>
      <c r="M493" s="10" t="str">
        <f>ROUND(Github!O$356, 2)&amp;"%"</f>
        <v>34.48%</v>
      </c>
      <c r="N493" s="10">
        <f>Github!P$356</f>
        <v>85042</v>
      </c>
      <c r="O493" s="10">
        <f>Github!Q$356</f>
        <v>246675</v>
      </c>
    </row>
    <row r="494">
      <c r="A494" s="10">
        <f>Github!J$560</f>
        <v>559</v>
      </c>
      <c r="B494" s="11" t="str">
        <f>HYPERLINK(CONCAT("http://leetcode.com/problems/",Github!C$560), Github!B$560)</f>
        <v>Maximum Depth of N-ary Tree</v>
      </c>
      <c r="C494" s="10">
        <f>Github!F$560</f>
        <v>1967</v>
      </c>
      <c r="D494" s="10">
        <f>Github!G$560</f>
        <v>70</v>
      </c>
      <c r="E494" s="10">
        <f>Github!F$560+Github!G$560</f>
        <v>2037</v>
      </c>
      <c r="F494" s="12">
        <f t="shared" si="1"/>
        <v>28.1</v>
      </c>
      <c r="G494" s="10" t="str">
        <f>Github!H$560</f>
        <v>Algorithms</v>
      </c>
      <c r="H494" s="13" t="str">
        <f>SUBSTITUTE(Github!L$560, ";", ", ")</f>
        <v>Tree, Depth-First Search, Breadth-First Search, </v>
      </c>
      <c r="I494" s="10" t="str">
        <f>Github!E$560</f>
        <v>Easy</v>
      </c>
      <c r="J494" s="10" t="str">
        <f>IF(TRIM(Github!D$560)="TRUE","FALSE","TRUE")</f>
        <v>TRUE</v>
      </c>
      <c r="K494" s="10" t="b">
        <f>Github!M$560</f>
        <v>1</v>
      </c>
      <c r="L494" s="10" t="b">
        <f>Github!N$560</f>
        <v>0</v>
      </c>
      <c r="M494" s="10" t="str">
        <f>ROUND(Github!O$560, 2)&amp;"%"</f>
        <v>71.04%</v>
      </c>
      <c r="N494" s="10">
        <f>Github!P$560</f>
        <v>208848</v>
      </c>
      <c r="O494" s="10">
        <f>Github!Q$560</f>
        <v>294006</v>
      </c>
    </row>
    <row r="495">
      <c r="A495" s="10">
        <f>Github!J$477</f>
        <v>476</v>
      </c>
      <c r="B495" s="11" t="str">
        <f>HYPERLINK(CONCAT("http://leetcode.com/problems/",Github!C$477), Github!B$477)</f>
        <v>Number Complement</v>
      </c>
      <c r="C495" s="10">
        <f>Github!F$477</f>
        <v>1980</v>
      </c>
      <c r="D495" s="10">
        <f>Github!G$477</f>
        <v>105</v>
      </c>
      <c r="E495" s="10">
        <f>Github!F$477+Github!G$477</f>
        <v>2085</v>
      </c>
      <c r="F495" s="12">
        <f t="shared" si="1"/>
        <v>18.86</v>
      </c>
      <c r="G495" s="10" t="str">
        <f>Github!H$477</f>
        <v>Algorithms</v>
      </c>
      <c r="H495" s="13" t="str">
        <f>SUBSTITUTE(Github!L$477, ";", ", ")</f>
        <v>Bit Manipulation, </v>
      </c>
      <c r="I495" s="10" t="str">
        <f>Github!E$477</f>
        <v>Easy</v>
      </c>
      <c r="J495" s="10" t="str">
        <f>IF(TRIM(Github!D$477)="TRUE","FALSE","TRUE")</f>
        <v>TRUE</v>
      </c>
      <c r="K495" s="10" t="b">
        <f>Github!M$477</f>
        <v>1</v>
      </c>
      <c r="L495" s="10" t="b">
        <f>Github!N$477</f>
        <v>0</v>
      </c>
      <c r="M495" s="10" t="str">
        <f>ROUND(Github!O$477, 2)&amp;"%"</f>
        <v>66.74%</v>
      </c>
      <c r="N495" s="10">
        <f>Github!P$477</f>
        <v>263525</v>
      </c>
      <c r="O495" s="10">
        <f>Github!Q$477</f>
        <v>394878</v>
      </c>
    </row>
    <row r="496">
      <c r="A496" s="10">
        <f>Github!J$698</f>
        <v>697</v>
      </c>
      <c r="B496" s="11" t="str">
        <f>HYPERLINK(CONCAT("http://leetcode.com/problems/",Github!C$698), Github!B$698)</f>
        <v>Degree of an Array</v>
      </c>
      <c r="C496" s="10">
        <f>Github!F$698</f>
        <v>1967</v>
      </c>
      <c r="D496" s="10">
        <f>Github!G$698</f>
        <v>1298</v>
      </c>
      <c r="E496" s="10">
        <f>Github!F$698+Github!G$698</f>
        <v>3265</v>
      </c>
      <c r="F496" s="12">
        <f t="shared" si="1"/>
        <v>1.52</v>
      </c>
      <c r="G496" s="10" t="str">
        <f>Github!H$698</f>
        <v>Algorithms</v>
      </c>
      <c r="H496" s="13" t="str">
        <f>SUBSTITUTE(Github!L$698, ";", ", ")</f>
        <v>Array, Hash Table, </v>
      </c>
      <c r="I496" s="10" t="str">
        <f>Github!E$698</f>
        <v>Easy</v>
      </c>
      <c r="J496" s="10" t="str">
        <f>IF(TRIM(Github!D$698)="TRUE","FALSE","TRUE")</f>
        <v>TRUE</v>
      </c>
      <c r="K496" s="10" t="b">
        <f>Github!M$698</f>
        <v>1</v>
      </c>
      <c r="L496" s="10" t="b">
        <f>Github!N$698</f>
        <v>0</v>
      </c>
      <c r="M496" s="10" t="str">
        <f>ROUND(Github!O$698, 2)&amp;"%"</f>
        <v>55.62%</v>
      </c>
      <c r="N496" s="10">
        <f>Github!P$698</f>
        <v>148670</v>
      </c>
      <c r="O496" s="10">
        <f>Github!Q$698</f>
        <v>267292</v>
      </c>
    </row>
    <row r="497">
      <c r="A497" s="10">
        <f>Github!J$173</f>
        <v>172</v>
      </c>
      <c r="B497" s="11" t="str">
        <f>HYPERLINK(CONCAT("http://leetcode.com/problems/",Github!C$173), Github!B$173)</f>
        <v>Factorial Trailing Zeroes</v>
      </c>
      <c r="C497" s="10">
        <f>Github!F$173</f>
        <v>1962</v>
      </c>
      <c r="D497" s="10">
        <f>Github!G$173</f>
        <v>1662</v>
      </c>
      <c r="E497" s="10">
        <f>Github!F$173+Github!G$173</f>
        <v>3624</v>
      </c>
      <c r="F497" s="12">
        <f t="shared" si="1"/>
        <v>1.18</v>
      </c>
      <c r="G497" s="10" t="str">
        <f>Github!H$173</f>
        <v>Algorithms</v>
      </c>
      <c r="H497" s="13" t="str">
        <f>SUBSTITUTE(Github!L$173, ";", ", ")</f>
        <v>Math, </v>
      </c>
      <c r="I497" s="10" t="str">
        <f>Github!E$173</f>
        <v>Medium</v>
      </c>
      <c r="J497" s="10" t="str">
        <f>IF(TRIM(Github!D$173)="TRUE","FALSE","TRUE")</f>
        <v>TRUE</v>
      </c>
      <c r="K497" s="10" t="b">
        <f>Github!M$173</f>
        <v>1</v>
      </c>
      <c r="L497" s="10" t="b">
        <f>Github!N$173</f>
        <v>0</v>
      </c>
      <c r="M497" s="10" t="str">
        <f>ROUND(Github!O$173, 2)&amp;"%"</f>
        <v>40.78%</v>
      </c>
      <c r="N497" s="10">
        <f>Github!P$173</f>
        <v>314742</v>
      </c>
      <c r="O497" s="10">
        <f>Github!Q$173</f>
        <v>771827</v>
      </c>
    </row>
    <row r="498">
      <c r="A498" s="10">
        <f>Github!J$188</f>
        <v>187</v>
      </c>
      <c r="B498" s="11" t="str">
        <f>HYPERLINK(CONCAT("http://leetcode.com/problems/",Github!C$188), Github!B$188)</f>
        <v>Repeated DNA Sequences</v>
      </c>
      <c r="C498" s="10">
        <f>Github!F$188</f>
        <v>1964</v>
      </c>
      <c r="D498" s="10">
        <f>Github!G$188</f>
        <v>406</v>
      </c>
      <c r="E498" s="10">
        <f>Github!F$188+Github!G$188</f>
        <v>2370</v>
      </c>
      <c r="F498" s="12">
        <f t="shared" si="1"/>
        <v>4.84</v>
      </c>
      <c r="G498" s="10" t="str">
        <f>Github!H$188</f>
        <v>Algorithms</v>
      </c>
      <c r="H498" s="13" t="str">
        <f>SUBSTITUTE(Github!L$188, ";", ", ")</f>
        <v>Hash Table, String, Bit Manipulation, Sliding Window, Rolling Hash, Hash Function, </v>
      </c>
      <c r="I498" s="10" t="str">
        <f>Github!E$188</f>
        <v>Medium</v>
      </c>
      <c r="J498" s="10" t="str">
        <f>IF(TRIM(Github!D$188)="TRUE","FALSE","TRUE")</f>
        <v>TRUE</v>
      </c>
      <c r="K498" s="10" t="b">
        <f>Github!M$188</f>
        <v>1</v>
      </c>
      <c r="L498" s="10" t="b">
        <f>Github!N$188</f>
        <v>0</v>
      </c>
      <c r="M498" s="10" t="str">
        <f>ROUND(Github!O$188, 2)&amp;"%"</f>
        <v>44.68%</v>
      </c>
      <c r="N498" s="10">
        <f>Github!P$188</f>
        <v>263596</v>
      </c>
      <c r="O498" s="10">
        <f>Github!Q$188</f>
        <v>589991</v>
      </c>
    </row>
    <row r="499">
      <c r="A499" s="10">
        <f>Github!J$878</f>
        <v>877</v>
      </c>
      <c r="B499" s="11" t="str">
        <f>HYPERLINK(CONCAT("http://leetcode.com/problems/",Github!C$878), Github!B$878)</f>
        <v>Stone Game</v>
      </c>
      <c r="C499" s="10">
        <f>Github!F$878</f>
        <v>1955</v>
      </c>
      <c r="D499" s="10">
        <f>Github!G$878</f>
        <v>2005</v>
      </c>
      <c r="E499" s="10">
        <f>Github!F$878+Github!G$878</f>
        <v>3960</v>
      </c>
      <c r="F499" s="12">
        <f t="shared" si="1"/>
        <v>0.98</v>
      </c>
      <c r="G499" s="10" t="str">
        <f>Github!H$878</f>
        <v>Algorithms</v>
      </c>
      <c r="H499" s="13" t="str">
        <f>SUBSTITUTE(Github!L$878, ";", ", ")</f>
        <v>Array, Math, Dynamic Programming, Game Theory, </v>
      </c>
      <c r="I499" s="10" t="str">
        <f>Github!E$878</f>
        <v>Medium</v>
      </c>
      <c r="J499" s="10" t="str">
        <f>IF(TRIM(Github!D$878)="TRUE","FALSE","TRUE")</f>
        <v>TRUE</v>
      </c>
      <c r="K499" s="10" t="b">
        <f>Github!M$878</f>
        <v>1</v>
      </c>
      <c r="L499" s="10" t="b">
        <f>Github!N$878</f>
        <v>0</v>
      </c>
      <c r="M499" s="10" t="str">
        <f>ROUND(Github!O$878, 2)&amp;"%"</f>
        <v>69.15%</v>
      </c>
      <c r="N499" s="10">
        <f>Github!P$878</f>
        <v>153613</v>
      </c>
      <c r="O499" s="10">
        <f>Github!Q$878</f>
        <v>222155</v>
      </c>
    </row>
    <row r="500">
      <c r="A500" s="10">
        <f>Github!J$1156</f>
        <v>1155</v>
      </c>
      <c r="B500" s="11" t="str">
        <f>HYPERLINK(CONCAT("http://leetcode.com/problems/",Github!C$1156), Github!B$1156)</f>
        <v>Number of Dice Rolls With Target Sum</v>
      </c>
      <c r="C500" s="10">
        <f>Github!F$1156</f>
        <v>1962</v>
      </c>
      <c r="D500" s="10">
        <f>Github!G$1156</f>
        <v>85</v>
      </c>
      <c r="E500" s="10">
        <f>Github!F$1156+Github!G$1156</f>
        <v>2047</v>
      </c>
      <c r="F500" s="12">
        <f t="shared" si="1"/>
        <v>23.08</v>
      </c>
      <c r="G500" s="10" t="str">
        <f>Github!H$1156</f>
        <v>Algorithms</v>
      </c>
      <c r="H500" s="13" t="str">
        <f>SUBSTITUTE(Github!L$1156, ";", ", ")</f>
        <v>Dynamic Programming, </v>
      </c>
      <c r="I500" s="10" t="str">
        <f>Github!E$1156</f>
        <v>Medium</v>
      </c>
      <c r="J500" s="10" t="str">
        <f>IF(TRIM(Github!D$1156)="TRUE","FALSE","TRUE")</f>
        <v>TRUE</v>
      </c>
      <c r="K500" s="10" t="b">
        <f>Github!M$1156</f>
        <v>0</v>
      </c>
      <c r="L500" s="10" t="b">
        <f>Github!N$1156</f>
        <v>0</v>
      </c>
      <c r="M500" s="10" t="str">
        <f>ROUND(Github!O$1156, 2)&amp;"%"</f>
        <v>47.72%</v>
      </c>
      <c r="N500" s="10">
        <f>Github!P$1156</f>
        <v>102261</v>
      </c>
      <c r="O500" s="10">
        <f>Github!Q$1156</f>
        <v>214279</v>
      </c>
    </row>
    <row r="501">
      <c r="A501" s="10">
        <f>Github!J$304</f>
        <v>303</v>
      </c>
      <c r="B501" s="11" t="str">
        <f>HYPERLINK(CONCAT("http://leetcode.com/problems/",Github!C$304), Github!B$304)</f>
        <v>Range Sum Query - Immutable</v>
      </c>
      <c r="C501" s="10">
        <f>Github!F$304</f>
        <v>1945</v>
      </c>
      <c r="D501" s="10">
        <f>Github!G$304</f>
        <v>1647</v>
      </c>
      <c r="E501" s="10">
        <f>Github!F$304+Github!G$304</f>
        <v>3592</v>
      </c>
      <c r="F501" s="12">
        <f t="shared" si="1"/>
        <v>1.18</v>
      </c>
      <c r="G501" s="10" t="str">
        <f>Github!H$304</f>
        <v>Algorithms</v>
      </c>
      <c r="H501" s="13" t="str">
        <f>SUBSTITUTE(Github!L$304, ";", ", ")</f>
        <v>Array, Design, Prefix Sum, </v>
      </c>
      <c r="I501" s="10" t="str">
        <f>Github!E$304</f>
        <v>Easy</v>
      </c>
      <c r="J501" s="10" t="str">
        <f>IF(TRIM(Github!D$304)="TRUE","FALSE","TRUE")</f>
        <v>TRUE</v>
      </c>
      <c r="K501" s="10" t="b">
        <f>Github!M$304</f>
        <v>1</v>
      </c>
      <c r="L501" s="10" t="b">
        <f>Github!N$304</f>
        <v>0</v>
      </c>
      <c r="M501" s="10" t="str">
        <f>ROUND(Github!O$304, 2)&amp;"%"</f>
        <v>55.38%</v>
      </c>
      <c r="N501" s="10">
        <f>Github!P$304</f>
        <v>349442</v>
      </c>
      <c r="O501" s="10">
        <f>Github!Q$304</f>
        <v>630937</v>
      </c>
    </row>
    <row r="502">
      <c r="A502" s="10">
        <f>Github!J$324</f>
        <v>323</v>
      </c>
      <c r="B502" s="11" t="str">
        <f>HYPERLINK(CONCAT("http://leetcode.com/problems/",Github!C$324), Github!B$324)</f>
        <v>Number of Connected Components in an Undirected Graph</v>
      </c>
      <c r="C502" s="10">
        <f>Github!F$324</f>
        <v>1947</v>
      </c>
      <c r="D502" s="10">
        <f>Github!G$324</f>
        <v>60</v>
      </c>
      <c r="E502" s="10">
        <f>Github!F$324+Github!G$324</f>
        <v>2007</v>
      </c>
      <c r="F502" s="12">
        <f t="shared" si="1"/>
        <v>32.45</v>
      </c>
      <c r="G502" s="10" t="str">
        <f>Github!H$324</f>
        <v>Algorithms</v>
      </c>
      <c r="H502" s="13" t="str">
        <f>SUBSTITUTE(Github!L$324, ";", ", ")</f>
        <v>Depth-First Search, Breadth-First Search, Union Find, Graph, </v>
      </c>
      <c r="I502" s="10" t="str">
        <f>Github!E$324</f>
        <v>Medium</v>
      </c>
      <c r="J502" s="10" t="str">
        <f>IF(TRIM(Github!D$324)="TRUE","FALSE","TRUE")</f>
        <v>FALSE</v>
      </c>
      <c r="K502" s="10" t="b">
        <f>Github!M$324</f>
        <v>1</v>
      </c>
      <c r="L502" s="10" t="b">
        <f>Github!N$324</f>
        <v>1</v>
      </c>
      <c r="M502" s="10" t="str">
        <f>ROUND(Github!O$324, 2)&amp;"%"</f>
        <v>61.08%</v>
      </c>
      <c r="N502" s="10">
        <f>Github!P$324</f>
        <v>247284</v>
      </c>
      <c r="O502" s="10">
        <f>Github!Q$324</f>
        <v>404852</v>
      </c>
    </row>
    <row r="503">
      <c r="A503" s="10">
        <f>Github!J$720</f>
        <v>719</v>
      </c>
      <c r="B503" s="11" t="str">
        <f>HYPERLINK(CONCAT("http://leetcode.com/problems/",Github!C$720), Github!B$720)</f>
        <v>Find K-th Smallest Pair Distance</v>
      </c>
      <c r="C503" s="10">
        <f>Github!F$720</f>
        <v>1932</v>
      </c>
      <c r="D503" s="10">
        <f>Github!G$720</f>
        <v>63</v>
      </c>
      <c r="E503" s="10">
        <f>Github!F$720+Github!G$720</f>
        <v>1995</v>
      </c>
      <c r="F503" s="12">
        <f t="shared" si="1"/>
        <v>30.67</v>
      </c>
      <c r="G503" s="10" t="str">
        <f>Github!H$720</f>
        <v>Algorithms</v>
      </c>
      <c r="H503" s="13" t="str">
        <f>SUBSTITUTE(Github!L$720, ";", ", ")</f>
        <v>Array, Two Pointers, Binary Search, Sorting, </v>
      </c>
      <c r="I503" s="10" t="str">
        <f>Github!E$720</f>
        <v>Hard</v>
      </c>
      <c r="J503" s="10" t="str">
        <f>IF(TRIM(Github!D$720)="TRUE","FALSE","TRUE")</f>
        <v>TRUE</v>
      </c>
      <c r="K503" s="10" t="b">
        <f>Github!M$720</f>
        <v>1</v>
      </c>
      <c r="L503" s="10" t="b">
        <f>Github!N$720</f>
        <v>0</v>
      </c>
      <c r="M503" s="10" t="str">
        <f>ROUND(Github!O$720, 2)&amp;"%"</f>
        <v>35.06%</v>
      </c>
      <c r="N503" s="10">
        <f>Github!P$720</f>
        <v>58498</v>
      </c>
      <c r="O503" s="10">
        <f>Github!Q$720</f>
        <v>166858</v>
      </c>
    </row>
    <row r="504">
      <c r="A504" s="10">
        <f>Github!J$1464</f>
        <v>1463</v>
      </c>
      <c r="B504" s="11" t="str">
        <f>HYPERLINK(CONCAT("http://leetcode.com/problems/",Github!C$1464), Github!B$1464)</f>
        <v>Cherry Pickup II</v>
      </c>
      <c r="C504" s="10">
        <f>Github!F$1464</f>
        <v>1942</v>
      </c>
      <c r="D504" s="10">
        <f>Github!G$1464</f>
        <v>20</v>
      </c>
      <c r="E504" s="10">
        <f>Github!F$1464+Github!G$1464</f>
        <v>1962</v>
      </c>
      <c r="F504" s="12">
        <f t="shared" si="1"/>
        <v>97.1</v>
      </c>
      <c r="G504" s="10" t="str">
        <f>Github!H$1464</f>
        <v>Algorithms</v>
      </c>
      <c r="H504" s="13" t="str">
        <f>SUBSTITUTE(Github!L$1464, ";", ", ")</f>
        <v>Array, Dynamic Programming, Matrix, </v>
      </c>
      <c r="I504" s="10" t="str">
        <f>Github!E$1464</f>
        <v>Hard</v>
      </c>
      <c r="J504" s="10" t="str">
        <f>IF(TRIM(Github!D$1464)="TRUE","FALSE","TRUE")</f>
        <v>TRUE</v>
      </c>
      <c r="K504" s="10" t="b">
        <f>Github!M$1464</f>
        <v>1</v>
      </c>
      <c r="L504" s="10" t="b">
        <f>Github!N$1464</f>
        <v>0</v>
      </c>
      <c r="M504" s="10" t="str">
        <f>ROUND(Github!O$1464, 2)&amp;"%"</f>
        <v>70.76%</v>
      </c>
      <c r="N504" s="10">
        <f>Github!P$1464</f>
        <v>58298</v>
      </c>
      <c r="O504" s="10">
        <f>Github!Q$1464</f>
        <v>82388</v>
      </c>
    </row>
    <row r="505">
      <c r="A505" s="10">
        <f>Github!J$866</f>
        <v>865</v>
      </c>
      <c r="B505" s="11" t="str">
        <f>HYPERLINK(CONCAT("http://leetcode.com/problems/",Github!C$866), Github!B$866)</f>
        <v>Smallest Subtree with all the Deepest Nodes</v>
      </c>
      <c r="C505" s="10">
        <f>Github!F$866</f>
        <v>1932</v>
      </c>
      <c r="D505" s="10">
        <f>Github!G$866</f>
        <v>326</v>
      </c>
      <c r="E505" s="10">
        <f>Github!F$866+Github!G$866</f>
        <v>2258</v>
      </c>
      <c r="F505" s="12">
        <f t="shared" si="1"/>
        <v>5.93</v>
      </c>
      <c r="G505" s="10" t="str">
        <f>Github!H$866</f>
        <v>Algorithms</v>
      </c>
      <c r="H505" s="13" t="str">
        <f>SUBSTITUTE(Github!L$866, ";", ", ")</f>
        <v>Hash Table, Tree, Depth-First Search, Breadth-First Search, Binary Tree, </v>
      </c>
      <c r="I505" s="10" t="str">
        <f>Github!E$866</f>
        <v>Medium</v>
      </c>
      <c r="J505" s="10" t="str">
        <f>IF(TRIM(Github!D$866)="TRUE","FALSE","TRUE")</f>
        <v>TRUE</v>
      </c>
      <c r="K505" s="10" t="b">
        <f>Github!M$866</f>
        <v>1</v>
      </c>
      <c r="L505" s="10" t="b">
        <f>Github!N$866</f>
        <v>0</v>
      </c>
      <c r="M505" s="10" t="str">
        <f>ROUND(Github!O$866, 2)&amp;"%"</f>
        <v>67.84%</v>
      </c>
      <c r="N505" s="10">
        <f>Github!P$866</f>
        <v>102596</v>
      </c>
      <c r="O505" s="10">
        <f>Github!Q$866</f>
        <v>151242</v>
      </c>
    </row>
    <row r="506">
      <c r="A506" s="10">
        <f>Github!J$767</f>
        <v>766</v>
      </c>
      <c r="B506" s="11" t="str">
        <f>HYPERLINK(CONCAT("http://leetcode.com/problems/",Github!C$767), Github!B$767)</f>
        <v>Toeplitz Matrix</v>
      </c>
      <c r="C506" s="10">
        <f>Github!F$767</f>
        <v>1934</v>
      </c>
      <c r="D506" s="10">
        <f>Github!G$767</f>
        <v>120</v>
      </c>
      <c r="E506" s="10">
        <f>Github!F$767+Github!G$767</f>
        <v>2054</v>
      </c>
      <c r="F506" s="12">
        <f t="shared" si="1"/>
        <v>16.12</v>
      </c>
      <c r="G506" s="10" t="str">
        <f>Github!H$767</f>
        <v>Algorithms</v>
      </c>
      <c r="H506" s="13" t="str">
        <f>SUBSTITUTE(Github!L$767, ";", ", ")</f>
        <v>Array, Matrix, </v>
      </c>
      <c r="I506" s="10" t="str">
        <f>Github!E$767</f>
        <v>Easy</v>
      </c>
      <c r="J506" s="10" t="str">
        <f>IF(TRIM(Github!D$767)="TRUE","FALSE","TRUE")</f>
        <v>TRUE</v>
      </c>
      <c r="K506" s="10" t="b">
        <f>Github!M$767</f>
        <v>1</v>
      </c>
      <c r="L506" s="10" t="b">
        <f>Github!N$767</f>
        <v>0</v>
      </c>
      <c r="M506" s="10" t="str">
        <f>ROUND(Github!O$767, 2)&amp;"%"</f>
        <v>67.98%</v>
      </c>
      <c r="N506" s="10">
        <f>Github!P$767</f>
        <v>185259</v>
      </c>
      <c r="O506" s="10">
        <f>Github!Q$767</f>
        <v>272516</v>
      </c>
    </row>
    <row r="507">
      <c r="A507" s="10">
        <f>Github!J$927</f>
        <v>926</v>
      </c>
      <c r="B507" s="11" t="str">
        <f>HYPERLINK(CONCAT("http://leetcode.com/problems/",Github!C$927), Github!B$927)</f>
        <v>Flip String to Monotone Increasing</v>
      </c>
      <c r="C507" s="10">
        <f>Github!F$927</f>
        <v>1933</v>
      </c>
      <c r="D507" s="10">
        <f>Github!G$927</f>
        <v>86</v>
      </c>
      <c r="E507" s="10">
        <f>Github!F$927+Github!G$927</f>
        <v>2019</v>
      </c>
      <c r="F507" s="12">
        <f t="shared" si="1"/>
        <v>22.48</v>
      </c>
      <c r="G507" s="10" t="str">
        <f>Github!H$927</f>
        <v>Algorithms</v>
      </c>
      <c r="H507" s="13" t="str">
        <f>SUBSTITUTE(Github!L$927, ";", ", ")</f>
        <v>String, Dynamic Programming, </v>
      </c>
      <c r="I507" s="10" t="str">
        <f>Github!E$927</f>
        <v>Medium</v>
      </c>
      <c r="J507" s="10" t="str">
        <f>IF(TRIM(Github!D$927)="TRUE","FALSE","TRUE")</f>
        <v>TRUE</v>
      </c>
      <c r="K507" s="10" t="b">
        <f>Github!M$927</f>
        <v>1</v>
      </c>
      <c r="L507" s="10" t="b">
        <f>Github!N$927</f>
        <v>0</v>
      </c>
      <c r="M507" s="10" t="str">
        <f>ROUND(Github!O$927, 2)&amp;"%"</f>
        <v>58.75%</v>
      </c>
      <c r="N507" s="10">
        <f>Github!P$927</f>
        <v>90150</v>
      </c>
      <c r="O507" s="10">
        <f>Github!Q$927</f>
        <v>153435</v>
      </c>
    </row>
    <row r="508">
      <c r="A508" s="10">
        <f>Github!J$1589</f>
        <v>1588</v>
      </c>
      <c r="B508" s="11" t="str">
        <f>HYPERLINK(CONCAT("http://leetcode.com/problems/",Github!C$1589), Github!B$1589)</f>
        <v>Sum of All Odd Length Subarrays</v>
      </c>
      <c r="C508" s="10">
        <f>Github!F$1589</f>
        <v>1933</v>
      </c>
      <c r="D508" s="10">
        <f>Github!G$1589</f>
        <v>157</v>
      </c>
      <c r="E508" s="10">
        <f>Github!F$1589+Github!G$1589</f>
        <v>2090</v>
      </c>
      <c r="F508" s="12">
        <f t="shared" si="1"/>
        <v>12.31</v>
      </c>
      <c r="G508" s="10" t="str">
        <f>Github!H$1589</f>
        <v>Algorithms</v>
      </c>
      <c r="H508" s="13" t="str">
        <f>SUBSTITUTE(Github!L$1589, ";", ", ")</f>
        <v>Array, Math, Prefix Sum, </v>
      </c>
      <c r="I508" s="10" t="str">
        <f>Github!E$1589</f>
        <v>Easy</v>
      </c>
      <c r="J508" s="10" t="str">
        <f>IF(TRIM(Github!D$1589)="TRUE","FALSE","TRUE")</f>
        <v>TRUE</v>
      </c>
      <c r="K508" s="10" t="b">
        <f>Github!M$1589</f>
        <v>0</v>
      </c>
      <c r="L508" s="10" t="b">
        <f>Github!N$1589</f>
        <v>0</v>
      </c>
      <c r="M508" s="10" t="str">
        <f>ROUND(Github!O$1589, 2)&amp;"%"</f>
        <v>83.37%</v>
      </c>
      <c r="N508" s="10">
        <f>Github!P$1589</f>
        <v>94175</v>
      </c>
      <c r="O508" s="10">
        <f>Github!Q$1589</f>
        <v>112959</v>
      </c>
    </row>
    <row r="509">
      <c r="A509" s="10">
        <f>Github!J$689</f>
        <v>688</v>
      </c>
      <c r="B509" s="11" t="str">
        <f>HYPERLINK(CONCAT("http://leetcode.com/problems/",Github!C$689), Github!B$689)</f>
        <v>Knight Probability in Chessboard</v>
      </c>
      <c r="C509" s="10">
        <f>Github!F$689</f>
        <v>1917</v>
      </c>
      <c r="D509" s="10">
        <f>Github!G$689</f>
        <v>287</v>
      </c>
      <c r="E509" s="10">
        <f>Github!F$689+Github!G$689</f>
        <v>2204</v>
      </c>
      <c r="F509" s="12">
        <f t="shared" si="1"/>
        <v>6.68</v>
      </c>
      <c r="G509" s="10" t="str">
        <f>Github!H$689</f>
        <v>Algorithms</v>
      </c>
      <c r="H509" s="13" t="str">
        <f>SUBSTITUTE(Github!L$689, ";", ", ")</f>
        <v>Dynamic Programming, </v>
      </c>
      <c r="I509" s="10" t="str">
        <f>Github!E$689</f>
        <v>Medium</v>
      </c>
      <c r="J509" s="10" t="str">
        <f>IF(TRIM(Github!D$689)="TRUE","FALSE","TRUE")</f>
        <v>TRUE</v>
      </c>
      <c r="K509" s="10" t="b">
        <f>Github!M$689</f>
        <v>1</v>
      </c>
      <c r="L509" s="10" t="b">
        <f>Github!N$689</f>
        <v>0</v>
      </c>
      <c r="M509" s="10" t="str">
        <f>ROUND(Github!O$689, 2)&amp;"%"</f>
        <v>51.49%</v>
      </c>
      <c r="N509" s="10">
        <f>Github!P$689</f>
        <v>79515</v>
      </c>
      <c r="O509" s="10">
        <f>Github!Q$689</f>
        <v>154417</v>
      </c>
    </row>
    <row r="510">
      <c r="A510" s="10">
        <f>Github!J$631</f>
        <v>630</v>
      </c>
      <c r="B510" s="11" t="str">
        <f>HYPERLINK(CONCAT("http://leetcode.com/problems/",Github!C$631), Github!B$631)</f>
        <v>Course Schedule III</v>
      </c>
      <c r="C510" s="10">
        <f>Github!F$631</f>
        <v>1916</v>
      </c>
      <c r="D510" s="10">
        <f>Github!G$631</f>
        <v>55</v>
      </c>
      <c r="E510" s="10">
        <f>Github!F$631+Github!G$631</f>
        <v>1971</v>
      </c>
      <c r="F510" s="12">
        <f t="shared" si="1"/>
        <v>34.84</v>
      </c>
      <c r="G510" s="10" t="str">
        <f>Github!H$631</f>
        <v>Algorithms</v>
      </c>
      <c r="H510" s="13" t="str">
        <f>SUBSTITUTE(Github!L$631, ";", ", ")</f>
        <v>Array, Greedy, Heap (Priority Queue), </v>
      </c>
      <c r="I510" s="10" t="str">
        <f>Github!E$631</f>
        <v>Hard</v>
      </c>
      <c r="J510" s="10" t="str">
        <f>IF(TRIM(Github!D$631)="TRUE","FALSE","TRUE")</f>
        <v>TRUE</v>
      </c>
      <c r="K510" s="10" t="b">
        <f>Github!M$631</f>
        <v>1</v>
      </c>
      <c r="L510" s="10" t="b">
        <f>Github!N$631</f>
        <v>0</v>
      </c>
      <c r="M510" s="10" t="str">
        <f>ROUND(Github!O$631, 2)&amp;"%"</f>
        <v>35.71%</v>
      </c>
      <c r="N510" s="10">
        <f>Github!P$631</f>
        <v>56599</v>
      </c>
      <c r="O510" s="10">
        <f>Github!Q$631</f>
        <v>158480</v>
      </c>
    </row>
    <row r="511">
      <c r="A511" s="10">
        <f>Github!J$31</f>
        <v>30</v>
      </c>
      <c r="B511" s="11" t="str">
        <f>HYPERLINK(CONCAT("http://leetcode.com/problems/",Github!C$31), Github!B$31)</f>
        <v>Substring with Concatenation of All Words</v>
      </c>
      <c r="C511" s="10">
        <f>Github!F$31</f>
        <v>1919</v>
      </c>
      <c r="D511" s="10">
        <f>Github!G$31</f>
        <v>1840</v>
      </c>
      <c r="E511" s="10">
        <f>Github!F$31+Github!G$31</f>
        <v>3759</v>
      </c>
      <c r="F511" s="12">
        <f t="shared" si="1"/>
        <v>1.04</v>
      </c>
      <c r="G511" s="10" t="str">
        <f>Github!H$31</f>
        <v>Algorithms</v>
      </c>
      <c r="H511" s="13" t="str">
        <f>SUBSTITUTE(Github!L$31, ";", ", ")</f>
        <v>Hash Table, String, Sliding Window, </v>
      </c>
      <c r="I511" s="10" t="str">
        <f>Github!E$31</f>
        <v>Hard</v>
      </c>
      <c r="J511" s="10" t="str">
        <f>IF(TRIM(Github!D$31)="TRUE","FALSE","TRUE")</f>
        <v>TRUE</v>
      </c>
      <c r="K511" s="10" t="b">
        <f>Github!M$31</f>
        <v>1</v>
      </c>
      <c r="L511" s="10" t="b">
        <f>Github!N$31</f>
        <v>0</v>
      </c>
      <c r="M511" s="10" t="str">
        <f>ROUND(Github!O$31, 2)&amp;"%"</f>
        <v>28.1%</v>
      </c>
      <c r="N511" s="10">
        <f>Github!P$31</f>
        <v>252663</v>
      </c>
      <c r="O511" s="10">
        <f>Github!Q$31</f>
        <v>899292</v>
      </c>
    </row>
    <row r="512">
      <c r="A512" s="10">
        <f>Github!J$730</f>
        <v>729</v>
      </c>
      <c r="B512" s="11" t="str">
        <f>HYPERLINK(CONCAT("http://leetcode.com/problems/",Github!C$730), Github!B$730)</f>
        <v>My Calendar I</v>
      </c>
      <c r="C512" s="10">
        <f>Github!F$730</f>
        <v>1912</v>
      </c>
      <c r="D512" s="10">
        <f>Github!G$730</f>
        <v>58</v>
      </c>
      <c r="E512" s="10">
        <f>Github!F$730+Github!G$730</f>
        <v>1970</v>
      </c>
      <c r="F512" s="12">
        <f t="shared" si="1"/>
        <v>32.97</v>
      </c>
      <c r="G512" s="10" t="str">
        <f>Github!H$730</f>
        <v>Algorithms</v>
      </c>
      <c r="H512" s="13" t="str">
        <f>SUBSTITUTE(Github!L$730, ";", ", ")</f>
        <v>Design, Segment Tree, Ordered Set, </v>
      </c>
      <c r="I512" s="10" t="str">
        <f>Github!E$730</f>
        <v>Medium</v>
      </c>
      <c r="J512" s="10" t="str">
        <f>IF(TRIM(Github!D$730)="TRUE","FALSE","TRUE")</f>
        <v>TRUE</v>
      </c>
      <c r="K512" s="10" t="b">
        <f>Github!M$730</f>
        <v>1</v>
      </c>
      <c r="L512" s="10" t="b">
        <f>Github!N$730</f>
        <v>0</v>
      </c>
      <c r="M512" s="10" t="str">
        <f>ROUND(Github!O$730, 2)&amp;"%"</f>
        <v>55.14%</v>
      </c>
      <c r="N512" s="10">
        <f>Github!P$730</f>
        <v>145490</v>
      </c>
      <c r="O512" s="10">
        <f>Github!Q$730</f>
        <v>263862</v>
      </c>
    </row>
    <row r="513">
      <c r="A513" s="10">
        <f>Github!J$959</f>
        <v>958</v>
      </c>
      <c r="B513" s="11" t="str">
        <f>HYPERLINK(CONCAT("http://leetcode.com/problems/",Github!C$959), Github!B$959)</f>
        <v>Check Completeness of a Binary Tree</v>
      </c>
      <c r="C513" s="10">
        <f>Github!F$959</f>
        <v>1912</v>
      </c>
      <c r="D513" s="10">
        <f>Github!G$959</f>
        <v>28</v>
      </c>
      <c r="E513" s="10">
        <f>Github!F$959+Github!G$959</f>
        <v>1940</v>
      </c>
      <c r="F513" s="12">
        <f t="shared" si="1"/>
        <v>68.29</v>
      </c>
      <c r="G513" s="10" t="str">
        <f>Github!H$959</f>
        <v>Algorithms</v>
      </c>
      <c r="H513" s="13" t="str">
        <f>SUBSTITUTE(Github!L$959, ";", ", ")</f>
        <v>Tree, Breadth-First Search, Binary Tree, </v>
      </c>
      <c r="I513" s="10" t="str">
        <f>Github!E$959</f>
        <v>Medium</v>
      </c>
      <c r="J513" s="10" t="str">
        <f>IF(TRIM(Github!D$959)="TRUE","FALSE","TRUE")</f>
        <v>TRUE</v>
      </c>
      <c r="K513" s="10" t="b">
        <f>Github!M$959</f>
        <v>0</v>
      </c>
      <c r="L513" s="10" t="b">
        <f>Github!N$959</f>
        <v>0</v>
      </c>
      <c r="M513" s="10" t="str">
        <f>ROUND(Github!O$959, 2)&amp;"%"</f>
        <v>53.63%</v>
      </c>
      <c r="N513" s="10">
        <f>Github!P$959</f>
        <v>115254</v>
      </c>
      <c r="O513" s="10">
        <f>Github!Q$959</f>
        <v>214892</v>
      </c>
    </row>
    <row r="514">
      <c r="A514" s="10">
        <f>Github!J$364</f>
        <v>363</v>
      </c>
      <c r="B514" s="11" t="str">
        <f>HYPERLINK(CONCAT("http://leetcode.com/problems/",Github!C$364), Github!B$364)</f>
        <v>Max Sum of Rectangle No Larger Than K</v>
      </c>
      <c r="C514" s="10">
        <f>Github!F$364</f>
        <v>1896</v>
      </c>
      <c r="D514" s="10">
        <f>Github!G$364</f>
        <v>107</v>
      </c>
      <c r="E514" s="10">
        <f>Github!F$364+Github!G$364</f>
        <v>2003</v>
      </c>
      <c r="F514" s="12">
        <f t="shared" si="1"/>
        <v>17.72</v>
      </c>
      <c r="G514" s="10" t="str">
        <f>Github!H$364</f>
        <v>Algorithms</v>
      </c>
      <c r="H514" s="13" t="str">
        <f>SUBSTITUTE(Github!L$364, ";", ", ")</f>
        <v>Array, Binary Search, Dynamic Programming, Matrix, Ordered Set, </v>
      </c>
      <c r="I514" s="10" t="str">
        <f>Github!E$364</f>
        <v>Hard</v>
      </c>
      <c r="J514" s="10" t="str">
        <f>IF(TRIM(Github!D$364)="TRUE","FALSE","TRUE")</f>
        <v>TRUE</v>
      </c>
      <c r="K514" s="10" t="b">
        <f>Github!M$364</f>
        <v>1</v>
      </c>
      <c r="L514" s="10" t="b">
        <f>Github!N$364</f>
        <v>0</v>
      </c>
      <c r="M514" s="10" t="str">
        <f>ROUND(Github!O$364, 2)&amp;"%"</f>
        <v>40.14%</v>
      </c>
      <c r="N514" s="10">
        <f>Github!P$364</f>
        <v>78595</v>
      </c>
      <c r="O514" s="10">
        <f>Github!Q$364</f>
        <v>195821</v>
      </c>
    </row>
    <row r="515">
      <c r="A515" s="10">
        <f>Github!J$779</f>
        <v>778</v>
      </c>
      <c r="B515" s="11" t="str">
        <f>HYPERLINK(CONCAT("http://leetcode.com/problems/",Github!C$779), Github!B$779)</f>
        <v>Swim in Rising Water</v>
      </c>
      <c r="C515" s="10">
        <f>Github!F$779</f>
        <v>1903</v>
      </c>
      <c r="D515" s="10">
        <f>Github!G$779</f>
        <v>138</v>
      </c>
      <c r="E515" s="10">
        <f>Github!F$779+Github!G$779</f>
        <v>2041</v>
      </c>
      <c r="F515" s="12">
        <f t="shared" si="1"/>
        <v>13.79</v>
      </c>
      <c r="G515" s="10" t="str">
        <f>Github!H$779</f>
        <v>Algorithms</v>
      </c>
      <c r="H515" s="13" t="str">
        <f>SUBSTITUTE(Github!L$779, ";", ", ")</f>
        <v>Array, Binary Search, Depth-First Search, Breadth-First Search, Union Find, Heap (Priority Queue), Matrix, </v>
      </c>
      <c r="I515" s="10" t="str">
        <f>Github!E$779</f>
        <v>Hard</v>
      </c>
      <c r="J515" s="10" t="str">
        <f>IF(TRIM(Github!D$779)="TRUE","FALSE","TRUE")</f>
        <v>TRUE</v>
      </c>
      <c r="K515" s="10" t="b">
        <f>Github!M$779</f>
        <v>1</v>
      </c>
      <c r="L515" s="10" t="b">
        <f>Github!N$779</f>
        <v>0</v>
      </c>
      <c r="M515" s="10" t="str">
        <f>ROUND(Github!O$779, 2)&amp;"%"</f>
        <v>58.71%</v>
      </c>
      <c r="N515" s="10">
        <f>Github!P$779</f>
        <v>75865</v>
      </c>
      <c r="O515" s="10">
        <f>Github!Q$779</f>
        <v>129222</v>
      </c>
    </row>
    <row r="516">
      <c r="A516" s="10">
        <f>Github!J$713</f>
        <v>712</v>
      </c>
      <c r="B516" s="11" t="str">
        <f>HYPERLINK(CONCAT("http://leetcode.com/problems/",Github!C$713), Github!B$713)</f>
        <v>Minimum ASCII Delete Sum for Two Strings</v>
      </c>
      <c r="C516" s="10">
        <f>Github!F$713</f>
        <v>1888</v>
      </c>
      <c r="D516" s="10">
        <f>Github!G$713</f>
        <v>62</v>
      </c>
      <c r="E516" s="10">
        <f>Github!F$713+Github!G$713</f>
        <v>1950</v>
      </c>
      <c r="F516" s="12">
        <f t="shared" si="1"/>
        <v>30.45</v>
      </c>
      <c r="G516" s="10" t="str">
        <f>Github!H$713</f>
        <v>Algorithms</v>
      </c>
      <c r="H516" s="13" t="str">
        <f>SUBSTITUTE(Github!L$713, ";", ", ")</f>
        <v>String, Dynamic Programming, </v>
      </c>
      <c r="I516" s="10" t="str">
        <f>Github!E$713</f>
        <v>Medium</v>
      </c>
      <c r="J516" s="10" t="str">
        <f>IF(TRIM(Github!D$713)="TRUE","FALSE","TRUE")</f>
        <v>TRUE</v>
      </c>
      <c r="K516" s="10" t="b">
        <f>Github!M$713</f>
        <v>1</v>
      </c>
      <c r="L516" s="10" t="b">
        <f>Github!N$713</f>
        <v>0</v>
      </c>
      <c r="M516" s="10" t="str">
        <f>ROUND(Github!O$713, 2)&amp;"%"</f>
        <v>61.53%</v>
      </c>
      <c r="N516" s="10">
        <f>Github!P$713</f>
        <v>61730</v>
      </c>
      <c r="O516" s="10">
        <f>Github!Q$713</f>
        <v>100331</v>
      </c>
    </row>
    <row r="517">
      <c r="A517" s="10">
        <f>Github!J$176</f>
        <v>175</v>
      </c>
      <c r="B517" s="11" t="str">
        <f>HYPERLINK(CONCAT("http://leetcode.com/problems/",Github!C$176), Github!B$176)</f>
        <v>Combine Two Tables</v>
      </c>
      <c r="C517" s="10">
        <f>Github!F$176</f>
        <v>1892</v>
      </c>
      <c r="D517" s="10">
        <f>Github!G$176</f>
        <v>184</v>
      </c>
      <c r="E517" s="10">
        <f>Github!F$176+Github!G$176</f>
        <v>2076</v>
      </c>
      <c r="F517" s="12">
        <f t="shared" si="1"/>
        <v>10.28</v>
      </c>
      <c r="G517" s="10" t="str">
        <f>Github!H$176</f>
        <v>Database</v>
      </c>
      <c r="H517" s="13" t="str">
        <f>SUBSTITUTE(Github!L$176, ";", ", ")</f>
        <v>Database, </v>
      </c>
      <c r="I517" s="10" t="str">
        <f>Github!E$176</f>
        <v>Easy</v>
      </c>
      <c r="J517" s="10" t="str">
        <f>IF(TRIM(Github!D$176)="TRUE","FALSE","TRUE")</f>
        <v>TRUE</v>
      </c>
      <c r="K517" s="10" t="b">
        <f>Github!M$176</f>
        <v>1</v>
      </c>
      <c r="L517" s="10" t="b">
        <f>Github!N$176</f>
        <v>0</v>
      </c>
      <c r="M517" s="10" t="str">
        <f>ROUND(Github!O$176, 2)&amp;"%"</f>
        <v>70.13%</v>
      </c>
      <c r="N517" s="10">
        <f>Github!P$176</f>
        <v>527959</v>
      </c>
      <c r="O517" s="10">
        <f>Github!Q$176</f>
        <v>752795</v>
      </c>
    </row>
    <row r="518">
      <c r="A518" s="10">
        <f>Github!J$1396</f>
        <v>1395</v>
      </c>
      <c r="B518" s="11" t="str">
        <f>HYPERLINK(CONCAT("http://leetcode.com/problems/",Github!C$1396), Github!B$1396)</f>
        <v>Count Number of Teams</v>
      </c>
      <c r="C518" s="10">
        <f>Github!F$1396</f>
        <v>1884</v>
      </c>
      <c r="D518" s="10">
        <f>Github!G$1396</f>
        <v>159</v>
      </c>
      <c r="E518" s="10">
        <f>Github!F$1396+Github!G$1396</f>
        <v>2043</v>
      </c>
      <c r="F518" s="12">
        <f t="shared" si="1"/>
        <v>11.85</v>
      </c>
      <c r="G518" s="10" t="str">
        <f>Github!H$1396</f>
        <v>Algorithms</v>
      </c>
      <c r="H518" s="13" t="str">
        <f>SUBSTITUTE(Github!L$1396, ";", ", ")</f>
        <v>Array, Dynamic Programming, Binary Indexed Tree, </v>
      </c>
      <c r="I518" s="10" t="str">
        <f>Github!E$1396</f>
        <v>Medium</v>
      </c>
      <c r="J518" s="10" t="str">
        <f>IF(TRIM(Github!D$1396)="TRUE","FALSE","TRUE")</f>
        <v>TRUE</v>
      </c>
      <c r="K518" s="10" t="b">
        <f>Github!M$1396</f>
        <v>0</v>
      </c>
      <c r="L518" s="10" t="b">
        <f>Github!N$1396</f>
        <v>0</v>
      </c>
      <c r="M518" s="10" t="str">
        <f>ROUND(Github!O$1396, 2)&amp;"%"</f>
        <v>69.47%</v>
      </c>
      <c r="N518" s="10">
        <f>Github!P$1396</f>
        <v>85622</v>
      </c>
      <c r="O518" s="10">
        <f>Github!Q$1396</f>
        <v>123247</v>
      </c>
    </row>
    <row r="519">
      <c r="A519" s="10">
        <f>Github!J$646</f>
        <v>645</v>
      </c>
      <c r="B519" s="11" t="str">
        <f>HYPERLINK(CONCAT("http://leetcode.com/problems/",Github!C$646), Github!B$646)</f>
        <v>Set Mismatch</v>
      </c>
      <c r="C519" s="10">
        <f>Github!F$646</f>
        <v>1891</v>
      </c>
      <c r="D519" s="10">
        <f>Github!G$646</f>
        <v>557</v>
      </c>
      <c r="E519" s="10">
        <f>Github!F$646+Github!G$646</f>
        <v>2448</v>
      </c>
      <c r="F519" s="12">
        <f t="shared" si="1"/>
        <v>3.39</v>
      </c>
      <c r="G519" s="10" t="str">
        <f>Github!H$646</f>
        <v>Algorithms</v>
      </c>
      <c r="H519" s="13" t="str">
        <f>SUBSTITUTE(Github!L$646, ";", ", ")</f>
        <v>Array, Hash Table, Bit Manipulation, Sorting, </v>
      </c>
      <c r="I519" s="10" t="str">
        <f>Github!E$646</f>
        <v>Easy</v>
      </c>
      <c r="J519" s="10" t="str">
        <f>IF(TRIM(Github!D$646)="TRUE","FALSE","TRUE")</f>
        <v>TRUE</v>
      </c>
      <c r="K519" s="10" t="b">
        <f>Github!M$646</f>
        <v>1</v>
      </c>
      <c r="L519" s="10" t="b">
        <f>Github!N$646</f>
        <v>0</v>
      </c>
      <c r="M519" s="10" t="str">
        <f>ROUND(Github!O$646, 2)&amp;"%"</f>
        <v>41.27%</v>
      </c>
      <c r="N519" s="10">
        <f>Github!P$646</f>
        <v>166417</v>
      </c>
      <c r="O519" s="10">
        <f>Github!Q$646</f>
        <v>403286</v>
      </c>
    </row>
    <row r="520">
      <c r="A520" s="10">
        <f>Github!J$473</f>
        <v>472</v>
      </c>
      <c r="B520" s="11" t="str">
        <f>HYPERLINK(CONCAT("http://leetcode.com/problems/",Github!C$473), Github!B$473)</f>
        <v>Concatenated Words</v>
      </c>
      <c r="C520" s="10">
        <f>Github!F$473</f>
        <v>1869</v>
      </c>
      <c r="D520" s="10">
        <f>Github!G$473</f>
        <v>220</v>
      </c>
      <c r="E520" s="10">
        <f>Github!F$473+Github!G$473</f>
        <v>2089</v>
      </c>
      <c r="F520" s="12">
        <f t="shared" si="1"/>
        <v>8.5</v>
      </c>
      <c r="G520" s="10" t="str">
        <f>Github!H$473</f>
        <v>Algorithms</v>
      </c>
      <c r="H520" s="13" t="str">
        <f>SUBSTITUTE(Github!L$473, ";", ", ")</f>
        <v>Array, String, Dynamic Programming, Depth-First Search, Trie, </v>
      </c>
      <c r="I520" s="10" t="str">
        <f>Github!E$473</f>
        <v>Hard</v>
      </c>
      <c r="J520" s="10" t="str">
        <f>IF(TRIM(Github!D$473)="TRUE","FALSE","TRUE")</f>
        <v>TRUE</v>
      </c>
      <c r="K520" s="10" t="b">
        <f>Github!M$473</f>
        <v>0</v>
      </c>
      <c r="L520" s="10" t="b">
        <f>Github!N$473</f>
        <v>0</v>
      </c>
      <c r="M520" s="10" t="str">
        <f>ROUND(Github!O$473, 2)&amp;"%"</f>
        <v>42.96%</v>
      </c>
      <c r="N520" s="10">
        <f>Github!P$473</f>
        <v>130390</v>
      </c>
      <c r="O520" s="10">
        <f>Github!Q$473</f>
        <v>303541</v>
      </c>
    </row>
    <row r="521">
      <c r="A521" s="10">
        <f>Github!J$1289</f>
        <v>1288</v>
      </c>
      <c r="B521" s="11" t="str">
        <f>HYPERLINK(CONCAT("http://leetcode.com/problems/",Github!C$1289), Github!B$1289)</f>
        <v>Remove Covered Intervals</v>
      </c>
      <c r="C521" s="10">
        <f>Github!F$1289</f>
        <v>1855</v>
      </c>
      <c r="D521" s="10">
        <f>Github!G$1289</f>
        <v>44</v>
      </c>
      <c r="E521" s="10">
        <f>Github!F$1289+Github!G$1289</f>
        <v>1899</v>
      </c>
      <c r="F521" s="12">
        <f t="shared" si="1"/>
        <v>42.16</v>
      </c>
      <c r="G521" s="10" t="str">
        <f>Github!H$1289</f>
        <v>Algorithms</v>
      </c>
      <c r="H521" s="13" t="str">
        <f>SUBSTITUTE(Github!L$1289, ";", ", ")</f>
        <v>Array, Sorting, </v>
      </c>
      <c r="I521" s="10" t="str">
        <f>Github!E$1289</f>
        <v>Medium</v>
      </c>
      <c r="J521" s="10" t="str">
        <f>IF(TRIM(Github!D$1289)="TRUE","FALSE","TRUE")</f>
        <v>TRUE</v>
      </c>
      <c r="K521" s="10" t="b">
        <f>Github!M$1289</f>
        <v>1</v>
      </c>
      <c r="L521" s="10" t="b">
        <f>Github!N$1289</f>
        <v>0</v>
      </c>
      <c r="M521" s="10" t="str">
        <f>ROUND(Github!O$1289, 2)&amp;"%"</f>
        <v>57.41%</v>
      </c>
      <c r="N521" s="10">
        <f>Github!P$1289</f>
        <v>96062</v>
      </c>
      <c r="O521" s="10">
        <f>Github!Q$1289</f>
        <v>167316</v>
      </c>
    </row>
    <row r="522">
      <c r="A522" s="10">
        <f>Github!J$846</f>
        <v>845</v>
      </c>
      <c r="B522" s="11" t="str">
        <f>HYPERLINK(CONCAT("http://leetcode.com/problems/",Github!C$846), Github!B$846)</f>
        <v>Longest Mountain in Array</v>
      </c>
      <c r="C522" s="10">
        <f>Github!F$846</f>
        <v>1855</v>
      </c>
      <c r="D522" s="10">
        <f>Github!G$846</f>
        <v>56</v>
      </c>
      <c r="E522" s="10">
        <f>Github!F$846+Github!G$846</f>
        <v>1911</v>
      </c>
      <c r="F522" s="12">
        <f t="shared" si="1"/>
        <v>33.13</v>
      </c>
      <c r="G522" s="10" t="str">
        <f>Github!H$846</f>
        <v>Algorithms</v>
      </c>
      <c r="H522" s="13" t="str">
        <f>SUBSTITUTE(Github!L$846, ";", ", ")</f>
        <v>Array, Two Pointers, Dynamic Programming, Enumeration, </v>
      </c>
      <c r="I522" s="10" t="str">
        <f>Github!E$846</f>
        <v>Medium</v>
      </c>
      <c r="J522" s="10" t="str">
        <f>IF(TRIM(Github!D$846)="TRUE","FALSE","TRUE")</f>
        <v>TRUE</v>
      </c>
      <c r="K522" s="10" t="b">
        <f>Github!M$846</f>
        <v>1</v>
      </c>
      <c r="L522" s="10" t="b">
        <f>Github!N$846</f>
        <v>0</v>
      </c>
      <c r="M522" s="10" t="str">
        <f>ROUND(Github!O$846, 2)&amp;"%"</f>
        <v>39.82%</v>
      </c>
      <c r="N522" s="10">
        <f>Github!P$846</f>
        <v>89604</v>
      </c>
      <c r="O522" s="10">
        <f>Github!Q$846</f>
        <v>225002</v>
      </c>
    </row>
    <row r="523">
      <c r="A523" s="10">
        <f>Github!J$890</f>
        <v>889</v>
      </c>
      <c r="B523" s="11" t="str">
        <f>HYPERLINK(CONCAT("http://leetcode.com/problems/",Github!C$890), Github!B$890)</f>
        <v>Construct Binary Tree from Preorder and Postorder Traversal</v>
      </c>
      <c r="C523" s="10">
        <f>Github!F$890</f>
        <v>1851</v>
      </c>
      <c r="D523" s="10">
        <f>Github!G$890</f>
        <v>86</v>
      </c>
      <c r="E523" s="10">
        <f>Github!F$890+Github!G$890</f>
        <v>1937</v>
      </c>
      <c r="F523" s="12">
        <f t="shared" si="1"/>
        <v>21.52</v>
      </c>
      <c r="G523" s="10" t="str">
        <f>Github!H$890</f>
        <v>Algorithms</v>
      </c>
      <c r="H523" s="13" t="str">
        <f>SUBSTITUTE(Github!L$890, ";", ", ")</f>
        <v>Array, Hash Table, Divide and Conquer, Tree, Binary Tree, </v>
      </c>
      <c r="I523" s="10" t="str">
        <f>Github!E$890</f>
        <v>Medium</v>
      </c>
      <c r="J523" s="10" t="str">
        <f>IF(TRIM(Github!D$890)="TRUE","FALSE","TRUE")</f>
        <v>TRUE</v>
      </c>
      <c r="K523" s="10" t="b">
        <f>Github!M$890</f>
        <v>0</v>
      </c>
      <c r="L523" s="10" t="b">
        <f>Github!N$890</f>
        <v>0</v>
      </c>
      <c r="M523" s="10" t="str">
        <f>ROUND(Github!O$890, 2)&amp;"%"</f>
        <v>69.92%</v>
      </c>
      <c r="N523" s="10">
        <f>Github!P$890</f>
        <v>70280</v>
      </c>
      <c r="O523" s="10">
        <f>Github!Q$890</f>
        <v>100519</v>
      </c>
    </row>
    <row r="524">
      <c r="A524" s="10">
        <f>Github!J$770</f>
        <v>769</v>
      </c>
      <c r="B524" s="11" t="str">
        <f>HYPERLINK(CONCAT("http://leetcode.com/problems/",Github!C$770), Github!B$770)</f>
        <v>Max Chunks To Make Sorted</v>
      </c>
      <c r="C524" s="10">
        <f>Github!F$770</f>
        <v>1841</v>
      </c>
      <c r="D524" s="10">
        <f>Github!G$770</f>
        <v>182</v>
      </c>
      <c r="E524" s="10">
        <f>Github!F$770+Github!G$770</f>
        <v>2023</v>
      </c>
      <c r="F524" s="12">
        <f t="shared" si="1"/>
        <v>10.12</v>
      </c>
      <c r="G524" s="10" t="str">
        <f>Github!H$770</f>
        <v>Algorithms</v>
      </c>
      <c r="H524" s="13" t="str">
        <f>SUBSTITUTE(Github!L$770, ";", ", ")</f>
        <v>Array, Stack, Greedy, Sorting, Monotonic Stack, </v>
      </c>
      <c r="I524" s="10" t="str">
        <f>Github!E$770</f>
        <v>Medium</v>
      </c>
      <c r="J524" s="10" t="str">
        <f>IF(TRIM(Github!D$770)="TRUE","FALSE","TRUE")</f>
        <v>TRUE</v>
      </c>
      <c r="K524" s="10" t="b">
        <f>Github!M$770</f>
        <v>0</v>
      </c>
      <c r="L524" s="10" t="b">
        <f>Github!N$770</f>
        <v>0</v>
      </c>
      <c r="M524" s="10" t="str">
        <f>ROUND(Github!O$770, 2)&amp;"%"</f>
        <v>57.65%</v>
      </c>
      <c r="N524" s="10">
        <f>Github!P$770</f>
        <v>70920</v>
      </c>
      <c r="O524" s="10">
        <f>Github!Q$770</f>
        <v>123016</v>
      </c>
    </row>
    <row r="525">
      <c r="A525" s="10">
        <f>Github!J$566</f>
        <v>565</v>
      </c>
      <c r="B525" s="11" t="str">
        <f>HYPERLINK(CONCAT("http://leetcode.com/problems/",Github!C$566), Github!B$566)</f>
        <v>Array Nesting</v>
      </c>
      <c r="C525" s="10">
        <f>Github!F$566</f>
        <v>1837</v>
      </c>
      <c r="D525" s="10">
        <f>Github!G$566</f>
        <v>138</v>
      </c>
      <c r="E525" s="10">
        <f>Github!F$566+Github!G$566</f>
        <v>1975</v>
      </c>
      <c r="F525" s="12">
        <f t="shared" si="1"/>
        <v>13.31</v>
      </c>
      <c r="G525" s="10" t="str">
        <f>Github!H$566</f>
        <v>Algorithms</v>
      </c>
      <c r="H525" s="13" t="str">
        <f>SUBSTITUTE(Github!L$566, ";", ", ")</f>
        <v>Array, Depth-First Search, </v>
      </c>
      <c r="I525" s="10" t="str">
        <f>Github!E$566</f>
        <v>Medium</v>
      </c>
      <c r="J525" s="10" t="str">
        <f>IF(TRIM(Github!D$566)="TRUE","FALSE","TRUE")</f>
        <v>TRUE</v>
      </c>
      <c r="K525" s="10" t="b">
        <f>Github!M$566</f>
        <v>1</v>
      </c>
      <c r="L525" s="10" t="b">
        <f>Github!N$566</f>
        <v>0</v>
      </c>
      <c r="M525" s="10" t="str">
        <f>ROUND(Github!O$566, 2)&amp;"%"</f>
        <v>56.28%</v>
      </c>
      <c r="N525" s="10">
        <f>Github!P$566</f>
        <v>112907</v>
      </c>
      <c r="O525" s="10">
        <f>Github!Q$566</f>
        <v>200602</v>
      </c>
    </row>
    <row r="526">
      <c r="A526" s="10">
        <f>Github!J$1220</f>
        <v>1219</v>
      </c>
      <c r="B526" s="11" t="str">
        <f>HYPERLINK(CONCAT("http://leetcode.com/problems/",Github!C$1220), Github!B$1220)</f>
        <v>Path with Maximum Gold</v>
      </c>
      <c r="C526" s="10">
        <f>Github!F$1220</f>
        <v>1849</v>
      </c>
      <c r="D526" s="10">
        <f>Github!G$1220</f>
        <v>48</v>
      </c>
      <c r="E526" s="10">
        <f>Github!F$1220+Github!G$1220</f>
        <v>1897</v>
      </c>
      <c r="F526" s="12">
        <f t="shared" si="1"/>
        <v>38.52</v>
      </c>
      <c r="G526" s="10" t="str">
        <f>Github!H$1220</f>
        <v>Algorithms</v>
      </c>
      <c r="H526" s="13" t="str">
        <f>SUBSTITUTE(Github!L$1220, ";", ", ")</f>
        <v>Array, Backtracking, Matrix, </v>
      </c>
      <c r="I526" s="10" t="str">
        <f>Github!E$1220</f>
        <v>Medium</v>
      </c>
      <c r="J526" s="10" t="str">
        <f>IF(TRIM(Github!D$1220)="TRUE","FALSE","TRUE")</f>
        <v>TRUE</v>
      </c>
      <c r="K526" s="10" t="b">
        <f>Github!M$1220</f>
        <v>0</v>
      </c>
      <c r="L526" s="10" t="b">
        <f>Github!N$1220</f>
        <v>0</v>
      </c>
      <c r="M526" s="10" t="str">
        <f>ROUND(Github!O$1220, 2)&amp;"%"</f>
        <v>65.7%</v>
      </c>
      <c r="N526" s="10">
        <f>Github!P$1220</f>
        <v>81538</v>
      </c>
      <c r="O526" s="10">
        <f>Github!Q$1220</f>
        <v>124098</v>
      </c>
    </row>
    <row r="527">
      <c r="A527" s="10">
        <f>Github!J$465</f>
        <v>464</v>
      </c>
      <c r="B527" s="11" t="str">
        <f>HYPERLINK(CONCAT("http://leetcode.com/problems/",Github!C$465), Github!B$465)</f>
        <v>Can I Win</v>
      </c>
      <c r="C527" s="10">
        <f>Github!F$465</f>
        <v>1834</v>
      </c>
      <c r="D527" s="10">
        <f>Github!G$465</f>
        <v>294</v>
      </c>
      <c r="E527" s="10">
        <f>Github!F$465+Github!G$465</f>
        <v>2128</v>
      </c>
      <c r="F527" s="12">
        <f t="shared" si="1"/>
        <v>6.24</v>
      </c>
      <c r="G527" s="10" t="str">
        <f>Github!H$465</f>
        <v>Algorithms</v>
      </c>
      <c r="H527" s="13" t="str">
        <f>SUBSTITUTE(Github!L$465, ";", ", ")</f>
        <v>Math, Dynamic Programming, Bit Manipulation, Memoization, Game Theory, Bitmask, </v>
      </c>
      <c r="I527" s="10" t="str">
        <f>Github!E$465</f>
        <v>Medium</v>
      </c>
      <c r="J527" s="10" t="str">
        <f>IF(TRIM(Github!D$465)="TRUE","FALSE","TRUE")</f>
        <v>TRUE</v>
      </c>
      <c r="K527" s="10" t="b">
        <f>Github!M$465</f>
        <v>0</v>
      </c>
      <c r="L527" s="10" t="b">
        <f>Github!N$465</f>
        <v>0</v>
      </c>
      <c r="M527" s="10" t="str">
        <f>ROUND(Github!O$465, 2)&amp;"%"</f>
        <v>29.85%</v>
      </c>
      <c r="N527" s="10">
        <f>Github!P$465</f>
        <v>74974</v>
      </c>
      <c r="O527" s="10">
        <f>Github!Q$465</f>
        <v>251161</v>
      </c>
    </row>
    <row r="528">
      <c r="A528" s="10">
        <f>Github!J$951</f>
        <v>950</v>
      </c>
      <c r="B528" s="11" t="str">
        <f>HYPERLINK(CONCAT("http://leetcode.com/problems/",Github!C$951), Github!B$951)</f>
        <v>Reveal Cards In Increasing Order</v>
      </c>
      <c r="C528" s="10">
        <f>Github!F$951</f>
        <v>1811</v>
      </c>
      <c r="D528" s="10">
        <f>Github!G$951</f>
        <v>278</v>
      </c>
      <c r="E528" s="10">
        <f>Github!F$951+Github!G$951</f>
        <v>2089</v>
      </c>
      <c r="F528" s="12">
        <f t="shared" si="1"/>
        <v>6.51</v>
      </c>
      <c r="G528" s="10" t="str">
        <f>Github!H$951</f>
        <v>Algorithms</v>
      </c>
      <c r="H528" s="13" t="str">
        <f>SUBSTITUTE(Github!L$951, ";", ", ")</f>
        <v>Array, Queue, Sorting, Simulation, </v>
      </c>
      <c r="I528" s="10" t="str">
        <f>Github!E$951</f>
        <v>Medium</v>
      </c>
      <c r="J528" s="10" t="str">
        <f>IF(TRIM(Github!D$951)="TRUE","FALSE","TRUE")</f>
        <v>TRUE</v>
      </c>
      <c r="K528" s="10" t="b">
        <f>Github!M$951</f>
        <v>1</v>
      </c>
      <c r="L528" s="10" t="b">
        <f>Github!N$951</f>
        <v>0</v>
      </c>
      <c r="M528" s="10" t="str">
        <f>ROUND(Github!O$951, 2)&amp;"%"</f>
        <v>77.1%</v>
      </c>
      <c r="N528" s="10">
        <f>Github!P$951</f>
        <v>57009</v>
      </c>
      <c r="O528" s="10">
        <f>Github!Q$951</f>
        <v>73940</v>
      </c>
    </row>
    <row r="529">
      <c r="A529" s="10">
        <f>Github!J$891</f>
        <v>890</v>
      </c>
      <c r="B529" s="11" t="str">
        <f>HYPERLINK(CONCAT("http://leetcode.com/problems/",Github!C$891), Github!B$891)</f>
        <v>Find and Replace Pattern</v>
      </c>
      <c r="C529" s="10">
        <f>Github!F$891</f>
        <v>1800</v>
      </c>
      <c r="D529" s="10">
        <f>Github!G$891</f>
        <v>117</v>
      </c>
      <c r="E529" s="10">
        <f>Github!F$891+Github!G$891</f>
        <v>1917</v>
      </c>
      <c r="F529" s="12">
        <f t="shared" si="1"/>
        <v>15.38</v>
      </c>
      <c r="G529" s="10" t="str">
        <f>Github!H$891</f>
        <v>Algorithms</v>
      </c>
      <c r="H529" s="13" t="str">
        <f>SUBSTITUTE(Github!L$891, ";", ", ")</f>
        <v>Array, Hash Table, String, </v>
      </c>
      <c r="I529" s="10" t="str">
        <f>Github!E$891</f>
        <v>Medium</v>
      </c>
      <c r="J529" s="10" t="str">
        <f>IF(TRIM(Github!D$891)="TRUE","FALSE","TRUE")</f>
        <v>TRUE</v>
      </c>
      <c r="K529" s="10" t="b">
        <f>Github!M$891</f>
        <v>1</v>
      </c>
      <c r="L529" s="10" t="b">
        <f>Github!N$891</f>
        <v>0</v>
      </c>
      <c r="M529" s="10" t="str">
        <f>ROUND(Github!O$891, 2)&amp;"%"</f>
        <v>75.6%</v>
      </c>
      <c r="N529" s="10">
        <f>Github!P$891</f>
        <v>97477</v>
      </c>
      <c r="O529" s="10">
        <f>Github!Q$891</f>
        <v>128934</v>
      </c>
    </row>
    <row r="530">
      <c r="A530" s="10">
        <f>Github!J$797</f>
        <v>796</v>
      </c>
      <c r="B530" s="11" t="str">
        <f>HYPERLINK(CONCAT("http://leetcode.com/problems/",Github!C$797), Github!B$797)</f>
        <v>Rotate String</v>
      </c>
      <c r="C530" s="10">
        <f>Github!F$797</f>
        <v>1804</v>
      </c>
      <c r="D530" s="10">
        <f>Github!G$797</f>
        <v>84</v>
      </c>
      <c r="E530" s="10">
        <f>Github!F$797+Github!G$797</f>
        <v>1888</v>
      </c>
      <c r="F530" s="12">
        <f t="shared" si="1"/>
        <v>21.48</v>
      </c>
      <c r="G530" s="10" t="str">
        <f>Github!H$797</f>
        <v>Algorithms</v>
      </c>
      <c r="H530" s="13" t="str">
        <f>SUBSTITUTE(Github!L$797, ";", ", ")</f>
        <v>String, String Matching, </v>
      </c>
      <c r="I530" s="10" t="str">
        <f>Github!E$797</f>
        <v>Easy</v>
      </c>
      <c r="J530" s="10" t="str">
        <f>IF(TRIM(Github!D$797)="TRUE","FALSE","TRUE")</f>
        <v>TRUE</v>
      </c>
      <c r="K530" s="10" t="b">
        <f>Github!M$797</f>
        <v>1</v>
      </c>
      <c r="L530" s="10" t="b">
        <f>Github!N$797</f>
        <v>0</v>
      </c>
      <c r="M530" s="10" t="str">
        <f>ROUND(Github!O$797, 2)&amp;"%"</f>
        <v>52.24%</v>
      </c>
      <c r="N530" s="10">
        <f>Github!P$797</f>
        <v>146518</v>
      </c>
      <c r="O530" s="10">
        <f>Github!Q$797</f>
        <v>280492</v>
      </c>
    </row>
    <row r="531">
      <c r="A531" s="10">
        <f>Github!J$555</f>
        <v>554</v>
      </c>
      <c r="B531" s="11" t="str">
        <f>HYPERLINK(CONCAT("http://leetcode.com/problems/",Github!C$555), Github!B$555)</f>
        <v>Brick Wall</v>
      </c>
      <c r="C531" s="10">
        <f>Github!F$555</f>
        <v>1790</v>
      </c>
      <c r="D531" s="10">
        <f>Github!G$555</f>
        <v>101</v>
      </c>
      <c r="E531" s="10">
        <f>Github!F$555+Github!G$555</f>
        <v>1891</v>
      </c>
      <c r="F531" s="12">
        <f t="shared" si="1"/>
        <v>17.72</v>
      </c>
      <c r="G531" s="10" t="str">
        <f>Github!H$555</f>
        <v>Algorithms</v>
      </c>
      <c r="H531" s="13" t="str">
        <f>SUBSTITUTE(Github!L$555, ";", ", ")</f>
        <v>Array, Hash Table, </v>
      </c>
      <c r="I531" s="10" t="str">
        <f>Github!E$555</f>
        <v>Medium</v>
      </c>
      <c r="J531" s="10" t="str">
        <f>IF(TRIM(Github!D$555)="TRUE","FALSE","TRUE")</f>
        <v>TRUE</v>
      </c>
      <c r="K531" s="10" t="b">
        <f>Github!M$555</f>
        <v>1</v>
      </c>
      <c r="L531" s="10" t="b">
        <f>Github!N$555</f>
        <v>1</v>
      </c>
      <c r="M531" s="10" t="str">
        <f>ROUND(Github!O$555, 2)&amp;"%"</f>
        <v>52.62%</v>
      </c>
      <c r="N531" s="10">
        <f>Github!P$555</f>
        <v>100092</v>
      </c>
      <c r="O531" s="10">
        <f>Github!Q$555</f>
        <v>190225</v>
      </c>
    </row>
    <row r="532">
      <c r="A532" s="10">
        <f>Github!J$430</f>
        <v>429</v>
      </c>
      <c r="B532" s="11" t="str">
        <f>HYPERLINK(CONCAT("http://leetcode.com/problems/",Github!C$430), Github!B$430)</f>
        <v>N-ary Tree Level Order Traversal</v>
      </c>
      <c r="C532" s="10">
        <f>Github!F$430</f>
        <v>1796</v>
      </c>
      <c r="D532" s="10">
        <f>Github!G$430</f>
        <v>82</v>
      </c>
      <c r="E532" s="10">
        <f>Github!F$430+Github!G$430</f>
        <v>1878</v>
      </c>
      <c r="F532" s="12">
        <f t="shared" si="1"/>
        <v>21.9</v>
      </c>
      <c r="G532" s="10" t="str">
        <f>Github!H$430</f>
        <v>Algorithms</v>
      </c>
      <c r="H532" s="13" t="str">
        <f>SUBSTITUTE(Github!L$430, ";", ", ")</f>
        <v>Tree, Breadth-First Search, </v>
      </c>
      <c r="I532" s="10" t="str">
        <f>Github!E$430</f>
        <v>Medium</v>
      </c>
      <c r="J532" s="10" t="str">
        <f>IF(TRIM(Github!D$430)="TRUE","FALSE","TRUE")</f>
        <v>TRUE</v>
      </c>
      <c r="K532" s="10" t="b">
        <f>Github!M$430</f>
        <v>1</v>
      </c>
      <c r="L532" s="10" t="b">
        <f>Github!N$430</f>
        <v>0</v>
      </c>
      <c r="M532" s="10" t="str">
        <f>ROUND(Github!O$430, 2)&amp;"%"</f>
        <v>68.88%</v>
      </c>
      <c r="N532" s="10">
        <f>Github!P$430</f>
        <v>174675</v>
      </c>
      <c r="O532" s="10">
        <f>Github!Q$430</f>
        <v>253580</v>
      </c>
    </row>
    <row r="533">
      <c r="A533" s="10">
        <f>Github!J$1673</f>
        <v>1672</v>
      </c>
      <c r="B533" s="11" t="str">
        <f>HYPERLINK(CONCAT("http://leetcode.com/problems/",Github!C$1673), Github!B$1673)</f>
        <v>Richest Customer Wealth</v>
      </c>
      <c r="C533" s="10">
        <f>Github!F$1673</f>
        <v>1805</v>
      </c>
      <c r="D533" s="10">
        <f>Github!G$1673</f>
        <v>257</v>
      </c>
      <c r="E533" s="10">
        <f>Github!F$1673+Github!G$1673</f>
        <v>2062</v>
      </c>
      <c r="F533" s="12">
        <f t="shared" si="1"/>
        <v>7.02</v>
      </c>
      <c r="G533" s="10" t="str">
        <f>Github!H$1673</f>
        <v>Algorithms</v>
      </c>
      <c r="H533" s="13" t="str">
        <f>SUBSTITUTE(Github!L$1673, ";", ", ")</f>
        <v>Array, Matrix, </v>
      </c>
      <c r="I533" s="10" t="str">
        <f>Github!E$1673</f>
        <v>Easy</v>
      </c>
      <c r="J533" s="10" t="str">
        <f>IF(TRIM(Github!D$1673)="TRUE","FALSE","TRUE")</f>
        <v>TRUE</v>
      </c>
      <c r="K533" s="10" t="b">
        <f>Github!M$1673</f>
        <v>1</v>
      </c>
      <c r="L533" s="10" t="b">
        <f>Github!N$1673</f>
        <v>0</v>
      </c>
      <c r="M533" s="10" t="str">
        <f>ROUND(Github!O$1673, 2)&amp;"%"</f>
        <v>89.25%</v>
      </c>
      <c r="N533" s="10">
        <f>Github!P$1673</f>
        <v>283322</v>
      </c>
      <c r="O533" s="10">
        <f>Github!Q$1673</f>
        <v>317444</v>
      </c>
    </row>
    <row r="534">
      <c r="A534" s="10">
        <f>Github!J$1346</f>
        <v>1345</v>
      </c>
      <c r="B534" s="11" t="str">
        <f>HYPERLINK(CONCAT("http://leetcode.com/problems/",Github!C$1346), Github!B$1346)</f>
        <v>Jump Game IV</v>
      </c>
      <c r="C534" s="10">
        <f>Github!F$1346</f>
        <v>1789</v>
      </c>
      <c r="D534" s="10">
        <f>Github!G$1346</f>
        <v>72</v>
      </c>
      <c r="E534" s="10">
        <f>Github!F$1346+Github!G$1346</f>
        <v>1861</v>
      </c>
      <c r="F534" s="12">
        <f t="shared" si="1"/>
        <v>24.85</v>
      </c>
      <c r="G534" s="10" t="str">
        <f>Github!H$1346</f>
        <v>Algorithms</v>
      </c>
      <c r="H534" s="13" t="str">
        <f>SUBSTITUTE(Github!L$1346, ";", ", ")</f>
        <v>Array, Hash Table, Breadth-First Search, </v>
      </c>
      <c r="I534" s="10" t="str">
        <f>Github!E$1346</f>
        <v>Hard</v>
      </c>
      <c r="J534" s="10" t="str">
        <f>IF(TRIM(Github!D$1346)="TRUE","FALSE","TRUE")</f>
        <v>TRUE</v>
      </c>
      <c r="K534" s="10" t="b">
        <f>Github!M$1346</f>
        <v>1</v>
      </c>
      <c r="L534" s="10" t="b">
        <f>Github!N$1346</f>
        <v>0</v>
      </c>
      <c r="M534" s="10" t="str">
        <f>ROUND(Github!O$1346, 2)&amp;"%"</f>
        <v>44.38%</v>
      </c>
      <c r="N534" s="10">
        <f>Github!P$1346</f>
        <v>71242</v>
      </c>
      <c r="O534" s="10">
        <f>Github!Q$1346</f>
        <v>160519</v>
      </c>
    </row>
    <row r="535">
      <c r="A535" s="10">
        <f>Github!J$1383</f>
        <v>1382</v>
      </c>
      <c r="B535" s="11" t="str">
        <f>HYPERLINK(CONCAT("http://leetcode.com/problems/",Github!C$1383), Github!B$1383)</f>
        <v>Balance a Binary Search Tree</v>
      </c>
      <c r="C535" s="10">
        <f>Github!F$1383</f>
        <v>1800</v>
      </c>
      <c r="D535" s="10">
        <f>Github!G$1383</f>
        <v>56</v>
      </c>
      <c r="E535" s="10">
        <f>Github!F$1383+Github!G$1383</f>
        <v>1856</v>
      </c>
      <c r="F535" s="12">
        <f t="shared" si="1"/>
        <v>32.14</v>
      </c>
      <c r="G535" s="10" t="str">
        <f>Github!H$1383</f>
        <v>Algorithms</v>
      </c>
      <c r="H535" s="13" t="str">
        <f>SUBSTITUTE(Github!L$1383, ";", ", ")</f>
        <v>Divide and Conquer, Greedy, Tree, Depth-First Search, Binary Search Tree, Binary Tree, </v>
      </c>
      <c r="I535" s="10" t="str">
        <f>Github!E$1383</f>
        <v>Medium</v>
      </c>
      <c r="J535" s="10" t="str">
        <f>IF(TRIM(Github!D$1383)="TRUE","FALSE","TRUE")</f>
        <v>TRUE</v>
      </c>
      <c r="K535" s="10" t="b">
        <f>Github!M$1383</f>
        <v>0</v>
      </c>
      <c r="L535" s="10" t="b">
        <f>Github!N$1383</f>
        <v>0</v>
      </c>
      <c r="M535" s="10" t="str">
        <f>ROUND(Github!O$1383, 2)&amp;"%"</f>
        <v>80.37%</v>
      </c>
      <c r="N535" s="10">
        <f>Github!P$1383</f>
        <v>91170</v>
      </c>
      <c r="O535" s="10">
        <f>Github!Q$1383</f>
        <v>113441</v>
      </c>
    </row>
    <row r="536">
      <c r="A536" s="10">
        <f>Github!J$726</f>
        <v>725</v>
      </c>
      <c r="B536" s="11" t="str">
        <f>HYPERLINK(CONCAT("http://leetcode.com/problems/",Github!C$726), Github!B$726)</f>
        <v>Split Linked List in Parts</v>
      </c>
      <c r="C536" s="10">
        <f>Github!F$726</f>
        <v>1790</v>
      </c>
      <c r="D536" s="10">
        <f>Github!G$726</f>
        <v>197</v>
      </c>
      <c r="E536" s="10">
        <f>Github!F$726+Github!G$726</f>
        <v>1987</v>
      </c>
      <c r="F536" s="12">
        <f t="shared" si="1"/>
        <v>9.09</v>
      </c>
      <c r="G536" s="10" t="str">
        <f>Github!H$726</f>
        <v>Algorithms</v>
      </c>
      <c r="H536" s="13" t="str">
        <f>SUBSTITUTE(Github!L$726, ";", ", ")</f>
        <v>Linked List, </v>
      </c>
      <c r="I536" s="10" t="str">
        <f>Github!E$726</f>
        <v>Medium</v>
      </c>
      <c r="J536" s="10" t="str">
        <f>IF(TRIM(Github!D$726)="TRUE","FALSE","TRUE")</f>
        <v>TRUE</v>
      </c>
      <c r="K536" s="10" t="b">
        <f>Github!M$726</f>
        <v>1</v>
      </c>
      <c r="L536" s="10" t="b">
        <f>Github!N$726</f>
        <v>0</v>
      </c>
      <c r="M536" s="10" t="str">
        <f>ROUND(Github!O$726, 2)&amp;"%"</f>
        <v>56.86%</v>
      </c>
      <c r="N536" s="10">
        <f>Github!P$726</f>
        <v>95603</v>
      </c>
      <c r="O536" s="10">
        <f>Github!Q$726</f>
        <v>168148</v>
      </c>
    </row>
    <row r="537">
      <c r="A537" s="10">
        <f>Github!J$177</f>
        <v>176</v>
      </c>
      <c r="B537" s="11" t="str">
        <f>HYPERLINK(CONCAT("http://leetcode.com/problems/",Github!C$177), Github!B$177)</f>
        <v>Second Highest Salary</v>
      </c>
      <c r="C537" s="10">
        <f>Github!F$177</f>
        <v>1790</v>
      </c>
      <c r="D537" s="10">
        <f>Github!G$177</f>
        <v>713</v>
      </c>
      <c r="E537" s="10">
        <f>Github!F$177+Github!G$177</f>
        <v>2503</v>
      </c>
      <c r="F537" s="12">
        <f t="shared" si="1"/>
        <v>2.51</v>
      </c>
      <c r="G537" s="10" t="str">
        <f>Github!H$177</f>
        <v>Database</v>
      </c>
      <c r="H537" s="13" t="str">
        <f>SUBSTITUTE(Github!L$177, ";", ", ")</f>
        <v>Database, </v>
      </c>
      <c r="I537" s="10" t="str">
        <f>Github!E$177</f>
        <v>Medium</v>
      </c>
      <c r="J537" s="10" t="str">
        <f>IF(TRIM(Github!D$177)="TRUE","FALSE","TRUE")</f>
        <v>TRUE</v>
      </c>
      <c r="K537" s="10" t="b">
        <f>Github!M$177</f>
        <v>1</v>
      </c>
      <c r="L537" s="10" t="b">
        <f>Github!N$177</f>
        <v>0</v>
      </c>
      <c r="M537" s="10" t="str">
        <f>ROUND(Github!O$177, 2)&amp;"%"</f>
        <v>35.29%</v>
      </c>
      <c r="N537" s="10">
        <f>Github!P$177</f>
        <v>467739</v>
      </c>
      <c r="O537" s="10">
        <f>Github!Q$177</f>
        <v>1325369</v>
      </c>
    </row>
    <row r="538">
      <c r="A538" s="10">
        <f>Github!J$524</f>
        <v>523</v>
      </c>
      <c r="B538" s="11" t="str">
        <f>HYPERLINK(CONCAT("http://leetcode.com/problems/",Github!C$524), Github!B$524)</f>
        <v>Continuous Subarray Sum</v>
      </c>
      <c r="C538" s="10">
        <f>Github!F$524</f>
        <v>1809</v>
      </c>
      <c r="D538" s="10">
        <f>Github!G$524</f>
        <v>251</v>
      </c>
      <c r="E538" s="10">
        <f>Github!F$524+Github!G$524</f>
        <v>2060</v>
      </c>
      <c r="F538" s="12">
        <f t="shared" si="1"/>
        <v>7.21</v>
      </c>
      <c r="G538" s="10" t="str">
        <f>Github!H$524</f>
        <v>Algorithms</v>
      </c>
      <c r="H538" s="13" t="str">
        <f>SUBSTITUTE(Github!L$524, ";", ", ")</f>
        <v>Array, Hash Table, Math, Prefix Sum, </v>
      </c>
      <c r="I538" s="10" t="str">
        <f>Github!E$524</f>
        <v>Medium</v>
      </c>
      <c r="J538" s="10" t="str">
        <f>IF(TRIM(Github!D$524)="TRUE","FALSE","TRUE")</f>
        <v>TRUE</v>
      </c>
      <c r="K538" s="10" t="b">
        <f>Github!M$524</f>
        <v>0</v>
      </c>
      <c r="L538" s="10" t="b">
        <f>Github!N$524</f>
        <v>0</v>
      </c>
      <c r="M538" s="10" t="str">
        <f>ROUND(Github!O$524, 2)&amp;"%"</f>
        <v>27.25%</v>
      </c>
      <c r="N538" s="10">
        <f>Github!P$524</f>
        <v>288139</v>
      </c>
      <c r="O538" s="10">
        <f>Github!Q$524</f>
        <v>1057451</v>
      </c>
    </row>
    <row r="539">
      <c r="A539" s="10">
        <f>Github!J$1255</f>
        <v>1254</v>
      </c>
      <c r="B539" s="11" t="str">
        <f>HYPERLINK(CONCAT("http://leetcode.com/problems/",Github!C$1255), Github!B$1255)</f>
        <v>Number of Closed Islands</v>
      </c>
      <c r="C539" s="10">
        <f>Github!F$1255</f>
        <v>1789</v>
      </c>
      <c r="D539" s="10">
        <f>Github!G$1255</f>
        <v>41</v>
      </c>
      <c r="E539" s="10">
        <f>Github!F$1255+Github!G$1255</f>
        <v>1830</v>
      </c>
      <c r="F539" s="12">
        <f t="shared" si="1"/>
        <v>43.63</v>
      </c>
      <c r="G539" s="10" t="str">
        <f>Github!H$1255</f>
        <v>Algorithms</v>
      </c>
      <c r="H539" s="13" t="str">
        <f>SUBSTITUTE(Github!L$1255, ";", ", ")</f>
        <v>Array, Depth-First Search, Breadth-First Search, Union Find, Matrix, </v>
      </c>
      <c r="I539" s="10" t="str">
        <f>Github!E$1255</f>
        <v>Medium</v>
      </c>
      <c r="J539" s="10" t="str">
        <f>IF(TRIM(Github!D$1255)="TRUE","FALSE","TRUE")</f>
        <v>TRUE</v>
      </c>
      <c r="K539" s="10" t="b">
        <f>Github!M$1255</f>
        <v>0</v>
      </c>
      <c r="L539" s="10" t="b">
        <f>Github!N$1255</f>
        <v>0</v>
      </c>
      <c r="M539" s="10" t="str">
        <f>ROUND(Github!O$1255, 2)&amp;"%"</f>
        <v>63.34%</v>
      </c>
      <c r="N539" s="10">
        <f>Github!P$1255</f>
        <v>86202</v>
      </c>
      <c r="O539" s="10">
        <f>Github!Q$1255</f>
        <v>136090</v>
      </c>
    </row>
    <row r="540">
      <c r="A540" s="10">
        <f>Github!J$1642</f>
        <v>1641</v>
      </c>
      <c r="B540" s="11" t="str">
        <f>HYPERLINK(CONCAT("http://leetcode.com/problems/",Github!C$1642), Github!B$1642)</f>
        <v>Count Sorted Vowel Strings</v>
      </c>
      <c r="C540" s="10">
        <f>Github!F$1642</f>
        <v>1776</v>
      </c>
      <c r="D540" s="10">
        <f>Github!G$1642</f>
        <v>38</v>
      </c>
      <c r="E540" s="10">
        <f>Github!F$1642+Github!G$1642</f>
        <v>1814</v>
      </c>
      <c r="F540" s="12">
        <f t="shared" si="1"/>
        <v>46.74</v>
      </c>
      <c r="G540" s="10" t="str">
        <f>Github!H$1642</f>
        <v>Algorithms</v>
      </c>
      <c r="H540" s="13" t="str">
        <f>SUBSTITUTE(Github!L$1642, ";", ", ")</f>
        <v>Dynamic Programming, </v>
      </c>
      <c r="I540" s="10" t="str">
        <f>Github!E$1642</f>
        <v>Medium</v>
      </c>
      <c r="J540" s="10" t="str">
        <f>IF(TRIM(Github!D$1642)="TRUE","FALSE","TRUE")</f>
        <v>TRUE</v>
      </c>
      <c r="K540" s="10" t="b">
        <f>Github!M$1642</f>
        <v>1</v>
      </c>
      <c r="L540" s="10" t="b">
        <f>Github!N$1642</f>
        <v>0</v>
      </c>
      <c r="M540" s="10" t="str">
        <f>ROUND(Github!O$1642, 2)&amp;"%"</f>
        <v>74.88%</v>
      </c>
      <c r="N540" s="10">
        <f>Github!P$1642</f>
        <v>83367</v>
      </c>
      <c r="O540" s="10">
        <f>Github!Q$1642</f>
        <v>111328</v>
      </c>
    </row>
    <row r="541">
      <c r="A541" s="10">
        <f>Github!J$257</f>
        <v>256</v>
      </c>
      <c r="B541" s="11" t="str">
        <f>HYPERLINK(CONCAT("http://leetcode.com/problems/",Github!C$257), Github!B$257)</f>
        <v>Paint House</v>
      </c>
      <c r="C541" s="10">
        <f>Github!F$257</f>
        <v>1764</v>
      </c>
      <c r="D541" s="10">
        <f>Github!G$257</f>
        <v>121</v>
      </c>
      <c r="E541" s="10">
        <f>Github!F$257+Github!G$257</f>
        <v>1885</v>
      </c>
      <c r="F541" s="12">
        <f t="shared" si="1"/>
        <v>14.58</v>
      </c>
      <c r="G541" s="10" t="str">
        <f>Github!H$257</f>
        <v>Algorithms</v>
      </c>
      <c r="H541" s="13" t="str">
        <f>SUBSTITUTE(Github!L$257, ";", ", ")</f>
        <v>Array, Dynamic Programming, </v>
      </c>
      <c r="I541" s="10" t="str">
        <f>Github!E$257</f>
        <v>Medium</v>
      </c>
      <c r="J541" s="10" t="str">
        <f>IF(TRIM(Github!D$257)="TRUE","FALSE","TRUE")</f>
        <v>FALSE</v>
      </c>
      <c r="K541" s="10" t="b">
        <f>Github!M$257</f>
        <v>1</v>
      </c>
      <c r="L541" s="10" t="b">
        <f>Github!N$257</f>
        <v>0</v>
      </c>
      <c r="M541" s="10" t="str">
        <f>ROUND(Github!O$257, 2)&amp;"%"</f>
        <v>58.71%</v>
      </c>
      <c r="N541" s="10">
        <f>Github!P$257</f>
        <v>154815</v>
      </c>
      <c r="O541" s="10">
        <f>Github!Q$257</f>
        <v>263679</v>
      </c>
    </row>
    <row r="542">
      <c r="A542" s="10">
        <f>Github!J$930</f>
        <v>929</v>
      </c>
      <c r="B542" s="11" t="str">
        <f>HYPERLINK(CONCAT("http://leetcode.com/problems/",Github!C$930), Github!B$930)</f>
        <v>Unique Email Addresses</v>
      </c>
      <c r="C542" s="10">
        <f>Github!F$930</f>
        <v>1764</v>
      </c>
      <c r="D542" s="10">
        <f>Github!G$930</f>
        <v>244</v>
      </c>
      <c r="E542" s="10">
        <f>Github!F$930+Github!G$930</f>
        <v>2008</v>
      </c>
      <c r="F542" s="12">
        <f t="shared" si="1"/>
        <v>7.23</v>
      </c>
      <c r="G542" s="10" t="str">
        <f>Github!H$930</f>
        <v>Algorithms</v>
      </c>
      <c r="H542" s="13" t="str">
        <f>SUBSTITUTE(Github!L$930, ";", ", ")</f>
        <v>Array, Hash Table, String, </v>
      </c>
      <c r="I542" s="10" t="str">
        <f>Github!E$930</f>
        <v>Easy</v>
      </c>
      <c r="J542" s="10" t="str">
        <f>IF(TRIM(Github!D$930)="TRUE","FALSE","TRUE")</f>
        <v>TRUE</v>
      </c>
      <c r="K542" s="10" t="b">
        <f>Github!M$930</f>
        <v>1</v>
      </c>
      <c r="L542" s="10" t="b">
        <f>Github!N$930</f>
        <v>0</v>
      </c>
      <c r="M542" s="10" t="str">
        <f>ROUND(Github!O$930, 2)&amp;"%"</f>
        <v>67.36%</v>
      </c>
      <c r="N542" s="10">
        <f>Github!P$930</f>
        <v>352720</v>
      </c>
      <c r="O542" s="10">
        <f>Github!Q$930</f>
        <v>523600</v>
      </c>
    </row>
    <row r="543">
      <c r="A543" s="10">
        <f>Github!J$1354</f>
        <v>1353</v>
      </c>
      <c r="B543" s="11" t="str">
        <f>HYPERLINK(CONCAT("http://leetcode.com/problems/",Github!C$1354), Github!B$1354)</f>
        <v>Maximum Number of Events That Can Be Attended</v>
      </c>
      <c r="C543" s="10">
        <f>Github!F$1354</f>
        <v>1765</v>
      </c>
      <c r="D543" s="10">
        <f>Github!G$1354</f>
        <v>241</v>
      </c>
      <c r="E543" s="10">
        <f>Github!F$1354+Github!G$1354</f>
        <v>2006</v>
      </c>
      <c r="F543" s="12">
        <f t="shared" si="1"/>
        <v>7.32</v>
      </c>
      <c r="G543" s="10" t="str">
        <f>Github!H$1354</f>
        <v>Algorithms</v>
      </c>
      <c r="H543" s="13" t="str">
        <f>SUBSTITUTE(Github!L$1354, ";", ", ")</f>
        <v>Array, Greedy, Heap (Priority Queue), </v>
      </c>
      <c r="I543" s="10" t="str">
        <f>Github!E$1354</f>
        <v>Medium</v>
      </c>
      <c r="J543" s="10" t="str">
        <f>IF(TRIM(Github!D$1354)="TRUE","FALSE","TRUE")</f>
        <v>TRUE</v>
      </c>
      <c r="K543" s="10" t="b">
        <f>Github!M$1354</f>
        <v>0</v>
      </c>
      <c r="L543" s="10" t="b">
        <f>Github!N$1354</f>
        <v>0</v>
      </c>
      <c r="M543" s="10" t="str">
        <f>ROUND(Github!O$1354, 2)&amp;"%"</f>
        <v>33.44%</v>
      </c>
      <c r="N543" s="10">
        <f>Github!P$1354</f>
        <v>54508</v>
      </c>
      <c r="O543" s="10">
        <f>Github!Q$1354</f>
        <v>163011</v>
      </c>
    </row>
    <row r="544">
      <c r="A544" s="10">
        <f>Github!J$643</f>
        <v>642</v>
      </c>
      <c r="B544" s="11" t="str">
        <f>HYPERLINK(CONCAT("http://leetcode.com/problems/",Github!C$643), Github!B$643)</f>
        <v>Design Search Autocomplete System</v>
      </c>
      <c r="C544" s="10">
        <f>Github!F$643</f>
        <v>1754</v>
      </c>
      <c r="D544" s="10">
        <f>Github!G$643</f>
        <v>119</v>
      </c>
      <c r="E544" s="10">
        <f>Github!F$643+Github!G$643</f>
        <v>1873</v>
      </c>
      <c r="F544" s="12">
        <f t="shared" si="1"/>
        <v>14.74</v>
      </c>
      <c r="G544" s="10" t="str">
        <f>Github!H$643</f>
        <v>Algorithms</v>
      </c>
      <c r="H544" s="13" t="str">
        <f>SUBSTITUTE(Github!L$643, ";", ", ")</f>
        <v>String, Design, Trie, Data Stream, </v>
      </c>
      <c r="I544" s="10" t="str">
        <f>Github!E$643</f>
        <v>Hard</v>
      </c>
      <c r="J544" s="10" t="str">
        <f>IF(TRIM(Github!D$643)="TRUE","FALSE","TRUE")</f>
        <v>FALSE</v>
      </c>
      <c r="K544" s="10" t="b">
        <f>Github!M$643</f>
        <v>0</v>
      </c>
      <c r="L544" s="10" t="b">
        <f>Github!N$643</f>
        <v>0</v>
      </c>
      <c r="M544" s="10" t="str">
        <f>ROUND(Github!O$643, 2)&amp;"%"</f>
        <v>48.24%</v>
      </c>
      <c r="N544" s="10">
        <f>Github!P$643</f>
        <v>112323</v>
      </c>
      <c r="O544" s="10">
        <f>Github!Q$643</f>
        <v>232838</v>
      </c>
    </row>
    <row r="545">
      <c r="A545" s="10">
        <f>Github!J$69</f>
        <v>68</v>
      </c>
      <c r="B545" s="11" t="str">
        <f>HYPERLINK(CONCAT("http://leetcode.com/problems/",Github!C$69), Github!B$69)</f>
        <v>Text Justification</v>
      </c>
      <c r="C545" s="10">
        <f>Github!F$69</f>
        <v>1746</v>
      </c>
      <c r="D545" s="10">
        <f>Github!G$69</f>
        <v>2873</v>
      </c>
      <c r="E545" s="10">
        <f>Github!F$69+Github!G$69</f>
        <v>4619</v>
      </c>
      <c r="F545" s="12">
        <f t="shared" si="1"/>
        <v>0.61</v>
      </c>
      <c r="G545" s="10" t="str">
        <f>Github!H$69</f>
        <v>Algorithms</v>
      </c>
      <c r="H545" s="13" t="str">
        <f>SUBSTITUTE(Github!L$69, ";", ", ")</f>
        <v>Array, String, Simulation, </v>
      </c>
      <c r="I545" s="10" t="str">
        <f>Github!E$69</f>
        <v>Hard</v>
      </c>
      <c r="J545" s="10" t="str">
        <f>IF(TRIM(Github!D$69)="TRUE","FALSE","TRUE")</f>
        <v>TRUE</v>
      </c>
      <c r="K545" s="10" t="b">
        <f>Github!M$69</f>
        <v>0</v>
      </c>
      <c r="L545" s="10" t="b">
        <f>Github!N$69</f>
        <v>0</v>
      </c>
      <c r="M545" s="10" t="str">
        <f>ROUND(Github!O$69, 2)&amp;"%"</f>
        <v>35.1%</v>
      </c>
      <c r="N545" s="10">
        <f>Github!P$69</f>
        <v>243527</v>
      </c>
      <c r="O545" s="10">
        <f>Github!Q$69</f>
        <v>693794</v>
      </c>
    </row>
    <row r="546">
      <c r="A546" s="10">
        <f>Github!J$1138</f>
        <v>1137</v>
      </c>
      <c r="B546" s="11" t="str">
        <f>HYPERLINK(CONCAT("http://leetcode.com/problems/",Github!C$1138), Github!B$1138)</f>
        <v>N-th Tribonacci Number</v>
      </c>
      <c r="C546" s="10">
        <f>Github!F$1138</f>
        <v>1736</v>
      </c>
      <c r="D546" s="10">
        <f>Github!G$1138</f>
        <v>103</v>
      </c>
      <c r="E546" s="10">
        <f>Github!F$1138+Github!G$1138</f>
        <v>1839</v>
      </c>
      <c r="F546" s="12">
        <f t="shared" si="1"/>
        <v>16.85</v>
      </c>
      <c r="G546" s="10" t="str">
        <f>Github!H$1138</f>
        <v>Algorithms</v>
      </c>
      <c r="H546" s="13" t="str">
        <f>SUBSTITUTE(Github!L$1138, ";", ", ")</f>
        <v>Math, Dynamic Programming, Memoization, </v>
      </c>
      <c r="I546" s="10" t="str">
        <f>Github!E$1138</f>
        <v>Easy</v>
      </c>
      <c r="J546" s="10" t="str">
        <f>IF(TRIM(Github!D$1138)="TRUE","FALSE","TRUE")</f>
        <v>TRUE</v>
      </c>
      <c r="K546" s="10" t="b">
        <f>Github!M$1138</f>
        <v>1</v>
      </c>
      <c r="L546" s="10" t="b">
        <f>Github!N$1138</f>
        <v>0</v>
      </c>
      <c r="M546" s="10" t="str">
        <f>ROUND(Github!O$1138, 2)&amp;"%"</f>
        <v>62.85%</v>
      </c>
      <c r="N546" s="10">
        <f>Github!P$1138</f>
        <v>261431</v>
      </c>
      <c r="O546" s="10">
        <f>Github!Q$1138</f>
        <v>415976</v>
      </c>
    </row>
    <row r="547">
      <c r="A547" s="10">
        <f>Github!J$1240</f>
        <v>1239</v>
      </c>
      <c r="B547" s="11" t="str">
        <f>HYPERLINK(CONCAT("http://leetcode.com/problems/",Github!C$1240), Github!B$1240)</f>
        <v>Maximum Length of a Concatenated String with Unique Characters</v>
      </c>
      <c r="C547" s="10">
        <f>Github!F$1240</f>
        <v>1730</v>
      </c>
      <c r="D547" s="10">
        <f>Github!G$1240</f>
        <v>157</v>
      </c>
      <c r="E547" s="10">
        <f>Github!F$1240+Github!G$1240</f>
        <v>1887</v>
      </c>
      <c r="F547" s="12">
        <f t="shared" si="1"/>
        <v>11.02</v>
      </c>
      <c r="G547" s="10" t="str">
        <f>Github!H$1240</f>
        <v>Algorithms</v>
      </c>
      <c r="H547" s="13" t="str">
        <f>SUBSTITUTE(Github!L$1240, ";", ", ")</f>
        <v>Array, String, Backtracking, Bit Manipulation, </v>
      </c>
      <c r="I547" s="10" t="str">
        <f>Github!E$1240</f>
        <v>Medium</v>
      </c>
      <c r="J547" s="10" t="str">
        <f>IF(TRIM(Github!D$1240)="TRUE","FALSE","TRUE")</f>
        <v>TRUE</v>
      </c>
      <c r="K547" s="10" t="b">
        <f>Github!M$1240</f>
        <v>1</v>
      </c>
      <c r="L547" s="10" t="b">
        <f>Github!N$1240</f>
        <v>0</v>
      </c>
      <c r="M547" s="10" t="str">
        <f>ROUND(Github!O$1240, 2)&amp;"%"</f>
        <v>50.53%</v>
      </c>
      <c r="N547" s="10">
        <f>Github!P$1240</f>
        <v>105938</v>
      </c>
      <c r="O547" s="10">
        <f>Github!Q$1240</f>
        <v>209631</v>
      </c>
    </row>
    <row r="548">
      <c r="A548" s="10">
        <f>Github!J$590</f>
        <v>589</v>
      </c>
      <c r="B548" s="11" t="str">
        <f>HYPERLINK(CONCAT("http://leetcode.com/problems/",Github!C$590), Github!B$590)</f>
        <v>N-ary Tree Preorder Traversal</v>
      </c>
      <c r="C548" s="10">
        <f>Github!F$590</f>
        <v>1735</v>
      </c>
      <c r="D548" s="10">
        <f>Github!G$590</f>
        <v>83</v>
      </c>
      <c r="E548" s="10">
        <f>Github!F$590+Github!G$590</f>
        <v>1818</v>
      </c>
      <c r="F548" s="12">
        <f t="shared" si="1"/>
        <v>20.9</v>
      </c>
      <c r="G548" s="10" t="str">
        <f>Github!H$590</f>
        <v>Algorithms</v>
      </c>
      <c r="H548" s="13" t="str">
        <f>SUBSTITUTE(Github!L$590, ";", ", ")</f>
        <v>Stack, Tree, Depth-First Search, </v>
      </c>
      <c r="I548" s="10" t="str">
        <f>Github!E$590</f>
        <v>Easy</v>
      </c>
      <c r="J548" s="10" t="str">
        <f>IF(TRIM(Github!D$590)="TRUE","FALSE","TRUE")</f>
        <v>TRUE</v>
      </c>
      <c r="K548" s="10" t="b">
        <f>Github!M$590</f>
        <v>1</v>
      </c>
      <c r="L548" s="10" t="b">
        <f>Github!N$590</f>
        <v>0</v>
      </c>
      <c r="M548" s="10" t="str">
        <f>ROUND(Github!O$590, 2)&amp;"%"</f>
        <v>76.11%</v>
      </c>
      <c r="N548" s="10">
        <f>Github!P$590</f>
        <v>227173</v>
      </c>
      <c r="O548" s="10">
        <f>Github!Q$590</f>
        <v>298474</v>
      </c>
    </row>
    <row r="549">
      <c r="A549" s="10">
        <f>Github!J$695</f>
        <v>694</v>
      </c>
      <c r="B549" s="11" t="str">
        <f>HYPERLINK(CONCAT("http://leetcode.com/problems/",Github!C$695), Github!B$695)</f>
        <v>Number of Distinct Islands</v>
      </c>
      <c r="C549" s="10">
        <f>Github!F$695</f>
        <v>1723</v>
      </c>
      <c r="D549" s="10">
        <f>Github!G$695</f>
        <v>98</v>
      </c>
      <c r="E549" s="10">
        <f>Github!F$695+Github!G$695</f>
        <v>1821</v>
      </c>
      <c r="F549" s="12">
        <f t="shared" si="1"/>
        <v>17.58</v>
      </c>
      <c r="G549" s="10" t="str">
        <f>Github!H$695</f>
        <v>Algorithms</v>
      </c>
      <c r="H549" s="13" t="str">
        <f>SUBSTITUTE(Github!L$695, ";", ", ")</f>
        <v>Hash Table, Depth-First Search, Breadth-First Search, Union Find, Hash Function, </v>
      </c>
      <c r="I549" s="10" t="str">
        <f>Github!E$695</f>
        <v>Medium</v>
      </c>
      <c r="J549" s="10" t="str">
        <f>IF(TRIM(Github!D$695)="TRUE","FALSE","TRUE")</f>
        <v>FALSE</v>
      </c>
      <c r="K549" s="10" t="b">
        <f>Github!M$695</f>
        <v>1</v>
      </c>
      <c r="L549" s="10" t="b">
        <f>Github!N$695</f>
        <v>1</v>
      </c>
      <c r="M549" s="10" t="str">
        <f>ROUND(Github!O$695, 2)&amp;"%"</f>
        <v>59.67%</v>
      </c>
      <c r="N549" s="10">
        <f>Github!P$695</f>
        <v>120750</v>
      </c>
      <c r="O549" s="10">
        <f>Github!Q$695</f>
        <v>202370</v>
      </c>
    </row>
    <row r="550">
      <c r="A550" s="10">
        <f>Github!J$383</f>
        <v>382</v>
      </c>
      <c r="B550" s="11" t="str">
        <f>HYPERLINK(CONCAT("http://leetcode.com/problems/",Github!C$383), Github!B$383)</f>
        <v>Linked List Random Node</v>
      </c>
      <c r="C550" s="10">
        <f>Github!F$383</f>
        <v>1719</v>
      </c>
      <c r="D550" s="10">
        <f>Github!G$383</f>
        <v>434</v>
      </c>
      <c r="E550" s="10">
        <f>Github!F$383+Github!G$383</f>
        <v>2153</v>
      </c>
      <c r="F550" s="12">
        <f t="shared" si="1"/>
        <v>3.96</v>
      </c>
      <c r="G550" s="10" t="str">
        <f>Github!H$383</f>
        <v>Algorithms</v>
      </c>
      <c r="H550" s="13" t="str">
        <f>SUBSTITUTE(Github!L$383, ";", ", ")</f>
        <v>Linked List, Math, Reservoir Sampling, Randomized, </v>
      </c>
      <c r="I550" s="10" t="str">
        <f>Github!E$383</f>
        <v>Medium</v>
      </c>
      <c r="J550" s="10" t="str">
        <f>IF(TRIM(Github!D$383)="TRUE","FALSE","TRUE")</f>
        <v>TRUE</v>
      </c>
      <c r="K550" s="10" t="b">
        <f>Github!M$383</f>
        <v>1</v>
      </c>
      <c r="L550" s="10" t="b">
        <f>Github!N$383</f>
        <v>0</v>
      </c>
      <c r="M550" s="10" t="str">
        <f>ROUND(Github!O$383, 2)&amp;"%"</f>
        <v>58.93%</v>
      </c>
      <c r="N550" s="10">
        <f>Github!P$383</f>
        <v>151163</v>
      </c>
      <c r="O550" s="10">
        <f>Github!Q$383</f>
        <v>256504</v>
      </c>
    </row>
    <row r="551">
      <c r="A551" s="10">
        <f>Github!J$923</f>
        <v>922</v>
      </c>
      <c r="B551" s="11" t="str">
        <f>HYPERLINK(CONCAT("http://leetcode.com/problems/",Github!C$923), Github!B$923)</f>
        <v>Sort Array By Parity II</v>
      </c>
      <c r="C551" s="10">
        <f>Github!F$923</f>
        <v>1722</v>
      </c>
      <c r="D551" s="10">
        <f>Github!G$923</f>
        <v>70</v>
      </c>
      <c r="E551" s="10">
        <f>Github!F$923+Github!G$923</f>
        <v>1792</v>
      </c>
      <c r="F551" s="12">
        <f t="shared" si="1"/>
        <v>24.6</v>
      </c>
      <c r="G551" s="10" t="str">
        <f>Github!H$923</f>
        <v>Algorithms</v>
      </c>
      <c r="H551" s="13" t="str">
        <f>SUBSTITUTE(Github!L$923, ";", ", ")</f>
        <v>Array, Two Pointers, Sorting, </v>
      </c>
      <c r="I551" s="10" t="str">
        <f>Github!E$923</f>
        <v>Easy</v>
      </c>
      <c r="J551" s="10" t="str">
        <f>IF(TRIM(Github!D$923)="TRUE","FALSE","TRUE")</f>
        <v>TRUE</v>
      </c>
      <c r="K551" s="10" t="b">
        <f>Github!M$923</f>
        <v>1</v>
      </c>
      <c r="L551" s="10" t="b">
        <f>Github!N$923</f>
        <v>1</v>
      </c>
      <c r="M551" s="10" t="str">
        <f>ROUND(Github!O$923, 2)&amp;"%"</f>
        <v>70.61%</v>
      </c>
      <c r="N551" s="10">
        <f>Github!P$923</f>
        <v>182896</v>
      </c>
      <c r="O551" s="10">
        <f>Github!Q$923</f>
        <v>259014</v>
      </c>
    </row>
    <row r="552">
      <c r="A552" s="10">
        <f>Github!J$1316</f>
        <v>1315</v>
      </c>
      <c r="B552" s="11" t="str">
        <f>HYPERLINK(CONCAT("http://leetcode.com/problems/",Github!C$1316), Github!B$1316)</f>
        <v>Sum of Nodes with Even-Valued Grandparent</v>
      </c>
      <c r="C552" s="10">
        <f>Github!F$1316</f>
        <v>1723</v>
      </c>
      <c r="D552" s="10">
        <f>Github!G$1316</f>
        <v>57</v>
      </c>
      <c r="E552" s="10">
        <f>Github!F$1316+Github!G$1316</f>
        <v>1780</v>
      </c>
      <c r="F552" s="12">
        <f t="shared" si="1"/>
        <v>30.23</v>
      </c>
      <c r="G552" s="10" t="str">
        <f>Github!H$1316</f>
        <v>Algorithms</v>
      </c>
      <c r="H552" s="13" t="str">
        <f>SUBSTITUTE(Github!L$1316, ";", ", ")</f>
        <v>Tree, Depth-First Search, Breadth-First Search, Binary Tree, </v>
      </c>
      <c r="I552" s="10" t="str">
        <f>Github!E$1316</f>
        <v>Medium</v>
      </c>
      <c r="J552" s="10" t="str">
        <f>IF(TRIM(Github!D$1316)="TRUE","FALSE","TRUE")</f>
        <v>TRUE</v>
      </c>
      <c r="K552" s="10" t="b">
        <f>Github!M$1316</f>
        <v>0</v>
      </c>
      <c r="L552" s="10" t="b">
        <f>Github!N$1316</f>
        <v>0</v>
      </c>
      <c r="M552" s="10" t="str">
        <f>ROUND(Github!O$1316, 2)&amp;"%"</f>
        <v>85.18%</v>
      </c>
      <c r="N552" s="10">
        <f>Github!P$1316</f>
        <v>99121</v>
      </c>
      <c r="O552" s="10">
        <f>Github!Q$1316</f>
        <v>116360</v>
      </c>
    </row>
    <row r="553">
      <c r="A553" s="10">
        <f>Github!J$706</f>
        <v>705</v>
      </c>
      <c r="B553" s="11" t="str">
        <f>HYPERLINK(CONCAT("http://leetcode.com/problems/",Github!C$706), Github!B$706)</f>
        <v>Design HashSet</v>
      </c>
      <c r="C553" s="10">
        <f>Github!F$706</f>
        <v>2014</v>
      </c>
      <c r="D553" s="10">
        <f>Github!G$706</f>
        <v>203</v>
      </c>
      <c r="E553" s="10">
        <f>Github!F$706+Github!G$706</f>
        <v>2217</v>
      </c>
      <c r="F553" s="12">
        <f t="shared" si="1"/>
        <v>9.92</v>
      </c>
      <c r="G553" s="10" t="str">
        <f>Github!H$706</f>
        <v>Algorithms</v>
      </c>
      <c r="H553" s="13" t="str">
        <f>SUBSTITUTE(Github!L$706, ";", ", ")</f>
        <v>Array, Hash Table, Linked List, Design, Hash Function, </v>
      </c>
      <c r="I553" s="10" t="str">
        <f>Github!E$706</f>
        <v>Easy</v>
      </c>
      <c r="J553" s="10" t="str">
        <f>IF(TRIM(Github!D$706)="TRUE","FALSE","TRUE")</f>
        <v>TRUE</v>
      </c>
      <c r="K553" s="10" t="b">
        <f>Github!M$706</f>
        <v>1</v>
      </c>
      <c r="L553" s="10" t="b">
        <f>Github!N$706</f>
        <v>0</v>
      </c>
      <c r="M553" s="10" t="str">
        <f>ROUND(Github!O$706, 2)&amp;"%"</f>
        <v>66.48%</v>
      </c>
      <c r="N553" s="10">
        <f>Github!P$706</f>
        <v>224886</v>
      </c>
      <c r="O553" s="10">
        <f>Github!Q$706</f>
        <v>338254</v>
      </c>
    </row>
    <row r="554">
      <c r="A554" s="10">
        <f>Github!J$319</f>
        <v>318</v>
      </c>
      <c r="B554" s="11" t="str">
        <f>HYPERLINK(CONCAT("http://leetcode.com/problems/",Github!C$319), Github!B$319)</f>
        <v>Maximum Product of Word Lengths</v>
      </c>
      <c r="C554" s="10">
        <f>Github!F$319</f>
        <v>1710</v>
      </c>
      <c r="D554" s="10">
        <f>Github!G$319</f>
        <v>94</v>
      </c>
      <c r="E554" s="10">
        <f>Github!F$319+Github!G$319</f>
        <v>1804</v>
      </c>
      <c r="F554" s="12">
        <f t="shared" si="1"/>
        <v>18.19</v>
      </c>
      <c r="G554" s="10" t="str">
        <f>Github!H$319</f>
        <v>Algorithms</v>
      </c>
      <c r="H554" s="13" t="str">
        <f>SUBSTITUTE(Github!L$319, ";", ", ")</f>
        <v>Array, String, Bit Manipulation, </v>
      </c>
      <c r="I554" s="10" t="str">
        <f>Github!E$319</f>
        <v>Medium</v>
      </c>
      <c r="J554" s="10" t="str">
        <f>IF(TRIM(Github!D$319)="TRUE","FALSE","TRUE")</f>
        <v>TRUE</v>
      </c>
      <c r="K554" s="10" t="b">
        <f>Github!M$319</f>
        <v>1</v>
      </c>
      <c r="L554" s="10" t="b">
        <f>Github!N$319</f>
        <v>0</v>
      </c>
      <c r="M554" s="10" t="str">
        <f>ROUND(Github!O$319, 2)&amp;"%"</f>
        <v>56.64%</v>
      </c>
      <c r="N554" s="10">
        <f>Github!P$319</f>
        <v>142824</v>
      </c>
      <c r="O554" s="10">
        <f>Github!Q$319</f>
        <v>252139</v>
      </c>
    </row>
    <row r="555">
      <c r="A555" s="10">
        <f>Github!J$808</f>
        <v>807</v>
      </c>
      <c r="B555" s="11" t="str">
        <f>HYPERLINK(CONCAT("http://leetcode.com/problems/",Github!C$808), Github!B$808)</f>
        <v>Max Increase to Keep City Skyline</v>
      </c>
      <c r="C555" s="10">
        <f>Github!F$808</f>
        <v>1708</v>
      </c>
      <c r="D555" s="10">
        <f>Github!G$808</f>
        <v>415</v>
      </c>
      <c r="E555" s="10">
        <f>Github!F$808+Github!G$808</f>
        <v>2123</v>
      </c>
      <c r="F555" s="12">
        <f t="shared" si="1"/>
        <v>4.12</v>
      </c>
      <c r="G555" s="10" t="str">
        <f>Github!H$808</f>
        <v>Algorithms</v>
      </c>
      <c r="H555" s="13" t="str">
        <f>SUBSTITUTE(Github!L$808, ";", ", ")</f>
        <v>Array, Greedy, Matrix, </v>
      </c>
      <c r="I555" s="10" t="str">
        <f>Github!E$808</f>
        <v>Medium</v>
      </c>
      <c r="J555" s="10" t="str">
        <f>IF(TRIM(Github!D$808)="TRUE","FALSE","TRUE")</f>
        <v>TRUE</v>
      </c>
      <c r="K555" s="10" t="b">
        <f>Github!M$808</f>
        <v>1</v>
      </c>
      <c r="L555" s="10" t="b">
        <f>Github!N$808</f>
        <v>0</v>
      </c>
      <c r="M555" s="10" t="str">
        <f>ROUND(Github!O$808, 2)&amp;"%"</f>
        <v>85.49%</v>
      </c>
      <c r="N555" s="10">
        <f>Github!P$808</f>
        <v>123108</v>
      </c>
      <c r="O555" s="10">
        <f>Github!Q$808</f>
        <v>143997</v>
      </c>
    </row>
    <row r="556">
      <c r="A556" s="10">
        <f>Github!J$1313</f>
        <v>1312</v>
      </c>
      <c r="B556" s="11" t="str">
        <f>HYPERLINK(CONCAT("http://leetcode.com/problems/",Github!C$1313), Github!B$1313)</f>
        <v>Minimum Insertion Steps to Make a String Palindrome</v>
      </c>
      <c r="C556" s="10">
        <f>Github!F$1313</f>
        <v>1721</v>
      </c>
      <c r="D556" s="10">
        <f>Github!G$1313</f>
        <v>26</v>
      </c>
      <c r="E556" s="10">
        <f>Github!F$1313+Github!G$1313</f>
        <v>1747</v>
      </c>
      <c r="F556" s="12">
        <f t="shared" si="1"/>
        <v>66.19</v>
      </c>
      <c r="G556" s="10" t="str">
        <f>Github!H$1313</f>
        <v>Algorithms</v>
      </c>
      <c r="H556" s="13" t="str">
        <f>SUBSTITUTE(Github!L$1313, ";", ", ")</f>
        <v>String, Dynamic Programming, </v>
      </c>
      <c r="I556" s="10" t="str">
        <f>Github!E$1313</f>
        <v>Hard</v>
      </c>
      <c r="J556" s="10" t="str">
        <f>IF(TRIM(Github!D$1313)="TRUE","FALSE","TRUE")</f>
        <v>TRUE</v>
      </c>
      <c r="K556" s="10" t="b">
        <f>Github!M$1313</f>
        <v>0</v>
      </c>
      <c r="L556" s="10" t="b">
        <f>Github!N$1313</f>
        <v>0</v>
      </c>
      <c r="M556" s="10" t="str">
        <f>ROUND(Github!O$1313, 2)&amp;"%"</f>
        <v>63.7%</v>
      </c>
      <c r="N556" s="10">
        <f>Github!P$1313</f>
        <v>46558</v>
      </c>
      <c r="O556" s="10">
        <f>Github!Q$1313</f>
        <v>73087</v>
      </c>
    </row>
    <row r="557">
      <c r="A557" s="10">
        <f>Github!J$1163</f>
        <v>1162</v>
      </c>
      <c r="B557" s="11" t="str">
        <f>HYPERLINK(CONCAT("http://leetcode.com/problems/",Github!C$1163), Github!B$1163)</f>
        <v>As Far from Land as Possible</v>
      </c>
      <c r="C557" s="10">
        <f>Github!F$1163</f>
        <v>1701</v>
      </c>
      <c r="D557" s="10">
        <f>Github!G$1163</f>
        <v>56</v>
      </c>
      <c r="E557" s="10">
        <f>Github!F$1163+Github!G$1163</f>
        <v>1757</v>
      </c>
      <c r="F557" s="12">
        <f t="shared" si="1"/>
        <v>30.38</v>
      </c>
      <c r="G557" s="10" t="str">
        <f>Github!H$1163</f>
        <v>Algorithms</v>
      </c>
      <c r="H557" s="13" t="str">
        <f>SUBSTITUTE(Github!L$1163, ";", ", ")</f>
        <v>Array, Dynamic Programming, Breadth-First Search, Matrix, </v>
      </c>
      <c r="I557" s="10" t="str">
        <f>Github!E$1163</f>
        <v>Medium</v>
      </c>
      <c r="J557" s="10" t="str">
        <f>IF(TRIM(Github!D$1163)="TRUE","FALSE","TRUE")</f>
        <v>TRUE</v>
      </c>
      <c r="K557" s="10" t="b">
        <f>Github!M$1163</f>
        <v>0</v>
      </c>
      <c r="L557" s="10" t="b">
        <f>Github!N$1163</f>
        <v>0</v>
      </c>
      <c r="M557" s="10" t="str">
        <f>ROUND(Github!O$1163, 2)&amp;"%"</f>
        <v>47.98%</v>
      </c>
      <c r="N557" s="10">
        <f>Github!P$1163</f>
        <v>59254</v>
      </c>
      <c r="O557" s="10">
        <f>Github!Q$1163</f>
        <v>123510</v>
      </c>
    </row>
    <row r="558">
      <c r="A558" s="10">
        <f>Github!J$1222</f>
        <v>1221</v>
      </c>
      <c r="B558" s="11" t="str">
        <f>HYPERLINK(CONCAT("http://leetcode.com/problems/",Github!C$1222), Github!B$1222)</f>
        <v>Split a String in Balanced Strings</v>
      </c>
      <c r="C558" s="10">
        <f>Github!F$1222</f>
        <v>1698</v>
      </c>
      <c r="D558" s="10">
        <f>Github!G$1222</f>
        <v>749</v>
      </c>
      <c r="E558" s="10">
        <f>Github!F$1222+Github!G$1222</f>
        <v>2447</v>
      </c>
      <c r="F558" s="12">
        <f t="shared" si="1"/>
        <v>2.27</v>
      </c>
      <c r="G558" s="10" t="str">
        <f>Github!H$1222</f>
        <v>Algorithms</v>
      </c>
      <c r="H558" s="13" t="str">
        <f>SUBSTITUTE(Github!L$1222, ";", ", ")</f>
        <v>String, Greedy, Counting, </v>
      </c>
      <c r="I558" s="10" t="str">
        <f>Github!E$1222</f>
        <v>Easy</v>
      </c>
      <c r="J558" s="10" t="str">
        <f>IF(TRIM(Github!D$1222)="TRUE","FALSE","TRUE")</f>
        <v>TRUE</v>
      </c>
      <c r="K558" s="10" t="b">
        <f>Github!M$1222</f>
        <v>0</v>
      </c>
      <c r="L558" s="10" t="b">
        <f>Github!N$1222</f>
        <v>0</v>
      </c>
      <c r="M558" s="10" t="str">
        <f>ROUND(Github!O$1222, 2)&amp;"%"</f>
        <v>84.63%</v>
      </c>
      <c r="N558" s="10">
        <f>Github!P$1222</f>
        <v>196780</v>
      </c>
      <c r="O558" s="10">
        <f>Github!Q$1222</f>
        <v>232525</v>
      </c>
    </row>
    <row r="559">
      <c r="A559" s="10">
        <f>Github!J$160</f>
        <v>159</v>
      </c>
      <c r="B559" s="11" t="str">
        <f>HYPERLINK(CONCAT("http://leetcode.com/problems/",Github!C$160), Github!B$160)</f>
        <v>Longest Substring with At Most Two Distinct Characters</v>
      </c>
      <c r="C559" s="10">
        <f>Github!F$160</f>
        <v>1690</v>
      </c>
      <c r="D559" s="10">
        <f>Github!G$160</f>
        <v>25</v>
      </c>
      <c r="E559" s="10">
        <f>Github!F$160+Github!G$160</f>
        <v>1715</v>
      </c>
      <c r="F559" s="12">
        <f t="shared" si="1"/>
        <v>67.6</v>
      </c>
      <c r="G559" s="10" t="str">
        <f>Github!H$160</f>
        <v>Algorithms</v>
      </c>
      <c r="H559" s="13" t="str">
        <f>SUBSTITUTE(Github!L$160, ";", ", ")</f>
        <v>Hash Table, String, Sliding Window, </v>
      </c>
      <c r="I559" s="10" t="str">
        <f>Github!E$160</f>
        <v>Medium</v>
      </c>
      <c r="J559" s="10" t="str">
        <f>IF(TRIM(Github!D$160)="TRUE","FALSE","TRUE")</f>
        <v>FALSE</v>
      </c>
      <c r="K559" s="10" t="b">
        <f>Github!M$160</f>
        <v>1</v>
      </c>
      <c r="L559" s="10" t="b">
        <f>Github!N$160</f>
        <v>1</v>
      </c>
      <c r="M559" s="10" t="str">
        <f>ROUND(Github!O$160, 2)&amp;"%"</f>
        <v>52.66%</v>
      </c>
      <c r="N559" s="10">
        <f>Github!P$160</f>
        <v>190319</v>
      </c>
      <c r="O559" s="10">
        <f>Github!Q$160</f>
        <v>361385</v>
      </c>
    </row>
    <row r="560">
      <c r="A560" s="10">
        <f>Github!J$683</f>
        <v>682</v>
      </c>
      <c r="B560" s="11" t="str">
        <f>HYPERLINK(CONCAT("http://leetcode.com/problems/",Github!C$683), Github!B$683)</f>
        <v>Baseball Game</v>
      </c>
      <c r="C560" s="10">
        <f>Github!F$683</f>
        <v>1690</v>
      </c>
      <c r="D560" s="10">
        <f>Github!G$683</f>
        <v>1645</v>
      </c>
      <c r="E560" s="10">
        <f>Github!F$683+Github!G$683</f>
        <v>3335</v>
      </c>
      <c r="F560" s="12">
        <f t="shared" si="1"/>
        <v>1.03</v>
      </c>
      <c r="G560" s="10" t="str">
        <f>Github!H$683</f>
        <v>Algorithms</v>
      </c>
      <c r="H560" s="13" t="str">
        <f>SUBSTITUTE(Github!L$683, ";", ", ")</f>
        <v>Array, Stack, Simulation, </v>
      </c>
      <c r="I560" s="10" t="str">
        <f>Github!E$683</f>
        <v>Easy</v>
      </c>
      <c r="J560" s="10" t="str">
        <f>IF(TRIM(Github!D$683)="TRUE","FALSE","TRUE")</f>
        <v>TRUE</v>
      </c>
      <c r="K560" s="10" t="b">
        <f>Github!M$683</f>
        <v>1</v>
      </c>
      <c r="L560" s="10" t="b">
        <f>Github!N$683</f>
        <v>0</v>
      </c>
      <c r="M560" s="10" t="str">
        <f>ROUND(Github!O$683, 2)&amp;"%"</f>
        <v>73.12%</v>
      </c>
      <c r="N560" s="10">
        <f>Github!P$683</f>
        <v>194130</v>
      </c>
      <c r="O560" s="10">
        <f>Github!Q$683</f>
        <v>265510</v>
      </c>
    </row>
    <row r="561">
      <c r="A561" s="10">
        <f>Github!J$53</f>
        <v>52</v>
      </c>
      <c r="B561" s="11" t="str">
        <f>HYPERLINK(CONCAT("http://leetcode.com/problems/",Github!C$53), Github!B$53)</f>
        <v>N-Queens II</v>
      </c>
      <c r="C561" s="10">
        <f>Github!F$53</f>
        <v>1697</v>
      </c>
      <c r="D561" s="10">
        <f>Github!G$53</f>
        <v>209</v>
      </c>
      <c r="E561" s="10">
        <f>Github!F$53+Github!G$53</f>
        <v>1906</v>
      </c>
      <c r="F561" s="12">
        <f t="shared" si="1"/>
        <v>8.12</v>
      </c>
      <c r="G561" s="10" t="str">
        <f>Github!H$53</f>
        <v>Algorithms</v>
      </c>
      <c r="H561" s="13" t="str">
        <f>SUBSTITUTE(Github!L$53, ";", ", ")</f>
        <v>Backtracking, </v>
      </c>
      <c r="I561" s="10" t="str">
        <f>Github!E$53</f>
        <v>Hard</v>
      </c>
      <c r="J561" s="10" t="str">
        <f>IF(TRIM(Github!D$53)="TRUE","FALSE","TRUE")</f>
        <v>TRUE</v>
      </c>
      <c r="K561" s="10" t="b">
        <f>Github!M$53</f>
        <v>1</v>
      </c>
      <c r="L561" s="10" t="b">
        <f>Github!N$53</f>
        <v>0</v>
      </c>
      <c r="M561" s="10" t="str">
        <f>ROUND(Github!O$53, 2)&amp;"%"</f>
        <v>66.19%</v>
      </c>
      <c r="N561" s="10">
        <f>Github!P$53</f>
        <v>217686</v>
      </c>
      <c r="O561" s="10">
        <f>Github!Q$53</f>
        <v>328889</v>
      </c>
    </row>
    <row r="562">
      <c r="A562" s="10">
        <f>Github!J$780</f>
        <v>779</v>
      </c>
      <c r="B562" s="11" t="str">
        <f>HYPERLINK(CONCAT("http://leetcode.com/problems/",Github!C$780), Github!B$780)</f>
        <v>K-th Symbol in Grammar</v>
      </c>
      <c r="C562" s="10">
        <f>Github!F$780</f>
        <v>1683</v>
      </c>
      <c r="D562" s="10">
        <f>Github!G$780</f>
        <v>246</v>
      </c>
      <c r="E562" s="10">
        <f>Github!F$780+Github!G$780</f>
        <v>1929</v>
      </c>
      <c r="F562" s="12">
        <f t="shared" si="1"/>
        <v>6.84</v>
      </c>
      <c r="G562" s="10" t="str">
        <f>Github!H$780</f>
        <v>Algorithms</v>
      </c>
      <c r="H562" s="13" t="str">
        <f>SUBSTITUTE(Github!L$780, ";", ", ")</f>
        <v>Math, Bit Manipulation, Recursion, </v>
      </c>
      <c r="I562" s="10" t="str">
        <f>Github!E$780</f>
        <v>Medium</v>
      </c>
      <c r="J562" s="10" t="str">
        <f>IF(TRIM(Github!D$780)="TRUE","FALSE","TRUE")</f>
        <v>TRUE</v>
      </c>
      <c r="K562" s="10" t="b">
        <f>Github!M$780</f>
        <v>0</v>
      </c>
      <c r="L562" s="10" t="b">
        <f>Github!N$780</f>
        <v>0</v>
      </c>
      <c r="M562" s="10" t="str">
        <f>ROUND(Github!O$780, 2)&amp;"%"</f>
        <v>39.9%</v>
      </c>
      <c r="N562" s="10">
        <f>Github!P$780</f>
        <v>84081</v>
      </c>
      <c r="O562" s="10">
        <f>Github!Q$780</f>
        <v>210714</v>
      </c>
    </row>
    <row r="563">
      <c r="A563" s="10">
        <f>Github!J$1249</f>
        <v>1248</v>
      </c>
      <c r="B563" s="11" t="str">
        <f>HYPERLINK(CONCAT("http://leetcode.com/problems/",Github!C$1249), Github!B$1249)</f>
        <v>Count Number of Nice Subarrays</v>
      </c>
      <c r="C563" s="10">
        <f>Github!F$1249</f>
        <v>1689</v>
      </c>
      <c r="D563" s="10">
        <f>Github!G$1249</f>
        <v>42</v>
      </c>
      <c r="E563" s="10">
        <f>Github!F$1249+Github!G$1249</f>
        <v>1731</v>
      </c>
      <c r="F563" s="12">
        <f t="shared" si="1"/>
        <v>40.21</v>
      </c>
      <c r="G563" s="10" t="str">
        <f>Github!H$1249</f>
        <v>Algorithms</v>
      </c>
      <c r="H563" s="13" t="str">
        <f>SUBSTITUTE(Github!L$1249, ";", ", ")</f>
        <v>Array, Hash Table, Math, Sliding Window, </v>
      </c>
      <c r="I563" s="10" t="str">
        <f>Github!E$1249</f>
        <v>Medium</v>
      </c>
      <c r="J563" s="10" t="str">
        <f>IF(TRIM(Github!D$1249)="TRUE","FALSE","TRUE")</f>
        <v>TRUE</v>
      </c>
      <c r="K563" s="10" t="b">
        <f>Github!M$1249</f>
        <v>0</v>
      </c>
      <c r="L563" s="10" t="b">
        <f>Github!N$1249</f>
        <v>0</v>
      </c>
      <c r="M563" s="10" t="str">
        <f>ROUND(Github!O$1249, 2)&amp;"%"</f>
        <v>58.58%</v>
      </c>
      <c r="N563" s="10">
        <f>Github!P$1249</f>
        <v>53271</v>
      </c>
      <c r="O563" s="10">
        <f>Github!Q$1249</f>
        <v>90936</v>
      </c>
    </row>
    <row r="564">
      <c r="A564" s="10">
        <f>Github!J$1377</f>
        <v>1376</v>
      </c>
      <c r="B564" s="11" t="str">
        <f>HYPERLINK(CONCAT("http://leetcode.com/problems/",Github!C$1377), Github!B$1377)</f>
        <v>Time Needed to Inform All Employees</v>
      </c>
      <c r="C564" s="10">
        <f>Github!F$1377</f>
        <v>1690</v>
      </c>
      <c r="D564" s="10">
        <f>Github!G$1377</f>
        <v>101</v>
      </c>
      <c r="E564" s="10">
        <f>Github!F$1377+Github!G$1377</f>
        <v>1791</v>
      </c>
      <c r="F564" s="12">
        <f t="shared" si="1"/>
        <v>16.73</v>
      </c>
      <c r="G564" s="10" t="str">
        <f>Github!H$1377</f>
        <v>Algorithms</v>
      </c>
      <c r="H564" s="13" t="str">
        <f>SUBSTITUTE(Github!L$1377, ";", ", ")</f>
        <v>Tree, Depth-First Search, Breadth-First Search, </v>
      </c>
      <c r="I564" s="10" t="str">
        <f>Github!E$1377</f>
        <v>Medium</v>
      </c>
      <c r="J564" s="10" t="str">
        <f>IF(TRIM(Github!D$1377)="TRUE","FALSE","TRUE")</f>
        <v>TRUE</v>
      </c>
      <c r="K564" s="10" t="b">
        <f>Github!M$1377</f>
        <v>0</v>
      </c>
      <c r="L564" s="10" t="b">
        <f>Github!N$1377</f>
        <v>0</v>
      </c>
      <c r="M564" s="10" t="str">
        <f>ROUND(Github!O$1377, 2)&amp;"%"</f>
        <v>58.05%</v>
      </c>
      <c r="N564" s="10">
        <f>Github!P$1377</f>
        <v>88722</v>
      </c>
      <c r="O564" s="10">
        <f>Github!Q$1377</f>
        <v>152837</v>
      </c>
    </row>
    <row r="565">
      <c r="A565" s="10">
        <f>Github!J$332</f>
        <v>331</v>
      </c>
      <c r="B565" s="11" t="str">
        <f>HYPERLINK(CONCAT("http://leetcode.com/problems/",Github!C$332), Github!B$332)</f>
        <v>Verify Preorder Serialization of a Binary Tree</v>
      </c>
      <c r="C565" s="10">
        <f>Github!F$332</f>
        <v>1672</v>
      </c>
      <c r="D565" s="10">
        <f>Github!G$332</f>
        <v>83</v>
      </c>
      <c r="E565" s="10">
        <f>Github!F$332+Github!G$332</f>
        <v>1755</v>
      </c>
      <c r="F565" s="12">
        <f t="shared" si="1"/>
        <v>20.14</v>
      </c>
      <c r="G565" s="10" t="str">
        <f>Github!H$332</f>
        <v>Algorithms</v>
      </c>
      <c r="H565" s="13" t="str">
        <f>SUBSTITUTE(Github!L$332, ";", ", ")</f>
        <v>String, Stack, Tree, Binary Tree, </v>
      </c>
      <c r="I565" s="10" t="str">
        <f>Github!E$332</f>
        <v>Medium</v>
      </c>
      <c r="J565" s="10" t="str">
        <f>IF(TRIM(Github!D$332)="TRUE","FALSE","TRUE")</f>
        <v>TRUE</v>
      </c>
      <c r="K565" s="10" t="b">
        <f>Github!M$332</f>
        <v>1</v>
      </c>
      <c r="L565" s="10" t="b">
        <f>Github!N$332</f>
        <v>0</v>
      </c>
      <c r="M565" s="10" t="str">
        <f>ROUND(Github!O$332, 2)&amp;"%"</f>
        <v>43.71%</v>
      </c>
      <c r="N565" s="10">
        <f>Github!P$332</f>
        <v>113216</v>
      </c>
      <c r="O565" s="10">
        <f>Github!Q$332</f>
        <v>259025</v>
      </c>
    </row>
    <row r="566">
      <c r="A566" s="10">
        <f>Github!J$1032</f>
        <v>1031</v>
      </c>
      <c r="B566" s="11" t="str">
        <f>HYPERLINK(CONCAT("http://leetcode.com/problems/",Github!C$1032), Github!B$1032)</f>
        <v>Maximum Sum of Two Non-Overlapping Subarrays</v>
      </c>
      <c r="C566" s="10">
        <f>Github!F$1032</f>
        <v>1682</v>
      </c>
      <c r="D566" s="10">
        <f>Github!G$1032</f>
        <v>70</v>
      </c>
      <c r="E566" s="10">
        <f>Github!F$1032+Github!G$1032</f>
        <v>1752</v>
      </c>
      <c r="F566" s="12">
        <f t="shared" si="1"/>
        <v>24.03</v>
      </c>
      <c r="G566" s="10" t="str">
        <f>Github!H$1032</f>
        <v>Algorithms</v>
      </c>
      <c r="H566" s="13" t="str">
        <f>SUBSTITUTE(Github!L$1032, ";", ", ")</f>
        <v>Array, Dynamic Programming, Sliding Window, </v>
      </c>
      <c r="I566" s="10" t="str">
        <f>Github!E$1032</f>
        <v>Medium</v>
      </c>
      <c r="J566" s="10" t="str">
        <f>IF(TRIM(Github!D$1032)="TRUE","FALSE","TRUE")</f>
        <v>TRUE</v>
      </c>
      <c r="K566" s="10" t="b">
        <f>Github!M$1032</f>
        <v>0</v>
      </c>
      <c r="L566" s="10" t="b">
        <f>Github!N$1032</f>
        <v>0</v>
      </c>
      <c r="M566" s="10" t="str">
        <f>ROUND(Github!O$1032, 2)&amp;"%"</f>
        <v>59.27%</v>
      </c>
      <c r="N566" s="10">
        <f>Github!P$1032</f>
        <v>49391</v>
      </c>
      <c r="O566" s="10">
        <f>Github!Q$1032</f>
        <v>83339</v>
      </c>
    </row>
    <row r="567">
      <c r="A567" s="10">
        <f>Github!J$675</f>
        <v>674</v>
      </c>
      <c r="B567" s="11" t="str">
        <f>HYPERLINK(CONCAT("http://leetcode.com/problems/",Github!C$675), Github!B$675)</f>
        <v>Longest Continuous Increasing Subsequence</v>
      </c>
      <c r="C567" s="10">
        <f>Github!F$675</f>
        <v>1671</v>
      </c>
      <c r="D567" s="10">
        <f>Github!G$675</f>
        <v>164</v>
      </c>
      <c r="E567" s="10">
        <f>Github!F$675+Github!G$675</f>
        <v>1835</v>
      </c>
      <c r="F567" s="12">
        <f t="shared" si="1"/>
        <v>10.19</v>
      </c>
      <c r="G567" s="10" t="str">
        <f>Github!H$675</f>
        <v>Algorithms</v>
      </c>
      <c r="H567" s="13" t="str">
        <f>SUBSTITUTE(Github!L$675, ";", ", ")</f>
        <v>Array, </v>
      </c>
      <c r="I567" s="10" t="str">
        <f>Github!E$675</f>
        <v>Easy</v>
      </c>
      <c r="J567" s="10" t="str">
        <f>IF(TRIM(Github!D$675)="TRUE","FALSE","TRUE")</f>
        <v>TRUE</v>
      </c>
      <c r="K567" s="10" t="b">
        <f>Github!M$675</f>
        <v>1</v>
      </c>
      <c r="L567" s="10" t="b">
        <f>Github!N$675</f>
        <v>0</v>
      </c>
      <c r="M567" s="10" t="str">
        <f>ROUND(Github!O$675, 2)&amp;"%"</f>
        <v>48.39%</v>
      </c>
      <c r="N567" s="10">
        <f>Github!P$675</f>
        <v>191659</v>
      </c>
      <c r="O567" s="10">
        <f>Github!Q$675</f>
        <v>396045</v>
      </c>
    </row>
    <row r="568">
      <c r="A568" s="10">
        <f>Github!J$658</f>
        <v>657</v>
      </c>
      <c r="B568" s="11" t="str">
        <f>HYPERLINK(CONCAT("http://leetcode.com/problems/",Github!C$658), Github!B$658)</f>
        <v>Robot Return to Origin</v>
      </c>
      <c r="C568" s="10">
        <f>Github!F$658</f>
        <v>1671</v>
      </c>
      <c r="D568" s="10">
        <f>Github!G$658</f>
        <v>713</v>
      </c>
      <c r="E568" s="10">
        <f>Github!F$658+Github!G$658</f>
        <v>2384</v>
      </c>
      <c r="F568" s="12">
        <f t="shared" si="1"/>
        <v>2.34</v>
      </c>
      <c r="G568" s="10" t="str">
        <f>Github!H$658</f>
        <v>Algorithms</v>
      </c>
      <c r="H568" s="13" t="str">
        <f>SUBSTITUTE(Github!L$658, ";", ", ")</f>
        <v>String, Simulation, </v>
      </c>
      <c r="I568" s="10" t="str">
        <f>Github!E$658</f>
        <v>Easy</v>
      </c>
      <c r="J568" s="10" t="str">
        <f>IF(TRIM(Github!D$658)="TRUE","FALSE","TRUE")</f>
        <v>TRUE</v>
      </c>
      <c r="K568" s="10" t="b">
        <f>Github!M$658</f>
        <v>1</v>
      </c>
      <c r="L568" s="10" t="b">
        <f>Github!N$658</f>
        <v>0</v>
      </c>
      <c r="M568" s="10" t="str">
        <f>ROUND(Github!O$658, 2)&amp;"%"</f>
        <v>75.04%</v>
      </c>
      <c r="N568" s="10">
        <f>Github!P$658</f>
        <v>327745</v>
      </c>
      <c r="O568" s="10">
        <f>Github!Q$658</f>
        <v>436743</v>
      </c>
    </row>
    <row r="569">
      <c r="A569" s="10">
        <f>Github!J$384</f>
        <v>383</v>
      </c>
      <c r="B569" s="11" t="str">
        <f>HYPERLINK(CONCAT("http://leetcode.com/problems/",Github!C$384), Github!B$384)</f>
        <v>Ransom Note</v>
      </c>
      <c r="C569" s="10">
        <f>Github!F$384</f>
        <v>1670</v>
      </c>
      <c r="D569" s="10">
        <f>Github!G$384</f>
        <v>303</v>
      </c>
      <c r="E569" s="10">
        <f>Github!F$384+Github!G$384</f>
        <v>1973</v>
      </c>
      <c r="F569" s="12">
        <f t="shared" si="1"/>
        <v>5.51</v>
      </c>
      <c r="G569" s="10" t="str">
        <f>Github!H$384</f>
        <v>Algorithms</v>
      </c>
      <c r="H569" s="13" t="str">
        <f>SUBSTITUTE(Github!L$384, ";", ", ")</f>
        <v>Hash Table, String, Counting, </v>
      </c>
      <c r="I569" s="10" t="str">
        <f>Github!E$384</f>
        <v>Easy</v>
      </c>
      <c r="J569" s="10" t="str">
        <f>IF(TRIM(Github!D$384)="TRUE","FALSE","TRUE")</f>
        <v>TRUE</v>
      </c>
      <c r="K569" s="10" t="b">
        <f>Github!M$384</f>
        <v>1</v>
      </c>
      <c r="L569" s="10" t="b">
        <f>Github!N$384</f>
        <v>0</v>
      </c>
      <c r="M569" s="10" t="str">
        <f>ROUND(Github!O$384, 2)&amp;"%"</f>
        <v>55.82%</v>
      </c>
      <c r="N569" s="10">
        <f>Github!P$384</f>
        <v>374383</v>
      </c>
      <c r="O569" s="10">
        <f>Github!Q$384</f>
        <v>670733</v>
      </c>
    </row>
    <row r="570">
      <c r="A570" s="10">
        <f>Github!J$1315</f>
        <v>1314</v>
      </c>
      <c r="B570" s="11" t="str">
        <f>HYPERLINK(CONCAT("http://leetcode.com/problems/",Github!C$1315), Github!B$1315)</f>
        <v>Matrix Block Sum</v>
      </c>
      <c r="C570" s="10">
        <f>Github!F$1315</f>
        <v>1661</v>
      </c>
      <c r="D570" s="10">
        <f>Github!G$1315</f>
        <v>262</v>
      </c>
      <c r="E570" s="10">
        <f>Github!F$1315+Github!G$1315</f>
        <v>1923</v>
      </c>
      <c r="F570" s="12">
        <f t="shared" si="1"/>
        <v>6.34</v>
      </c>
      <c r="G570" s="10" t="str">
        <f>Github!H$1315</f>
        <v>Algorithms</v>
      </c>
      <c r="H570" s="13" t="str">
        <f>SUBSTITUTE(Github!L$1315, ";", ", ")</f>
        <v>Array, Matrix, Prefix Sum, </v>
      </c>
      <c r="I570" s="10" t="str">
        <f>Github!E$1315</f>
        <v>Medium</v>
      </c>
      <c r="J570" s="10" t="str">
        <f>IF(TRIM(Github!D$1315)="TRUE","FALSE","TRUE")</f>
        <v>TRUE</v>
      </c>
      <c r="K570" s="10" t="b">
        <f>Github!M$1315</f>
        <v>0</v>
      </c>
      <c r="L570" s="10" t="b">
        <f>Github!N$1315</f>
        <v>0</v>
      </c>
      <c r="M570" s="10" t="str">
        <f>ROUND(Github!O$1315, 2)&amp;"%"</f>
        <v>75.17%</v>
      </c>
      <c r="N570" s="10">
        <f>Github!P$1315</f>
        <v>59400</v>
      </c>
      <c r="O570" s="10">
        <f>Github!Q$1315</f>
        <v>79022</v>
      </c>
    </row>
    <row r="571">
      <c r="A571" s="10">
        <f>Github!J$873</f>
        <v>872</v>
      </c>
      <c r="B571" s="11" t="str">
        <f>HYPERLINK(CONCAT("http://leetcode.com/problems/",Github!C$873), Github!B$873)</f>
        <v>Leaf-Similar Trees</v>
      </c>
      <c r="C571" s="10">
        <f>Github!F$873</f>
        <v>1666</v>
      </c>
      <c r="D571" s="10">
        <f>Github!G$873</f>
        <v>55</v>
      </c>
      <c r="E571" s="10">
        <f>Github!F$873+Github!G$873</f>
        <v>1721</v>
      </c>
      <c r="F571" s="12">
        <f t="shared" si="1"/>
        <v>30.29</v>
      </c>
      <c r="G571" s="10" t="str">
        <f>Github!H$873</f>
        <v>Algorithms</v>
      </c>
      <c r="H571" s="13" t="str">
        <f>SUBSTITUTE(Github!L$873, ";", ", ")</f>
        <v>Tree, Depth-First Search, Binary Tree, </v>
      </c>
      <c r="I571" s="10" t="str">
        <f>Github!E$873</f>
        <v>Easy</v>
      </c>
      <c r="J571" s="10" t="str">
        <f>IF(TRIM(Github!D$873)="TRUE","FALSE","TRUE")</f>
        <v>TRUE</v>
      </c>
      <c r="K571" s="10" t="b">
        <f>Github!M$873</f>
        <v>1</v>
      </c>
      <c r="L571" s="10" t="b">
        <f>Github!N$873</f>
        <v>0</v>
      </c>
      <c r="M571" s="10" t="str">
        <f>ROUND(Github!O$873, 2)&amp;"%"</f>
        <v>64.96%</v>
      </c>
      <c r="N571" s="10">
        <f>Github!P$873</f>
        <v>163390</v>
      </c>
      <c r="O571" s="10">
        <f>Github!Q$873</f>
        <v>251523</v>
      </c>
    </row>
    <row r="572">
      <c r="A572" s="10">
        <f>Github!J$623</f>
        <v>622</v>
      </c>
      <c r="B572" s="11" t="str">
        <f>HYPERLINK(CONCAT("http://leetcode.com/problems/",Github!C$623), Github!B$623)</f>
        <v>Design Circular Queue</v>
      </c>
      <c r="C572" s="10">
        <f>Github!F$623</f>
        <v>1659</v>
      </c>
      <c r="D572" s="10">
        <f>Github!G$623</f>
        <v>171</v>
      </c>
      <c r="E572" s="10">
        <f>Github!F$623+Github!G$623</f>
        <v>1830</v>
      </c>
      <c r="F572" s="12">
        <f t="shared" si="1"/>
        <v>9.7</v>
      </c>
      <c r="G572" s="10" t="str">
        <f>Github!H$623</f>
        <v>Algorithms</v>
      </c>
      <c r="H572" s="13" t="str">
        <f>SUBSTITUTE(Github!L$623, ";", ", ")</f>
        <v>Array, Linked List, Design, Queue, </v>
      </c>
      <c r="I572" s="10" t="str">
        <f>Github!E$623</f>
        <v>Medium</v>
      </c>
      <c r="J572" s="10" t="str">
        <f>IF(TRIM(Github!D$623)="TRUE","FALSE","TRUE")</f>
        <v>TRUE</v>
      </c>
      <c r="K572" s="10" t="b">
        <f>Github!M$623</f>
        <v>1</v>
      </c>
      <c r="L572" s="10" t="b">
        <f>Github!N$623</f>
        <v>0</v>
      </c>
      <c r="M572" s="10" t="str">
        <f>ROUND(Github!O$623, 2)&amp;"%"</f>
        <v>48.67%</v>
      </c>
      <c r="N572" s="10">
        <f>Github!P$623</f>
        <v>172191</v>
      </c>
      <c r="O572" s="10">
        <f>Github!Q$623</f>
        <v>353801</v>
      </c>
    </row>
    <row r="573">
      <c r="A573" s="10">
        <f>Github!J$943</f>
        <v>942</v>
      </c>
      <c r="B573" s="11" t="str">
        <f>HYPERLINK(CONCAT("http://leetcode.com/problems/",Github!C$943), Github!B$943)</f>
        <v>DI String Match</v>
      </c>
      <c r="C573" s="10">
        <f>Github!F$943</f>
        <v>1660</v>
      </c>
      <c r="D573" s="10">
        <f>Github!G$943</f>
        <v>659</v>
      </c>
      <c r="E573" s="10">
        <f>Github!F$943+Github!G$943</f>
        <v>2319</v>
      </c>
      <c r="F573" s="12">
        <f t="shared" si="1"/>
        <v>2.52</v>
      </c>
      <c r="G573" s="10" t="str">
        <f>Github!H$943</f>
        <v>Algorithms</v>
      </c>
      <c r="H573" s="13" t="str">
        <f>SUBSTITUTE(Github!L$943, ";", ", ")</f>
        <v>Array, Math, Two Pointers, String, Greedy, </v>
      </c>
      <c r="I573" s="10" t="str">
        <f>Github!E$943</f>
        <v>Easy</v>
      </c>
      <c r="J573" s="10" t="str">
        <f>IF(TRIM(Github!D$943)="TRUE","FALSE","TRUE")</f>
        <v>TRUE</v>
      </c>
      <c r="K573" s="10" t="b">
        <f>Github!M$943</f>
        <v>1</v>
      </c>
      <c r="L573" s="10" t="b">
        <f>Github!N$943</f>
        <v>0</v>
      </c>
      <c r="M573" s="10" t="str">
        <f>ROUND(Github!O$943, 2)&amp;"%"</f>
        <v>75.82%</v>
      </c>
      <c r="N573" s="10">
        <f>Github!P$943</f>
        <v>105772</v>
      </c>
      <c r="O573" s="10">
        <f>Github!Q$943</f>
        <v>139506</v>
      </c>
    </row>
    <row r="574">
      <c r="A574" s="10">
        <f>Github!J$938</f>
        <v>937</v>
      </c>
      <c r="B574" s="11" t="str">
        <f>HYPERLINK(CONCAT("http://leetcode.com/problems/",Github!C$938), Github!B$938)</f>
        <v>Reorder Data in Log Files</v>
      </c>
      <c r="C574" s="10">
        <f>Github!F$938</f>
        <v>1657</v>
      </c>
      <c r="D574" s="10">
        <f>Github!G$938</f>
        <v>3873</v>
      </c>
      <c r="E574" s="10">
        <f>Github!F$938+Github!G$938</f>
        <v>5530</v>
      </c>
      <c r="F574" s="12">
        <f t="shared" si="1"/>
        <v>0.43</v>
      </c>
      <c r="G574" s="10" t="str">
        <f>Github!H$938</f>
        <v>Algorithms</v>
      </c>
      <c r="H574" s="13" t="str">
        <f>SUBSTITUTE(Github!L$938, ";", ", ")</f>
        <v>Array, String, Sorting, </v>
      </c>
      <c r="I574" s="10" t="str">
        <f>Github!E$938</f>
        <v>Easy</v>
      </c>
      <c r="J574" s="10" t="str">
        <f>IF(TRIM(Github!D$938)="TRUE","FALSE","TRUE")</f>
        <v>TRUE</v>
      </c>
      <c r="K574" s="10" t="b">
        <f>Github!M$938</f>
        <v>1</v>
      </c>
      <c r="L574" s="10" t="b">
        <f>Github!N$938</f>
        <v>0</v>
      </c>
      <c r="M574" s="10" t="str">
        <f>ROUND(Github!O$938, 2)&amp;"%"</f>
        <v>55.98%</v>
      </c>
      <c r="N574" s="10">
        <f>Github!P$938</f>
        <v>294301</v>
      </c>
      <c r="O574" s="10">
        <f>Github!Q$938</f>
        <v>525695</v>
      </c>
    </row>
    <row r="575">
      <c r="A575" s="10">
        <f>Github!J$1045</f>
        <v>1044</v>
      </c>
      <c r="B575" s="11" t="str">
        <f>HYPERLINK(CONCAT("http://leetcode.com/problems/",Github!C$1045), Github!B$1045)</f>
        <v>Longest Duplicate Substring</v>
      </c>
      <c r="C575" s="10">
        <f>Github!F$1045</f>
        <v>1656</v>
      </c>
      <c r="D575" s="10">
        <f>Github!G$1045</f>
        <v>323</v>
      </c>
      <c r="E575" s="10">
        <f>Github!F$1045+Github!G$1045</f>
        <v>1979</v>
      </c>
      <c r="F575" s="12">
        <f t="shared" si="1"/>
        <v>5.13</v>
      </c>
      <c r="G575" s="10" t="str">
        <f>Github!H$1045</f>
        <v>Algorithms</v>
      </c>
      <c r="H575" s="13" t="str">
        <f>SUBSTITUTE(Github!L$1045, ";", ", ")</f>
        <v>String, Binary Search, Sliding Window, Rolling Hash, Suffix Array, Hash Function, </v>
      </c>
      <c r="I575" s="10" t="str">
        <f>Github!E$1045</f>
        <v>Hard</v>
      </c>
      <c r="J575" s="10" t="str">
        <f>IF(TRIM(Github!D$1045)="TRUE","FALSE","TRUE")</f>
        <v>TRUE</v>
      </c>
      <c r="K575" s="10" t="b">
        <f>Github!M$1045</f>
        <v>1</v>
      </c>
      <c r="L575" s="10" t="b">
        <f>Github!N$1045</f>
        <v>0</v>
      </c>
      <c r="M575" s="10" t="str">
        <f>ROUND(Github!O$1045, 2)&amp;"%"</f>
        <v>31.19%</v>
      </c>
      <c r="N575" s="10">
        <f>Github!P$1045</f>
        <v>52905</v>
      </c>
      <c r="O575" s="10">
        <f>Github!Q$1045</f>
        <v>169642</v>
      </c>
    </row>
    <row r="576">
      <c r="A576" s="10">
        <f>Github!J$1123</f>
        <v>1122</v>
      </c>
      <c r="B576" s="11" t="str">
        <f>HYPERLINK(CONCAT("http://leetcode.com/problems/",Github!C$1123), Github!B$1123)</f>
        <v>Relative Sort Array</v>
      </c>
      <c r="C576" s="10">
        <f>Github!F$1123</f>
        <v>1647</v>
      </c>
      <c r="D576" s="10">
        <f>Github!G$1123</f>
        <v>98</v>
      </c>
      <c r="E576" s="10">
        <f>Github!F$1123+Github!G$1123</f>
        <v>1745</v>
      </c>
      <c r="F576" s="12">
        <f t="shared" si="1"/>
        <v>16.81</v>
      </c>
      <c r="G576" s="10" t="str">
        <f>Github!H$1123</f>
        <v>Algorithms</v>
      </c>
      <c r="H576" s="13" t="str">
        <f>SUBSTITUTE(Github!L$1123, ";", ", ")</f>
        <v>Array, Hash Table, Sorting, Counting Sort, </v>
      </c>
      <c r="I576" s="10" t="str">
        <f>Github!E$1123</f>
        <v>Easy</v>
      </c>
      <c r="J576" s="10" t="str">
        <f>IF(TRIM(Github!D$1123)="TRUE","FALSE","TRUE")</f>
        <v>TRUE</v>
      </c>
      <c r="K576" s="10" t="b">
        <f>Github!M$1123</f>
        <v>0</v>
      </c>
      <c r="L576" s="10" t="b">
        <f>Github!N$1123</f>
        <v>0</v>
      </c>
      <c r="M576" s="10" t="str">
        <f>ROUND(Github!O$1123, 2)&amp;"%"</f>
        <v>68.16%</v>
      </c>
      <c r="N576" s="10">
        <f>Github!P$1123</f>
        <v>124263</v>
      </c>
      <c r="O576" s="10">
        <f>Github!Q$1123</f>
        <v>182316</v>
      </c>
    </row>
    <row r="577">
      <c r="A577" s="10">
        <f>Github!J$1643</f>
        <v>1642</v>
      </c>
      <c r="B577" s="11" t="str">
        <f>HYPERLINK(CONCAT("http://leetcode.com/problems/",Github!C$1643), Github!B$1643)</f>
        <v>Furthest Building You Can Reach</v>
      </c>
      <c r="C577" s="10">
        <f>Github!F$1643</f>
        <v>1652</v>
      </c>
      <c r="D577" s="10">
        <f>Github!G$1643</f>
        <v>49</v>
      </c>
      <c r="E577" s="10">
        <f>Github!F$1643+Github!G$1643</f>
        <v>1701</v>
      </c>
      <c r="F577" s="12">
        <f t="shared" si="1"/>
        <v>33.71</v>
      </c>
      <c r="G577" s="10" t="str">
        <f>Github!H$1643</f>
        <v>Algorithms</v>
      </c>
      <c r="H577" s="13" t="str">
        <f>SUBSTITUTE(Github!L$1643, ";", ", ")</f>
        <v>Array, Greedy, Heap (Priority Queue), </v>
      </c>
      <c r="I577" s="10" t="str">
        <f>Github!E$1643</f>
        <v>Medium</v>
      </c>
      <c r="J577" s="10" t="str">
        <f>IF(TRIM(Github!D$1643)="TRUE","FALSE","TRUE")</f>
        <v>TRUE</v>
      </c>
      <c r="K577" s="10" t="b">
        <f>Github!M$1643</f>
        <v>1</v>
      </c>
      <c r="L577" s="10" t="b">
        <f>Github!N$1643</f>
        <v>0</v>
      </c>
      <c r="M577" s="10" t="str">
        <f>ROUND(Github!O$1643, 2)&amp;"%"</f>
        <v>45.05%</v>
      </c>
      <c r="N577" s="10">
        <f>Github!P$1643</f>
        <v>47866</v>
      </c>
      <c r="O577" s="10">
        <f>Github!Q$1643</f>
        <v>106245</v>
      </c>
    </row>
    <row r="578">
      <c r="A578" s="10">
        <f>Github!J$1147</f>
        <v>1146</v>
      </c>
      <c r="B578" s="11" t="str">
        <f>HYPERLINK(CONCAT("http://leetcode.com/problems/",Github!C$1147), Github!B$1147)</f>
        <v>Snapshot Array</v>
      </c>
      <c r="C578" s="10">
        <f>Github!F$1147</f>
        <v>1659</v>
      </c>
      <c r="D578" s="10">
        <f>Github!G$1147</f>
        <v>250</v>
      </c>
      <c r="E578" s="10">
        <f>Github!F$1147+Github!G$1147</f>
        <v>1909</v>
      </c>
      <c r="F578" s="12">
        <f t="shared" si="1"/>
        <v>6.64</v>
      </c>
      <c r="G578" s="10" t="str">
        <f>Github!H$1147</f>
        <v>Algorithms</v>
      </c>
      <c r="H578" s="13" t="str">
        <f>SUBSTITUTE(Github!L$1147, ";", ", ")</f>
        <v>Array, Hash Table, Binary Search, Design, </v>
      </c>
      <c r="I578" s="10" t="str">
        <f>Github!E$1147</f>
        <v>Medium</v>
      </c>
      <c r="J578" s="10" t="str">
        <f>IF(TRIM(Github!D$1147)="TRUE","FALSE","TRUE")</f>
        <v>TRUE</v>
      </c>
      <c r="K578" s="10" t="b">
        <f>Github!M$1147</f>
        <v>0</v>
      </c>
      <c r="L578" s="10" t="b">
        <f>Github!N$1147</f>
        <v>0</v>
      </c>
      <c r="M578" s="10" t="str">
        <f>ROUND(Github!O$1147, 2)&amp;"%"</f>
        <v>36.92%</v>
      </c>
      <c r="N578" s="10">
        <f>Github!P$1147</f>
        <v>107751</v>
      </c>
      <c r="O578" s="10">
        <f>Github!Q$1147</f>
        <v>291848</v>
      </c>
    </row>
    <row r="579">
      <c r="A579" s="10">
        <f>Github!J$326</f>
        <v>325</v>
      </c>
      <c r="B579" s="11" t="str">
        <f>HYPERLINK(CONCAT("http://leetcode.com/problems/",Github!C$326), Github!B$326)</f>
        <v>Maximum Size Subarray Sum Equals k</v>
      </c>
      <c r="C579" s="10">
        <f>Github!F$326</f>
        <v>1638</v>
      </c>
      <c r="D579" s="10">
        <f>Github!G$326</f>
        <v>47</v>
      </c>
      <c r="E579" s="10">
        <f>Github!F$326+Github!G$326</f>
        <v>1685</v>
      </c>
      <c r="F579" s="12">
        <f t="shared" si="1"/>
        <v>34.85</v>
      </c>
      <c r="G579" s="10" t="str">
        <f>Github!H$326</f>
        <v>Algorithms</v>
      </c>
      <c r="H579" s="13" t="str">
        <f>SUBSTITUTE(Github!L$326, ";", ", ")</f>
        <v>Array, Hash Table, </v>
      </c>
      <c r="I579" s="10" t="str">
        <f>Github!E$326</f>
        <v>Medium</v>
      </c>
      <c r="J579" s="10" t="str">
        <f>IF(TRIM(Github!D$326)="TRUE","FALSE","TRUE")</f>
        <v>FALSE</v>
      </c>
      <c r="K579" s="10" t="b">
        <f>Github!M$326</f>
        <v>1</v>
      </c>
      <c r="L579" s="10" t="b">
        <f>Github!N$326</f>
        <v>0</v>
      </c>
      <c r="M579" s="10" t="str">
        <f>ROUND(Github!O$326, 2)&amp;"%"</f>
        <v>49.14%</v>
      </c>
      <c r="N579" s="10">
        <f>Github!P$326</f>
        <v>154124</v>
      </c>
      <c r="O579" s="10">
        <f>Github!Q$326</f>
        <v>313639</v>
      </c>
    </row>
    <row r="580">
      <c r="A580" s="10">
        <f>Github!J$349</f>
        <v>348</v>
      </c>
      <c r="B580" s="11" t="str">
        <f>HYPERLINK(CONCAT("http://leetcode.com/problems/",Github!C$349), Github!B$349)</f>
        <v>Design Tic-Tac-Toe</v>
      </c>
      <c r="C580" s="10">
        <f>Github!F$349</f>
        <v>1644</v>
      </c>
      <c r="D580" s="10">
        <f>Github!G$349</f>
        <v>97</v>
      </c>
      <c r="E580" s="10">
        <f>Github!F$349+Github!G$349</f>
        <v>1741</v>
      </c>
      <c r="F580" s="12">
        <f t="shared" si="1"/>
        <v>16.95</v>
      </c>
      <c r="G580" s="10" t="str">
        <f>Github!H$349</f>
        <v>Algorithms</v>
      </c>
      <c r="H580" s="13" t="str">
        <f>SUBSTITUTE(Github!L$349, ";", ", ")</f>
        <v>Array, Hash Table, Design, Matrix, </v>
      </c>
      <c r="I580" s="10" t="str">
        <f>Github!E$349</f>
        <v>Medium</v>
      </c>
      <c r="J580" s="10" t="str">
        <f>IF(TRIM(Github!D$349)="TRUE","FALSE","TRUE")</f>
        <v>FALSE</v>
      </c>
      <c r="K580" s="10" t="b">
        <f>Github!M$349</f>
        <v>1</v>
      </c>
      <c r="L580" s="10" t="b">
        <f>Github!N$349</f>
        <v>0</v>
      </c>
      <c r="M580" s="10" t="str">
        <f>ROUND(Github!O$349, 2)&amp;"%"</f>
        <v>57.25%</v>
      </c>
      <c r="N580" s="10">
        <f>Github!P$349</f>
        <v>180983</v>
      </c>
      <c r="O580" s="10">
        <f>Github!Q$349</f>
        <v>316107</v>
      </c>
    </row>
    <row r="581">
      <c r="A581" s="10">
        <f>Github!J$839</f>
        <v>838</v>
      </c>
      <c r="B581" s="11" t="str">
        <f>HYPERLINK(CONCAT("http://leetcode.com/problems/",Github!C$839), Github!B$839)</f>
        <v>Push Dominoes</v>
      </c>
      <c r="C581" s="10">
        <f>Github!F$839</f>
        <v>1640</v>
      </c>
      <c r="D581" s="10">
        <f>Github!G$839</f>
        <v>111</v>
      </c>
      <c r="E581" s="10">
        <f>Github!F$839+Github!G$839</f>
        <v>1751</v>
      </c>
      <c r="F581" s="12">
        <f t="shared" si="1"/>
        <v>14.77</v>
      </c>
      <c r="G581" s="10" t="str">
        <f>Github!H$839</f>
        <v>Algorithms</v>
      </c>
      <c r="H581" s="13" t="str">
        <f>SUBSTITUTE(Github!L$839, ";", ", ")</f>
        <v>Two Pointers, String, Dynamic Programming, </v>
      </c>
      <c r="I581" s="10" t="str">
        <f>Github!E$839</f>
        <v>Medium</v>
      </c>
      <c r="J581" s="10" t="str">
        <f>IF(TRIM(Github!D$839)="TRUE","FALSE","TRUE")</f>
        <v>TRUE</v>
      </c>
      <c r="K581" s="10" t="b">
        <f>Github!M$839</f>
        <v>1</v>
      </c>
      <c r="L581" s="10" t="b">
        <f>Github!N$839</f>
        <v>0</v>
      </c>
      <c r="M581" s="10" t="str">
        <f>ROUND(Github!O$839, 2)&amp;"%"</f>
        <v>52.33%</v>
      </c>
      <c r="N581" s="10">
        <f>Github!P$839</f>
        <v>57740</v>
      </c>
      <c r="O581" s="10">
        <f>Github!Q$839</f>
        <v>110340</v>
      </c>
    </row>
    <row r="582">
      <c r="A582" s="10">
        <f>Github!J$415</f>
        <v>414</v>
      </c>
      <c r="B582" s="11" t="str">
        <f>HYPERLINK(CONCAT("http://leetcode.com/problems/",Github!C$415), Github!B$415)</f>
        <v>Third Maximum Number</v>
      </c>
      <c r="C582" s="10">
        <f>Github!F$415</f>
        <v>1645</v>
      </c>
      <c r="D582" s="10">
        <f>Github!G$415</f>
        <v>2286</v>
      </c>
      <c r="E582" s="10">
        <f>Github!F$415+Github!G$415</f>
        <v>3931</v>
      </c>
      <c r="F582" s="12">
        <f t="shared" si="1"/>
        <v>0.72</v>
      </c>
      <c r="G582" s="10" t="str">
        <f>Github!H$415</f>
        <v>Algorithms</v>
      </c>
      <c r="H582" s="13" t="str">
        <f>SUBSTITUTE(Github!L$415, ";", ", ")</f>
        <v>Array, Sorting, </v>
      </c>
      <c r="I582" s="10" t="str">
        <f>Github!E$415</f>
        <v>Easy</v>
      </c>
      <c r="J582" s="10" t="str">
        <f>IF(TRIM(Github!D$415)="TRUE","FALSE","TRUE")</f>
        <v>TRUE</v>
      </c>
      <c r="K582" s="10" t="b">
        <f>Github!M$415</f>
        <v>1</v>
      </c>
      <c r="L582" s="10" t="b">
        <f>Github!N$415</f>
        <v>0</v>
      </c>
      <c r="M582" s="10" t="str">
        <f>ROUND(Github!O$415, 2)&amp;"%"</f>
        <v>31.81%</v>
      </c>
      <c r="N582" s="10">
        <f>Github!P$415</f>
        <v>322568</v>
      </c>
      <c r="O582" s="10">
        <f>Github!Q$415</f>
        <v>1013927</v>
      </c>
    </row>
    <row r="583">
      <c r="A583" s="10">
        <f>Github!J$1036</f>
        <v>1035</v>
      </c>
      <c r="B583" s="11" t="str">
        <f>HYPERLINK(CONCAT("http://leetcode.com/problems/",Github!C$1036), Github!B$1036)</f>
        <v>Uncrossed Lines</v>
      </c>
      <c r="C583" s="10">
        <f>Github!F$1036</f>
        <v>1636</v>
      </c>
      <c r="D583" s="10">
        <f>Github!G$1036</f>
        <v>28</v>
      </c>
      <c r="E583" s="10">
        <f>Github!F$1036+Github!G$1036</f>
        <v>1664</v>
      </c>
      <c r="F583" s="12">
        <f t="shared" si="1"/>
        <v>58.43</v>
      </c>
      <c r="G583" s="10" t="str">
        <f>Github!H$1036</f>
        <v>Algorithms</v>
      </c>
      <c r="H583" s="13" t="str">
        <f>SUBSTITUTE(Github!L$1036, ";", ", ")</f>
        <v>Array, Dynamic Programming, </v>
      </c>
      <c r="I583" s="10" t="str">
        <f>Github!E$1036</f>
        <v>Medium</v>
      </c>
      <c r="J583" s="10" t="str">
        <f>IF(TRIM(Github!D$1036)="TRUE","FALSE","TRUE")</f>
        <v>TRUE</v>
      </c>
      <c r="K583" s="10" t="b">
        <f>Github!M$1036</f>
        <v>0</v>
      </c>
      <c r="L583" s="10" t="b">
        <f>Github!N$1036</f>
        <v>0</v>
      </c>
      <c r="M583" s="10" t="str">
        <f>ROUND(Github!O$1036, 2)&amp;"%"</f>
        <v>57.91%</v>
      </c>
      <c r="N583" s="10">
        <f>Github!P$1036</f>
        <v>67236</v>
      </c>
      <c r="O583" s="10">
        <f>Github!Q$1036</f>
        <v>116105</v>
      </c>
    </row>
    <row r="584">
      <c r="A584" s="10">
        <f>Github!J$1090</f>
        <v>1089</v>
      </c>
      <c r="B584" s="11" t="str">
        <f>HYPERLINK(CONCAT("http://leetcode.com/problems/",Github!C$1090), Github!B$1090)</f>
        <v>Duplicate Zeros</v>
      </c>
      <c r="C584" s="10">
        <f>Github!F$1090</f>
        <v>1636</v>
      </c>
      <c r="D584" s="10">
        <f>Github!G$1090</f>
        <v>527</v>
      </c>
      <c r="E584" s="10">
        <f>Github!F$1090+Github!G$1090</f>
        <v>2163</v>
      </c>
      <c r="F584" s="12">
        <f t="shared" si="1"/>
        <v>3.1</v>
      </c>
      <c r="G584" s="10" t="str">
        <f>Github!H$1090</f>
        <v>Algorithms</v>
      </c>
      <c r="H584" s="13" t="str">
        <f>SUBSTITUTE(Github!L$1090, ";", ", ")</f>
        <v>Array, Two Pointers, </v>
      </c>
      <c r="I584" s="10" t="str">
        <f>Github!E$1090</f>
        <v>Easy</v>
      </c>
      <c r="J584" s="10" t="str">
        <f>IF(TRIM(Github!D$1090)="TRUE","FALSE","TRUE")</f>
        <v>TRUE</v>
      </c>
      <c r="K584" s="10" t="b">
        <f>Github!M$1090</f>
        <v>1</v>
      </c>
      <c r="L584" s="10" t="b">
        <f>Github!N$1090</f>
        <v>0</v>
      </c>
      <c r="M584" s="10" t="str">
        <f>ROUND(Github!O$1090, 2)&amp;"%"</f>
        <v>51.12%</v>
      </c>
      <c r="N584" s="10">
        <f>Github!P$1090</f>
        <v>263757</v>
      </c>
      <c r="O584" s="10">
        <f>Github!Q$1090</f>
        <v>515963</v>
      </c>
    </row>
    <row r="585">
      <c r="A585" s="10">
        <f>Github!J$1082</f>
        <v>1081</v>
      </c>
      <c r="B585" s="11" t="str">
        <f>HYPERLINK(CONCAT("http://leetcode.com/problems/",Github!C$1082), Github!B$1082)</f>
        <v>Smallest Subsequence of Distinct Characters</v>
      </c>
      <c r="C585" s="10">
        <f>Github!F$1082</f>
        <v>1628</v>
      </c>
      <c r="D585" s="10">
        <f>Github!G$1082</f>
        <v>143</v>
      </c>
      <c r="E585" s="10">
        <f>Github!F$1082+Github!G$1082</f>
        <v>1771</v>
      </c>
      <c r="F585" s="12">
        <f t="shared" si="1"/>
        <v>11.38</v>
      </c>
      <c r="G585" s="10" t="str">
        <f>Github!H$1082</f>
        <v>Algorithms</v>
      </c>
      <c r="H585" s="13" t="str">
        <f>SUBSTITUTE(Github!L$1082, ";", ", ")</f>
        <v>String, Stack, Greedy, Monotonic Stack, </v>
      </c>
      <c r="I585" s="10" t="str">
        <f>Github!E$1082</f>
        <v>Medium</v>
      </c>
      <c r="J585" s="10" t="str">
        <f>IF(TRIM(Github!D$1082)="TRUE","FALSE","TRUE")</f>
        <v>TRUE</v>
      </c>
      <c r="K585" s="10" t="b">
        <f>Github!M$1082</f>
        <v>0</v>
      </c>
      <c r="L585" s="10" t="b">
        <f>Github!N$1082</f>
        <v>0</v>
      </c>
      <c r="M585" s="10" t="str">
        <f>ROUND(Github!O$1082, 2)&amp;"%"</f>
        <v>56.86%</v>
      </c>
      <c r="N585" s="10">
        <f>Github!P$1082</f>
        <v>38399</v>
      </c>
      <c r="O585" s="10">
        <f>Github!Q$1082</f>
        <v>67532</v>
      </c>
    </row>
    <row r="586">
      <c r="A586" s="10">
        <f>Github!J$478</f>
        <v>477</v>
      </c>
      <c r="B586" s="11" t="str">
        <f>HYPERLINK(CONCAT("http://leetcode.com/problems/",Github!C$478), Github!B$478)</f>
        <v>Total Hamming Distance</v>
      </c>
      <c r="C586" s="10">
        <f>Github!F$478</f>
        <v>1625</v>
      </c>
      <c r="D586" s="10">
        <f>Github!G$478</f>
        <v>80</v>
      </c>
      <c r="E586" s="10">
        <f>Github!F$478+Github!G$478</f>
        <v>1705</v>
      </c>
      <c r="F586" s="12">
        <f t="shared" si="1"/>
        <v>20.31</v>
      </c>
      <c r="G586" s="10" t="str">
        <f>Github!H$478</f>
        <v>Algorithms</v>
      </c>
      <c r="H586" s="13" t="str">
        <f>SUBSTITUTE(Github!L$478, ";", ", ")</f>
        <v>Array, Math, Bit Manipulation, </v>
      </c>
      <c r="I586" s="10" t="str">
        <f>Github!E$478</f>
        <v>Medium</v>
      </c>
      <c r="J586" s="10" t="str">
        <f>IF(TRIM(Github!D$478)="TRUE","FALSE","TRUE")</f>
        <v>TRUE</v>
      </c>
      <c r="K586" s="10" t="b">
        <f>Github!M$478</f>
        <v>1</v>
      </c>
      <c r="L586" s="10" t="b">
        <f>Github!N$478</f>
        <v>0</v>
      </c>
      <c r="M586" s="10" t="str">
        <f>ROUND(Github!O$478, 2)&amp;"%"</f>
        <v>51.95%</v>
      </c>
      <c r="N586" s="10">
        <f>Github!P$478</f>
        <v>87328</v>
      </c>
      <c r="O586" s="10">
        <f>Github!Q$478</f>
        <v>168087</v>
      </c>
    </row>
    <row r="587">
      <c r="A587" s="10">
        <f>Github!J$1080</f>
        <v>1079</v>
      </c>
      <c r="B587" s="11" t="str">
        <f>HYPERLINK(CONCAT("http://leetcode.com/problems/",Github!C$1080), Github!B$1080)</f>
        <v>Letter Tile Possibilities</v>
      </c>
      <c r="C587" s="10">
        <f>Github!F$1080</f>
        <v>1623</v>
      </c>
      <c r="D587" s="10">
        <f>Github!G$1080</f>
        <v>46</v>
      </c>
      <c r="E587" s="10">
        <f>Github!F$1080+Github!G$1080</f>
        <v>1669</v>
      </c>
      <c r="F587" s="12">
        <f t="shared" si="1"/>
        <v>35.28</v>
      </c>
      <c r="G587" s="10" t="str">
        <f>Github!H$1080</f>
        <v>Algorithms</v>
      </c>
      <c r="H587" s="13" t="str">
        <f>SUBSTITUTE(Github!L$1080, ";", ", ")</f>
        <v>String, Backtracking, </v>
      </c>
      <c r="I587" s="10" t="str">
        <f>Github!E$1080</f>
        <v>Medium</v>
      </c>
      <c r="J587" s="10" t="str">
        <f>IF(TRIM(Github!D$1080)="TRUE","FALSE","TRUE")</f>
        <v>TRUE</v>
      </c>
      <c r="K587" s="10" t="b">
        <f>Github!M$1080</f>
        <v>0</v>
      </c>
      <c r="L587" s="10" t="b">
        <f>Github!N$1080</f>
        <v>0</v>
      </c>
      <c r="M587" s="10" t="str">
        <f>ROUND(Github!O$1080, 2)&amp;"%"</f>
        <v>76.19%</v>
      </c>
      <c r="N587" s="10">
        <f>Github!P$1080</f>
        <v>67467</v>
      </c>
      <c r="O587" s="10">
        <f>Github!Q$1080</f>
        <v>88549</v>
      </c>
    </row>
    <row r="588">
      <c r="A588" s="10">
        <f>Github!J$796</f>
        <v>795</v>
      </c>
      <c r="B588" s="11" t="str">
        <f>HYPERLINK(CONCAT("http://leetcode.com/problems/",Github!C$796), Github!B$796)</f>
        <v>Number of Subarrays with Bounded Maximum</v>
      </c>
      <c r="C588" s="10">
        <f>Github!F$796</f>
        <v>1614</v>
      </c>
      <c r="D588" s="10">
        <f>Github!G$796</f>
        <v>92</v>
      </c>
      <c r="E588" s="10">
        <f>Github!F$796+Github!G$796</f>
        <v>1706</v>
      </c>
      <c r="F588" s="12">
        <f t="shared" si="1"/>
        <v>17.54</v>
      </c>
      <c r="G588" s="10" t="str">
        <f>Github!H$796</f>
        <v>Algorithms</v>
      </c>
      <c r="H588" s="13" t="str">
        <f>SUBSTITUTE(Github!L$796, ";", ", ")</f>
        <v>Array, Two Pointers, </v>
      </c>
      <c r="I588" s="10" t="str">
        <f>Github!E$796</f>
        <v>Medium</v>
      </c>
      <c r="J588" s="10" t="str">
        <f>IF(TRIM(Github!D$796)="TRUE","FALSE","TRUE")</f>
        <v>TRUE</v>
      </c>
      <c r="K588" s="10" t="b">
        <f>Github!M$796</f>
        <v>1</v>
      </c>
      <c r="L588" s="10" t="b">
        <f>Github!N$796</f>
        <v>0</v>
      </c>
      <c r="M588" s="10" t="str">
        <f>ROUND(Github!O$796, 2)&amp;"%"</f>
        <v>52.38%</v>
      </c>
      <c r="N588" s="10">
        <f>Github!P$796</f>
        <v>52333</v>
      </c>
      <c r="O588" s="10">
        <f>Github!Q$796</f>
        <v>99899</v>
      </c>
    </row>
    <row r="589">
      <c r="A589" s="10">
        <f>Github!J$564</f>
        <v>563</v>
      </c>
      <c r="B589" s="11" t="str">
        <f>HYPERLINK(CONCAT("http://leetcode.com/problems/",Github!C$564), Github!B$564)</f>
        <v>Binary Tree Tilt</v>
      </c>
      <c r="C589" s="10">
        <f>Github!F$564</f>
        <v>1610</v>
      </c>
      <c r="D589" s="10">
        <f>Github!G$564</f>
        <v>1912</v>
      </c>
      <c r="E589" s="10">
        <f>Github!F$564+Github!G$564</f>
        <v>3522</v>
      </c>
      <c r="F589" s="12">
        <f t="shared" si="1"/>
        <v>0.84</v>
      </c>
      <c r="G589" s="10" t="str">
        <f>Github!H$564</f>
        <v>Algorithms</v>
      </c>
      <c r="H589" s="13" t="str">
        <f>SUBSTITUTE(Github!L$564, ";", ", ")</f>
        <v>Tree, Depth-First Search, Binary Tree, </v>
      </c>
      <c r="I589" s="10" t="str">
        <f>Github!E$564</f>
        <v>Easy</v>
      </c>
      <c r="J589" s="10" t="str">
        <f>IF(TRIM(Github!D$564)="TRUE","FALSE","TRUE")</f>
        <v>TRUE</v>
      </c>
      <c r="K589" s="10" t="b">
        <f>Github!M$564</f>
        <v>1</v>
      </c>
      <c r="L589" s="10" t="b">
        <f>Github!N$564</f>
        <v>0</v>
      </c>
      <c r="M589" s="10" t="str">
        <f>ROUND(Github!O$564, 2)&amp;"%"</f>
        <v>58.51%</v>
      </c>
      <c r="N589" s="10">
        <f>Github!P$564</f>
        <v>166033</v>
      </c>
      <c r="O589" s="10">
        <f>Github!Q$564</f>
        <v>283762</v>
      </c>
    </row>
    <row r="590">
      <c r="A590" s="10">
        <f>Github!J$858</f>
        <v>857</v>
      </c>
      <c r="B590" s="11" t="str">
        <f>HYPERLINK(CONCAT("http://leetcode.com/problems/",Github!C$858), Github!B$858)</f>
        <v>Minimum Cost to Hire K Workers</v>
      </c>
      <c r="C590" s="10">
        <f>Github!F$858</f>
        <v>1608</v>
      </c>
      <c r="D590" s="10">
        <f>Github!G$858</f>
        <v>192</v>
      </c>
      <c r="E590" s="10">
        <f>Github!F$858+Github!G$858</f>
        <v>1800</v>
      </c>
      <c r="F590" s="12">
        <f t="shared" si="1"/>
        <v>8.38</v>
      </c>
      <c r="G590" s="10" t="str">
        <f>Github!H$858</f>
        <v>Algorithms</v>
      </c>
      <c r="H590" s="13" t="str">
        <f>SUBSTITUTE(Github!L$858, ";", ", ")</f>
        <v>Array, Greedy, Sorting, Heap (Priority Queue), </v>
      </c>
      <c r="I590" s="10" t="str">
        <f>Github!E$858</f>
        <v>Hard</v>
      </c>
      <c r="J590" s="10" t="str">
        <f>IF(TRIM(Github!D$858)="TRUE","FALSE","TRUE")</f>
        <v>TRUE</v>
      </c>
      <c r="K590" s="10" t="b">
        <f>Github!M$858</f>
        <v>1</v>
      </c>
      <c r="L590" s="10" t="b">
        <f>Github!N$858</f>
        <v>0</v>
      </c>
      <c r="M590" s="10" t="str">
        <f>ROUND(Github!O$858, 2)&amp;"%"</f>
        <v>51.66%</v>
      </c>
      <c r="N590" s="10">
        <f>Github!P$858</f>
        <v>50124</v>
      </c>
      <c r="O590" s="10">
        <f>Github!Q$858</f>
        <v>97023</v>
      </c>
    </row>
    <row r="591">
      <c r="A591" s="10">
        <f>Github!J$952</f>
        <v>951</v>
      </c>
      <c r="B591" s="11" t="str">
        <f>HYPERLINK(CONCAT("http://leetcode.com/problems/",Github!C$952), Github!B$952)</f>
        <v>Flip Equivalent Binary Trees</v>
      </c>
      <c r="C591" s="10">
        <f>Github!F$952</f>
        <v>1613</v>
      </c>
      <c r="D591" s="10">
        <f>Github!G$952</f>
        <v>72</v>
      </c>
      <c r="E591" s="10">
        <f>Github!F$952+Github!G$952</f>
        <v>1685</v>
      </c>
      <c r="F591" s="12">
        <f t="shared" si="1"/>
        <v>22.4</v>
      </c>
      <c r="G591" s="10" t="str">
        <f>Github!H$952</f>
        <v>Algorithms</v>
      </c>
      <c r="H591" s="13" t="str">
        <f>SUBSTITUTE(Github!L$952, ";", ", ")</f>
        <v>Tree, Depth-First Search, Binary Tree, </v>
      </c>
      <c r="I591" s="10" t="str">
        <f>Github!E$952</f>
        <v>Medium</v>
      </c>
      <c r="J591" s="10" t="str">
        <f>IF(TRIM(Github!D$952)="TRUE","FALSE","TRUE")</f>
        <v>TRUE</v>
      </c>
      <c r="K591" s="10" t="b">
        <f>Github!M$952</f>
        <v>1</v>
      </c>
      <c r="L591" s="10" t="b">
        <f>Github!N$952</f>
        <v>0</v>
      </c>
      <c r="M591" s="10" t="str">
        <f>ROUND(Github!O$952, 2)&amp;"%"</f>
        <v>66.66%</v>
      </c>
      <c r="N591" s="10">
        <f>Github!P$952</f>
        <v>108757</v>
      </c>
      <c r="O591" s="10">
        <f>Github!Q$952</f>
        <v>163156</v>
      </c>
    </row>
    <row r="592">
      <c r="A592" s="10">
        <f>Github!J$1343</f>
        <v>1342</v>
      </c>
      <c r="B592" s="11" t="str">
        <f>HYPERLINK(CONCAT("http://leetcode.com/problems/",Github!C$1343), Github!B$1343)</f>
        <v>Number of Steps to Reduce a Number to Zero</v>
      </c>
      <c r="C592" s="10">
        <f>Github!F$1343</f>
        <v>1607</v>
      </c>
      <c r="D592" s="10">
        <f>Github!G$1343</f>
        <v>106</v>
      </c>
      <c r="E592" s="10">
        <f>Github!F$1343+Github!G$1343</f>
        <v>1713</v>
      </c>
      <c r="F592" s="12">
        <f t="shared" si="1"/>
        <v>15.16</v>
      </c>
      <c r="G592" s="10" t="str">
        <f>Github!H$1343</f>
        <v>Algorithms</v>
      </c>
      <c r="H592" s="13" t="str">
        <f>SUBSTITUTE(Github!L$1343, ";", ", ")</f>
        <v>Math, Bit Manipulation, </v>
      </c>
      <c r="I592" s="10" t="str">
        <f>Github!E$1343</f>
        <v>Easy</v>
      </c>
      <c r="J592" s="10" t="str">
        <f>IF(TRIM(Github!D$1343)="TRUE","FALSE","TRUE")</f>
        <v>TRUE</v>
      </c>
      <c r="K592" s="10" t="b">
        <f>Github!M$1343</f>
        <v>1</v>
      </c>
      <c r="L592" s="10" t="b">
        <f>Github!N$1343</f>
        <v>0</v>
      </c>
      <c r="M592" s="10" t="str">
        <f>ROUND(Github!O$1343, 2)&amp;"%"</f>
        <v>85.59%</v>
      </c>
      <c r="N592" s="10">
        <f>Github!P$1343</f>
        <v>255138</v>
      </c>
      <c r="O592" s="10">
        <f>Github!Q$1343</f>
        <v>298087</v>
      </c>
    </row>
    <row r="593">
      <c r="A593" s="10">
        <f>Github!J$784</f>
        <v>783</v>
      </c>
      <c r="B593" s="11" t="str">
        <f>HYPERLINK(CONCAT("http://leetcode.com/problems/",Github!C$784), Github!B$784)</f>
        <v>Minimum Distance Between BST Nodes</v>
      </c>
      <c r="C593" s="10">
        <f>Github!F$784</f>
        <v>1610</v>
      </c>
      <c r="D593" s="10">
        <f>Github!G$784</f>
        <v>312</v>
      </c>
      <c r="E593" s="10">
        <f>Github!F$784+Github!G$784</f>
        <v>1922</v>
      </c>
      <c r="F593" s="12">
        <f t="shared" si="1"/>
        <v>5.16</v>
      </c>
      <c r="G593" s="10" t="str">
        <f>Github!H$784</f>
        <v>Algorithms</v>
      </c>
      <c r="H593" s="13" t="str">
        <f>SUBSTITUTE(Github!L$784, ";", ", ")</f>
        <v>Tree, Depth-First Search, Breadth-First Search, Binary Search Tree, Binary Tree, </v>
      </c>
      <c r="I593" s="10" t="str">
        <f>Github!E$784</f>
        <v>Easy</v>
      </c>
      <c r="J593" s="10" t="str">
        <f>IF(TRIM(Github!D$784)="TRUE","FALSE","TRUE")</f>
        <v>TRUE</v>
      </c>
      <c r="K593" s="10" t="b">
        <f>Github!M$784</f>
        <v>1</v>
      </c>
      <c r="L593" s="10" t="b">
        <f>Github!N$784</f>
        <v>0</v>
      </c>
      <c r="M593" s="10" t="str">
        <f>ROUND(Github!O$784, 2)&amp;"%"</f>
        <v>56.08%</v>
      </c>
      <c r="N593" s="10">
        <f>Github!P$784</f>
        <v>120136</v>
      </c>
      <c r="O593" s="10">
        <f>Github!Q$784</f>
        <v>214204</v>
      </c>
    </row>
    <row r="594">
      <c r="A594" s="10">
        <f>Github!J$1330</f>
        <v>1329</v>
      </c>
      <c r="B594" s="11" t="str">
        <f>HYPERLINK(CONCAT("http://leetcode.com/problems/",Github!C$1330), Github!B$1330)</f>
        <v>Sort the Matrix Diagonally</v>
      </c>
      <c r="C594" s="10">
        <f>Github!F$1330</f>
        <v>1611</v>
      </c>
      <c r="D594" s="10">
        <f>Github!G$1330</f>
        <v>176</v>
      </c>
      <c r="E594" s="10">
        <f>Github!F$1330+Github!G$1330</f>
        <v>1787</v>
      </c>
      <c r="F594" s="12">
        <f t="shared" si="1"/>
        <v>9.15</v>
      </c>
      <c r="G594" s="10" t="str">
        <f>Github!H$1330</f>
        <v>Algorithms</v>
      </c>
      <c r="H594" s="13" t="str">
        <f>SUBSTITUTE(Github!L$1330, ";", ", ")</f>
        <v>Array, Sorting, Matrix, </v>
      </c>
      <c r="I594" s="10" t="str">
        <f>Github!E$1330</f>
        <v>Medium</v>
      </c>
      <c r="J594" s="10" t="str">
        <f>IF(TRIM(Github!D$1330)="TRUE","FALSE","TRUE")</f>
        <v>TRUE</v>
      </c>
      <c r="K594" s="10" t="b">
        <f>Github!M$1330</f>
        <v>1</v>
      </c>
      <c r="L594" s="10" t="b">
        <f>Github!N$1330</f>
        <v>1</v>
      </c>
      <c r="M594" s="10" t="str">
        <f>ROUND(Github!O$1330, 2)&amp;"%"</f>
        <v>81.31%</v>
      </c>
      <c r="N594" s="10">
        <f>Github!P$1330</f>
        <v>83462</v>
      </c>
      <c r="O594" s="10">
        <f>Github!Q$1330</f>
        <v>102647</v>
      </c>
    </row>
    <row r="595">
      <c r="A595" s="10">
        <f>Github!J$382</f>
        <v>381</v>
      </c>
      <c r="B595" s="11" t="str">
        <f>HYPERLINK(CONCAT("http://leetcode.com/problems/",Github!C$382), Github!B$382)</f>
        <v>Insert Delete GetRandom O(1) - Duplicates allowed</v>
      </c>
      <c r="C595" s="10">
        <f>Github!F$382</f>
        <v>1610</v>
      </c>
      <c r="D595" s="10">
        <f>Github!G$382</f>
        <v>116</v>
      </c>
      <c r="E595" s="10">
        <f>Github!F$382+Github!G$382</f>
        <v>1726</v>
      </c>
      <c r="F595" s="12">
        <f t="shared" si="1"/>
        <v>13.88</v>
      </c>
      <c r="G595" s="10" t="str">
        <f>Github!H$382</f>
        <v>Algorithms</v>
      </c>
      <c r="H595" s="13" t="str">
        <f>SUBSTITUTE(Github!L$382, ";", ", ")</f>
        <v>Array, Hash Table, Math, Design, Randomized, </v>
      </c>
      <c r="I595" s="10" t="str">
        <f>Github!E$382</f>
        <v>Hard</v>
      </c>
      <c r="J595" s="10" t="str">
        <f>IF(TRIM(Github!D$382)="TRUE","FALSE","TRUE")</f>
        <v>TRUE</v>
      </c>
      <c r="K595" s="10" t="b">
        <f>Github!M$382</f>
        <v>1</v>
      </c>
      <c r="L595" s="10" t="b">
        <f>Github!N$382</f>
        <v>0</v>
      </c>
      <c r="M595" s="10" t="str">
        <f>ROUND(Github!O$382, 2)&amp;"%"</f>
        <v>35.49%</v>
      </c>
      <c r="N595" s="10">
        <f>Github!P$382</f>
        <v>107584</v>
      </c>
      <c r="O595" s="10">
        <f>Github!Q$382</f>
        <v>303177</v>
      </c>
    </row>
    <row r="596">
      <c r="A596" s="10">
        <f>Github!J$9</f>
        <v>8</v>
      </c>
      <c r="B596" s="11" t="str">
        <f>HYPERLINK(CONCAT("http://leetcode.com/problems/",Github!C$9), Github!B$9)</f>
        <v>String to Integer (atoi)</v>
      </c>
      <c r="C596" s="10">
        <f>Github!F$9</f>
        <v>1612</v>
      </c>
      <c r="D596" s="10">
        <f>Github!G$9</f>
        <v>4705</v>
      </c>
      <c r="E596" s="10">
        <f>Github!F$9+Github!G$9</f>
        <v>6317</v>
      </c>
      <c r="F596" s="12">
        <f t="shared" si="1"/>
        <v>0.34</v>
      </c>
      <c r="G596" s="10" t="str">
        <f>Github!H$9</f>
        <v>Algorithms</v>
      </c>
      <c r="H596" s="13" t="str">
        <f>SUBSTITUTE(Github!L$9, ";", ", ")</f>
        <v>String, </v>
      </c>
      <c r="I596" s="10" t="str">
        <f>Github!E$9</f>
        <v>Medium</v>
      </c>
      <c r="J596" s="10" t="str">
        <f>IF(TRIM(Github!D$9)="TRUE","FALSE","TRUE")</f>
        <v>TRUE</v>
      </c>
      <c r="K596" s="10" t="b">
        <f>Github!M$9</f>
        <v>1</v>
      </c>
      <c r="L596" s="10" t="b">
        <f>Github!N$9</f>
        <v>0</v>
      </c>
      <c r="M596" s="10" t="str">
        <f>ROUND(Github!O$9, 2)&amp;"%"</f>
        <v>16.51%</v>
      </c>
      <c r="N596" s="10">
        <f>Github!P$9</f>
        <v>991869</v>
      </c>
      <c r="O596" s="10">
        <f>Github!Q$9</f>
        <v>6007431</v>
      </c>
    </row>
    <row r="597">
      <c r="A597" s="10">
        <f>Github!J$669</f>
        <v>668</v>
      </c>
      <c r="B597" s="11" t="str">
        <f>HYPERLINK(CONCAT("http://leetcode.com/problems/",Github!C$669), Github!B$669)</f>
        <v>Kth Smallest Number in Multiplication Table</v>
      </c>
      <c r="C597" s="10">
        <f>Github!F$669</f>
        <v>1599</v>
      </c>
      <c r="D597" s="10">
        <f>Github!G$669</f>
        <v>45</v>
      </c>
      <c r="E597" s="10">
        <f>Github!F$669+Github!G$669</f>
        <v>1644</v>
      </c>
      <c r="F597" s="12">
        <f t="shared" si="1"/>
        <v>35.53</v>
      </c>
      <c r="G597" s="10" t="str">
        <f>Github!H$669</f>
        <v>Algorithms</v>
      </c>
      <c r="H597" s="13" t="str">
        <f>SUBSTITUTE(Github!L$669, ";", ", ")</f>
        <v>Binary Search, </v>
      </c>
      <c r="I597" s="10" t="str">
        <f>Github!E$669</f>
        <v>Hard</v>
      </c>
      <c r="J597" s="10" t="str">
        <f>IF(TRIM(Github!D$669)="TRUE","FALSE","TRUE")</f>
        <v>TRUE</v>
      </c>
      <c r="K597" s="10" t="b">
        <f>Github!M$669</f>
        <v>1</v>
      </c>
      <c r="L597" s="10" t="b">
        <f>Github!N$669</f>
        <v>0</v>
      </c>
      <c r="M597" s="10" t="str">
        <f>ROUND(Github!O$669, 2)&amp;"%"</f>
        <v>51.04%</v>
      </c>
      <c r="N597" s="10">
        <f>Github!P$669</f>
        <v>48172</v>
      </c>
      <c r="O597" s="10">
        <f>Github!Q$669</f>
        <v>94380</v>
      </c>
    </row>
    <row r="598">
      <c r="A598" s="10">
        <f>Github!J$690</f>
        <v>689</v>
      </c>
      <c r="B598" s="11" t="str">
        <f>HYPERLINK(CONCAT("http://leetcode.com/problems/",Github!C$690), Github!B$690)</f>
        <v>Maximum Sum of 3 Non-Overlapping Subarrays</v>
      </c>
      <c r="C598" s="10">
        <f>Github!F$690</f>
        <v>1597</v>
      </c>
      <c r="D598" s="10">
        <f>Github!G$690</f>
        <v>97</v>
      </c>
      <c r="E598" s="10">
        <f>Github!F$690+Github!G$690</f>
        <v>1694</v>
      </c>
      <c r="F598" s="12">
        <f t="shared" si="1"/>
        <v>16.46</v>
      </c>
      <c r="G598" s="10" t="str">
        <f>Github!H$690</f>
        <v>Algorithms</v>
      </c>
      <c r="H598" s="13" t="str">
        <f>SUBSTITUTE(Github!L$690, ";", ", ")</f>
        <v>Array, Dynamic Programming, </v>
      </c>
      <c r="I598" s="10" t="str">
        <f>Github!E$690</f>
        <v>Hard</v>
      </c>
      <c r="J598" s="10" t="str">
        <f>IF(TRIM(Github!D$690)="TRUE","FALSE","TRUE")</f>
        <v>TRUE</v>
      </c>
      <c r="K598" s="10" t="b">
        <f>Github!M$690</f>
        <v>1</v>
      </c>
      <c r="L598" s="10" t="b">
        <f>Github!N$690</f>
        <v>0</v>
      </c>
      <c r="M598" s="10" t="str">
        <f>ROUND(Github!O$690, 2)&amp;"%"</f>
        <v>48.51%</v>
      </c>
      <c r="N598" s="10">
        <f>Github!P$690</f>
        <v>62400</v>
      </c>
      <c r="O598" s="10">
        <f>Github!Q$690</f>
        <v>128623</v>
      </c>
    </row>
    <row r="599">
      <c r="A599" s="10">
        <f>Github!J$637</f>
        <v>636</v>
      </c>
      <c r="B599" s="11" t="str">
        <f>HYPERLINK(CONCAT("http://leetcode.com/problems/",Github!C$637), Github!B$637)</f>
        <v>Exclusive Time of Functions</v>
      </c>
      <c r="C599" s="10">
        <f>Github!F$637</f>
        <v>1598</v>
      </c>
      <c r="D599" s="10">
        <f>Github!G$637</f>
        <v>2394</v>
      </c>
      <c r="E599" s="10">
        <f>Github!F$637+Github!G$637</f>
        <v>3992</v>
      </c>
      <c r="F599" s="12">
        <f t="shared" si="1"/>
        <v>0.67</v>
      </c>
      <c r="G599" s="10" t="str">
        <f>Github!H$637</f>
        <v>Algorithms</v>
      </c>
      <c r="H599" s="13" t="str">
        <f>SUBSTITUTE(Github!L$637, ";", ", ")</f>
        <v>Array, Stack, </v>
      </c>
      <c r="I599" s="10" t="str">
        <f>Github!E$637</f>
        <v>Medium</v>
      </c>
      <c r="J599" s="10" t="str">
        <f>IF(TRIM(Github!D$637)="TRUE","FALSE","TRUE")</f>
        <v>TRUE</v>
      </c>
      <c r="K599" s="10" t="b">
        <f>Github!M$637</f>
        <v>0</v>
      </c>
      <c r="L599" s="10" t="b">
        <f>Github!N$637</f>
        <v>0</v>
      </c>
      <c r="M599" s="10" t="str">
        <f>ROUND(Github!O$637, 2)&amp;"%"</f>
        <v>60.23%</v>
      </c>
      <c r="N599" s="10">
        <f>Github!P$637</f>
        <v>169143</v>
      </c>
      <c r="O599" s="10">
        <f>Github!Q$637</f>
        <v>280841</v>
      </c>
    </row>
    <row r="600">
      <c r="A600" s="10">
        <f>Github!J$521</f>
        <v>520</v>
      </c>
      <c r="B600" s="11" t="str">
        <f>HYPERLINK(CONCAT("http://leetcode.com/problems/",Github!C$521), Github!B$521)</f>
        <v>Detect Capital</v>
      </c>
      <c r="C600" s="10">
        <f>Github!F$521</f>
        <v>1598</v>
      </c>
      <c r="D600" s="10">
        <f>Github!G$521</f>
        <v>363</v>
      </c>
      <c r="E600" s="10">
        <f>Github!F$521+Github!G$521</f>
        <v>1961</v>
      </c>
      <c r="F600" s="12">
        <f t="shared" si="1"/>
        <v>4.4</v>
      </c>
      <c r="G600" s="10" t="str">
        <f>Github!H$521</f>
        <v>Algorithms</v>
      </c>
      <c r="H600" s="13" t="str">
        <f>SUBSTITUTE(Github!L$521, ";", ", ")</f>
        <v>String, </v>
      </c>
      <c r="I600" s="10" t="str">
        <f>Github!E$521</f>
        <v>Easy</v>
      </c>
      <c r="J600" s="10" t="str">
        <f>IF(TRIM(Github!D$521)="TRUE","FALSE","TRUE")</f>
        <v>TRUE</v>
      </c>
      <c r="K600" s="10" t="b">
        <f>Github!M$521</f>
        <v>1</v>
      </c>
      <c r="L600" s="10" t="b">
        <f>Github!N$521</f>
        <v>0</v>
      </c>
      <c r="M600" s="10" t="str">
        <f>ROUND(Github!O$521, 2)&amp;"%"</f>
        <v>55.7%</v>
      </c>
      <c r="N600" s="10">
        <f>Github!P$521</f>
        <v>262204</v>
      </c>
      <c r="O600" s="10">
        <f>Github!Q$521</f>
        <v>470709</v>
      </c>
    </row>
    <row r="601">
      <c r="A601" s="10">
        <f>Github!J$1292</f>
        <v>1291</v>
      </c>
      <c r="B601" s="11" t="str">
        <f>HYPERLINK(CONCAT("http://leetcode.com/problems/",Github!C$1292), Github!B$1292)</f>
        <v>Sequential Digits</v>
      </c>
      <c r="C601" s="10">
        <f>Github!F$1292</f>
        <v>1592</v>
      </c>
      <c r="D601" s="10">
        <f>Github!G$1292</f>
        <v>98</v>
      </c>
      <c r="E601" s="10">
        <f>Github!F$1292+Github!G$1292</f>
        <v>1690</v>
      </c>
      <c r="F601" s="12">
        <f t="shared" si="1"/>
        <v>16.24</v>
      </c>
      <c r="G601" s="10" t="str">
        <f>Github!H$1292</f>
        <v>Algorithms</v>
      </c>
      <c r="H601" s="13" t="str">
        <f>SUBSTITUTE(Github!L$1292, ";", ", ")</f>
        <v>Enumeration, </v>
      </c>
      <c r="I601" s="10" t="str">
        <f>Github!E$1292</f>
        <v>Medium</v>
      </c>
      <c r="J601" s="10" t="str">
        <f>IF(TRIM(Github!D$1292)="TRUE","FALSE","TRUE")</f>
        <v>TRUE</v>
      </c>
      <c r="K601" s="10" t="b">
        <f>Github!M$1292</f>
        <v>1</v>
      </c>
      <c r="L601" s="10" t="b">
        <f>Github!N$1292</f>
        <v>0</v>
      </c>
      <c r="M601" s="10" t="str">
        <f>ROUND(Github!O$1292, 2)&amp;"%"</f>
        <v>60.88%</v>
      </c>
      <c r="N601" s="10">
        <f>Github!P$1292</f>
        <v>75888</v>
      </c>
      <c r="O601" s="10">
        <f>Github!Q$1292</f>
        <v>124645</v>
      </c>
    </row>
    <row r="602">
      <c r="A602" s="10">
        <f>Github!J$766</f>
        <v>765</v>
      </c>
      <c r="B602" s="11" t="str">
        <f>HYPERLINK(CONCAT("http://leetcode.com/problems/",Github!C$766), Github!B$766)</f>
        <v>Couples Holding Hands</v>
      </c>
      <c r="C602" s="10">
        <f>Github!F$766</f>
        <v>1588</v>
      </c>
      <c r="D602" s="10">
        <f>Github!G$766</f>
        <v>85</v>
      </c>
      <c r="E602" s="10">
        <f>Github!F$766+Github!G$766</f>
        <v>1673</v>
      </c>
      <c r="F602" s="12">
        <f t="shared" si="1"/>
        <v>18.68</v>
      </c>
      <c r="G602" s="10" t="str">
        <f>Github!H$766</f>
        <v>Algorithms</v>
      </c>
      <c r="H602" s="13" t="str">
        <f>SUBSTITUTE(Github!L$766, ";", ", ")</f>
        <v>Greedy, Depth-First Search, Breadth-First Search, Union Find, Graph, </v>
      </c>
      <c r="I602" s="10" t="str">
        <f>Github!E$766</f>
        <v>Hard</v>
      </c>
      <c r="J602" s="10" t="str">
        <f>IF(TRIM(Github!D$766)="TRUE","FALSE","TRUE")</f>
        <v>TRUE</v>
      </c>
      <c r="K602" s="10" t="b">
        <f>Github!M$766</f>
        <v>1</v>
      </c>
      <c r="L602" s="10" t="b">
        <f>Github!N$766</f>
        <v>0</v>
      </c>
      <c r="M602" s="10" t="str">
        <f>ROUND(Github!O$766, 2)&amp;"%"</f>
        <v>56.49%</v>
      </c>
      <c r="N602" s="10">
        <f>Github!P$766</f>
        <v>43561</v>
      </c>
      <c r="O602" s="10">
        <f>Github!Q$766</f>
        <v>77106</v>
      </c>
    </row>
    <row r="603">
      <c r="A603" s="10">
        <f>Github!J$926</f>
        <v>925</v>
      </c>
      <c r="B603" s="11" t="str">
        <f>HYPERLINK(CONCAT("http://leetcode.com/problems/",Github!C$926), Github!B$926)</f>
        <v>Long Pressed Name</v>
      </c>
      <c r="C603" s="10">
        <f>Github!F$926</f>
        <v>1594</v>
      </c>
      <c r="D603" s="10">
        <f>Github!G$926</f>
        <v>240</v>
      </c>
      <c r="E603" s="10">
        <f>Github!F$926+Github!G$926</f>
        <v>1834</v>
      </c>
      <c r="F603" s="12">
        <f t="shared" si="1"/>
        <v>6.64</v>
      </c>
      <c r="G603" s="10" t="str">
        <f>Github!H$926</f>
        <v>Algorithms</v>
      </c>
      <c r="H603" s="13" t="str">
        <f>SUBSTITUTE(Github!L$926, ";", ", ")</f>
        <v>Two Pointers, String, </v>
      </c>
      <c r="I603" s="10" t="str">
        <f>Github!E$926</f>
        <v>Easy</v>
      </c>
      <c r="J603" s="10" t="str">
        <f>IF(TRIM(Github!D$926)="TRUE","FALSE","TRUE")</f>
        <v>TRUE</v>
      </c>
      <c r="K603" s="10" t="b">
        <f>Github!M$926</f>
        <v>0</v>
      </c>
      <c r="L603" s="10" t="b">
        <f>Github!N$926</f>
        <v>0</v>
      </c>
      <c r="M603" s="10" t="str">
        <f>ROUND(Github!O$926, 2)&amp;"%"</f>
        <v>34.67%</v>
      </c>
      <c r="N603" s="10">
        <f>Github!P$926</f>
        <v>92492</v>
      </c>
      <c r="O603" s="10">
        <f>Github!Q$926</f>
        <v>266796</v>
      </c>
    </row>
    <row r="604">
      <c r="A604" s="10">
        <f>Github!J$1676</f>
        <v>1675</v>
      </c>
      <c r="B604" s="11" t="str">
        <f>HYPERLINK(CONCAT("http://leetcode.com/problems/",Github!C$1676), Github!B$1676)</f>
        <v>Minimize Deviation in Array</v>
      </c>
      <c r="C604" s="10">
        <f>Github!F$1676</f>
        <v>1585</v>
      </c>
      <c r="D604" s="10">
        <f>Github!G$1676</f>
        <v>83</v>
      </c>
      <c r="E604" s="10">
        <f>Github!F$1676+Github!G$1676</f>
        <v>1668</v>
      </c>
      <c r="F604" s="12">
        <f t="shared" si="1"/>
        <v>19.1</v>
      </c>
      <c r="G604" s="10" t="str">
        <f>Github!H$1676</f>
        <v>Algorithms</v>
      </c>
      <c r="H604" s="13" t="str">
        <f>SUBSTITUTE(Github!L$1676, ";", ", ")</f>
        <v>Array, Greedy, Heap (Priority Queue), Ordered Set, </v>
      </c>
      <c r="I604" s="10" t="str">
        <f>Github!E$1676</f>
        <v>Hard</v>
      </c>
      <c r="J604" s="10" t="str">
        <f>IF(TRIM(Github!D$1676)="TRUE","FALSE","TRUE")</f>
        <v>TRUE</v>
      </c>
      <c r="K604" s="10" t="b">
        <f>Github!M$1676</f>
        <v>1</v>
      </c>
      <c r="L604" s="10" t="b">
        <f>Github!N$1676</f>
        <v>0</v>
      </c>
      <c r="M604" s="10" t="str">
        <f>ROUND(Github!O$1676, 2)&amp;"%"</f>
        <v>52.51%</v>
      </c>
      <c r="N604" s="10">
        <f>Github!P$1676</f>
        <v>42934</v>
      </c>
      <c r="O604" s="10">
        <f>Github!Q$1676</f>
        <v>81765</v>
      </c>
    </row>
    <row r="605">
      <c r="A605" s="10">
        <f>Github!J$644</f>
        <v>643</v>
      </c>
      <c r="B605" s="11" t="str">
        <f>HYPERLINK(CONCAT("http://leetcode.com/problems/",Github!C$644), Github!B$644)</f>
        <v>Maximum Average Subarray I</v>
      </c>
      <c r="C605" s="10">
        <f>Github!F$644</f>
        <v>1591</v>
      </c>
      <c r="D605" s="10">
        <f>Github!G$644</f>
        <v>158</v>
      </c>
      <c r="E605" s="10">
        <f>Github!F$644+Github!G$644</f>
        <v>1749</v>
      </c>
      <c r="F605" s="12">
        <f t="shared" si="1"/>
        <v>10.07</v>
      </c>
      <c r="G605" s="10" t="str">
        <f>Github!H$644</f>
        <v>Algorithms</v>
      </c>
      <c r="H605" s="13" t="str">
        <f>SUBSTITUTE(Github!L$644, ";", ", ")</f>
        <v>Array, Sliding Window, </v>
      </c>
      <c r="I605" s="10" t="str">
        <f>Github!E$644</f>
        <v>Easy</v>
      </c>
      <c r="J605" s="10" t="str">
        <f>IF(TRIM(Github!D$644)="TRUE","FALSE","TRUE")</f>
        <v>TRUE</v>
      </c>
      <c r="K605" s="10" t="b">
        <f>Github!M$644</f>
        <v>1</v>
      </c>
      <c r="L605" s="10" t="b">
        <f>Github!N$644</f>
        <v>0</v>
      </c>
      <c r="M605" s="10" t="str">
        <f>ROUND(Github!O$644, 2)&amp;"%"</f>
        <v>43.49%</v>
      </c>
      <c r="N605" s="10">
        <f>Github!P$644</f>
        <v>141547</v>
      </c>
      <c r="O605" s="10">
        <f>Github!Q$644</f>
        <v>325447</v>
      </c>
    </row>
    <row r="606">
      <c r="A606" s="10">
        <f>Github!J$1483</f>
        <v>1482</v>
      </c>
      <c r="B606" s="11" t="str">
        <f>HYPERLINK(CONCAT("http://leetcode.com/problems/",Github!C$1483), Github!B$1483)</f>
        <v>Minimum Number of Days to Make m Bouquets</v>
      </c>
      <c r="C606" s="10">
        <f>Github!F$1483</f>
        <v>1593</v>
      </c>
      <c r="D606" s="10">
        <f>Github!G$1483</f>
        <v>40</v>
      </c>
      <c r="E606" s="10">
        <f>Github!F$1483+Github!G$1483</f>
        <v>1633</v>
      </c>
      <c r="F606" s="12">
        <f t="shared" si="1"/>
        <v>39.83</v>
      </c>
      <c r="G606" s="10" t="str">
        <f>Github!H$1483</f>
        <v>Algorithms</v>
      </c>
      <c r="H606" s="13" t="str">
        <f>SUBSTITUTE(Github!L$1483, ";", ", ")</f>
        <v>Array, Binary Search, </v>
      </c>
      <c r="I606" s="10" t="str">
        <f>Github!E$1483</f>
        <v>Medium</v>
      </c>
      <c r="J606" s="10" t="str">
        <f>IF(TRIM(Github!D$1483)="TRUE","FALSE","TRUE")</f>
        <v>TRUE</v>
      </c>
      <c r="K606" s="10" t="b">
        <f>Github!M$1483</f>
        <v>0</v>
      </c>
      <c r="L606" s="10" t="b">
        <f>Github!N$1483</f>
        <v>0</v>
      </c>
      <c r="M606" s="10" t="str">
        <f>ROUND(Github!O$1483, 2)&amp;"%"</f>
        <v>55.88%</v>
      </c>
      <c r="N606" s="10">
        <f>Github!P$1483</f>
        <v>37304</v>
      </c>
      <c r="O606" s="10">
        <f>Github!Q$1483</f>
        <v>66757</v>
      </c>
    </row>
    <row r="607">
      <c r="A607" s="10">
        <f>Github!J$474</f>
        <v>473</v>
      </c>
      <c r="B607" s="11" t="str">
        <f>HYPERLINK(CONCAT("http://leetcode.com/problems/",Github!C$474), Github!B$474)</f>
        <v>Matchsticks to Square</v>
      </c>
      <c r="C607" s="10">
        <f>Github!F$474</f>
        <v>1584</v>
      </c>
      <c r="D607" s="10">
        <f>Github!G$474</f>
        <v>123</v>
      </c>
      <c r="E607" s="10">
        <f>Github!F$474+Github!G$474</f>
        <v>1707</v>
      </c>
      <c r="F607" s="12">
        <f t="shared" si="1"/>
        <v>12.88</v>
      </c>
      <c r="G607" s="10" t="str">
        <f>Github!H$474</f>
        <v>Algorithms</v>
      </c>
      <c r="H607" s="13" t="str">
        <f>SUBSTITUTE(Github!L$474, ";", ", ")</f>
        <v>Array, Dynamic Programming, Backtracking, Bit Manipulation, Bitmask, </v>
      </c>
      <c r="I607" s="10" t="str">
        <f>Github!E$474</f>
        <v>Medium</v>
      </c>
      <c r="J607" s="10" t="str">
        <f>IF(TRIM(Github!D$474)="TRUE","FALSE","TRUE")</f>
        <v>TRUE</v>
      </c>
      <c r="K607" s="10" t="b">
        <f>Github!M$474</f>
        <v>1</v>
      </c>
      <c r="L607" s="10" t="b">
        <f>Github!N$474</f>
        <v>0</v>
      </c>
      <c r="M607" s="10" t="str">
        <f>ROUND(Github!O$474, 2)&amp;"%"</f>
        <v>40.32%</v>
      </c>
      <c r="N607" s="10">
        <f>Github!P$474</f>
        <v>76410</v>
      </c>
      <c r="O607" s="10">
        <f>Github!Q$474</f>
        <v>189514</v>
      </c>
    </row>
    <row r="608">
      <c r="A608" s="10">
        <f>Github!J$346</f>
        <v>345</v>
      </c>
      <c r="B608" s="11" t="str">
        <f>HYPERLINK(CONCAT("http://leetcode.com/problems/",Github!C$346), Github!B$346)</f>
        <v>Reverse Vowels of a String</v>
      </c>
      <c r="C608" s="10">
        <f>Github!F$346</f>
        <v>1578</v>
      </c>
      <c r="D608" s="10">
        <f>Github!G$346</f>
        <v>1834</v>
      </c>
      <c r="E608" s="10">
        <f>Github!F$346+Github!G$346</f>
        <v>3412</v>
      </c>
      <c r="F608" s="12">
        <f t="shared" si="1"/>
        <v>0.86</v>
      </c>
      <c r="G608" s="10" t="str">
        <f>Github!H$346</f>
        <v>Algorithms</v>
      </c>
      <c r="H608" s="13" t="str">
        <f>SUBSTITUTE(Github!L$346, ";", ", ")</f>
        <v>Two Pointers, String, </v>
      </c>
      <c r="I608" s="10" t="str">
        <f>Github!E$346</f>
        <v>Easy</v>
      </c>
      <c r="J608" s="10" t="str">
        <f>IF(TRIM(Github!D$346)="TRUE","FALSE","TRUE")</f>
        <v>TRUE</v>
      </c>
      <c r="K608" s="10" t="b">
        <f>Github!M$346</f>
        <v>0</v>
      </c>
      <c r="L608" s="10" t="b">
        <f>Github!N$346</f>
        <v>0</v>
      </c>
      <c r="M608" s="10" t="str">
        <f>ROUND(Github!O$346, 2)&amp;"%"</f>
        <v>46.94%</v>
      </c>
      <c r="N608" s="10">
        <f>Github!P$346</f>
        <v>347959</v>
      </c>
      <c r="O608" s="10">
        <f>Github!Q$346</f>
        <v>741363</v>
      </c>
    </row>
    <row r="609">
      <c r="A609" s="10">
        <f>Github!J$1015</f>
        <v>1014</v>
      </c>
      <c r="B609" s="11" t="str">
        <f>HYPERLINK(CONCAT("http://leetcode.com/problems/",Github!C$1015), Github!B$1015)</f>
        <v>Best Sightseeing Pair</v>
      </c>
      <c r="C609" s="10">
        <f>Github!F$1015</f>
        <v>1581</v>
      </c>
      <c r="D609" s="10">
        <f>Github!G$1015</f>
        <v>41</v>
      </c>
      <c r="E609" s="10">
        <f>Github!F$1015+Github!G$1015</f>
        <v>1622</v>
      </c>
      <c r="F609" s="12">
        <f t="shared" si="1"/>
        <v>38.56</v>
      </c>
      <c r="G609" s="10" t="str">
        <f>Github!H$1015</f>
        <v>Algorithms</v>
      </c>
      <c r="H609" s="13" t="str">
        <f>SUBSTITUTE(Github!L$1015, ";", ", ")</f>
        <v>Array, Dynamic Programming, </v>
      </c>
      <c r="I609" s="10" t="str">
        <f>Github!E$1015</f>
        <v>Medium</v>
      </c>
      <c r="J609" s="10" t="str">
        <f>IF(TRIM(Github!D$1015)="TRUE","FALSE","TRUE")</f>
        <v>TRUE</v>
      </c>
      <c r="K609" s="10" t="b">
        <f>Github!M$1015</f>
        <v>0</v>
      </c>
      <c r="L609" s="10" t="b">
        <f>Github!N$1015</f>
        <v>0</v>
      </c>
      <c r="M609" s="10" t="str">
        <f>ROUND(Github!O$1015, 2)&amp;"%"</f>
        <v>58.52%</v>
      </c>
      <c r="N609" s="10">
        <f>Github!P$1015</f>
        <v>55801</v>
      </c>
      <c r="O609" s="10">
        <f>Github!Q$1015</f>
        <v>95350</v>
      </c>
    </row>
    <row r="610">
      <c r="A610" s="10">
        <f>Github!J$691</f>
        <v>690</v>
      </c>
      <c r="B610" s="11" t="str">
        <f>HYPERLINK(CONCAT("http://leetcode.com/problems/",Github!C$691), Github!B$691)</f>
        <v>Employee Importance</v>
      </c>
      <c r="C610" s="10">
        <f>Github!F$691</f>
        <v>1574</v>
      </c>
      <c r="D610" s="10">
        <f>Github!G$691</f>
        <v>1231</v>
      </c>
      <c r="E610" s="10">
        <f>Github!F$691+Github!G$691</f>
        <v>2805</v>
      </c>
      <c r="F610" s="12">
        <f t="shared" si="1"/>
        <v>1.28</v>
      </c>
      <c r="G610" s="10" t="str">
        <f>Github!H$691</f>
        <v>Algorithms</v>
      </c>
      <c r="H610" s="13" t="str">
        <f>SUBSTITUTE(Github!L$691, ";", ", ")</f>
        <v>Hash Table, Depth-First Search, Breadth-First Search, </v>
      </c>
      <c r="I610" s="10" t="str">
        <f>Github!E$691</f>
        <v>Medium</v>
      </c>
      <c r="J610" s="10" t="str">
        <f>IF(TRIM(Github!D$691)="TRUE","FALSE","TRUE")</f>
        <v>TRUE</v>
      </c>
      <c r="K610" s="10" t="b">
        <f>Github!M$691</f>
        <v>1</v>
      </c>
      <c r="L610" s="10" t="b">
        <f>Github!N$691</f>
        <v>0</v>
      </c>
      <c r="M610" s="10" t="str">
        <f>ROUND(Github!O$691, 2)&amp;"%"</f>
        <v>64%</v>
      </c>
      <c r="N610" s="10">
        <f>Github!P$691</f>
        <v>172585</v>
      </c>
      <c r="O610" s="10">
        <f>Github!Q$691</f>
        <v>269664</v>
      </c>
    </row>
    <row r="611">
      <c r="A611" s="10">
        <f>Github!J$166</f>
        <v>165</v>
      </c>
      <c r="B611" s="11" t="str">
        <f>HYPERLINK(CONCAT("http://leetcode.com/problems/",Github!C$166), Github!B$166)</f>
        <v>Compare Version Numbers</v>
      </c>
      <c r="C611" s="10">
        <f>Github!F$166</f>
        <v>1571</v>
      </c>
      <c r="D611" s="10">
        <f>Github!G$166</f>
        <v>2240</v>
      </c>
      <c r="E611" s="10">
        <f>Github!F$166+Github!G$166</f>
        <v>3811</v>
      </c>
      <c r="F611" s="12">
        <f t="shared" si="1"/>
        <v>0.7</v>
      </c>
      <c r="G611" s="10" t="str">
        <f>Github!H$166</f>
        <v>Algorithms</v>
      </c>
      <c r="H611" s="13" t="str">
        <f>SUBSTITUTE(Github!L$166, ";", ", ")</f>
        <v>Two Pointers, String, </v>
      </c>
      <c r="I611" s="10" t="str">
        <f>Github!E$166</f>
        <v>Medium</v>
      </c>
      <c r="J611" s="10" t="str">
        <f>IF(TRIM(Github!D$166)="TRUE","FALSE","TRUE")</f>
        <v>TRUE</v>
      </c>
      <c r="K611" s="10" t="b">
        <f>Github!M$166</f>
        <v>1</v>
      </c>
      <c r="L611" s="10" t="b">
        <f>Github!N$166</f>
        <v>0</v>
      </c>
      <c r="M611" s="10" t="str">
        <f>ROUND(Github!O$166, 2)&amp;"%"</f>
        <v>34.52%</v>
      </c>
      <c r="N611" s="10">
        <f>Github!P$166</f>
        <v>314310</v>
      </c>
      <c r="O611" s="10">
        <f>Github!Q$166</f>
        <v>910501</v>
      </c>
    </row>
    <row r="612">
      <c r="A612" s="10">
        <f>Github!J$591</f>
        <v>590</v>
      </c>
      <c r="B612" s="11" t="str">
        <f>HYPERLINK(CONCAT("http://leetcode.com/problems/",Github!C$591), Github!B$591)</f>
        <v>N-ary Tree Postorder Traversal</v>
      </c>
      <c r="C612" s="10">
        <f>Github!F$591</f>
        <v>1578</v>
      </c>
      <c r="D612" s="10">
        <f>Github!G$591</f>
        <v>82</v>
      </c>
      <c r="E612" s="10">
        <f>Github!F$591+Github!G$591</f>
        <v>1660</v>
      </c>
      <c r="F612" s="12">
        <f t="shared" si="1"/>
        <v>19.24</v>
      </c>
      <c r="G612" s="10" t="str">
        <f>Github!H$591</f>
        <v>Algorithms</v>
      </c>
      <c r="H612" s="13" t="str">
        <f>SUBSTITUTE(Github!L$591, ";", ", ")</f>
        <v>Stack, Tree, Depth-First Search, </v>
      </c>
      <c r="I612" s="10" t="str">
        <f>Github!E$591</f>
        <v>Easy</v>
      </c>
      <c r="J612" s="10" t="str">
        <f>IF(TRIM(Github!D$591)="TRUE","FALSE","TRUE")</f>
        <v>TRUE</v>
      </c>
      <c r="K612" s="10" t="b">
        <f>Github!M$591</f>
        <v>1</v>
      </c>
      <c r="L612" s="10" t="b">
        <f>Github!N$591</f>
        <v>0</v>
      </c>
      <c r="M612" s="10" t="str">
        <f>ROUND(Github!O$591, 2)&amp;"%"</f>
        <v>76.18%</v>
      </c>
      <c r="N612" s="10">
        <f>Github!P$591</f>
        <v>179999</v>
      </c>
      <c r="O612" s="10">
        <f>Github!Q$591</f>
        <v>236293</v>
      </c>
    </row>
    <row r="613">
      <c r="A613" s="10">
        <f>Github!J$167</f>
        <v>166</v>
      </c>
      <c r="B613" s="11" t="str">
        <f>HYPERLINK(CONCAT("http://leetcode.com/problems/",Github!C$167), Github!B$167)</f>
        <v>Fraction to Recurring Decimal</v>
      </c>
      <c r="C613" s="10">
        <f>Github!F$167</f>
        <v>1569</v>
      </c>
      <c r="D613" s="10">
        <f>Github!G$167</f>
        <v>2936</v>
      </c>
      <c r="E613" s="10">
        <f>Github!F$167+Github!G$167</f>
        <v>4505</v>
      </c>
      <c r="F613" s="12">
        <f t="shared" si="1"/>
        <v>0.53</v>
      </c>
      <c r="G613" s="10" t="str">
        <f>Github!H$167</f>
        <v>Algorithms</v>
      </c>
      <c r="H613" s="13" t="str">
        <f>SUBSTITUTE(Github!L$167, ";", ", ")</f>
        <v>Hash Table, Math, String, </v>
      </c>
      <c r="I613" s="10" t="str">
        <f>Github!E$167</f>
        <v>Medium</v>
      </c>
      <c r="J613" s="10" t="str">
        <f>IF(TRIM(Github!D$167)="TRUE","FALSE","TRUE")</f>
        <v>TRUE</v>
      </c>
      <c r="K613" s="10" t="b">
        <f>Github!M$167</f>
        <v>1</v>
      </c>
      <c r="L613" s="10" t="b">
        <f>Github!N$167</f>
        <v>0</v>
      </c>
      <c r="M613" s="10" t="str">
        <f>ROUND(Github!O$167, 2)&amp;"%"</f>
        <v>23.58%</v>
      </c>
      <c r="N613" s="10">
        <f>Github!P$167</f>
        <v>182168</v>
      </c>
      <c r="O613" s="10">
        <f>Github!Q$167</f>
        <v>772518</v>
      </c>
    </row>
    <row r="614">
      <c r="A614" s="10">
        <f>Github!J$1659</f>
        <v>1658</v>
      </c>
      <c r="B614" s="11" t="str">
        <f>HYPERLINK(CONCAT("http://leetcode.com/problems/",Github!C$1659), Github!B$1659)</f>
        <v>Minimum Operations to Reduce X to Zero</v>
      </c>
      <c r="C614" s="10">
        <f>Github!F$1659</f>
        <v>1567</v>
      </c>
      <c r="D614" s="10">
        <f>Github!G$1659</f>
        <v>30</v>
      </c>
      <c r="E614" s="10">
        <f>Github!F$1659+Github!G$1659</f>
        <v>1597</v>
      </c>
      <c r="F614" s="12">
        <f t="shared" si="1"/>
        <v>52.23</v>
      </c>
      <c r="G614" s="10" t="str">
        <f>Github!H$1659</f>
        <v>Algorithms</v>
      </c>
      <c r="H614" s="13" t="str">
        <f>SUBSTITUTE(Github!L$1659, ";", ", ")</f>
        <v>Array, Hash Table, Binary Search, Sliding Window, Prefix Sum, </v>
      </c>
      <c r="I614" s="10" t="str">
        <f>Github!E$1659</f>
        <v>Medium</v>
      </c>
      <c r="J614" s="10" t="str">
        <f>IF(TRIM(Github!D$1659)="TRUE","FALSE","TRUE")</f>
        <v>TRUE</v>
      </c>
      <c r="K614" s="10" t="b">
        <f>Github!M$1659</f>
        <v>1</v>
      </c>
      <c r="L614" s="10" t="b">
        <f>Github!N$1659</f>
        <v>0</v>
      </c>
      <c r="M614" s="10" t="str">
        <f>ROUND(Github!O$1659, 2)&amp;"%"</f>
        <v>33.55%</v>
      </c>
      <c r="N614" s="10">
        <f>Github!P$1659</f>
        <v>46019</v>
      </c>
      <c r="O614" s="10">
        <f>Github!Q$1659</f>
        <v>137183</v>
      </c>
    </row>
    <row r="615">
      <c r="A615" s="10">
        <f>Github!J$745</f>
        <v>744</v>
      </c>
      <c r="B615" s="11" t="str">
        <f>HYPERLINK(CONCAT("http://leetcode.com/problems/",Github!C$745), Github!B$745)</f>
        <v>Find Smallest Letter Greater Than Target</v>
      </c>
      <c r="C615" s="10">
        <f>Github!F$745</f>
        <v>1577</v>
      </c>
      <c r="D615" s="10">
        <f>Github!G$745</f>
        <v>1433</v>
      </c>
      <c r="E615" s="10">
        <f>Github!F$745+Github!G$745</f>
        <v>3010</v>
      </c>
      <c r="F615" s="12">
        <f t="shared" si="1"/>
        <v>1.1</v>
      </c>
      <c r="G615" s="10" t="str">
        <f>Github!H$745</f>
        <v>Algorithms</v>
      </c>
      <c r="H615" s="13" t="str">
        <f>SUBSTITUTE(Github!L$745, ";", ", ")</f>
        <v>Array, Binary Search, </v>
      </c>
      <c r="I615" s="10" t="str">
        <f>Github!E$745</f>
        <v>Easy</v>
      </c>
      <c r="J615" s="10" t="str">
        <f>IF(TRIM(Github!D$745)="TRUE","FALSE","TRUE")</f>
        <v>TRUE</v>
      </c>
      <c r="K615" s="10" t="b">
        <f>Github!M$745</f>
        <v>1</v>
      </c>
      <c r="L615" s="10" t="b">
        <f>Github!N$745</f>
        <v>0</v>
      </c>
      <c r="M615" s="10" t="str">
        <f>ROUND(Github!O$745, 2)&amp;"%"</f>
        <v>45.17%</v>
      </c>
      <c r="N615" s="10">
        <f>Github!P$745</f>
        <v>186244</v>
      </c>
      <c r="O615" s="10">
        <f>Github!Q$745</f>
        <v>412289</v>
      </c>
    </row>
    <row r="616">
      <c r="A616" s="10">
        <f>Github!J$814</f>
        <v>813</v>
      </c>
      <c r="B616" s="11" t="str">
        <f>HYPERLINK(CONCAT("http://leetcode.com/problems/",Github!C$814), Github!B$814)</f>
        <v>Largest Sum of Averages</v>
      </c>
      <c r="C616" s="10">
        <f>Github!F$814</f>
        <v>1556</v>
      </c>
      <c r="D616" s="10">
        <f>Github!G$814</f>
        <v>76</v>
      </c>
      <c r="E616" s="10">
        <f>Github!F$814+Github!G$814</f>
        <v>1632</v>
      </c>
      <c r="F616" s="12">
        <f t="shared" si="1"/>
        <v>20.47</v>
      </c>
      <c r="G616" s="10" t="str">
        <f>Github!H$814</f>
        <v>Algorithms</v>
      </c>
      <c r="H616" s="13" t="str">
        <f>SUBSTITUTE(Github!L$814, ";", ", ")</f>
        <v>Array, Dynamic Programming, </v>
      </c>
      <c r="I616" s="10" t="str">
        <f>Github!E$814</f>
        <v>Medium</v>
      </c>
      <c r="J616" s="10" t="str">
        <f>IF(TRIM(Github!D$814)="TRUE","FALSE","TRUE")</f>
        <v>TRUE</v>
      </c>
      <c r="K616" s="10" t="b">
        <f>Github!M$814</f>
        <v>1</v>
      </c>
      <c r="L616" s="10" t="b">
        <f>Github!N$814</f>
        <v>0</v>
      </c>
      <c r="M616" s="10" t="str">
        <f>ROUND(Github!O$814, 2)&amp;"%"</f>
        <v>52.45%</v>
      </c>
      <c r="N616" s="10">
        <f>Github!P$814</f>
        <v>39792</v>
      </c>
      <c r="O616" s="10">
        <f>Github!Q$814</f>
        <v>75873</v>
      </c>
    </row>
    <row r="617">
      <c r="A617" s="10">
        <f>Github!J$686</f>
        <v>685</v>
      </c>
      <c r="B617" s="11" t="str">
        <f>HYPERLINK(CONCAT("http://leetcode.com/problems/",Github!C$686), Github!B$686)</f>
        <v>Redundant Connection II</v>
      </c>
      <c r="C617" s="10">
        <f>Github!F$686</f>
        <v>1554</v>
      </c>
      <c r="D617" s="10">
        <f>Github!G$686</f>
        <v>265</v>
      </c>
      <c r="E617" s="10">
        <f>Github!F$686+Github!G$686</f>
        <v>1819</v>
      </c>
      <c r="F617" s="12">
        <f t="shared" si="1"/>
        <v>5.86</v>
      </c>
      <c r="G617" s="10" t="str">
        <f>Github!H$686</f>
        <v>Algorithms</v>
      </c>
      <c r="H617" s="13" t="str">
        <f>SUBSTITUTE(Github!L$686, ";", ", ")</f>
        <v>Depth-First Search, Breadth-First Search, Union Find, Graph, </v>
      </c>
      <c r="I617" s="10" t="str">
        <f>Github!E$686</f>
        <v>Hard</v>
      </c>
      <c r="J617" s="10" t="str">
        <f>IF(TRIM(Github!D$686)="TRUE","FALSE","TRUE")</f>
        <v>TRUE</v>
      </c>
      <c r="K617" s="10" t="b">
        <f>Github!M$686</f>
        <v>0</v>
      </c>
      <c r="L617" s="10" t="b">
        <f>Github!N$686</f>
        <v>0</v>
      </c>
      <c r="M617" s="10" t="str">
        <f>ROUND(Github!O$686, 2)&amp;"%"</f>
        <v>33.75%</v>
      </c>
      <c r="N617" s="10">
        <f>Github!P$686</f>
        <v>51709</v>
      </c>
      <c r="O617" s="10">
        <f>Github!Q$686</f>
        <v>153202</v>
      </c>
    </row>
    <row r="618">
      <c r="A618" s="10">
        <f>Github!J$318</f>
        <v>317</v>
      </c>
      <c r="B618" s="11" t="str">
        <f>HYPERLINK(CONCAT("http://leetcode.com/problems/",Github!C$318), Github!B$318)</f>
        <v>Shortest Distance from All Buildings</v>
      </c>
      <c r="C618" s="10">
        <f>Github!F$318</f>
        <v>1546</v>
      </c>
      <c r="D618" s="10">
        <f>Github!G$318</f>
        <v>172</v>
      </c>
      <c r="E618" s="10">
        <f>Github!F$318+Github!G$318</f>
        <v>1718</v>
      </c>
      <c r="F618" s="12">
        <f t="shared" si="1"/>
        <v>8.99</v>
      </c>
      <c r="G618" s="10" t="str">
        <f>Github!H$318</f>
        <v>Algorithms</v>
      </c>
      <c r="H618" s="13" t="str">
        <f>SUBSTITUTE(Github!L$318, ";", ", ")</f>
        <v>Array, Breadth-First Search, Matrix, </v>
      </c>
      <c r="I618" s="10" t="str">
        <f>Github!E$318</f>
        <v>Hard</v>
      </c>
      <c r="J618" s="10" t="str">
        <f>IF(TRIM(Github!D$318)="TRUE","FALSE","TRUE")</f>
        <v>FALSE</v>
      </c>
      <c r="K618" s="10" t="b">
        <f>Github!M$318</f>
        <v>1</v>
      </c>
      <c r="L618" s="10" t="b">
        <f>Github!N$318</f>
        <v>0</v>
      </c>
      <c r="M618" s="10" t="str">
        <f>ROUND(Github!O$318, 2)&amp;"%"</f>
        <v>43.31%</v>
      </c>
      <c r="N618" s="10">
        <f>Github!P$318</f>
        <v>137313</v>
      </c>
      <c r="O618" s="10">
        <f>Github!Q$318</f>
        <v>317045</v>
      </c>
    </row>
    <row r="619">
      <c r="A619" s="10">
        <f>Github!J$1075</f>
        <v>1074</v>
      </c>
      <c r="B619" s="11" t="str">
        <f>HYPERLINK(CONCAT("http://leetcode.com/problems/",Github!C$1075), Github!B$1075)</f>
        <v>Number of Submatrices That Sum to Target</v>
      </c>
      <c r="C619" s="10">
        <f>Github!F$1075</f>
        <v>1535</v>
      </c>
      <c r="D619" s="10">
        <f>Github!G$1075</f>
        <v>37</v>
      </c>
      <c r="E619" s="10">
        <f>Github!F$1075+Github!G$1075</f>
        <v>1572</v>
      </c>
      <c r="F619" s="12">
        <f t="shared" si="1"/>
        <v>41.49</v>
      </c>
      <c r="G619" s="10" t="str">
        <f>Github!H$1075</f>
        <v>Algorithms</v>
      </c>
      <c r="H619" s="13" t="str">
        <f>SUBSTITUTE(Github!L$1075, ";", ", ")</f>
        <v>Array, Hash Table, Matrix, Prefix Sum, </v>
      </c>
      <c r="I619" s="10" t="str">
        <f>Github!E$1075</f>
        <v>Hard</v>
      </c>
      <c r="J619" s="10" t="str">
        <f>IF(TRIM(Github!D$1075)="TRUE","FALSE","TRUE")</f>
        <v>TRUE</v>
      </c>
      <c r="K619" s="10" t="b">
        <f>Github!M$1075</f>
        <v>1</v>
      </c>
      <c r="L619" s="10" t="b">
        <f>Github!N$1075</f>
        <v>0</v>
      </c>
      <c r="M619" s="10" t="str">
        <f>ROUND(Github!O$1075, 2)&amp;"%"</f>
        <v>66.33%</v>
      </c>
      <c r="N619" s="10">
        <f>Github!P$1075</f>
        <v>48024</v>
      </c>
      <c r="O619" s="10">
        <f>Github!Q$1075</f>
        <v>72404</v>
      </c>
    </row>
    <row r="620">
      <c r="A620" s="10">
        <f>Github!J$1001</f>
        <v>1000</v>
      </c>
      <c r="B620" s="11" t="str">
        <f>HYPERLINK(CONCAT("http://leetcode.com/problems/",Github!C$1001), Github!B$1001)</f>
        <v>Minimum Cost to Merge Stones</v>
      </c>
      <c r="C620" s="10">
        <f>Github!F$1001</f>
        <v>1538</v>
      </c>
      <c r="D620" s="10">
        <f>Github!G$1001</f>
        <v>81</v>
      </c>
      <c r="E620" s="10">
        <f>Github!F$1001+Github!G$1001</f>
        <v>1619</v>
      </c>
      <c r="F620" s="12">
        <f t="shared" si="1"/>
        <v>18.99</v>
      </c>
      <c r="G620" s="10" t="str">
        <f>Github!H$1001</f>
        <v>Algorithms</v>
      </c>
      <c r="H620" s="13" t="str">
        <f>SUBSTITUTE(Github!L$1001, ";", ", ")</f>
        <v>Array, Dynamic Programming, </v>
      </c>
      <c r="I620" s="10" t="str">
        <f>Github!E$1001</f>
        <v>Hard</v>
      </c>
      <c r="J620" s="10" t="str">
        <f>IF(TRIM(Github!D$1001)="TRUE","FALSE","TRUE")</f>
        <v>TRUE</v>
      </c>
      <c r="K620" s="10" t="b">
        <f>Github!M$1001</f>
        <v>0</v>
      </c>
      <c r="L620" s="10" t="b">
        <f>Github!N$1001</f>
        <v>0</v>
      </c>
      <c r="M620" s="10" t="str">
        <f>ROUND(Github!O$1001, 2)&amp;"%"</f>
        <v>41.95%</v>
      </c>
      <c r="N620" s="10">
        <f>Github!P$1001</f>
        <v>27536</v>
      </c>
      <c r="O620" s="10">
        <f>Github!Q$1001</f>
        <v>65639</v>
      </c>
    </row>
    <row r="621">
      <c r="A621" s="10">
        <f>Github!J$595</f>
        <v>594</v>
      </c>
      <c r="B621" s="11" t="str">
        <f>HYPERLINK(CONCAT("http://leetcode.com/problems/",Github!C$595), Github!B$595)</f>
        <v>Longest Harmonious Subsequence</v>
      </c>
      <c r="C621" s="10">
        <f>Github!F$595</f>
        <v>1530</v>
      </c>
      <c r="D621" s="10">
        <f>Github!G$595</f>
        <v>151</v>
      </c>
      <c r="E621" s="10">
        <f>Github!F$595+Github!G$595</f>
        <v>1681</v>
      </c>
      <c r="F621" s="12">
        <f t="shared" si="1"/>
        <v>10.13</v>
      </c>
      <c r="G621" s="10" t="str">
        <f>Github!H$595</f>
        <v>Algorithms</v>
      </c>
      <c r="H621" s="13" t="str">
        <f>SUBSTITUTE(Github!L$595, ";", ", ")</f>
        <v>Array, Hash Table, Sorting, </v>
      </c>
      <c r="I621" s="10" t="str">
        <f>Github!E$595</f>
        <v>Easy</v>
      </c>
      <c r="J621" s="10" t="str">
        <f>IF(TRIM(Github!D$595)="TRUE","FALSE","TRUE")</f>
        <v>TRUE</v>
      </c>
      <c r="K621" s="10" t="b">
        <f>Github!M$595</f>
        <v>1</v>
      </c>
      <c r="L621" s="10" t="b">
        <f>Github!N$595</f>
        <v>0</v>
      </c>
      <c r="M621" s="10" t="str">
        <f>ROUND(Github!O$595, 2)&amp;"%"</f>
        <v>52.68%</v>
      </c>
      <c r="N621" s="10">
        <f>Github!P$595</f>
        <v>115257</v>
      </c>
      <c r="O621" s="10">
        <f>Github!Q$595</f>
        <v>218778</v>
      </c>
    </row>
    <row r="622">
      <c r="A622" s="10">
        <f>Github!J$1664</f>
        <v>1663</v>
      </c>
      <c r="B622" s="11" t="str">
        <f>HYPERLINK(CONCAT("http://leetcode.com/problems/",Github!C$1664), Github!B$1664)</f>
        <v>Smallest String With A Given Numeric Value</v>
      </c>
      <c r="C622" s="10">
        <f>Github!F$1664</f>
        <v>1529</v>
      </c>
      <c r="D622" s="10">
        <f>Github!G$1664</f>
        <v>50</v>
      </c>
      <c r="E622" s="10">
        <f>Github!F$1664+Github!G$1664</f>
        <v>1579</v>
      </c>
      <c r="F622" s="12">
        <f t="shared" si="1"/>
        <v>30.58</v>
      </c>
      <c r="G622" s="10" t="str">
        <f>Github!H$1664</f>
        <v>Algorithms</v>
      </c>
      <c r="H622" s="13" t="str">
        <f>SUBSTITUTE(Github!L$1664, ";", ", ")</f>
        <v>String, Greedy, </v>
      </c>
      <c r="I622" s="10" t="str">
        <f>Github!E$1664</f>
        <v>Medium</v>
      </c>
      <c r="J622" s="10" t="str">
        <f>IF(TRIM(Github!D$1664)="TRUE","FALSE","TRUE")</f>
        <v>TRUE</v>
      </c>
      <c r="K622" s="10" t="b">
        <f>Github!M$1664</f>
        <v>1</v>
      </c>
      <c r="L622" s="10" t="b">
        <f>Github!N$1664</f>
        <v>0</v>
      </c>
      <c r="M622" s="10" t="str">
        <f>ROUND(Github!O$1664, 2)&amp;"%"</f>
        <v>67.03%</v>
      </c>
      <c r="N622" s="10">
        <f>Github!P$1664</f>
        <v>79488</v>
      </c>
      <c r="O622" s="10">
        <f>Github!Q$1664</f>
        <v>118584</v>
      </c>
    </row>
    <row r="623">
      <c r="A623" s="10">
        <f>Github!J$1360</f>
        <v>1359</v>
      </c>
      <c r="B623" s="11" t="str">
        <f>HYPERLINK(CONCAT("http://leetcode.com/problems/",Github!C$1360), Github!B$1360)</f>
        <v>Count All Valid Pickup and Delivery Options</v>
      </c>
      <c r="C623" s="10">
        <f>Github!F$1360</f>
        <v>1524</v>
      </c>
      <c r="D623" s="10">
        <f>Github!G$1360</f>
        <v>138</v>
      </c>
      <c r="E623" s="10">
        <f>Github!F$1360+Github!G$1360</f>
        <v>1662</v>
      </c>
      <c r="F623" s="12">
        <f t="shared" si="1"/>
        <v>11.04</v>
      </c>
      <c r="G623" s="10" t="str">
        <f>Github!H$1360</f>
        <v>Algorithms</v>
      </c>
      <c r="H623" s="13" t="str">
        <f>SUBSTITUTE(Github!L$1360, ";", ", ")</f>
        <v>Math, Dynamic Programming, Combinatorics, </v>
      </c>
      <c r="I623" s="10" t="str">
        <f>Github!E$1360</f>
        <v>Hard</v>
      </c>
      <c r="J623" s="10" t="str">
        <f>IF(TRIM(Github!D$1360)="TRUE","FALSE","TRUE")</f>
        <v>TRUE</v>
      </c>
      <c r="K623" s="10" t="b">
        <f>Github!M$1360</f>
        <v>1</v>
      </c>
      <c r="L623" s="10" t="b">
        <f>Github!N$1360</f>
        <v>0</v>
      </c>
      <c r="M623" s="10" t="str">
        <f>ROUND(Github!O$1360, 2)&amp;"%"</f>
        <v>63.34%</v>
      </c>
      <c r="N623" s="10">
        <f>Github!P$1360</f>
        <v>51421</v>
      </c>
      <c r="O623" s="10">
        <f>Github!Q$1360</f>
        <v>81185</v>
      </c>
    </row>
    <row r="624">
      <c r="A624" s="10">
        <f>Github!J$1432</f>
        <v>1431</v>
      </c>
      <c r="B624" s="11" t="str">
        <f>HYPERLINK(CONCAT("http://leetcode.com/problems/",Github!C$1432), Github!B$1432)</f>
        <v>Kids With the Greatest Number of Candies</v>
      </c>
      <c r="C624" s="10">
        <f>Github!F$1432</f>
        <v>1527</v>
      </c>
      <c r="D624" s="10">
        <f>Github!G$1432</f>
        <v>271</v>
      </c>
      <c r="E624" s="10">
        <f>Github!F$1432+Github!G$1432</f>
        <v>1798</v>
      </c>
      <c r="F624" s="12">
        <f t="shared" si="1"/>
        <v>5.63</v>
      </c>
      <c r="G624" s="10" t="str">
        <f>Github!H$1432</f>
        <v>Algorithms</v>
      </c>
      <c r="H624" s="13" t="str">
        <f>SUBSTITUTE(Github!L$1432, ";", ", ")</f>
        <v>Array, </v>
      </c>
      <c r="I624" s="10" t="str">
        <f>Github!E$1432</f>
        <v>Easy</v>
      </c>
      <c r="J624" s="10" t="str">
        <f>IF(TRIM(Github!D$1432)="TRUE","FALSE","TRUE")</f>
        <v>TRUE</v>
      </c>
      <c r="K624" s="10" t="b">
        <f>Github!M$1432</f>
        <v>0</v>
      </c>
      <c r="L624" s="10" t="b">
        <f>Github!N$1432</f>
        <v>0</v>
      </c>
      <c r="M624" s="10" t="str">
        <f>ROUND(Github!O$1432, 2)&amp;"%"</f>
        <v>87.72%</v>
      </c>
      <c r="N624" s="10">
        <f>Github!P$1432</f>
        <v>305194</v>
      </c>
      <c r="O624" s="10">
        <f>Github!Q$1432</f>
        <v>347925</v>
      </c>
    </row>
    <row r="625">
      <c r="A625" s="10">
        <f>Github!J$1711</f>
        <v>1710</v>
      </c>
      <c r="B625" s="11" t="str">
        <f>HYPERLINK(CONCAT("http://leetcode.com/problems/",Github!C$1711), Github!B$1711)</f>
        <v>Maximum Units on a Truck</v>
      </c>
      <c r="C625" s="10">
        <f>Github!F$1711</f>
        <v>1529</v>
      </c>
      <c r="D625" s="10">
        <f>Github!G$1711</f>
        <v>104</v>
      </c>
      <c r="E625" s="10">
        <f>Github!F$1711+Github!G$1711</f>
        <v>1633</v>
      </c>
      <c r="F625" s="12">
        <f t="shared" si="1"/>
        <v>14.7</v>
      </c>
      <c r="G625" s="10" t="str">
        <f>Github!H$1711</f>
        <v>Algorithms</v>
      </c>
      <c r="H625" s="13" t="str">
        <f>SUBSTITUTE(Github!L$1711, ";", ", ")</f>
        <v>Array, Greedy, Sorting, </v>
      </c>
      <c r="I625" s="10" t="str">
        <f>Github!E$1711</f>
        <v>Easy</v>
      </c>
      <c r="J625" s="10" t="str">
        <f>IF(TRIM(Github!D$1711)="TRUE","FALSE","TRUE")</f>
        <v>TRUE</v>
      </c>
      <c r="K625" s="10" t="b">
        <f>Github!M$1711</f>
        <v>1</v>
      </c>
      <c r="L625" s="10" t="b">
        <f>Github!N$1711</f>
        <v>0</v>
      </c>
      <c r="M625" s="10" t="str">
        <f>ROUND(Github!O$1711, 2)&amp;"%"</f>
        <v>72%</v>
      </c>
      <c r="N625" s="10">
        <f>Github!P$1711</f>
        <v>137513</v>
      </c>
      <c r="O625" s="10">
        <f>Github!Q$1711</f>
        <v>190992</v>
      </c>
    </row>
    <row r="626">
      <c r="A626" s="10">
        <f>Github!J$1203</f>
        <v>1202</v>
      </c>
      <c r="B626" s="11" t="str">
        <f>HYPERLINK(CONCAT("http://leetcode.com/problems/",Github!C$1203), Github!B$1203)</f>
        <v>Smallest String With Swaps</v>
      </c>
      <c r="C626" s="10">
        <f>Github!F$1203</f>
        <v>2652</v>
      </c>
      <c r="D626" s="10">
        <f>Github!G$1203</f>
        <v>88</v>
      </c>
      <c r="E626" s="10">
        <f>Github!F$1203+Github!G$1203</f>
        <v>2740</v>
      </c>
      <c r="F626" s="12">
        <f t="shared" si="1"/>
        <v>30.14</v>
      </c>
      <c r="G626" s="10" t="str">
        <f>Github!H$1203</f>
        <v>Algorithms</v>
      </c>
      <c r="H626" s="13" t="str">
        <f>SUBSTITUTE(Github!L$1203, ";", ", ")</f>
        <v>Hash Table, String, Depth-First Search, Breadth-First Search, Union Find, </v>
      </c>
      <c r="I626" s="10" t="str">
        <f>Github!E$1203</f>
        <v>Medium</v>
      </c>
      <c r="J626" s="10" t="str">
        <f>IF(TRIM(Github!D$1203)="TRUE","FALSE","TRUE")</f>
        <v>TRUE</v>
      </c>
      <c r="K626" s="10" t="b">
        <f>Github!M$1203</f>
        <v>1</v>
      </c>
      <c r="L626" s="10" t="b">
        <f>Github!N$1203</f>
        <v>0</v>
      </c>
      <c r="M626" s="10" t="str">
        <f>ROUND(Github!O$1203, 2)&amp;"%"</f>
        <v>57.08%</v>
      </c>
      <c r="N626" s="10">
        <f>Github!P$1203</f>
        <v>75449</v>
      </c>
      <c r="O626" s="10">
        <f>Github!Q$1203</f>
        <v>132178</v>
      </c>
    </row>
    <row r="627">
      <c r="A627" s="10">
        <f>Github!J$328</f>
        <v>327</v>
      </c>
      <c r="B627" s="11" t="str">
        <f>HYPERLINK(CONCAT("http://leetcode.com/problems/",Github!C$328), Github!B$328)</f>
        <v>Count of Range Sum</v>
      </c>
      <c r="C627" s="10">
        <f>Github!F$328</f>
        <v>1515</v>
      </c>
      <c r="D627" s="10">
        <f>Github!G$328</f>
        <v>157</v>
      </c>
      <c r="E627" s="10">
        <f>Github!F$328+Github!G$328</f>
        <v>1672</v>
      </c>
      <c r="F627" s="12">
        <f t="shared" si="1"/>
        <v>9.65</v>
      </c>
      <c r="G627" s="10" t="str">
        <f>Github!H$328</f>
        <v>Algorithms</v>
      </c>
      <c r="H627" s="13" t="str">
        <f>SUBSTITUTE(Github!L$328, ";", ", ")</f>
        <v>Array, Binary Search, Divide and Conquer, Binary Indexed Tree, Segment Tree, Merge Sort, Ordered Set, </v>
      </c>
      <c r="I627" s="10" t="str">
        <f>Github!E$328</f>
        <v>Hard</v>
      </c>
      <c r="J627" s="10" t="str">
        <f>IF(TRIM(Github!D$328)="TRUE","FALSE","TRUE")</f>
        <v>TRUE</v>
      </c>
      <c r="K627" s="10" t="b">
        <f>Github!M$328</f>
        <v>0</v>
      </c>
      <c r="L627" s="10" t="b">
        <f>Github!N$328</f>
        <v>0</v>
      </c>
      <c r="M627" s="10" t="str">
        <f>ROUND(Github!O$328, 2)&amp;"%"</f>
        <v>36.04%</v>
      </c>
      <c r="N627" s="10">
        <f>Github!P$328</f>
        <v>59285</v>
      </c>
      <c r="O627" s="10">
        <f>Github!Q$328</f>
        <v>164513</v>
      </c>
    </row>
    <row r="628">
      <c r="A628" s="10">
        <f>Github!J$1033</f>
        <v>1032</v>
      </c>
      <c r="B628" s="11" t="str">
        <f>HYPERLINK(CONCAT("http://leetcode.com/problems/",Github!C$1033), Github!B$1033)</f>
        <v>Stream of Characters</v>
      </c>
      <c r="C628" s="10">
        <f>Github!F$1033</f>
        <v>1509</v>
      </c>
      <c r="D628" s="10">
        <f>Github!G$1033</f>
        <v>169</v>
      </c>
      <c r="E628" s="10">
        <f>Github!F$1033+Github!G$1033</f>
        <v>1678</v>
      </c>
      <c r="F628" s="12">
        <f t="shared" si="1"/>
        <v>8.93</v>
      </c>
      <c r="G628" s="10" t="str">
        <f>Github!H$1033</f>
        <v>Algorithms</v>
      </c>
      <c r="H628" s="13" t="str">
        <f>SUBSTITUTE(Github!L$1033, ";", ", ")</f>
        <v>Array, String, Design, Trie, Data Stream, </v>
      </c>
      <c r="I628" s="10" t="str">
        <f>Github!E$1033</f>
        <v>Hard</v>
      </c>
      <c r="J628" s="10" t="str">
        <f>IF(TRIM(Github!D$1033)="TRUE","FALSE","TRUE")</f>
        <v>TRUE</v>
      </c>
      <c r="K628" s="10" t="b">
        <f>Github!M$1033</f>
        <v>1</v>
      </c>
      <c r="L628" s="10" t="b">
        <f>Github!N$1033</f>
        <v>0</v>
      </c>
      <c r="M628" s="10" t="str">
        <f>ROUND(Github!O$1033, 2)&amp;"%"</f>
        <v>51.37%</v>
      </c>
      <c r="N628" s="10">
        <f>Github!P$1033</f>
        <v>74354</v>
      </c>
      <c r="O628" s="10">
        <f>Github!Q$1033</f>
        <v>144740</v>
      </c>
    </row>
    <row r="629">
      <c r="A629" s="10">
        <f>Github!J$1505</f>
        <v>1504</v>
      </c>
      <c r="B629" s="11" t="str">
        <f>HYPERLINK(CONCAT("http://leetcode.com/problems/",Github!C$1505), Github!B$1505)</f>
        <v>Count Submatrices With All Ones</v>
      </c>
      <c r="C629" s="10">
        <f>Github!F$1505</f>
        <v>1509</v>
      </c>
      <c r="D629" s="10">
        <f>Github!G$1505</f>
        <v>119</v>
      </c>
      <c r="E629" s="10">
        <f>Github!F$1505+Github!G$1505</f>
        <v>1628</v>
      </c>
      <c r="F629" s="12">
        <f t="shared" si="1"/>
        <v>12.68</v>
      </c>
      <c r="G629" s="10" t="str">
        <f>Github!H$1505</f>
        <v>Algorithms</v>
      </c>
      <c r="H629" s="13" t="str">
        <f>SUBSTITUTE(Github!L$1505, ";", ", ")</f>
        <v>Array, Dynamic Programming, Stack, Matrix, Monotonic Stack, </v>
      </c>
      <c r="I629" s="10" t="str">
        <f>Github!E$1505</f>
        <v>Medium</v>
      </c>
      <c r="J629" s="10" t="str">
        <f>IF(TRIM(Github!D$1505)="TRUE","FALSE","TRUE")</f>
        <v>TRUE</v>
      </c>
      <c r="K629" s="10" t="b">
        <f>Github!M$1505</f>
        <v>0</v>
      </c>
      <c r="L629" s="10" t="b">
        <f>Github!N$1505</f>
        <v>0</v>
      </c>
      <c r="M629" s="10" t="str">
        <f>ROUND(Github!O$1505, 2)&amp;"%"</f>
        <v>58.53%</v>
      </c>
      <c r="N629" s="10">
        <f>Github!P$1505</f>
        <v>35270</v>
      </c>
      <c r="O629" s="10">
        <f>Github!Q$1505</f>
        <v>60262</v>
      </c>
    </row>
    <row r="630">
      <c r="A630" s="10">
        <f>Github!J$991</f>
        <v>990</v>
      </c>
      <c r="B630" s="11" t="str">
        <f>HYPERLINK(CONCAT("http://leetcode.com/problems/",Github!C$991), Github!B$991)</f>
        <v>Satisfiability of Equality Equations</v>
      </c>
      <c r="C630" s="10">
        <f>Github!F$991</f>
        <v>1511</v>
      </c>
      <c r="D630" s="10">
        <f>Github!G$991</f>
        <v>16</v>
      </c>
      <c r="E630" s="10">
        <f>Github!F$991+Github!G$991</f>
        <v>1527</v>
      </c>
      <c r="F630" s="12">
        <f t="shared" si="1"/>
        <v>94.44</v>
      </c>
      <c r="G630" s="10" t="str">
        <f>Github!H$991</f>
        <v>Algorithms</v>
      </c>
      <c r="H630" s="13" t="str">
        <f>SUBSTITUTE(Github!L$991, ";", ", ")</f>
        <v>Array, String, Union Find, Graph, </v>
      </c>
      <c r="I630" s="10" t="str">
        <f>Github!E$991</f>
        <v>Medium</v>
      </c>
      <c r="J630" s="10" t="str">
        <f>IF(TRIM(Github!D$991)="TRUE","FALSE","TRUE")</f>
        <v>TRUE</v>
      </c>
      <c r="K630" s="10" t="b">
        <f>Github!M$991</f>
        <v>1</v>
      </c>
      <c r="L630" s="10" t="b">
        <f>Github!N$991</f>
        <v>0</v>
      </c>
      <c r="M630" s="10" t="str">
        <f>ROUND(Github!O$991, 2)&amp;"%"</f>
        <v>49.96%</v>
      </c>
      <c r="N630" s="10">
        <f>Github!P$991</f>
        <v>49488</v>
      </c>
      <c r="O630" s="10">
        <f>Github!Q$991</f>
        <v>99045</v>
      </c>
    </row>
    <row r="631">
      <c r="A631" s="10">
        <f>Github!J$547</f>
        <v>546</v>
      </c>
      <c r="B631" s="11" t="str">
        <f>HYPERLINK(CONCAT("http://leetcode.com/problems/",Github!C$547), Github!B$547)</f>
        <v>Remove Boxes</v>
      </c>
      <c r="C631" s="10">
        <f>Github!F$547</f>
        <v>1498</v>
      </c>
      <c r="D631" s="10">
        <f>Github!G$547</f>
        <v>92</v>
      </c>
      <c r="E631" s="10">
        <f>Github!F$547+Github!G$547</f>
        <v>1590</v>
      </c>
      <c r="F631" s="12">
        <f t="shared" si="1"/>
        <v>16.28</v>
      </c>
      <c r="G631" s="10" t="str">
        <f>Github!H$547</f>
        <v>Algorithms</v>
      </c>
      <c r="H631" s="13" t="str">
        <f>SUBSTITUTE(Github!L$547, ";", ", ")</f>
        <v>Array, Dynamic Programming, Memoization, </v>
      </c>
      <c r="I631" s="10" t="str">
        <f>Github!E$547</f>
        <v>Hard</v>
      </c>
      <c r="J631" s="10" t="str">
        <f>IF(TRIM(Github!D$547)="TRUE","FALSE","TRUE")</f>
        <v>TRUE</v>
      </c>
      <c r="K631" s="10" t="b">
        <f>Github!M$547</f>
        <v>1</v>
      </c>
      <c r="L631" s="10" t="b">
        <f>Github!N$547</f>
        <v>0</v>
      </c>
      <c r="M631" s="10" t="str">
        <f>ROUND(Github!O$547, 2)&amp;"%"</f>
        <v>47.36%</v>
      </c>
      <c r="N631" s="10">
        <f>Github!P$547</f>
        <v>33953</v>
      </c>
      <c r="O631" s="10">
        <f>Github!Q$547</f>
        <v>71685</v>
      </c>
    </row>
    <row r="632">
      <c r="A632" s="10">
        <f>Github!J$363</f>
        <v>362</v>
      </c>
      <c r="B632" s="11" t="str">
        <f>HYPERLINK(CONCAT("http://leetcode.com/problems/",Github!C$363), Github!B$363)</f>
        <v>Design Hit Counter</v>
      </c>
      <c r="C632" s="10">
        <f>Github!F$363</f>
        <v>1501</v>
      </c>
      <c r="D632" s="10">
        <f>Github!G$363</f>
        <v>129</v>
      </c>
      <c r="E632" s="10">
        <f>Github!F$363+Github!G$363</f>
        <v>1630</v>
      </c>
      <c r="F632" s="12">
        <f t="shared" si="1"/>
        <v>11.64</v>
      </c>
      <c r="G632" s="10" t="str">
        <f>Github!H$363</f>
        <v>Algorithms</v>
      </c>
      <c r="H632" s="13" t="str">
        <f>SUBSTITUTE(Github!L$363, ";", ", ")</f>
        <v>Array, Hash Table, Binary Search, Design, Queue, </v>
      </c>
      <c r="I632" s="10" t="str">
        <f>Github!E$363</f>
        <v>Medium</v>
      </c>
      <c r="J632" s="10" t="str">
        <f>IF(TRIM(Github!D$363)="TRUE","FALSE","TRUE")</f>
        <v>FALSE</v>
      </c>
      <c r="K632" s="10" t="b">
        <f>Github!M$363</f>
        <v>1</v>
      </c>
      <c r="L632" s="10" t="b">
        <f>Github!N$363</f>
        <v>0</v>
      </c>
      <c r="M632" s="10" t="str">
        <f>ROUND(Github!O$363, 2)&amp;"%"</f>
        <v>67.37%</v>
      </c>
      <c r="N632" s="10">
        <f>Github!P$363</f>
        <v>161648</v>
      </c>
      <c r="O632" s="10">
        <f>Github!Q$363</f>
        <v>239935</v>
      </c>
    </row>
    <row r="633">
      <c r="A633" s="10">
        <f>Github!J$897</f>
        <v>896</v>
      </c>
      <c r="B633" s="11" t="str">
        <f>HYPERLINK(CONCAT("http://leetcode.com/problems/",Github!C$897), Github!B$897)</f>
        <v>Monotonic Array</v>
      </c>
      <c r="C633" s="10">
        <f>Github!F$897</f>
        <v>1493</v>
      </c>
      <c r="D633" s="10">
        <f>Github!G$897</f>
        <v>55</v>
      </c>
      <c r="E633" s="10">
        <f>Github!F$897+Github!G$897</f>
        <v>1548</v>
      </c>
      <c r="F633" s="12">
        <f t="shared" si="1"/>
        <v>27.15</v>
      </c>
      <c r="G633" s="10" t="str">
        <f>Github!H$897</f>
        <v>Algorithms</v>
      </c>
      <c r="H633" s="13" t="str">
        <f>SUBSTITUTE(Github!L$897, ";", ", ")</f>
        <v>Array, </v>
      </c>
      <c r="I633" s="10" t="str">
        <f>Github!E$897</f>
        <v>Easy</v>
      </c>
      <c r="J633" s="10" t="str">
        <f>IF(TRIM(Github!D$897)="TRUE","FALSE","TRUE")</f>
        <v>TRUE</v>
      </c>
      <c r="K633" s="10" t="b">
        <f>Github!M$897</f>
        <v>1</v>
      </c>
      <c r="L633" s="10" t="b">
        <f>Github!N$897</f>
        <v>0</v>
      </c>
      <c r="M633" s="10" t="str">
        <f>ROUND(Github!O$897, 2)&amp;"%"</f>
        <v>58.44%</v>
      </c>
      <c r="N633" s="10">
        <f>Github!P$897</f>
        <v>204213</v>
      </c>
      <c r="O633" s="10">
        <f>Github!Q$897</f>
        <v>349464</v>
      </c>
    </row>
    <row r="634">
      <c r="A634" s="10">
        <f>Github!J$649</f>
        <v>648</v>
      </c>
      <c r="B634" s="11" t="str">
        <f>HYPERLINK(CONCAT("http://leetcode.com/problems/",Github!C$649), Github!B$649)</f>
        <v>Replace Words</v>
      </c>
      <c r="C634" s="10">
        <f>Github!F$649</f>
        <v>1494</v>
      </c>
      <c r="D634" s="10">
        <f>Github!G$649</f>
        <v>152</v>
      </c>
      <c r="E634" s="10">
        <f>Github!F$649+Github!G$649</f>
        <v>1646</v>
      </c>
      <c r="F634" s="12">
        <f t="shared" si="1"/>
        <v>9.83</v>
      </c>
      <c r="G634" s="10" t="str">
        <f>Github!H$649</f>
        <v>Algorithms</v>
      </c>
      <c r="H634" s="13" t="str">
        <f>SUBSTITUTE(Github!L$649, ";", ", ")</f>
        <v>Array, Hash Table, String, Trie, </v>
      </c>
      <c r="I634" s="10" t="str">
        <f>Github!E$649</f>
        <v>Medium</v>
      </c>
      <c r="J634" s="10" t="str">
        <f>IF(TRIM(Github!D$649)="TRUE","FALSE","TRUE")</f>
        <v>TRUE</v>
      </c>
      <c r="K634" s="10" t="b">
        <f>Github!M$649</f>
        <v>1</v>
      </c>
      <c r="L634" s="10" t="b">
        <f>Github!N$649</f>
        <v>0</v>
      </c>
      <c r="M634" s="10" t="str">
        <f>ROUND(Github!O$649, 2)&amp;"%"</f>
        <v>61.97%</v>
      </c>
      <c r="N634" s="10">
        <f>Github!P$649</f>
        <v>95207</v>
      </c>
      <c r="O634" s="10">
        <f>Github!Q$649</f>
        <v>153627</v>
      </c>
    </row>
    <row r="635">
      <c r="A635" s="10">
        <f>Github!J$577</f>
        <v>576</v>
      </c>
      <c r="B635" s="11" t="str">
        <f>HYPERLINK(CONCAT("http://leetcode.com/problems/",Github!C$577), Github!B$577)</f>
        <v>Out of Boundary Paths</v>
      </c>
      <c r="C635" s="10">
        <f>Github!F$577</f>
        <v>1483</v>
      </c>
      <c r="D635" s="10">
        <f>Github!G$577</f>
        <v>182</v>
      </c>
      <c r="E635" s="10">
        <f>Github!F$577+Github!G$577</f>
        <v>1665</v>
      </c>
      <c r="F635" s="12">
        <f t="shared" si="1"/>
        <v>8.15</v>
      </c>
      <c r="G635" s="10" t="str">
        <f>Github!H$577</f>
        <v>Algorithms</v>
      </c>
      <c r="H635" s="13" t="str">
        <f>SUBSTITUTE(Github!L$577, ";", ", ")</f>
        <v>Dynamic Programming, </v>
      </c>
      <c r="I635" s="10" t="str">
        <f>Github!E$577</f>
        <v>Medium</v>
      </c>
      <c r="J635" s="10" t="str">
        <f>IF(TRIM(Github!D$577)="TRUE","FALSE","TRUE")</f>
        <v>TRUE</v>
      </c>
      <c r="K635" s="10" t="b">
        <f>Github!M$577</f>
        <v>1</v>
      </c>
      <c r="L635" s="10" t="b">
        <f>Github!N$577</f>
        <v>0</v>
      </c>
      <c r="M635" s="10" t="str">
        <f>ROUND(Github!O$577, 2)&amp;"%"</f>
        <v>40.12%</v>
      </c>
      <c r="N635" s="10">
        <f>Github!P$577</f>
        <v>63568</v>
      </c>
      <c r="O635" s="10">
        <f>Github!Q$577</f>
        <v>158445</v>
      </c>
    </row>
    <row r="636">
      <c r="A636" s="10">
        <f>Github!J$791</f>
        <v>790</v>
      </c>
      <c r="B636" s="11" t="str">
        <f>HYPERLINK(CONCAT("http://leetcode.com/problems/",Github!C$791), Github!B$791)</f>
        <v>Domino and Tromino Tiling</v>
      </c>
      <c r="C636" s="10">
        <f>Github!F$791</f>
        <v>1482</v>
      </c>
      <c r="D636" s="10">
        <f>Github!G$791</f>
        <v>576</v>
      </c>
      <c r="E636" s="10">
        <f>Github!F$791+Github!G$791</f>
        <v>2058</v>
      </c>
      <c r="F636" s="12">
        <f t="shared" si="1"/>
        <v>2.57</v>
      </c>
      <c r="G636" s="10" t="str">
        <f>Github!H$791</f>
        <v>Algorithms</v>
      </c>
      <c r="H636" s="13" t="str">
        <f>SUBSTITUTE(Github!L$791, ";", ", ")</f>
        <v>Dynamic Programming, </v>
      </c>
      <c r="I636" s="10" t="str">
        <f>Github!E$791</f>
        <v>Medium</v>
      </c>
      <c r="J636" s="10" t="str">
        <f>IF(TRIM(Github!D$791)="TRUE","FALSE","TRUE")</f>
        <v>TRUE</v>
      </c>
      <c r="K636" s="10" t="b">
        <f>Github!M$791</f>
        <v>1</v>
      </c>
      <c r="L636" s="10" t="b">
        <f>Github!N$791</f>
        <v>0</v>
      </c>
      <c r="M636" s="10" t="str">
        <f>ROUND(Github!O$791, 2)&amp;"%"</f>
        <v>47.87%</v>
      </c>
      <c r="N636" s="10">
        <f>Github!P$791</f>
        <v>46746</v>
      </c>
      <c r="O636" s="10">
        <f>Github!Q$791</f>
        <v>97658</v>
      </c>
    </row>
    <row r="637">
      <c r="A637" s="10">
        <f>Github!J$1201</f>
        <v>1200</v>
      </c>
      <c r="B637" s="11" t="str">
        <f>HYPERLINK(CONCAT("http://leetcode.com/problems/",Github!C$1201), Github!B$1201)</f>
        <v>Minimum Absolute Difference</v>
      </c>
      <c r="C637" s="10">
        <f>Github!F$1201</f>
        <v>1486</v>
      </c>
      <c r="D637" s="10">
        <f>Github!G$1201</f>
        <v>58</v>
      </c>
      <c r="E637" s="10">
        <f>Github!F$1201+Github!G$1201</f>
        <v>1544</v>
      </c>
      <c r="F637" s="12">
        <f t="shared" si="1"/>
        <v>25.62</v>
      </c>
      <c r="G637" s="10" t="str">
        <f>Github!H$1201</f>
        <v>Algorithms</v>
      </c>
      <c r="H637" s="13" t="str">
        <f>SUBSTITUTE(Github!L$1201, ";", ", ")</f>
        <v>Array, Sorting, </v>
      </c>
      <c r="I637" s="10" t="str">
        <f>Github!E$1201</f>
        <v>Easy</v>
      </c>
      <c r="J637" s="10" t="str">
        <f>IF(TRIM(Github!D$1201)="TRUE","FALSE","TRUE")</f>
        <v>TRUE</v>
      </c>
      <c r="K637" s="10" t="b">
        <f>Github!M$1201</f>
        <v>1</v>
      </c>
      <c r="L637" s="10" t="b">
        <f>Github!N$1201</f>
        <v>0</v>
      </c>
      <c r="M637" s="10" t="str">
        <f>ROUND(Github!O$1201, 2)&amp;"%"</f>
        <v>69.85%</v>
      </c>
      <c r="N637" s="10">
        <f>Github!P$1201</f>
        <v>119934</v>
      </c>
      <c r="O637" s="10">
        <f>Github!Q$1201</f>
        <v>171711</v>
      </c>
    </row>
    <row r="638">
      <c r="A638" s="10">
        <f>Github!J$717</f>
        <v>716</v>
      </c>
      <c r="B638" s="11" t="str">
        <f>HYPERLINK(CONCAT("http://leetcode.com/problems/",Github!C$717), Github!B$717)</f>
        <v>Max Stack</v>
      </c>
      <c r="C638" s="10">
        <f>Github!F$717</f>
        <v>1477</v>
      </c>
      <c r="D638" s="10">
        <f>Github!G$717</f>
        <v>442</v>
      </c>
      <c r="E638" s="10">
        <f>Github!F$717+Github!G$717</f>
        <v>1919</v>
      </c>
      <c r="F638" s="12">
        <f t="shared" si="1"/>
        <v>3.34</v>
      </c>
      <c r="G638" s="10" t="str">
        <f>Github!H$717</f>
        <v>Algorithms</v>
      </c>
      <c r="H638" s="13" t="str">
        <f>SUBSTITUTE(Github!L$717, ";", ", ")</f>
        <v>Linked List, Stack, Design, Doubly-Linked List, Ordered Set, </v>
      </c>
      <c r="I638" s="10" t="str">
        <f>Github!E$717</f>
        <v>Easy</v>
      </c>
      <c r="J638" s="10" t="str">
        <f>IF(TRIM(Github!D$717)="TRUE","FALSE","TRUE")</f>
        <v>FALSE</v>
      </c>
      <c r="K638" s="10" t="b">
        <f>Github!M$717</f>
        <v>1</v>
      </c>
      <c r="L638" s="10" t="b">
        <f>Github!N$717</f>
        <v>0</v>
      </c>
      <c r="M638" s="10" t="str">
        <f>ROUND(Github!O$717, 2)&amp;"%"</f>
        <v>45.09%</v>
      </c>
      <c r="N638" s="10">
        <f>Github!P$717</f>
        <v>119871</v>
      </c>
      <c r="O638" s="10">
        <f>Github!Q$717</f>
        <v>265832</v>
      </c>
    </row>
    <row r="639">
      <c r="A639" s="10">
        <f>Github!J$774</f>
        <v>773</v>
      </c>
      <c r="B639" s="11" t="str">
        <f>HYPERLINK(CONCAT("http://leetcode.com/problems/",Github!C$774), Github!B$774)</f>
        <v>Sliding Puzzle</v>
      </c>
      <c r="C639" s="10">
        <f>Github!F$774</f>
        <v>1474</v>
      </c>
      <c r="D639" s="10">
        <f>Github!G$774</f>
        <v>39</v>
      </c>
      <c r="E639" s="10">
        <f>Github!F$774+Github!G$774</f>
        <v>1513</v>
      </c>
      <c r="F639" s="12">
        <f t="shared" si="1"/>
        <v>37.79</v>
      </c>
      <c r="G639" s="10" t="str">
        <f>Github!H$774</f>
        <v>Algorithms</v>
      </c>
      <c r="H639" s="13" t="str">
        <f>SUBSTITUTE(Github!L$774, ";", ", ")</f>
        <v>Array, Breadth-First Search, Matrix, </v>
      </c>
      <c r="I639" s="10" t="str">
        <f>Github!E$774</f>
        <v>Hard</v>
      </c>
      <c r="J639" s="10" t="str">
        <f>IF(TRIM(Github!D$774)="TRUE","FALSE","TRUE")</f>
        <v>TRUE</v>
      </c>
      <c r="K639" s="10" t="b">
        <f>Github!M$774</f>
        <v>0</v>
      </c>
      <c r="L639" s="10" t="b">
        <f>Github!N$774</f>
        <v>0</v>
      </c>
      <c r="M639" s="10" t="str">
        <f>ROUND(Github!O$774, 2)&amp;"%"</f>
        <v>63.13%</v>
      </c>
      <c r="N639" s="10">
        <f>Github!P$774</f>
        <v>70880</v>
      </c>
      <c r="O639" s="10">
        <f>Github!Q$774</f>
        <v>112280</v>
      </c>
    </row>
    <row r="640">
      <c r="A640" s="10">
        <f>Github!J$314</f>
        <v>313</v>
      </c>
      <c r="B640" s="11" t="str">
        <f>HYPERLINK(CONCAT("http://leetcode.com/problems/",Github!C$314), Github!B$314)</f>
        <v>Super Ugly Number</v>
      </c>
      <c r="C640" s="10">
        <f>Github!F$314</f>
        <v>1474</v>
      </c>
      <c r="D640" s="10">
        <f>Github!G$314</f>
        <v>280</v>
      </c>
      <c r="E640" s="10">
        <f>Github!F$314+Github!G$314</f>
        <v>1754</v>
      </c>
      <c r="F640" s="12">
        <f t="shared" si="1"/>
        <v>5.26</v>
      </c>
      <c r="G640" s="10" t="str">
        <f>Github!H$314</f>
        <v>Algorithms</v>
      </c>
      <c r="H640" s="13" t="str">
        <f>SUBSTITUTE(Github!L$314, ";", ", ")</f>
        <v>Array, Hash Table, Math, Dynamic Programming, Heap (Priority Queue), </v>
      </c>
      <c r="I640" s="10" t="str">
        <f>Github!E$314</f>
        <v>Medium</v>
      </c>
      <c r="J640" s="10" t="str">
        <f>IF(TRIM(Github!D$314)="TRUE","FALSE","TRUE")</f>
        <v>TRUE</v>
      </c>
      <c r="K640" s="10" t="b">
        <f>Github!M$314</f>
        <v>0</v>
      </c>
      <c r="L640" s="10" t="b">
        <f>Github!N$314</f>
        <v>0</v>
      </c>
      <c r="M640" s="10" t="str">
        <f>ROUND(Github!O$314, 2)&amp;"%"</f>
        <v>45.69%</v>
      </c>
      <c r="N640" s="10">
        <f>Github!P$314</f>
        <v>104226</v>
      </c>
      <c r="O640" s="10">
        <f>Github!Q$314</f>
        <v>228112</v>
      </c>
    </row>
    <row r="641">
      <c r="A641" s="10">
        <f>Github!J$509</f>
        <v>508</v>
      </c>
      <c r="B641" s="11" t="str">
        <f>HYPERLINK(CONCAT("http://leetcode.com/problems/",Github!C$509), Github!B$509)</f>
        <v>Most Frequent Subtree Sum</v>
      </c>
      <c r="C641" s="10">
        <f>Github!F$509</f>
        <v>1473</v>
      </c>
      <c r="D641" s="10">
        <f>Github!G$509</f>
        <v>225</v>
      </c>
      <c r="E641" s="10">
        <f>Github!F$509+Github!G$509</f>
        <v>1698</v>
      </c>
      <c r="F641" s="12">
        <f t="shared" si="1"/>
        <v>6.55</v>
      </c>
      <c r="G641" s="10" t="str">
        <f>Github!H$509</f>
        <v>Algorithms</v>
      </c>
      <c r="H641" s="13" t="str">
        <f>SUBSTITUTE(Github!L$509, ";", ", ")</f>
        <v>Hash Table, Tree, Depth-First Search, Binary Tree, </v>
      </c>
      <c r="I641" s="10" t="str">
        <f>Github!E$509</f>
        <v>Medium</v>
      </c>
      <c r="J641" s="10" t="str">
        <f>IF(TRIM(Github!D$509)="TRUE","FALSE","TRUE")</f>
        <v>TRUE</v>
      </c>
      <c r="K641" s="10" t="b">
        <f>Github!M$509</f>
        <v>0</v>
      </c>
      <c r="L641" s="10" t="b">
        <f>Github!N$509</f>
        <v>0</v>
      </c>
      <c r="M641" s="10" t="str">
        <f>ROUND(Github!O$509, 2)&amp;"%"</f>
        <v>62.76%</v>
      </c>
      <c r="N641" s="10">
        <f>Github!P$509</f>
        <v>107066</v>
      </c>
      <c r="O641" s="10">
        <f>Github!Q$509</f>
        <v>170600</v>
      </c>
    </row>
    <row r="642">
      <c r="A642" s="10">
        <f>Github!J$1218</f>
        <v>1217</v>
      </c>
      <c r="B642" s="11" t="str">
        <f>HYPERLINK(CONCAT("http://leetcode.com/problems/",Github!C$1218), Github!B$1218)</f>
        <v>Minimum Cost to Move Chips to The Same Position</v>
      </c>
      <c r="C642" s="10">
        <f>Github!F$1218</f>
        <v>1469</v>
      </c>
      <c r="D642" s="10">
        <f>Github!G$1218</f>
        <v>200</v>
      </c>
      <c r="E642" s="10">
        <f>Github!F$1218+Github!G$1218</f>
        <v>1669</v>
      </c>
      <c r="F642" s="12">
        <f t="shared" si="1"/>
        <v>7.35</v>
      </c>
      <c r="G642" s="10" t="str">
        <f>Github!H$1218</f>
        <v>Algorithms</v>
      </c>
      <c r="H642" s="13" t="str">
        <f>SUBSTITUTE(Github!L$1218, ";", ", ")</f>
        <v>Array, Math, Greedy, </v>
      </c>
      <c r="I642" s="10" t="str">
        <f>Github!E$1218</f>
        <v>Easy</v>
      </c>
      <c r="J642" s="10" t="str">
        <f>IF(TRIM(Github!D$1218)="TRUE","FALSE","TRUE")</f>
        <v>TRUE</v>
      </c>
      <c r="K642" s="10" t="b">
        <f>Github!M$1218</f>
        <v>1</v>
      </c>
      <c r="L642" s="10" t="b">
        <f>Github!N$1218</f>
        <v>0</v>
      </c>
      <c r="M642" s="10" t="str">
        <f>ROUND(Github!O$1218, 2)&amp;"%"</f>
        <v>72.7%</v>
      </c>
      <c r="N642" s="10">
        <f>Github!P$1218</f>
        <v>94858</v>
      </c>
      <c r="O642" s="10">
        <f>Github!Q$1218</f>
        <v>130484</v>
      </c>
    </row>
    <row r="643">
      <c r="A643" s="10">
        <f>Github!J$420</f>
        <v>419</v>
      </c>
      <c r="B643" s="11" t="str">
        <f>HYPERLINK(CONCAT("http://leetcode.com/problems/",Github!C$420), Github!B$420)</f>
        <v>Battleships in a Board</v>
      </c>
      <c r="C643" s="10">
        <f>Github!F$420</f>
        <v>1473</v>
      </c>
      <c r="D643" s="10">
        <f>Github!G$420</f>
        <v>734</v>
      </c>
      <c r="E643" s="10">
        <f>Github!F$420+Github!G$420</f>
        <v>2207</v>
      </c>
      <c r="F643" s="12">
        <f t="shared" si="1"/>
        <v>2.01</v>
      </c>
      <c r="G643" s="10" t="str">
        <f>Github!H$420</f>
        <v>Algorithms</v>
      </c>
      <c r="H643" s="13" t="str">
        <f>SUBSTITUTE(Github!L$420, ";", ", ")</f>
        <v>Array, Depth-First Search, Matrix, </v>
      </c>
      <c r="I643" s="10" t="str">
        <f>Github!E$420</f>
        <v>Medium</v>
      </c>
      <c r="J643" s="10" t="str">
        <f>IF(TRIM(Github!D$420)="TRUE","FALSE","TRUE")</f>
        <v>TRUE</v>
      </c>
      <c r="K643" s="10" t="b">
        <f>Github!M$420</f>
        <v>0</v>
      </c>
      <c r="L643" s="10" t="b">
        <f>Github!N$420</f>
        <v>0</v>
      </c>
      <c r="M643" s="10" t="str">
        <f>ROUND(Github!O$420, 2)&amp;"%"</f>
        <v>73.44%</v>
      </c>
      <c r="N643" s="10">
        <f>Github!P$420</f>
        <v>144859</v>
      </c>
      <c r="O643" s="10">
        <f>Github!Q$420</f>
        <v>197243</v>
      </c>
    </row>
    <row r="644">
      <c r="A644" s="10">
        <f>Github!J$343</f>
        <v>342</v>
      </c>
      <c r="B644" s="11" t="str">
        <f>HYPERLINK(CONCAT("http://leetcode.com/problems/",Github!C$343), Github!B$343)</f>
        <v>Power of Four</v>
      </c>
      <c r="C644" s="10">
        <f>Github!F$343</f>
        <v>1463</v>
      </c>
      <c r="D644" s="10">
        <f>Github!G$343</f>
        <v>285</v>
      </c>
      <c r="E644" s="10">
        <f>Github!F$343+Github!G$343</f>
        <v>1748</v>
      </c>
      <c r="F644" s="12">
        <f t="shared" si="1"/>
        <v>5.13</v>
      </c>
      <c r="G644" s="10" t="str">
        <f>Github!H$343</f>
        <v>Algorithms</v>
      </c>
      <c r="H644" s="13" t="str">
        <f>SUBSTITUTE(Github!L$343, ";", ", ")</f>
        <v>Math, Bit Manipulation, Recursion, </v>
      </c>
      <c r="I644" s="10" t="str">
        <f>Github!E$343</f>
        <v>Easy</v>
      </c>
      <c r="J644" s="10" t="str">
        <f>IF(TRIM(Github!D$343)="TRUE","FALSE","TRUE")</f>
        <v>TRUE</v>
      </c>
      <c r="K644" s="10" t="b">
        <f>Github!M$343</f>
        <v>1</v>
      </c>
      <c r="L644" s="10" t="b">
        <f>Github!N$343</f>
        <v>0</v>
      </c>
      <c r="M644" s="10" t="str">
        <f>ROUND(Github!O$343, 2)&amp;"%"</f>
        <v>43.97%</v>
      </c>
      <c r="N644" s="10">
        <f>Github!P$343</f>
        <v>293660</v>
      </c>
      <c r="O644" s="10">
        <f>Github!Q$343</f>
        <v>667926</v>
      </c>
    </row>
    <row r="645">
      <c r="A645" s="10">
        <f>Github!J$1327</f>
        <v>1326</v>
      </c>
      <c r="B645" s="11" t="str">
        <f>HYPERLINK(CONCAT("http://leetcode.com/problems/",Github!C$1327), Github!B$1327)</f>
        <v>Minimum Number of Taps to Open to Water a Garden</v>
      </c>
      <c r="C645" s="10">
        <f>Github!F$1327</f>
        <v>1456</v>
      </c>
      <c r="D645" s="10">
        <f>Github!G$1327</f>
        <v>108</v>
      </c>
      <c r="E645" s="10">
        <f>Github!F$1327+Github!G$1327</f>
        <v>1564</v>
      </c>
      <c r="F645" s="12">
        <f t="shared" si="1"/>
        <v>13.48</v>
      </c>
      <c r="G645" s="10" t="str">
        <f>Github!H$1327</f>
        <v>Algorithms</v>
      </c>
      <c r="H645" s="13" t="str">
        <f>SUBSTITUTE(Github!L$1327, ";", ", ")</f>
        <v>Array, Dynamic Programming, Greedy, </v>
      </c>
      <c r="I645" s="10" t="str">
        <f>Github!E$1327</f>
        <v>Hard</v>
      </c>
      <c r="J645" s="10" t="str">
        <f>IF(TRIM(Github!D$1327)="TRUE","FALSE","TRUE")</f>
        <v>TRUE</v>
      </c>
      <c r="K645" s="10" t="b">
        <f>Github!M$1327</f>
        <v>0</v>
      </c>
      <c r="L645" s="10" t="b">
        <f>Github!N$1327</f>
        <v>0</v>
      </c>
      <c r="M645" s="10" t="str">
        <f>ROUND(Github!O$1327, 2)&amp;"%"</f>
        <v>48.07%</v>
      </c>
      <c r="N645" s="10">
        <f>Github!P$1327</f>
        <v>55024</v>
      </c>
      <c r="O645" s="10">
        <f>Github!Q$1327</f>
        <v>114478</v>
      </c>
    </row>
    <row r="646">
      <c r="A646" s="10">
        <f>Github!J$376</f>
        <v>375</v>
      </c>
      <c r="B646" s="11" t="str">
        <f>HYPERLINK(CONCAT("http://leetcode.com/problems/",Github!C$376), Github!B$376)</f>
        <v>Guess Number Higher or Lower II</v>
      </c>
      <c r="C646" s="10">
        <f>Github!F$376</f>
        <v>1446</v>
      </c>
      <c r="D646" s="10">
        <f>Github!G$376</f>
        <v>1779</v>
      </c>
      <c r="E646" s="10">
        <f>Github!F$376+Github!G$376</f>
        <v>3225</v>
      </c>
      <c r="F646" s="12">
        <f t="shared" si="1"/>
        <v>0.81</v>
      </c>
      <c r="G646" s="10" t="str">
        <f>Github!H$376</f>
        <v>Algorithms</v>
      </c>
      <c r="H646" s="13" t="str">
        <f>SUBSTITUTE(Github!L$376, ";", ", ")</f>
        <v>Math, Dynamic Programming, Game Theory, </v>
      </c>
      <c r="I646" s="10" t="str">
        <f>Github!E$376</f>
        <v>Medium</v>
      </c>
      <c r="J646" s="10" t="str">
        <f>IF(TRIM(Github!D$376)="TRUE","FALSE","TRUE")</f>
        <v>TRUE</v>
      </c>
      <c r="K646" s="10" t="b">
        <f>Github!M$376</f>
        <v>0</v>
      </c>
      <c r="L646" s="10" t="b">
        <f>Github!N$376</f>
        <v>0</v>
      </c>
      <c r="M646" s="10" t="str">
        <f>ROUND(Github!O$376, 2)&amp;"%"</f>
        <v>45.41%</v>
      </c>
      <c r="N646" s="10">
        <f>Github!P$376</f>
        <v>92576</v>
      </c>
      <c r="O646" s="10">
        <f>Github!Q$376</f>
        <v>203889</v>
      </c>
    </row>
    <row r="647">
      <c r="A647" s="10">
        <f>Github!J$940</f>
        <v>939</v>
      </c>
      <c r="B647" s="11" t="str">
        <f>HYPERLINK(CONCAT("http://leetcode.com/problems/",Github!C$940), Github!B$940)</f>
        <v>Minimum Area Rectangle</v>
      </c>
      <c r="C647" s="10">
        <f>Github!F$940</f>
        <v>1439</v>
      </c>
      <c r="D647" s="10">
        <f>Github!G$940</f>
        <v>224</v>
      </c>
      <c r="E647" s="10">
        <f>Github!F$940+Github!G$940</f>
        <v>1663</v>
      </c>
      <c r="F647" s="12">
        <f t="shared" si="1"/>
        <v>6.42</v>
      </c>
      <c r="G647" s="10" t="str">
        <f>Github!H$940</f>
        <v>Algorithms</v>
      </c>
      <c r="H647" s="13" t="str">
        <f>SUBSTITUTE(Github!L$940, ";", ", ")</f>
        <v>Array, Hash Table, Math, Geometry, Sorting, </v>
      </c>
      <c r="I647" s="10" t="str">
        <f>Github!E$940</f>
        <v>Medium</v>
      </c>
      <c r="J647" s="10" t="str">
        <f>IF(TRIM(Github!D$940)="TRUE","FALSE","TRUE")</f>
        <v>TRUE</v>
      </c>
      <c r="K647" s="10" t="b">
        <f>Github!M$940</f>
        <v>0</v>
      </c>
      <c r="L647" s="10" t="b">
        <f>Github!N$940</f>
        <v>0</v>
      </c>
      <c r="M647" s="10" t="str">
        <f>ROUND(Github!O$940, 2)&amp;"%"</f>
        <v>53.53%</v>
      </c>
      <c r="N647" s="10">
        <f>Github!P$940</f>
        <v>102618</v>
      </c>
      <c r="O647" s="10">
        <f>Github!Q$940</f>
        <v>191689</v>
      </c>
    </row>
    <row r="648">
      <c r="A648" s="10">
        <f>Github!J$1467</f>
        <v>1466</v>
      </c>
      <c r="B648" s="11" t="str">
        <f>HYPERLINK(CONCAT("http://leetcode.com/problems/",Github!C$1467), Github!B$1467)</f>
        <v>Reorder Routes to Make All Paths Lead to the City Zero</v>
      </c>
      <c r="C648" s="10">
        <f>Github!F$1467</f>
        <v>1448</v>
      </c>
      <c r="D648" s="10">
        <f>Github!G$1467</f>
        <v>37</v>
      </c>
      <c r="E648" s="10">
        <f>Github!F$1467+Github!G$1467</f>
        <v>1485</v>
      </c>
      <c r="F648" s="12">
        <f t="shared" si="1"/>
        <v>39.14</v>
      </c>
      <c r="G648" s="10" t="str">
        <f>Github!H$1467</f>
        <v>Algorithms</v>
      </c>
      <c r="H648" s="13" t="str">
        <f>SUBSTITUTE(Github!L$1467, ";", ", ")</f>
        <v>Depth-First Search, Breadth-First Search, Graph, </v>
      </c>
      <c r="I648" s="10" t="str">
        <f>Github!E$1467</f>
        <v>Medium</v>
      </c>
      <c r="J648" s="10" t="str">
        <f>IF(TRIM(Github!D$1467)="TRUE","FALSE","TRUE")</f>
        <v>TRUE</v>
      </c>
      <c r="K648" s="10" t="b">
        <f>Github!M$1467</f>
        <v>0</v>
      </c>
      <c r="L648" s="10" t="b">
        <f>Github!N$1467</f>
        <v>0</v>
      </c>
      <c r="M648" s="10" t="str">
        <f>ROUND(Github!O$1467, 2)&amp;"%"</f>
        <v>61.03%</v>
      </c>
      <c r="N648" s="10">
        <f>Github!P$1467</f>
        <v>52335</v>
      </c>
      <c r="O648" s="10">
        <f>Github!Q$1467</f>
        <v>85749</v>
      </c>
    </row>
    <row r="649">
      <c r="A649" s="10">
        <f>Github!J$492</f>
        <v>491</v>
      </c>
      <c r="B649" s="11" t="str">
        <f>HYPERLINK(CONCAT("http://leetcode.com/problems/",Github!C$492), Github!B$492)</f>
        <v>Increasing Subsequences</v>
      </c>
      <c r="C649" s="10">
        <f>Github!F$492</f>
        <v>1437</v>
      </c>
      <c r="D649" s="10">
        <f>Github!G$492</f>
        <v>148</v>
      </c>
      <c r="E649" s="10">
        <f>Github!F$492+Github!G$492</f>
        <v>1585</v>
      </c>
      <c r="F649" s="12">
        <f t="shared" si="1"/>
        <v>9.71</v>
      </c>
      <c r="G649" s="10" t="str">
        <f>Github!H$492</f>
        <v>Algorithms</v>
      </c>
      <c r="H649" s="13" t="str">
        <f>SUBSTITUTE(Github!L$492, ";", ", ")</f>
        <v>Array, Hash Table, Backtracking, Bit Manipulation, </v>
      </c>
      <c r="I649" s="10" t="str">
        <f>Github!E$492</f>
        <v>Medium</v>
      </c>
      <c r="J649" s="10" t="str">
        <f>IF(TRIM(Github!D$492)="TRUE","FALSE","TRUE")</f>
        <v>TRUE</v>
      </c>
      <c r="K649" s="10" t="b">
        <f>Github!M$492</f>
        <v>0</v>
      </c>
      <c r="L649" s="10" t="b">
        <f>Github!N$492</f>
        <v>0</v>
      </c>
      <c r="M649" s="10" t="str">
        <f>ROUND(Github!O$492, 2)&amp;"%"</f>
        <v>50.82%</v>
      </c>
      <c r="N649" s="10">
        <f>Github!P$492</f>
        <v>73984</v>
      </c>
      <c r="O649" s="10">
        <f>Github!Q$492</f>
        <v>145585</v>
      </c>
    </row>
    <row r="650">
      <c r="A650" s="10">
        <f>Github!J$708</f>
        <v>707</v>
      </c>
      <c r="B650" s="11" t="str">
        <f>HYPERLINK(CONCAT("http://leetcode.com/problems/",Github!C$708), Github!B$708)</f>
        <v>Design Linked List</v>
      </c>
      <c r="C650" s="10">
        <f>Github!F$708</f>
        <v>1456</v>
      </c>
      <c r="D650" s="10">
        <f>Github!G$708</f>
        <v>1177</v>
      </c>
      <c r="E650" s="10">
        <f>Github!F$708+Github!G$708</f>
        <v>2633</v>
      </c>
      <c r="F650" s="12">
        <f t="shared" si="1"/>
        <v>1.24</v>
      </c>
      <c r="G650" s="10" t="str">
        <f>Github!H$708</f>
        <v>Algorithms</v>
      </c>
      <c r="H650" s="13" t="str">
        <f>SUBSTITUTE(Github!L$708, ";", ", ")</f>
        <v>Linked List, Design, </v>
      </c>
      <c r="I650" s="10" t="str">
        <f>Github!E$708</f>
        <v>Medium</v>
      </c>
      <c r="J650" s="10" t="str">
        <f>IF(TRIM(Github!D$708)="TRUE","FALSE","TRUE")</f>
        <v>TRUE</v>
      </c>
      <c r="K650" s="10" t="b">
        <f>Github!M$708</f>
        <v>1</v>
      </c>
      <c r="L650" s="10" t="b">
        <f>Github!N$708</f>
        <v>0</v>
      </c>
      <c r="M650" s="10" t="str">
        <f>ROUND(Github!O$708, 2)&amp;"%"</f>
        <v>27%</v>
      </c>
      <c r="N650" s="10">
        <f>Github!P$708</f>
        <v>186041</v>
      </c>
      <c r="O650" s="10">
        <f>Github!Q$708</f>
        <v>688978</v>
      </c>
    </row>
    <row r="651">
      <c r="A651" s="10">
        <f>Github!J$936</f>
        <v>935</v>
      </c>
      <c r="B651" s="11" t="str">
        <f>HYPERLINK(CONCAT("http://leetcode.com/problems/",Github!C$936), Github!B$936)</f>
        <v>Knight Dialer</v>
      </c>
      <c r="C651" s="10">
        <f>Github!F$936</f>
        <v>1436</v>
      </c>
      <c r="D651" s="10">
        <f>Github!G$936</f>
        <v>348</v>
      </c>
      <c r="E651" s="10">
        <f>Github!F$936+Github!G$936</f>
        <v>1784</v>
      </c>
      <c r="F651" s="12">
        <f t="shared" si="1"/>
        <v>4.13</v>
      </c>
      <c r="G651" s="10" t="str">
        <f>Github!H$936</f>
        <v>Algorithms</v>
      </c>
      <c r="H651" s="13" t="str">
        <f>SUBSTITUTE(Github!L$936, ";", ", ")</f>
        <v>Dynamic Programming, </v>
      </c>
      <c r="I651" s="10" t="str">
        <f>Github!E$936</f>
        <v>Medium</v>
      </c>
      <c r="J651" s="10" t="str">
        <f>IF(TRIM(Github!D$936)="TRUE","FALSE","TRUE")</f>
        <v>TRUE</v>
      </c>
      <c r="K651" s="10" t="b">
        <f>Github!M$936</f>
        <v>0</v>
      </c>
      <c r="L651" s="10" t="b">
        <f>Github!N$936</f>
        <v>0</v>
      </c>
      <c r="M651" s="10" t="str">
        <f>ROUND(Github!O$936, 2)&amp;"%"</f>
        <v>49.01%</v>
      </c>
      <c r="N651" s="10">
        <f>Github!P$936</f>
        <v>77734</v>
      </c>
      <c r="O651" s="10">
        <f>Github!Q$936</f>
        <v>158614</v>
      </c>
    </row>
    <row r="652">
      <c r="A652" s="10">
        <f>Github!J$90</f>
        <v>89</v>
      </c>
      <c r="B652" s="11" t="str">
        <f>HYPERLINK(CONCAT("http://leetcode.com/problems/",Github!C$90), Github!B$90)</f>
        <v>Gray Code</v>
      </c>
      <c r="C652" s="10">
        <f>Github!F$90</f>
        <v>1428</v>
      </c>
      <c r="D652" s="10">
        <f>Github!G$90</f>
        <v>2253</v>
      </c>
      <c r="E652" s="10">
        <f>Github!F$90+Github!G$90</f>
        <v>3681</v>
      </c>
      <c r="F652" s="12">
        <f t="shared" si="1"/>
        <v>0.63</v>
      </c>
      <c r="G652" s="10" t="str">
        <f>Github!H$90</f>
        <v>Algorithms</v>
      </c>
      <c r="H652" s="13" t="str">
        <f>SUBSTITUTE(Github!L$90, ";", ", ")</f>
        <v>Math, Backtracking, Bit Manipulation, </v>
      </c>
      <c r="I652" s="10" t="str">
        <f>Github!E$90</f>
        <v>Medium</v>
      </c>
      <c r="J652" s="10" t="str">
        <f>IF(TRIM(Github!D$90)="TRUE","FALSE","TRUE")</f>
        <v>TRUE</v>
      </c>
      <c r="K652" s="10" t="b">
        <f>Github!M$90</f>
        <v>1</v>
      </c>
      <c r="L652" s="10" t="b">
        <f>Github!N$90</f>
        <v>0</v>
      </c>
      <c r="M652" s="10" t="str">
        <f>ROUND(Github!O$90, 2)&amp;"%"</f>
        <v>55.24%</v>
      </c>
      <c r="N652" s="10">
        <f>Github!P$90</f>
        <v>231779</v>
      </c>
      <c r="O652" s="10">
        <f>Github!Q$90</f>
        <v>419601</v>
      </c>
    </row>
    <row r="653">
      <c r="A653" s="10">
        <f>Github!J$918</f>
        <v>917</v>
      </c>
      <c r="B653" s="11" t="str">
        <f>HYPERLINK(CONCAT("http://leetcode.com/problems/",Github!C$918), Github!B$918)</f>
        <v>Reverse Only Letters</v>
      </c>
      <c r="C653" s="10">
        <f>Github!F$918</f>
        <v>1429</v>
      </c>
      <c r="D653" s="10">
        <f>Github!G$918</f>
        <v>52</v>
      </c>
      <c r="E653" s="10">
        <f>Github!F$918+Github!G$918</f>
        <v>1481</v>
      </c>
      <c r="F653" s="12">
        <f t="shared" si="1"/>
        <v>27.48</v>
      </c>
      <c r="G653" s="10" t="str">
        <f>Github!H$918</f>
        <v>Algorithms</v>
      </c>
      <c r="H653" s="13" t="str">
        <f>SUBSTITUTE(Github!L$918, ";", ", ")</f>
        <v>Two Pointers, String, </v>
      </c>
      <c r="I653" s="10" t="str">
        <f>Github!E$918</f>
        <v>Easy</v>
      </c>
      <c r="J653" s="10" t="str">
        <f>IF(TRIM(Github!D$918)="TRUE","FALSE","TRUE")</f>
        <v>TRUE</v>
      </c>
      <c r="K653" s="10" t="b">
        <f>Github!M$918</f>
        <v>1</v>
      </c>
      <c r="L653" s="10" t="b">
        <f>Github!N$918</f>
        <v>0</v>
      </c>
      <c r="M653" s="10" t="str">
        <f>ROUND(Github!O$918, 2)&amp;"%"</f>
        <v>61%</v>
      </c>
      <c r="N653" s="10">
        <f>Github!P$918</f>
        <v>132671</v>
      </c>
      <c r="O653" s="10">
        <f>Github!Q$918</f>
        <v>217482</v>
      </c>
    </row>
    <row r="654">
      <c r="A654" s="10">
        <f>Github!J$454</f>
        <v>453</v>
      </c>
      <c r="B654" s="11" t="str">
        <f>HYPERLINK(CONCAT("http://leetcode.com/problems/",Github!C$454), Github!B$454)</f>
        <v>Minimum Moves to Equal Array Elements</v>
      </c>
      <c r="C654" s="10">
        <f>Github!F$454</f>
        <v>1431</v>
      </c>
      <c r="D654" s="10">
        <f>Github!G$454</f>
        <v>1561</v>
      </c>
      <c r="E654" s="10">
        <f>Github!F$454+Github!G$454</f>
        <v>2992</v>
      </c>
      <c r="F654" s="12">
        <f t="shared" si="1"/>
        <v>0.92</v>
      </c>
      <c r="G654" s="10" t="str">
        <f>Github!H$454</f>
        <v>Algorithms</v>
      </c>
      <c r="H654" s="13" t="str">
        <f>SUBSTITUTE(Github!L$454, ";", ", ")</f>
        <v>Array, Math, </v>
      </c>
      <c r="I654" s="10" t="str">
        <f>Github!E$454</f>
        <v>Medium</v>
      </c>
      <c r="J654" s="10" t="str">
        <f>IF(TRIM(Github!D$454)="TRUE","FALSE","TRUE")</f>
        <v>TRUE</v>
      </c>
      <c r="K654" s="10" t="b">
        <f>Github!M$454</f>
        <v>1</v>
      </c>
      <c r="L654" s="10" t="b">
        <f>Github!N$454</f>
        <v>0</v>
      </c>
      <c r="M654" s="10" t="str">
        <f>ROUND(Github!O$454, 2)&amp;"%"</f>
        <v>54.06%</v>
      </c>
      <c r="N654" s="10">
        <f>Github!P$454</f>
        <v>121895</v>
      </c>
      <c r="O654" s="10">
        <f>Github!Q$454</f>
        <v>225483</v>
      </c>
    </row>
    <row r="655">
      <c r="A655" s="10">
        <f>Github!J$306</f>
        <v>305</v>
      </c>
      <c r="B655" s="11" t="str">
        <f>HYPERLINK(CONCAT("http://leetcode.com/problems/",Github!C$306), Github!B$306)</f>
        <v>Number of Islands II</v>
      </c>
      <c r="C655" s="10">
        <f>Github!F$306</f>
        <v>1425</v>
      </c>
      <c r="D655" s="10">
        <f>Github!G$306</f>
        <v>43</v>
      </c>
      <c r="E655" s="10">
        <f>Github!F$306+Github!G$306</f>
        <v>1468</v>
      </c>
      <c r="F655" s="12">
        <f t="shared" si="1"/>
        <v>33.14</v>
      </c>
      <c r="G655" s="10" t="str">
        <f>Github!H$306</f>
        <v>Algorithms</v>
      </c>
      <c r="H655" s="13" t="str">
        <f>SUBSTITUTE(Github!L$306, ";", ", ")</f>
        <v>Array, Union Find, </v>
      </c>
      <c r="I655" s="10" t="str">
        <f>Github!E$306</f>
        <v>Hard</v>
      </c>
      <c r="J655" s="10" t="str">
        <f>IF(TRIM(Github!D$306)="TRUE","FALSE","TRUE")</f>
        <v>FALSE</v>
      </c>
      <c r="K655" s="10" t="b">
        <f>Github!M$306</f>
        <v>1</v>
      </c>
      <c r="L655" s="10" t="b">
        <f>Github!N$306</f>
        <v>0</v>
      </c>
      <c r="M655" s="10" t="str">
        <f>ROUND(Github!O$306, 2)&amp;"%"</f>
        <v>39.34%</v>
      </c>
      <c r="N655" s="10">
        <f>Github!P$306</f>
        <v>112651</v>
      </c>
      <c r="O655" s="10">
        <f>Github!Q$306</f>
        <v>286339</v>
      </c>
    </row>
    <row r="656">
      <c r="A656" s="10">
        <f>Github!J$88</f>
        <v>87</v>
      </c>
      <c r="B656" s="11" t="str">
        <f>HYPERLINK(CONCAT("http://leetcode.com/problems/",Github!C$88), Github!B$88)</f>
        <v>Scramble String</v>
      </c>
      <c r="C656" s="10">
        <f>Github!F$88</f>
        <v>1421</v>
      </c>
      <c r="D656" s="10">
        <f>Github!G$88</f>
        <v>929</v>
      </c>
      <c r="E656" s="10">
        <f>Github!F$88+Github!G$88</f>
        <v>2350</v>
      </c>
      <c r="F656" s="12">
        <f t="shared" si="1"/>
        <v>1.53</v>
      </c>
      <c r="G656" s="10" t="str">
        <f>Github!H$88</f>
        <v>Algorithms</v>
      </c>
      <c r="H656" s="13" t="str">
        <f>SUBSTITUTE(Github!L$88, ";", ", ")</f>
        <v>String, Dynamic Programming, </v>
      </c>
      <c r="I656" s="10" t="str">
        <f>Github!E$88</f>
        <v>Hard</v>
      </c>
      <c r="J656" s="10" t="str">
        <f>IF(TRIM(Github!D$88)="TRUE","FALSE","TRUE")</f>
        <v>TRUE</v>
      </c>
      <c r="K656" s="10" t="b">
        <f>Github!M$88</f>
        <v>0</v>
      </c>
      <c r="L656" s="10" t="b">
        <f>Github!N$88</f>
        <v>0</v>
      </c>
      <c r="M656" s="10" t="str">
        <f>ROUND(Github!O$88, 2)&amp;"%"</f>
        <v>35.6%</v>
      </c>
      <c r="N656" s="10">
        <f>Github!P$88</f>
        <v>143769</v>
      </c>
      <c r="O656" s="10">
        <f>Github!Q$88</f>
        <v>403894</v>
      </c>
    </row>
    <row r="657">
      <c r="A657" s="10">
        <f>Github!J$1938</f>
        <v>1937</v>
      </c>
      <c r="B657" s="11" t="str">
        <f>HYPERLINK(CONCAT("http://leetcode.com/problems/",Github!C$1938), Github!B$1938)</f>
        <v>Maximum Number of Points with Cost</v>
      </c>
      <c r="C657" s="10">
        <f>Github!F$1938</f>
        <v>1434</v>
      </c>
      <c r="D657" s="10">
        <f>Github!G$1938</f>
        <v>84</v>
      </c>
      <c r="E657" s="10">
        <f>Github!F$1938+Github!G$1938</f>
        <v>1518</v>
      </c>
      <c r="F657" s="12">
        <f t="shared" si="1"/>
        <v>17.07</v>
      </c>
      <c r="G657" s="10" t="str">
        <f>Github!H$1938</f>
        <v>Algorithms</v>
      </c>
      <c r="H657" s="13" t="str">
        <f>SUBSTITUTE(Github!L$1938, ";", ", ")</f>
        <v>Array, Dynamic Programming, </v>
      </c>
      <c r="I657" s="10" t="str">
        <f>Github!E$1938</f>
        <v>Medium</v>
      </c>
      <c r="J657" s="10" t="str">
        <f>IF(TRIM(Github!D$1938)="TRUE","FALSE","TRUE")</f>
        <v>TRUE</v>
      </c>
      <c r="K657" s="10" t="b">
        <f>Github!M$1938</f>
        <v>0</v>
      </c>
      <c r="L657" s="10" t="b">
        <f>Github!N$1938</f>
        <v>0</v>
      </c>
      <c r="M657" s="10" t="str">
        <f>ROUND(Github!O$1938, 2)&amp;"%"</f>
        <v>35.39%</v>
      </c>
      <c r="N657" s="10">
        <f>Github!P$1938</f>
        <v>35777</v>
      </c>
      <c r="O657" s="10">
        <f>Github!Q$1938</f>
        <v>101095</v>
      </c>
    </row>
    <row r="658">
      <c r="A658" s="10">
        <f>Github!J$874</f>
        <v>873</v>
      </c>
      <c r="B658" s="11" t="str">
        <f>HYPERLINK(CONCAT("http://leetcode.com/problems/",Github!C$874), Github!B$874)</f>
        <v>Length of Longest Fibonacci Subsequence</v>
      </c>
      <c r="C658" s="10">
        <f>Github!F$874</f>
        <v>1413</v>
      </c>
      <c r="D658" s="10">
        <f>Github!G$874</f>
        <v>50</v>
      </c>
      <c r="E658" s="10">
        <f>Github!F$874+Github!G$874</f>
        <v>1463</v>
      </c>
      <c r="F658" s="12">
        <f t="shared" si="1"/>
        <v>28.26</v>
      </c>
      <c r="G658" s="10" t="str">
        <f>Github!H$874</f>
        <v>Algorithms</v>
      </c>
      <c r="H658" s="13" t="str">
        <f>SUBSTITUTE(Github!L$874, ";", ", ")</f>
        <v>Array, Hash Table, Dynamic Programming, </v>
      </c>
      <c r="I658" s="10" t="str">
        <f>Github!E$874</f>
        <v>Medium</v>
      </c>
      <c r="J658" s="10" t="str">
        <f>IF(TRIM(Github!D$874)="TRUE","FALSE","TRUE")</f>
        <v>TRUE</v>
      </c>
      <c r="K658" s="10" t="b">
        <f>Github!M$874</f>
        <v>1</v>
      </c>
      <c r="L658" s="10" t="b">
        <f>Github!N$874</f>
        <v>0</v>
      </c>
      <c r="M658" s="10" t="str">
        <f>ROUND(Github!O$874, 2)&amp;"%"</f>
        <v>48.62%</v>
      </c>
      <c r="N658" s="10">
        <f>Github!P$874</f>
        <v>47687</v>
      </c>
      <c r="O658" s="10">
        <f>Github!Q$874</f>
        <v>98074</v>
      </c>
    </row>
    <row r="659">
      <c r="A659" s="10">
        <f>Github!J$271</f>
        <v>270</v>
      </c>
      <c r="B659" s="11" t="str">
        <f>HYPERLINK(CONCAT("http://leetcode.com/problems/",Github!C$271), Github!B$271)</f>
        <v>Closest Binary Search Tree Value</v>
      </c>
      <c r="C659" s="10">
        <f>Github!F$271</f>
        <v>1414</v>
      </c>
      <c r="D659" s="10">
        <f>Github!G$271</f>
        <v>86</v>
      </c>
      <c r="E659" s="10">
        <f>Github!F$271+Github!G$271</f>
        <v>1500</v>
      </c>
      <c r="F659" s="12">
        <f t="shared" si="1"/>
        <v>16.44</v>
      </c>
      <c r="G659" s="10" t="str">
        <f>Github!H$271</f>
        <v>Algorithms</v>
      </c>
      <c r="H659" s="13" t="str">
        <f>SUBSTITUTE(Github!L$271, ";", ", ")</f>
        <v>Binary Search, Tree, Depth-First Search, Binary Search Tree, Binary Tree, </v>
      </c>
      <c r="I659" s="10" t="str">
        <f>Github!E$271</f>
        <v>Easy</v>
      </c>
      <c r="J659" s="10" t="str">
        <f>IF(TRIM(Github!D$271)="TRUE","FALSE","TRUE")</f>
        <v>FALSE</v>
      </c>
      <c r="K659" s="10" t="b">
        <f>Github!M$271</f>
        <v>1</v>
      </c>
      <c r="L659" s="10" t="b">
        <f>Github!N$271</f>
        <v>0</v>
      </c>
      <c r="M659" s="10" t="str">
        <f>ROUND(Github!O$271, 2)&amp;"%"</f>
        <v>53.77%</v>
      </c>
      <c r="N659" s="10">
        <f>Github!P$271</f>
        <v>250612</v>
      </c>
      <c r="O659" s="10">
        <f>Github!Q$271</f>
        <v>466055</v>
      </c>
    </row>
    <row r="660">
      <c r="A660" s="10">
        <f>Github!J$456</f>
        <v>455</v>
      </c>
      <c r="B660" s="11" t="str">
        <f>HYPERLINK(CONCAT("http://leetcode.com/problems/",Github!C$456), Github!B$456)</f>
        <v>Assign Cookies</v>
      </c>
      <c r="C660" s="10">
        <f>Github!F$456</f>
        <v>1417</v>
      </c>
      <c r="D660" s="10">
        <f>Github!G$456</f>
        <v>157</v>
      </c>
      <c r="E660" s="10">
        <f>Github!F$456+Github!G$456</f>
        <v>1574</v>
      </c>
      <c r="F660" s="12">
        <f t="shared" si="1"/>
        <v>9.03</v>
      </c>
      <c r="G660" s="10" t="str">
        <f>Github!H$456</f>
        <v>Algorithms</v>
      </c>
      <c r="H660" s="13" t="str">
        <f>SUBSTITUTE(Github!L$456, ";", ", ")</f>
        <v>Array, Greedy, Sorting, </v>
      </c>
      <c r="I660" s="10" t="str">
        <f>Github!E$456</f>
        <v>Easy</v>
      </c>
      <c r="J660" s="10" t="str">
        <f>IF(TRIM(Github!D$456)="TRUE","FALSE","TRUE")</f>
        <v>TRUE</v>
      </c>
      <c r="K660" s="10" t="b">
        <f>Github!M$456</f>
        <v>0</v>
      </c>
      <c r="L660" s="10" t="b">
        <f>Github!N$456</f>
        <v>0</v>
      </c>
      <c r="M660" s="10" t="str">
        <f>ROUND(Github!O$456, 2)&amp;"%"</f>
        <v>50.7%</v>
      </c>
      <c r="N660" s="10">
        <f>Github!P$456</f>
        <v>163572</v>
      </c>
      <c r="O660" s="10">
        <f>Github!Q$456</f>
        <v>322602</v>
      </c>
    </row>
    <row r="661">
      <c r="A661" s="10">
        <f>Github!J$1208</f>
        <v>1207</v>
      </c>
      <c r="B661" s="11" t="str">
        <f>HYPERLINK(CONCAT("http://leetcode.com/problems/",Github!C$1208), Github!B$1208)</f>
        <v>Unique Number of Occurrences</v>
      </c>
      <c r="C661" s="10">
        <f>Github!F$1208</f>
        <v>1420</v>
      </c>
      <c r="D661" s="10">
        <f>Github!G$1208</f>
        <v>34</v>
      </c>
      <c r="E661" s="10">
        <f>Github!F$1208+Github!G$1208</f>
        <v>1454</v>
      </c>
      <c r="F661" s="12">
        <f t="shared" si="1"/>
        <v>41.76</v>
      </c>
      <c r="G661" s="10" t="str">
        <f>Github!H$1208</f>
        <v>Algorithms</v>
      </c>
      <c r="H661" s="13" t="str">
        <f>SUBSTITUTE(Github!L$1208, ";", ", ")</f>
        <v>Array, Hash Table, </v>
      </c>
      <c r="I661" s="10" t="str">
        <f>Github!E$1208</f>
        <v>Easy</v>
      </c>
      <c r="J661" s="10" t="str">
        <f>IF(TRIM(Github!D$1208)="TRUE","FALSE","TRUE")</f>
        <v>TRUE</v>
      </c>
      <c r="K661" s="10" t="b">
        <f>Github!M$1208</f>
        <v>0</v>
      </c>
      <c r="L661" s="10" t="b">
        <f>Github!N$1208</f>
        <v>0</v>
      </c>
      <c r="M661" s="10" t="str">
        <f>ROUND(Github!O$1208, 2)&amp;"%"</f>
        <v>71.93%</v>
      </c>
      <c r="N661" s="10">
        <f>Github!P$1208</f>
        <v>124490</v>
      </c>
      <c r="O661" s="10">
        <f>Github!Q$1208</f>
        <v>173063</v>
      </c>
    </row>
    <row r="662">
      <c r="A662" s="10">
        <f>Github!J$491</f>
        <v>490</v>
      </c>
      <c r="B662" s="11" t="str">
        <f>HYPERLINK(CONCAT("http://leetcode.com/problems/",Github!C$491), Github!B$491)</f>
        <v>The Maze</v>
      </c>
      <c r="C662" s="10">
        <f>Github!F$491</f>
        <v>1409</v>
      </c>
      <c r="D662" s="10">
        <f>Github!G$491</f>
        <v>146</v>
      </c>
      <c r="E662" s="10">
        <f>Github!F$491+Github!G$491</f>
        <v>1555</v>
      </c>
      <c r="F662" s="12">
        <f t="shared" si="1"/>
        <v>9.65</v>
      </c>
      <c r="G662" s="10" t="str">
        <f>Github!H$491</f>
        <v>Algorithms</v>
      </c>
      <c r="H662" s="13" t="str">
        <f>SUBSTITUTE(Github!L$491, ";", ", ")</f>
        <v>Depth-First Search, Breadth-First Search, Graph, </v>
      </c>
      <c r="I662" s="10" t="str">
        <f>Github!E$491</f>
        <v>Medium</v>
      </c>
      <c r="J662" s="10" t="str">
        <f>IF(TRIM(Github!D$491)="TRUE","FALSE","TRUE")</f>
        <v>FALSE</v>
      </c>
      <c r="K662" s="10" t="b">
        <f>Github!M$491</f>
        <v>1</v>
      </c>
      <c r="L662" s="10" t="b">
        <f>Github!N$491</f>
        <v>0</v>
      </c>
      <c r="M662" s="10" t="str">
        <f>ROUND(Github!O$491, 2)&amp;"%"</f>
        <v>54.69%</v>
      </c>
      <c r="N662" s="10">
        <f>Github!P$491</f>
        <v>117886</v>
      </c>
      <c r="O662" s="10">
        <f>Github!Q$491</f>
        <v>215562</v>
      </c>
    </row>
    <row r="663">
      <c r="A663" s="10">
        <f>Github!J$837</f>
        <v>836</v>
      </c>
      <c r="B663" s="11" t="str">
        <f>HYPERLINK(CONCAT("http://leetcode.com/problems/",Github!C$837), Github!B$837)</f>
        <v>Rectangle Overlap</v>
      </c>
      <c r="C663" s="10">
        <f>Github!F$837</f>
        <v>1401</v>
      </c>
      <c r="D663" s="10">
        <f>Github!G$837</f>
        <v>385</v>
      </c>
      <c r="E663" s="10">
        <f>Github!F$837+Github!G$837</f>
        <v>1786</v>
      </c>
      <c r="F663" s="12">
        <f t="shared" si="1"/>
        <v>3.64</v>
      </c>
      <c r="G663" s="10" t="str">
        <f>Github!H$837</f>
        <v>Algorithms</v>
      </c>
      <c r="H663" s="13" t="str">
        <f>SUBSTITUTE(Github!L$837, ";", ", ")</f>
        <v>Math, Geometry, </v>
      </c>
      <c r="I663" s="10" t="str">
        <f>Github!E$837</f>
        <v>Easy</v>
      </c>
      <c r="J663" s="10" t="str">
        <f>IF(TRIM(Github!D$837)="TRUE","FALSE","TRUE")</f>
        <v>TRUE</v>
      </c>
      <c r="K663" s="10" t="b">
        <f>Github!M$837</f>
        <v>1</v>
      </c>
      <c r="L663" s="10" t="b">
        <f>Github!N$837</f>
        <v>0</v>
      </c>
      <c r="M663" s="10" t="str">
        <f>ROUND(Github!O$837, 2)&amp;"%"</f>
        <v>43.14%</v>
      </c>
      <c r="N663" s="10">
        <f>Github!P$837</f>
        <v>100914</v>
      </c>
      <c r="O663" s="10">
        <f>Github!Q$837</f>
        <v>233921</v>
      </c>
    </row>
    <row r="664">
      <c r="A664" s="10">
        <f>Github!J$1326</f>
        <v>1325</v>
      </c>
      <c r="B664" s="11" t="str">
        <f>HYPERLINK(CONCAT("http://leetcode.com/problems/",Github!C$1326), Github!B$1326)</f>
        <v>Delete Leaves With a Given Value</v>
      </c>
      <c r="C664" s="10">
        <f>Github!F$1326</f>
        <v>1408</v>
      </c>
      <c r="D664" s="10">
        <f>Github!G$1326</f>
        <v>26</v>
      </c>
      <c r="E664" s="10">
        <f>Github!F$1326+Github!G$1326</f>
        <v>1434</v>
      </c>
      <c r="F664" s="12">
        <f t="shared" si="1"/>
        <v>54.15</v>
      </c>
      <c r="G664" s="10" t="str">
        <f>Github!H$1326</f>
        <v>Algorithms</v>
      </c>
      <c r="H664" s="13" t="str">
        <f>SUBSTITUTE(Github!L$1326, ";", ", ")</f>
        <v>Tree, Depth-First Search, Binary Tree, </v>
      </c>
      <c r="I664" s="10" t="str">
        <f>Github!E$1326</f>
        <v>Medium</v>
      </c>
      <c r="J664" s="10" t="str">
        <f>IF(TRIM(Github!D$1326)="TRUE","FALSE","TRUE")</f>
        <v>TRUE</v>
      </c>
      <c r="K664" s="10" t="b">
        <f>Github!M$1326</f>
        <v>0</v>
      </c>
      <c r="L664" s="10" t="b">
        <f>Github!N$1326</f>
        <v>0</v>
      </c>
      <c r="M664" s="10" t="str">
        <f>ROUND(Github!O$1326, 2)&amp;"%"</f>
        <v>74.77%</v>
      </c>
      <c r="N664" s="10">
        <f>Github!P$1326</f>
        <v>66308</v>
      </c>
      <c r="O664" s="10">
        <f>Github!Q$1326</f>
        <v>88686</v>
      </c>
    </row>
    <row r="665">
      <c r="A665" s="10">
        <f>Github!J$1172</f>
        <v>1171</v>
      </c>
      <c r="B665" s="11" t="str">
        <f>HYPERLINK(CONCAT("http://leetcode.com/problems/",Github!C$1172), Github!B$1172)</f>
        <v>Remove Zero Sum Consecutive Nodes from Linked List</v>
      </c>
      <c r="C665" s="10">
        <f>Github!F$1172</f>
        <v>1404</v>
      </c>
      <c r="D665" s="10">
        <f>Github!G$1172</f>
        <v>71</v>
      </c>
      <c r="E665" s="10">
        <f>Github!F$1172+Github!G$1172</f>
        <v>1475</v>
      </c>
      <c r="F665" s="12">
        <f t="shared" si="1"/>
        <v>19.77</v>
      </c>
      <c r="G665" s="10" t="str">
        <f>Github!H$1172</f>
        <v>Algorithms</v>
      </c>
      <c r="H665" s="13" t="str">
        <f>SUBSTITUTE(Github!L$1172, ";", ", ")</f>
        <v>Hash Table, Linked List, </v>
      </c>
      <c r="I665" s="10" t="str">
        <f>Github!E$1172</f>
        <v>Medium</v>
      </c>
      <c r="J665" s="10" t="str">
        <f>IF(TRIM(Github!D$1172)="TRUE","FALSE","TRUE")</f>
        <v>TRUE</v>
      </c>
      <c r="K665" s="10" t="b">
        <f>Github!M$1172</f>
        <v>0</v>
      </c>
      <c r="L665" s="10" t="b">
        <f>Github!N$1172</f>
        <v>0</v>
      </c>
      <c r="M665" s="10" t="str">
        <f>ROUND(Github!O$1172, 2)&amp;"%"</f>
        <v>42.59%</v>
      </c>
      <c r="N665" s="10">
        <f>Github!P$1172</f>
        <v>35529</v>
      </c>
      <c r="O665" s="10">
        <f>Github!Q$1172</f>
        <v>83414</v>
      </c>
    </row>
    <row r="666">
      <c r="A666" s="10">
        <f>Github!J$39</f>
        <v>38</v>
      </c>
      <c r="B666" s="11" t="str">
        <f>HYPERLINK(CONCAT("http://leetcode.com/problems/",Github!C$39), Github!B$39)</f>
        <v>Count and Say</v>
      </c>
      <c r="C666" s="10">
        <f>Github!F$39</f>
        <v>1406</v>
      </c>
      <c r="D666" s="10">
        <f>Github!G$39</f>
        <v>3535</v>
      </c>
      <c r="E666" s="10">
        <f>Github!F$39+Github!G$39</f>
        <v>4941</v>
      </c>
      <c r="F666" s="12">
        <f t="shared" si="1"/>
        <v>0.4</v>
      </c>
      <c r="G666" s="10" t="str">
        <f>Github!H$39</f>
        <v>Algorithms</v>
      </c>
      <c r="H666" s="13" t="str">
        <f>SUBSTITUTE(Github!L$39, ";", ", ")</f>
        <v>String, </v>
      </c>
      <c r="I666" s="10" t="str">
        <f>Github!E$39</f>
        <v>Medium</v>
      </c>
      <c r="J666" s="10" t="str">
        <f>IF(TRIM(Github!D$39)="TRUE","FALSE","TRUE")</f>
        <v>TRUE</v>
      </c>
      <c r="K666" s="10" t="b">
        <f>Github!M$39</f>
        <v>0</v>
      </c>
      <c r="L666" s="10" t="b">
        <f>Github!N$39</f>
        <v>0</v>
      </c>
      <c r="M666" s="10" t="str">
        <f>ROUND(Github!O$39, 2)&amp;"%"</f>
        <v>48.62%</v>
      </c>
      <c r="N666" s="10">
        <f>Github!P$39</f>
        <v>618046</v>
      </c>
      <c r="O666" s="10">
        <f>Github!Q$39</f>
        <v>1271122</v>
      </c>
    </row>
    <row r="667">
      <c r="A667" s="10">
        <f>Github!J$687</f>
        <v>686</v>
      </c>
      <c r="B667" s="11" t="str">
        <f>HYPERLINK(CONCAT("http://leetcode.com/problems/",Github!C$687), Github!B$687)</f>
        <v>Repeated String Match</v>
      </c>
      <c r="C667" s="10">
        <f>Github!F$687</f>
        <v>1399</v>
      </c>
      <c r="D667" s="10">
        <f>Github!G$687</f>
        <v>899</v>
      </c>
      <c r="E667" s="10">
        <f>Github!F$687+Github!G$687</f>
        <v>2298</v>
      </c>
      <c r="F667" s="12">
        <f t="shared" si="1"/>
        <v>1.56</v>
      </c>
      <c r="G667" s="10" t="str">
        <f>Github!H$687</f>
        <v>Algorithms</v>
      </c>
      <c r="H667" s="13" t="str">
        <f>SUBSTITUTE(Github!L$687, ";", ", ")</f>
        <v>String, String Matching, </v>
      </c>
      <c r="I667" s="10" t="str">
        <f>Github!E$687</f>
        <v>Medium</v>
      </c>
      <c r="J667" s="10" t="str">
        <f>IF(TRIM(Github!D$687)="TRUE","FALSE","TRUE")</f>
        <v>TRUE</v>
      </c>
      <c r="K667" s="10" t="b">
        <f>Github!M$687</f>
        <v>0</v>
      </c>
      <c r="L667" s="10" t="b">
        <f>Github!N$687</f>
        <v>0</v>
      </c>
      <c r="M667" s="10" t="str">
        <f>ROUND(Github!O$687, 2)&amp;"%"</f>
        <v>33.55%</v>
      </c>
      <c r="N667" s="10">
        <f>Github!P$687</f>
        <v>120574</v>
      </c>
      <c r="O667" s="10">
        <f>Github!Q$687</f>
        <v>359368</v>
      </c>
    </row>
    <row r="668">
      <c r="A668" s="10">
        <f>Github!J$1368</f>
        <v>1367</v>
      </c>
      <c r="B668" s="11" t="str">
        <f>HYPERLINK(CONCAT("http://leetcode.com/problems/",Github!C$1368), Github!B$1368)</f>
        <v>Linked List in Binary Tree</v>
      </c>
      <c r="C668" s="10">
        <f>Github!F$1368</f>
        <v>1405</v>
      </c>
      <c r="D668" s="10">
        <f>Github!G$1368</f>
        <v>48</v>
      </c>
      <c r="E668" s="10">
        <f>Github!F$1368+Github!G$1368</f>
        <v>1453</v>
      </c>
      <c r="F668" s="12">
        <f t="shared" si="1"/>
        <v>29.27</v>
      </c>
      <c r="G668" s="10" t="str">
        <f>Github!H$1368</f>
        <v>Algorithms</v>
      </c>
      <c r="H668" s="13" t="str">
        <f>SUBSTITUTE(Github!L$1368, ";", ", ")</f>
        <v>Linked List, Tree, Depth-First Search, Breadth-First Search, Binary Tree, </v>
      </c>
      <c r="I668" s="10" t="str">
        <f>Github!E$1368</f>
        <v>Medium</v>
      </c>
      <c r="J668" s="10" t="str">
        <f>IF(TRIM(Github!D$1368)="TRUE","FALSE","TRUE")</f>
        <v>TRUE</v>
      </c>
      <c r="K668" s="10" t="b">
        <f>Github!M$1368</f>
        <v>0</v>
      </c>
      <c r="L668" s="10" t="b">
        <f>Github!N$1368</f>
        <v>0</v>
      </c>
      <c r="M668" s="10" t="str">
        <f>ROUND(Github!O$1368, 2)&amp;"%"</f>
        <v>42.8%</v>
      </c>
      <c r="N668" s="10">
        <f>Github!P$1368</f>
        <v>47553</v>
      </c>
      <c r="O668" s="10">
        <f>Github!Q$1368</f>
        <v>111115</v>
      </c>
    </row>
    <row r="669">
      <c r="A669" s="10">
        <f>Github!J$860</f>
        <v>859</v>
      </c>
      <c r="B669" s="11" t="str">
        <f>HYPERLINK(CONCAT("http://leetcode.com/problems/",Github!C$860), Github!B$860)</f>
        <v>Buddy Strings</v>
      </c>
      <c r="C669" s="10">
        <f>Github!F$860</f>
        <v>1396</v>
      </c>
      <c r="D669" s="10">
        <f>Github!G$860</f>
        <v>887</v>
      </c>
      <c r="E669" s="10">
        <f>Github!F$860+Github!G$860</f>
        <v>2283</v>
      </c>
      <c r="F669" s="12">
        <f t="shared" si="1"/>
        <v>1.57</v>
      </c>
      <c r="G669" s="10" t="str">
        <f>Github!H$860</f>
        <v>Algorithms</v>
      </c>
      <c r="H669" s="13" t="str">
        <f>SUBSTITUTE(Github!L$860, ";", ", ")</f>
        <v>Hash Table, String, </v>
      </c>
      <c r="I669" s="10" t="str">
        <f>Github!E$860</f>
        <v>Easy</v>
      </c>
      <c r="J669" s="10" t="str">
        <f>IF(TRIM(Github!D$860)="TRUE","FALSE","TRUE")</f>
        <v>TRUE</v>
      </c>
      <c r="K669" s="10" t="b">
        <f>Github!M$860</f>
        <v>1</v>
      </c>
      <c r="L669" s="10" t="b">
        <f>Github!N$860</f>
        <v>0</v>
      </c>
      <c r="M669" s="10" t="str">
        <f>ROUND(Github!O$860, 2)&amp;"%"</f>
        <v>28.78%</v>
      </c>
      <c r="N669" s="10">
        <f>Github!P$860</f>
        <v>118535</v>
      </c>
      <c r="O669" s="10">
        <f>Github!Q$860</f>
        <v>411880</v>
      </c>
    </row>
    <row r="670">
      <c r="A670" s="10">
        <f>Github!J$1261</f>
        <v>1260</v>
      </c>
      <c r="B670" s="11" t="str">
        <f>HYPERLINK(CONCAT("http://leetcode.com/problems/",Github!C$1261), Github!B$1261)</f>
        <v>Shift 2D Grid</v>
      </c>
      <c r="C670" s="10">
        <f>Github!F$1261</f>
        <v>1390</v>
      </c>
      <c r="D670" s="10">
        <f>Github!G$1261</f>
        <v>291</v>
      </c>
      <c r="E670" s="10">
        <f>Github!F$1261+Github!G$1261</f>
        <v>1681</v>
      </c>
      <c r="F670" s="12">
        <f t="shared" si="1"/>
        <v>4.78</v>
      </c>
      <c r="G670" s="10" t="str">
        <f>Github!H$1261</f>
        <v>Algorithms</v>
      </c>
      <c r="H670" s="13" t="str">
        <f>SUBSTITUTE(Github!L$1261, ";", ", ")</f>
        <v>Array, Matrix, Simulation, </v>
      </c>
      <c r="I670" s="10" t="str">
        <f>Github!E$1261</f>
        <v>Easy</v>
      </c>
      <c r="J670" s="10" t="str">
        <f>IF(TRIM(Github!D$1261)="TRUE","FALSE","TRUE")</f>
        <v>TRUE</v>
      </c>
      <c r="K670" s="10" t="b">
        <f>Github!M$1261</f>
        <v>1</v>
      </c>
      <c r="L670" s="10" t="b">
        <f>Github!N$1261</f>
        <v>0</v>
      </c>
      <c r="M670" s="10" t="str">
        <f>ROUND(Github!O$1261, 2)&amp;"%"</f>
        <v>68.09%</v>
      </c>
      <c r="N670" s="10">
        <f>Github!P$1261</f>
        <v>83294</v>
      </c>
      <c r="O670" s="10">
        <f>Github!Q$1261</f>
        <v>122337</v>
      </c>
    </row>
    <row r="671">
      <c r="A671" s="10">
        <f>Github!J$1359</f>
        <v>1358</v>
      </c>
      <c r="B671" s="11" t="str">
        <f>HYPERLINK(CONCAT("http://leetcode.com/problems/",Github!C$1359), Github!B$1359)</f>
        <v>Number of Substrings Containing All Three Characters</v>
      </c>
      <c r="C671" s="10">
        <f>Github!F$1359</f>
        <v>1393</v>
      </c>
      <c r="D671" s="10">
        <f>Github!G$1359</f>
        <v>25</v>
      </c>
      <c r="E671" s="10">
        <f>Github!F$1359+Github!G$1359</f>
        <v>1418</v>
      </c>
      <c r="F671" s="12">
        <f t="shared" si="1"/>
        <v>55.72</v>
      </c>
      <c r="G671" s="10" t="str">
        <f>Github!H$1359</f>
        <v>Algorithms</v>
      </c>
      <c r="H671" s="13" t="str">
        <f>SUBSTITUTE(Github!L$1359, ";", ", ")</f>
        <v>Hash Table, String, Sliding Window, </v>
      </c>
      <c r="I671" s="10" t="str">
        <f>Github!E$1359</f>
        <v>Medium</v>
      </c>
      <c r="J671" s="10" t="str">
        <f>IF(TRIM(Github!D$1359)="TRUE","FALSE","TRUE")</f>
        <v>TRUE</v>
      </c>
      <c r="K671" s="10" t="b">
        <f>Github!M$1359</f>
        <v>0</v>
      </c>
      <c r="L671" s="10" t="b">
        <f>Github!N$1359</f>
        <v>0</v>
      </c>
      <c r="M671" s="10" t="str">
        <f>ROUND(Github!O$1359, 2)&amp;"%"</f>
        <v>62.09%</v>
      </c>
      <c r="N671" s="10">
        <f>Github!P$1359</f>
        <v>36139</v>
      </c>
      <c r="O671" s="10">
        <f>Github!Q$1359</f>
        <v>58204</v>
      </c>
    </row>
    <row r="672">
      <c r="A672" s="10">
        <f>Github!J$264</f>
        <v>263</v>
      </c>
      <c r="B672" s="11" t="str">
        <f>HYPERLINK(CONCAT("http://leetcode.com/problems/",Github!C$264), Github!B$264)</f>
        <v>Ugly Number</v>
      </c>
      <c r="C672" s="10">
        <f>Github!F$264</f>
        <v>1401</v>
      </c>
      <c r="D672" s="10">
        <f>Github!G$264</f>
        <v>1021</v>
      </c>
      <c r="E672" s="10">
        <f>Github!F$264+Github!G$264</f>
        <v>2422</v>
      </c>
      <c r="F672" s="12">
        <f t="shared" si="1"/>
        <v>1.37</v>
      </c>
      <c r="G672" s="10" t="str">
        <f>Github!H$264</f>
        <v>Algorithms</v>
      </c>
      <c r="H672" s="13" t="str">
        <f>SUBSTITUTE(Github!L$264, ";", ", ")</f>
        <v>Math, </v>
      </c>
      <c r="I672" s="10" t="str">
        <f>Github!E$264</f>
        <v>Easy</v>
      </c>
      <c r="J672" s="10" t="str">
        <f>IF(TRIM(Github!D$264)="TRUE","FALSE","TRUE")</f>
        <v>TRUE</v>
      </c>
      <c r="K672" s="10" t="b">
        <f>Github!M$264</f>
        <v>0</v>
      </c>
      <c r="L672" s="10" t="b">
        <f>Github!N$264</f>
        <v>0</v>
      </c>
      <c r="M672" s="10" t="str">
        <f>ROUND(Github!O$264, 2)&amp;"%"</f>
        <v>41.83%</v>
      </c>
      <c r="N672" s="10">
        <f>Github!P$264</f>
        <v>294453</v>
      </c>
      <c r="O672" s="10">
        <f>Github!Q$264</f>
        <v>703970</v>
      </c>
    </row>
    <row r="673">
      <c r="A673" s="10">
        <f>Github!J$253</f>
        <v>252</v>
      </c>
      <c r="B673" s="11" t="str">
        <f>HYPERLINK(CONCAT("http://leetcode.com/problems/",Github!C$253), Github!B$253)</f>
        <v>Meeting Rooms</v>
      </c>
      <c r="C673" s="10">
        <f>Github!F$253</f>
        <v>1389</v>
      </c>
      <c r="D673" s="10">
        <f>Github!G$253</f>
        <v>67</v>
      </c>
      <c r="E673" s="10">
        <f>Github!F$253+Github!G$253</f>
        <v>1456</v>
      </c>
      <c r="F673" s="12">
        <f t="shared" si="1"/>
        <v>20.73</v>
      </c>
      <c r="G673" s="10" t="str">
        <f>Github!H$253</f>
        <v>Algorithms</v>
      </c>
      <c r="H673" s="13" t="str">
        <f>SUBSTITUTE(Github!L$253, ";", ", ")</f>
        <v>Array, Sorting, </v>
      </c>
      <c r="I673" s="10" t="str">
        <f>Github!E$253</f>
        <v>Easy</v>
      </c>
      <c r="J673" s="10" t="str">
        <f>IF(TRIM(Github!D$253)="TRUE","FALSE","TRUE")</f>
        <v>FALSE</v>
      </c>
      <c r="K673" s="10" t="b">
        <f>Github!M$253</f>
        <v>1</v>
      </c>
      <c r="L673" s="10" t="b">
        <f>Github!N$253</f>
        <v>1</v>
      </c>
      <c r="M673" s="10" t="str">
        <f>ROUND(Github!O$253, 2)&amp;"%"</f>
        <v>56.7%</v>
      </c>
      <c r="N673" s="10">
        <f>Github!P$253</f>
        <v>265174</v>
      </c>
      <c r="O673" s="10">
        <f>Github!Q$253</f>
        <v>467711</v>
      </c>
    </row>
    <row r="674">
      <c r="A674" s="10">
        <f>Github!J$1162</f>
        <v>1161</v>
      </c>
      <c r="B674" s="11" t="str">
        <f>HYPERLINK(CONCAT("http://leetcode.com/problems/",Github!C$1162), Github!B$1162)</f>
        <v>Maximum Level Sum of a Binary Tree</v>
      </c>
      <c r="C674" s="10">
        <f>Github!F$1162</f>
        <v>1394</v>
      </c>
      <c r="D674" s="10">
        <f>Github!G$1162</f>
        <v>57</v>
      </c>
      <c r="E674" s="10">
        <f>Github!F$1162+Github!G$1162</f>
        <v>1451</v>
      </c>
      <c r="F674" s="12">
        <f t="shared" si="1"/>
        <v>24.46</v>
      </c>
      <c r="G674" s="10" t="str">
        <f>Github!H$1162</f>
        <v>Algorithms</v>
      </c>
      <c r="H674" s="13" t="str">
        <f>SUBSTITUTE(Github!L$1162, ";", ", ")</f>
        <v>Tree, Depth-First Search, Breadth-First Search, Binary Tree, </v>
      </c>
      <c r="I674" s="10" t="str">
        <f>Github!E$1162</f>
        <v>Medium</v>
      </c>
      <c r="J674" s="10" t="str">
        <f>IF(TRIM(Github!D$1162)="TRUE","FALSE","TRUE")</f>
        <v>TRUE</v>
      </c>
      <c r="K674" s="10" t="b">
        <f>Github!M$1162</f>
        <v>1</v>
      </c>
      <c r="L674" s="10" t="b">
        <f>Github!N$1162</f>
        <v>0</v>
      </c>
      <c r="M674" s="10" t="str">
        <f>ROUND(Github!O$1162, 2)&amp;"%"</f>
        <v>66.59%</v>
      </c>
      <c r="N674" s="10">
        <f>Github!P$1162</f>
        <v>102796</v>
      </c>
      <c r="O674" s="10">
        <f>Github!Q$1162</f>
        <v>154383</v>
      </c>
    </row>
    <row r="675">
      <c r="A675" s="10">
        <f>Github!J$1558</f>
        <v>1557</v>
      </c>
      <c r="B675" s="11" t="str">
        <f>HYPERLINK(CONCAT("http://leetcode.com/problems/",Github!C$1558), Github!B$1558)</f>
        <v>Minimum Number of Vertices to Reach All Nodes</v>
      </c>
      <c r="C675" s="10">
        <f>Github!F$1558</f>
        <v>1386</v>
      </c>
      <c r="D675" s="10">
        <f>Github!G$1558</f>
        <v>60</v>
      </c>
      <c r="E675" s="10">
        <f>Github!F$1558+Github!G$1558</f>
        <v>1446</v>
      </c>
      <c r="F675" s="12">
        <f t="shared" si="1"/>
        <v>23.1</v>
      </c>
      <c r="G675" s="10" t="str">
        <f>Github!H$1558</f>
        <v>Algorithms</v>
      </c>
      <c r="H675" s="13" t="str">
        <f>SUBSTITUTE(Github!L$1558, ";", ", ")</f>
        <v>Graph, </v>
      </c>
      <c r="I675" s="10" t="str">
        <f>Github!E$1558</f>
        <v>Medium</v>
      </c>
      <c r="J675" s="10" t="str">
        <f>IF(TRIM(Github!D$1558)="TRUE","FALSE","TRUE")</f>
        <v>TRUE</v>
      </c>
      <c r="K675" s="10" t="b">
        <f>Github!M$1558</f>
        <v>0</v>
      </c>
      <c r="L675" s="10" t="b">
        <f>Github!N$1558</f>
        <v>0</v>
      </c>
      <c r="M675" s="10" t="str">
        <f>ROUND(Github!O$1558, 2)&amp;"%"</f>
        <v>78.63%</v>
      </c>
      <c r="N675" s="10">
        <f>Github!P$1558</f>
        <v>58163</v>
      </c>
      <c r="O675" s="10">
        <f>Github!Q$1558</f>
        <v>73966</v>
      </c>
    </row>
    <row r="676">
      <c r="A676" s="10">
        <f>Github!J$463</f>
        <v>462</v>
      </c>
      <c r="B676" s="11" t="str">
        <f>HYPERLINK(CONCAT("http://leetcode.com/problems/",Github!C$463), Github!B$463)</f>
        <v>Minimum Moves to Equal Array Elements II</v>
      </c>
      <c r="C676" s="10">
        <f>Github!F$463</f>
        <v>1388</v>
      </c>
      <c r="D676" s="10">
        <f>Github!G$463</f>
        <v>73</v>
      </c>
      <c r="E676" s="10">
        <f>Github!F$463+Github!G$463</f>
        <v>1461</v>
      </c>
      <c r="F676" s="12">
        <f t="shared" si="1"/>
        <v>19.01</v>
      </c>
      <c r="G676" s="10" t="str">
        <f>Github!H$463</f>
        <v>Algorithms</v>
      </c>
      <c r="H676" s="13" t="str">
        <f>SUBSTITUTE(Github!L$463, ";", ", ")</f>
        <v>Array, Math, Sorting, </v>
      </c>
      <c r="I676" s="10" t="str">
        <f>Github!E$463</f>
        <v>Medium</v>
      </c>
      <c r="J676" s="10" t="str">
        <f>IF(TRIM(Github!D$463)="TRUE","FALSE","TRUE")</f>
        <v>TRUE</v>
      </c>
      <c r="K676" s="10" t="b">
        <f>Github!M$463</f>
        <v>1</v>
      </c>
      <c r="L676" s="10" t="b">
        <f>Github!N$463</f>
        <v>0</v>
      </c>
      <c r="M676" s="10" t="str">
        <f>ROUND(Github!O$463, 2)&amp;"%"</f>
        <v>56.96%</v>
      </c>
      <c r="N676" s="10">
        <f>Github!P$463</f>
        <v>88799</v>
      </c>
      <c r="O676" s="10">
        <f>Github!Q$463</f>
        <v>155890</v>
      </c>
    </row>
    <row r="677">
      <c r="A677" s="10">
        <f>Github!J$760</f>
        <v>759</v>
      </c>
      <c r="B677" s="11" t="str">
        <f>HYPERLINK(CONCAT("http://leetcode.com/problems/",Github!C$760), Github!B$760)</f>
        <v>Employee Free Time</v>
      </c>
      <c r="C677" s="10">
        <f>Github!F$760</f>
        <v>1391</v>
      </c>
      <c r="D677" s="10">
        <f>Github!G$760</f>
        <v>87</v>
      </c>
      <c r="E677" s="10">
        <f>Github!F$760+Github!G$760</f>
        <v>1478</v>
      </c>
      <c r="F677" s="12">
        <f t="shared" si="1"/>
        <v>15.99</v>
      </c>
      <c r="G677" s="10" t="str">
        <f>Github!H$760</f>
        <v>Algorithms</v>
      </c>
      <c r="H677" s="13" t="str">
        <f>SUBSTITUTE(Github!L$760, ";", ", ")</f>
        <v>Array, Sorting, Heap (Priority Queue), </v>
      </c>
      <c r="I677" s="10" t="str">
        <f>Github!E$760</f>
        <v>Hard</v>
      </c>
      <c r="J677" s="10" t="str">
        <f>IF(TRIM(Github!D$760)="TRUE","FALSE","TRUE")</f>
        <v>FALSE</v>
      </c>
      <c r="K677" s="10" t="b">
        <f>Github!M$760</f>
        <v>0</v>
      </c>
      <c r="L677" s="10" t="b">
        <f>Github!N$760</f>
        <v>0</v>
      </c>
      <c r="M677" s="10" t="str">
        <f>ROUND(Github!O$760, 2)&amp;"%"</f>
        <v>71.04%</v>
      </c>
      <c r="N677" s="10">
        <f>Github!P$760</f>
        <v>106642</v>
      </c>
      <c r="O677" s="10">
        <f>Github!Q$760</f>
        <v>150113</v>
      </c>
    </row>
    <row r="678">
      <c r="A678" s="10">
        <f>Github!J$530</f>
        <v>529</v>
      </c>
      <c r="B678" s="11" t="str">
        <f>HYPERLINK(CONCAT("http://leetcode.com/problems/",Github!C$530), Github!B$530)</f>
        <v>Minesweeper</v>
      </c>
      <c r="C678" s="10">
        <f>Github!F$530</f>
        <v>1382</v>
      </c>
      <c r="D678" s="10">
        <f>Github!G$530</f>
        <v>860</v>
      </c>
      <c r="E678" s="10">
        <f>Github!F$530+Github!G$530</f>
        <v>2242</v>
      </c>
      <c r="F678" s="12">
        <f t="shared" si="1"/>
        <v>1.61</v>
      </c>
      <c r="G678" s="10" t="str">
        <f>Github!H$530</f>
        <v>Algorithms</v>
      </c>
      <c r="H678" s="13" t="str">
        <f>SUBSTITUTE(Github!L$530, ";", ", ")</f>
        <v>Array, Depth-First Search, Breadth-First Search, Matrix, </v>
      </c>
      <c r="I678" s="10" t="str">
        <f>Github!E$530</f>
        <v>Medium</v>
      </c>
      <c r="J678" s="10" t="str">
        <f>IF(TRIM(Github!D$530)="TRUE","FALSE","TRUE")</f>
        <v>TRUE</v>
      </c>
      <c r="K678" s="10" t="b">
        <f>Github!M$530</f>
        <v>0</v>
      </c>
      <c r="L678" s="10" t="b">
        <f>Github!N$530</f>
        <v>0</v>
      </c>
      <c r="M678" s="10" t="str">
        <f>ROUND(Github!O$530, 2)&amp;"%"</f>
        <v>64.67%</v>
      </c>
      <c r="N678" s="10">
        <f>Github!P$530</f>
        <v>115452</v>
      </c>
      <c r="O678" s="10">
        <f>Github!Q$530</f>
        <v>178518</v>
      </c>
    </row>
    <row r="679">
      <c r="A679" s="10">
        <f>Github!J$634</f>
        <v>633</v>
      </c>
      <c r="B679" s="11" t="str">
        <f>HYPERLINK(CONCAT("http://leetcode.com/problems/",Github!C$634), Github!B$634)</f>
        <v>Sum of Square Numbers</v>
      </c>
      <c r="C679" s="10">
        <f>Github!F$634</f>
        <v>1386</v>
      </c>
      <c r="D679" s="10">
        <f>Github!G$634</f>
        <v>465</v>
      </c>
      <c r="E679" s="10">
        <f>Github!F$634+Github!G$634</f>
        <v>1851</v>
      </c>
      <c r="F679" s="12">
        <f t="shared" si="1"/>
        <v>2.98</v>
      </c>
      <c r="G679" s="10" t="str">
        <f>Github!H$634</f>
        <v>Algorithms</v>
      </c>
      <c r="H679" s="13" t="str">
        <f>SUBSTITUTE(Github!L$634, ";", ", ")</f>
        <v>Math, Two Pointers, Binary Search, </v>
      </c>
      <c r="I679" s="10" t="str">
        <f>Github!E$634</f>
        <v>Medium</v>
      </c>
      <c r="J679" s="10" t="str">
        <f>IF(TRIM(Github!D$634)="TRUE","FALSE","TRUE")</f>
        <v>TRUE</v>
      </c>
      <c r="K679" s="10" t="b">
        <f>Github!M$634</f>
        <v>1</v>
      </c>
      <c r="L679" s="10" t="b">
        <f>Github!N$634</f>
        <v>0</v>
      </c>
      <c r="M679" s="10" t="str">
        <f>ROUND(Github!O$634, 2)&amp;"%"</f>
        <v>34.66%</v>
      </c>
      <c r="N679" s="10">
        <f>Github!P$634</f>
        <v>134058</v>
      </c>
      <c r="O679" s="10">
        <f>Github!Q$634</f>
        <v>386804</v>
      </c>
    </row>
    <row r="680">
      <c r="A680" s="10">
        <f>Github!J$1284</f>
        <v>1283</v>
      </c>
      <c r="B680" s="11" t="str">
        <f>HYPERLINK(CONCAT("http://leetcode.com/problems/",Github!C$1284), Github!B$1284)</f>
        <v>Find the Smallest Divisor Given a Threshold</v>
      </c>
      <c r="C680" s="10">
        <f>Github!F$1284</f>
        <v>1375</v>
      </c>
      <c r="D680" s="10">
        <f>Github!G$1284</f>
        <v>151</v>
      </c>
      <c r="E680" s="10">
        <f>Github!F$1284+Github!G$1284</f>
        <v>1526</v>
      </c>
      <c r="F680" s="12">
        <f t="shared" si="1"/>
        <v>9.11</v>
      </c>
      <c r="G680" s="10" t="str">
        <f>Github!H$1284</f>
        <v>Algorithms</v>
      </c>
      <c r="H680" s="13" t="str">
        <f>SUBSTITUTE(Github!L$1284, ";", ", ")</f>
        <v>Array, Binary Search, </v>
      </c>
      <c r="I680" s="10" t="str">
        <f>Github!E$1284</f>
        <v>Medium</v>
      </c>
      <c r="J680" s="10" t="str">
        <f>IF(TRIM(Github!D$1284)="TRUE","FALSE","TRUE")</f>
        <v>TRUE</v>
      </c>
      <c r="K680" s="10" t="b">
        <f>Github!M$1284</f>
        <v>0</v>
      </c>
      <c r="L680" s="10" t="b">
        <f>Github!N$1284</f>
        <v>0</v>
      </c>
      <c r="M680" s="10" t="str">
        <f>ROUND(Github!O$1284, 2)&amp;"%"</f>
        <v>53.85%</v>
      </c>
      <c r="N680" s="10">
        <f>Github!P$1284</f>
        <v>82201</v>
      </c>
      <c r="O680" s="10">
        <f>Github!Q$1284</f>
        <v>152646</v>
      </c>
    </row>
    <row r="681">
      <c r="A681" s="10">
        <f>Github!J$300</f>
        <v>299</v>
      </c>
      <c r="B681" s="11" t="str">
        <f>HYPERLINK(CONCAT("http://leetcode.com/problems/",Github!C$300), Github!B$300)</f>
        <v>Bulls and Cows</v>
      </c>
      <c r="C681" s="10">
        <f>Github!F$300</f>
        <v>1360</v>
      </c>
      <c r="D681" s="10">
        <f>Github!G$300</f>
        <v>1301</v>
      </c>
      <c r="E681" s="10">
        <f>Github!F$300+Github!G$300</f>
        <v>2661</v>
      </c>
      <c r="F681" s="12">
        <f t="shared" si="1"/>
        <v>1.05</v>
      </c>
      <c r="G681" s="10" t="str">
        <f>Github!H$300</f>
        <v>Algorithms</v>
      </c>
      <c r="H681" s="13" t="str">
        <f>SUBSTITUTE(Github!L$300, ";", ", ")</f>
        <v>Hash Table, String, Counting, </v>
      </c>
      <c r="I681" s="10" t="str">
        <f>Github!E$300</f>
        <v>Medium</v>
      </c>
      <c r="J681" s="10" t="str">
        <f>IF(TRIM(Github!D$300)="TRUE","FALSE","TRUE")</f>
        <v>TRUE</v>
      </c>
      <c r="K681" s="10" t="b">
        <f>Github!M$300</f>
        <v>1</v>
      </c>
      <c r="L681" s="10" t="b">
        <f>Github!N$300</f>
        <v>0</v>
      </c>
      <c r="M681" s="10" t="str">
        <f>ROUND(Github!O$300, 2)&amp;"%"</f>
        <v>47.2%</v>
      </c>
      <c r="N681" s="10">
        <f>Github!P$300</f>
        <v>266522</v>
      </c>
      <c r="O681" s="10">
        <f>Github!Q$300</f>
        <v>564701</v>
      </c>
    </row>
    <row r="682">
      <c r="A682" s="10">
        <f>Github!J$1770</f>
        <v>1769</v>
      </c>
      <c r="B682" s="11" t="str">
        <f>HYPERLINK(CONCAT("http://leetcode.com/problems/",Github!C$1770), Github!B$1770)</f>
        <v>Minimum Number of Operations to Move All Balls to Each Box</v>
      </c>
      <c r="C682" s="10">
        <f>Github!F$1770</f>
        <v>1370</v>
      </c>
      <c r="D682" s="10">
        <f>Github!G$1770</f>
        <v>51</v>
      </c>
      <c r="E682" s="10">
        <f>Github!F$1770+Github!G$1770</f>
        <v>1421</v>
      </c>
      <c r="F682" s="12">
        <f t="shared" si="1"/>
        <v>26.86</v>
      </c>
      <c r="G682" s="10" t="str">
        <f>Github!H$1770</f>
        <v>Algorithms</v>
      </c>
      <c r="H682" s="13" t="str">
        <f>SUBSTITUTE(Github!L$1770, ";", ", ")</f>
        <v>Array, String, </v>
      </c>
      <c r="I682" s="10" t="str">
        <f>Github!E$1770</f>
        <v>Medium</v>
      </c>
      <c r="J682" s="10" t="str">
        <f>IF(TRIM(Github!D$1770)="TRUE","FALSE","TRUE")</f>
        <v>TRUE</v>
      </c>
      <c r="K682" s="10" t="b">
        <f>Github!M$1770</f>
        <v>0</v>
      </c>
      <c r="L682" s="10" t="b">
        <f>Github!N$1770</f>
        <v>0</v>
      </c>
      <c r="M682" s="10" t="str">
        <f>ROUND(Github!O$1770, 2)&amp;"%"</f>
        <v>85.7%</v>
      </c>
      <c r="N682" s="10">
        <f>Github!P$1770</f>
        <v>73012</v>
      </c>
      <c r="O682" s="10">
        <f>Github!Q$1770</f>
        <v>85191</v>
      </c>
    </row>
    <row r="683">
      <c r="A683" s="10">
        <f>Github!J$182</f>
        <v>181</v>
      </c>
      <c r="B683" s="11" t="str">
        <f>HYPERLINK(CONCAT("http://leetcode.com/problems/",Github!C$182), Github!B$182)</f>
        <v>Employees Earning More Than Their Managers</v>
      </c>
      <c r="C683" s="10">
        <f>Github!F$182</f>
        <v>1356</v>
      </c>
      <c r="D683" s="10">
        <f>Github!G$182</f>
        <v>152</v>
      </c>
      <c r="E683" s="10">
        <f>Github!F$182+Github!G$182</f>
        <v>1508</v>
      </c>
      <c r="F683" s="12">
        <f t="shared" si="1"/>
        <v>8.92</v>
      </c>
      <c r="G683" s="10" t="str">
        <f>Github!H$182</f>
        <v>Database</v>
      </c>
      <c r="H683" s="13" t="str">
        <f>SUBSTITUTE(Github!L$182, ";", ", ")</f>
        <v>Database, </v>
      </c>
      <c r="I683" s="10" t="str">
        <f>Github!E$182</f>
        <v>Easy</v>
      </c>
      <c r="J683" s="10" t="str">
        <f>IF(TRIM(Github!D$182)="TRUE","FALSE","TRUE")</f>
        <v>TRUE</v>
      </c>
      <c r="K683" s="10" t="b">
        <f>Github!M$182</f>
        <v>1</v>
      </c>
      <c r="L683" s="10" t="b">
        <f>Github!N$182</f>
        <v>0</v>
      </c>
      <c r="M683" s="10" t="str">
        <f>ROUND(Github!O$182, 2)&amp;"%"</f>
        <v>66.32%</v>
      </c>
      <c r="N683" s="10">
        <f>Github!P$182</f>
        <v>353801</v>
      </c>
      <c r="O683" s="10">
        <f>Github!Q$182</f>
        <v>533481</v>
      </c>
    </row>
    <row r="684">
      <c r="A684" s="10">
        <f>Github!J$607</f>
        <v>606</v>
      </c>
      <c r="B684" s="11" t="str">
        <f>HYPERLINK(CONCAT("http://leetcode.com/problems/",Github!C$607), Github!B$607)</f>
        <v>Construct String from Binary Tree</v>
      </c>
      <c r="C684" s="10">
        <f>Github!F$607</f>
        <v>1350</v>
      </c>
      <c r="D684" s="10">
        <f>Github!G$607</f>
        <v>1727</v>
      </c>
      <c r="E684" s="10">
        <f>Github!F$607+Github!G$607</f>
        <v>3077</v>
      </c>
      <c r="F684" s="12">
        <f t="shared" si="1"/>
        <v>0.78</v>
      </c>
      <c r="G684" s="10" t="str">
        <f>Github!H$607</f>
        <v>Algorithms</v>
      </c>
      <c r="H684" s="13" t="str">
        <f>SUBSTITUTE(Github!L$607, ";", ", ")</f>
        <v>String, Tree, Depth-First Search, Binary Tree, </v>
      </c>
      <c r="I684" s="10" t="str">
        <f>Github!E$607</f>
        <v>Easy</v>
      </c>
      <c r="J684" s="10" t="str">
        <f>IF(TRIM(Github!D$607)="TRUE","FALSE","TRUE")</f>
        <v>TRUE</v>
      </c>
      <c r="K684" s="10" t="b">
        <f>Github!M$607</f>
        <v>1</v>
      </c>
      <c r="L684" s="10" t="b">
        <f>Github!N$607</f>
        <v>0</v>
      </c>
      <c r="M684" s="10" t="str">
        <f>ROUND(Github!O$607, 2)&amp;"%"</f>
        <v>57.68%</v>
      </c>
      <c r="N684" s="10">
        <f>Github!P$607</f>
        <v>128118</v>
      </c>
      <c r="O684" s="10">
        <f>Github!Q$607</f>
        <v>222131</v>
      </c>
    </row>
    <row r="685">
      <c r="A685" s="10">
        <f>Github!J$1529</f>
        <v>1528</v>
      </c>
      <c r="B685" s="11" t="str">
        <f>HYPERLINK(CONCAT("http://leetcode.com/problems/",Github!C$1529), Github!B$1529)</f>
        <v>Shuffle String</v>
      </c>
      <c r="C685" s="10">
        <f>Github!F$1529</f>
        <v>1365</v>
      </c>
      <c r="D685" s="10">
        <f>Github!G$1529</f>
        <v>250</v>
      </c>
      <c r="E685" s="10">
        <f>Github!F$1529+Github!G$1529</f>
        <v>1615</v>
      </c>
      <c r="F685" s="12">
        <f t="shared" si="1"/>
        <v>5.46</v>
      </c>
      <c r="G685" s="10" t="str">
        <f>Github!H$1529</f>
        <v>Algorithms</v>
      </c>
      <c r="H685" s="13" t="str">
        <f>SUBSTITUTE(Github!L$1529, ";", ", ")</f>
        <v>Array, String, </v>
      </c>
      <c r="I685" s="10" t="str">
        <f>Github!E$1529</f>
        <v>Easy</v>
      </c>
      <c r="J685" s="10" t="str">
        <f>IF(TRIM(Github!D$1529)="TRUE","FALSE","TRUE")</f>
        <v>TRUE</v>
      </c>
      <c r="K685" s="10" t="b">
        <f>Github!M$1529</f>
        <v>0</v>
      </c>
      <c r="L685" s="10" t="b">
        <f>Github!N$1529</f>
        <v>0</v>
      </c>
      <c r="M685" s="10" t="str">
        <f>ROUND(Github!O$1529, 2)&amp;"%"</f>
        <v>85.75%</v>
      </c>
      <c r="N685" s="10">
        <f>Github!P$1529</f>
        <v>200957</v>
      </c>
      <c r="O685" s="10">
        <f>Github!Q$1529</f>
        <v>234359</v>
      </c>
    </row>
    <row r="686">
      <c r="A686" s="10">
        <f>Github!J$447</f>
        <v>446</v>
      </c>
      <c r="B686" s="11" t="str">
        <f>HYPERLINK(CONCAT("http://leetcode.com/problems/",Github!C$447), Github!B$447)</f>
        <v>Arithmetic Slices II - Subsequence</v>
      </c>
      <c r="C686" s="10">
        <f>Github!F$447</f>
        <v>1346</v>
      </c>
      <c r="D686" s="10">
        <f>Github!G$447</f>
        <v>85</v>
      </c>
      <c r="E686" s="10">
        <f>Github!F$447+Github!G$447</f>
        <v>1431</v>
      </c>
      <c r="F686" s="12">
        <f t="shared" si="1"/>
        <v>15.84</v>
      </c>
      <c r="G686" s="10" t="str">
        <f>Github!H$447</f>
        <v>Algorithms</v>
      </c>
      <c r="H686" s="13" t="str">
        <f>SUBSTITUTE(Github!L$447, ";", ", ")</f>
        <v>Array, Dynamic Programming, </v>
      </c>
      <c r="I686" s="10" t="str">
        <f>Github!E$447</f>
        <v>Hard</v>
      </c>
      <c r="J686" s="10" t="str">
        <f>IF(TRIM(Github!D$447)="TRUE","FALSE","TRUE")</f>
        <v>TRUE</v>
      </c>
      <c r="K686" s="10" t="b">
        <f>Github!M$447</f>
        <v>1</v>
      </c>
      <c r="L686" s="10" t="b">
        <f>Github!N$447</f>
        <v>0</v>
      </c>
      <c r="M686" s="10" t="str">
        <f>ROUND(Github!O$447, 2)&amp;"%"</f>
        <v>39.43%</v>
      </c>
      <c r="N686" s="10">
        <f>Github!P$447</f>
        <v>43606</v>
      </c>
      <c r="O686" s="10">
        <f>Github!Q$447</f>
        <v>110578</v>
      </c>
    </row>
    <row r="687">
      <c r="A687" s="10">
        <f>Github!J$854</f>
        <v>853</v>
      </c>
      <c r="B687" s="11" t="str">
        <f>HYPERLINK(CONCAT("http://leetcode.com/problems/",Github!C$854), Github!B$854)</f>
        <v>Car Fleet</v>
      </c>
      <c r="C687" s="10">
        <f>Github!F$854</f>
        <v>1354</v>
      </c>
      <c r="D687" s="10">
        <f>Github!G$854</f>
        <v>402</v>
      </c>
      <c r="E687" s="10">
        <f>Github!F$854+Github!G$854</f>
        <v>1756</v>
      </c>
      <c r="F687" s="12">
        <f t="shared" si="1"/>
        <v>3.37</v>
      </c>
      <c r="G687" s="10" t="str">
        <f>Github!H$854</f>
        <v>Algorithms</v>
      </c>
      <c r="H687" s="13" t="str">
        <f>SUBSTITUTE(Github!L$854, ";", ", ")</f>
        <v>Array, Stack, Sorting, Monotonic Stack, </v>
      </c>
      <c r="I687" s="10" t="str">
        <f>Github!E$854</f>
        <v>Medium</v>
      </c>
      <c r="J687" s="10" t="str">
        <f>IF(TRIM(Github!D$854)="TRUE","FALSE","TRUE")</f>
        <v>TRUE</v>
      </c>
      <c r="K687" s="10" t="b">
        <f>Github!M$854</f>
        <v>0</v>
      </c>
      <c r="L687" s="10" t="b">
        <f>Github!N$854</f>
        <v>0</v>
      </c>
      <c r="M687" s="10" t="str">
        <f>ROUND(Github!O$854, 2)&amp;"%"</f>
        <v>48.1%</v>
      </c>
      <c r="N687" s="10">
        <f>Github!P$854</f>
        <v>78432</v>
      </c>
      <c r="O687" s="10">
        <f>Github!Q$854</f>
        <v>163054</v>
      </c>
    </row>
    <row r="688">
      <c r="A688" s="10">
        <f>Github!J$476</f>
        <v>475</v>
      </c>
      <c r="B688" s="11" t="str">
        <f>HYPERLINK(CONCAT("http://leetcode.com/problems/",Github!C$476), Github!B$476)</f>
        <v>Heaters</v>
      </c>
      <c r="C688" s="10">
        <f>Github!F$476</f>
        <v>1339</v>
      </c>
      <c r="D688" s="10">
        <f>Github!G$476</f>
        <v>1027</v>
      </c>
      <c r="E688" s="10">
        <f>Github!F$476+Github!G$476</f>
        <v>2366</v>
      </c>
      <c r="F688" s="12">
        <f t="shared" si="1"/>
        <v>1.3</v>
      </c>
      <c r="G688" s="10" t="str">
        <f>Github!H$476</f>
        <v>Algorithms</v>
      </c>
      <c r="H688" s="13" t="str">
        <f>SUBSTITUTE(Github!L$476, ";", ", ")</f>
        <v>Array, Two Pointers, Binary Search, Sorting, </v>
      </c>
      <c r="I688" s="10" t="str">
        <f>Github!E$476</f>
        <v>Medium</v>
      </c>
      <c r="J688" s="10" t="str">
        <f>IF(TRIM(Github!D$476)="TRUE","FALSE","TRUE")</f>
        <v>TRUE</v>
      </c>
      <c r="K688" s="10" t="b">
        <f>Github!M$476</f>
        <v>0</v>
      </c>
      <c r="L688" s="10" t="b">
        <f>Github!N$476</f>
        <v>0</v>
      </c>
      <c r="M688" s="10" t="str">
        <f>ROUND(Github!O$476, 2)&amp;"%"</f>
        <v>35.26%</v>
      </c>
      <c r="N688" s="10">
        <f>Github!P$476</f>
        <v>87649</v>
      </c>
      <c r="O688" s="10">
        <f>Github!Q$476</f>
        <v>248543</v>
      </c>
    </row>
    <row r="689">
      <c r="A689" s="10">
        <f>Github!J$322</f>
        <v>321</v>
      </c>
      <c r="B689" s="11" t="str">
        <f>HYPERLINK(CONCAT("http://leetcode.com/problems/",Github!C$322), Github!B$322)</f>
        <v>Create Maximum Number</v>
      </c>
      <c r="C689" s="10">
        <f>Github!F$322</f>
        <v>1341</v>
      </c>
      <c r="D689" s="10">
        <f>Github!G$322</f>
        <v>309</v>
      </c>
      <c r="E689" s="10">
        <f>Github!F$322+Github!G$322</f>
        <v>1650</v>
      </c>
      <c r="F689" s="12">
        <f t="shared" si="1"/>
        <v>4.34</v>
      </c>
      <c r="G689" s="10" t="str">
        <f>Github!H$322</f>
        <v>Algorithms</v>
      </c>
      <c r="H689" s="13" t="str">
        <f>SUBSTITUTE(Github!L$322, ";", ", ")</f>
        <v>Stack, Greedy, Monotonic Stack, </v>
      </c>
      <c r="I689" s="10" t="str">
        <f>Github!E$322</f>
        <v>Hard</v>
      </c>
      <c r="J689" s="10" t="str">
        <f>IF(TRIM(Github!D$322)="TRUE","FALSE","TRUE")</f>
        <v>TRUE</v>
      </c>
      <c r="K689" s="10" t="b">
        <f>Github!M$322</f>
        <v>0</v>
      </c>
      <c r="L689" s="10" t="b">
        <f>Github!N$322</f>
        <v>0</v>
      </c>
      <c r="M689" s="10" t="str">
        <f>ROUND(Github!O$322, 2)&amp;"%"</f>
        <v>28.4%</v>
      </c>
      <c r="N689" s="10">
        <f>Github!P$322</f>
        <v>49406</v>
      </c>
      <c r="O689" s="10">
        <f>Github!Q$322</f>
        <v>173962</v>
      </c>
    </row>
    <row r="690">
      <c r="A690" s="10">
        <f>Github!J$847</f>
        <v>846</v>
      </c>
      <c r="B690" s="11" t="str">
        <f>HYPERLINK(CONCAT("http://leetcode.com/problems/",Github!C$847), Github!B$847)</f>
        <v>Hand of Straights</v>
      </c>
      <c r="C690" s="10">
        <f>Github!F$847</f>
        <v>1328</v>
      </c>
      <c r="D690" s="10">
        <f>Github!G$847</f>
        <v>115</v>
      </c>
      <c r="E690" s="10">
        <f>Github!F$847+Github!G$847</f>
        <v>1443</v>
      </c>
      <c r="F690" s="12">
        <f t="shared" si="1"/>
        <v>11.55</v>
      </c>
      <c r="G690" s="10" t="str">
        <f>Github!H$847</f>
        <v>Algorithms</v>
      </c>
      <c r="H690" s="13" t="str">
        <f>SUBSTITUTE(Github!L$847, ";", ", ")</f>
        <v>Array, Hash Table, Greedy, Sorting, </v>
      </c>
      <c r="I690" s="10" t="str">
        <f>Github!E$847</f>
        <v>Medium</v>
      </c>
      <c r="J690" s="10" t="str">
        <f>IF(TRIM(Github!D$847)="TRUE","FALSE","TRUE")</f>
        <v>TRUE</v>
      </c>
      <c r="K690" s="10" t="b">
        <f>Github!M$847</f>
        <v>0</v>
      </c>
      <c r="L690" s="10" t="b">
        <f>Github!N$847</f>
        <v>0</v>
      </c>
      <c r="M690" s="10" t="str">
        <f>ROUND(Github!O$847, 2)&amp;"%"</f>
        <v>56.22%</v>
      </c>
      <c r="N690" s="10">
        <f>Github!P$847</f>
        <v>86717</v>
      </c>
      <c r="O690" s="10">
        <f>Github!Q$847</f>
        <v>154247</v>
      </c>
    </row>
    <row r="691">
      <c r="A691" s="10">
        <f>Github!J$1568</f>
        <v>1567</v>
      </c>
      <c r="B691" s="11" t="str">
        <f>HYPERLINK(CONCAT("http://leetcode.com/problems/",Github!C$1568), Github!B$1568)</f>
        <v>Maximum Length of Subarray With Positive Product</v>
      </c>
      <c r="C691" s="10">
        <f>Github!F$1568</f>
        <v>1339</v>
      </c>
      <c r="D691" s="10">
        <f>Github!G$1568</f>
        <v>23</v>
      </c>
      <c r="E691" s="10">
        <f>Github!F$1568+Github!G$1568</f>
        <v>1362</v>
      </c>
      <c r="F691" s="12">
        <f t="shared" si="1"/>
        <v>58.22</v>
      </c>
      <c r="G691" s="10" t="str">
        <f>Github!H$1568</f>
        <v>Algorithms</v>
      </c>
      <c r="H691" s="13" t="str">
        <f>SUBSTITUTE(Github!L$1568, ";", ", ")</f>
        <v>Array, Dynamic Programming, Greedy, </v>
      </c>
      <c r="I691" s="10" t="str">
        <f>Github!E$1568</f>
        <v>Medium</v>
      </c>
      <c r="J691" s="10" t="str">
        <f>IF(TRIM(Github!D$1568)="TRUE","FALSE","TRUE")</f>
        <v>TRUE</v>
      </c>
      <c r="K691" s="10" t="b">
        <f>Github!M$1568</f>
        <v>0</v>
      </c>
      <c r="L691" s="10" t="b">
        <f>Github!N$1568</f>
        <v>0</v>
      </c>
      <c r="M691" s="10" t="str">
        <f>ROUND(Github!O$1568, 2)&amp;"%"</f>
        <v>42.95%</v>
      </c>
      <c r="N691" s="10">
        <f>Github!P$1568</f>
        <v>46183</v>
      </c>
      <c r="O691" s="10">
        <f>Github!Q$1568</f>
        <v>107533</v>
      </c>
    </row>
    <row r="692">
      <c r="A692" s="10">
        <f>Github!J$976</f>
        <v>975</v>
      </c>
      <c r="B692" s="11" t="str">
        <f>HYPERLINK(CONCAT("http://leetcode.com/problems/",Github!C$976), Github!B$976)</f>
        <v>Odd Even Jump</v>
      </c>
      <c r="C692" s="10">
        <f>Github!F$976</f>
        <v>1330</v>
      </c>
      <c r="D692" s="10">
        <f>Github!G$976</f>
        <v>372</v>
      </c>
      <c r="E692" s="10">
        <f>Github!F$976+Github!G$976</f>
        <v>1702</v>
      </c>
      <c r="F692" s="12">
        <f t="shared" si="1"/>
        <v>3.58</v>
      </c>
      <c r="G692" s="10" t="str">
        <f>Github!H$976</f>
        <v>Algorithms</v>
      </c>
      <c r="H692" s="13" t="str">
        <f>SUBSTITUTE(Github!L$976, ";", ", ")</f>
        <v>Array, Dynamic Programming, Stack, Monotonic Stack, Ordered Set, </v>
      </c>
      <c r="I692" s="10" t="str">
        <f>Github!E$976</f>
        <v>Hard</v>
      </c>
      <c r="J692" s="10" t="str">
        <f>IF(TRIM(Github!D$976)="TRUE","FALSE","TRUE")</f>
        <v>TRUE</v>
      </c>
      <c r="K692" s="10" t="b">
        <f>Github!M$976</f>
        <v>0</v>
      </c>
      <c r="L692" s="10" t="b">
        <f>Github!N$976</f>
        <v>0</v>
      </c>
      <c r="M692" s="10" t="str">
        <f>ROUND(Github!O$976, 2)&amp;"%"</f>
        <v>38.9%</v>
      </c>
      <c r="N692" s="10">
        <f>Github!P$976</f>
        <v>58138</v>
      </c>
      <c r="O692" s="10">
        <f>Github!Q$976</f>
        <v>149467</v>
      </c>
    </row>
    <row r="693">
      <c r="A693" s="10">
        <f>Github!J$1637</f>
        <v>1636</v>
      </c>
      <c r="B693" s="11" t="str">
        <f>HYPERLINK(CONCAT("http://leetcode.com/problems/",Github!C$1637), Github!B$1637)</f>
        <v>Sort Array by Increasing Frequency</v>
      </c>
      <c r="C693" s="10">
        <f>Github!F$1637</f>
        <v>1341</v>
      </c>
      <c r="D693" s="10">
        <f>Github!G$1637</f>
        <v>51</v>
      </c>
      <c r="E693" s="10">
        <f>Github!F$1637+Github!G$1637</f>
        <v>1392</v>
      </c>
      <c r="F693" s="12">
        <f t="shared" si="1"/>
        <v>26.29</v>
      </c>
      <c r="G693" s="10" t="str">
        <f>Github!H$1637</f>
        <v>Algorithms</v>
      </c>
      <c r="H693" s="13" t="str">
        <f>SUBSTITUTE(Github!L$1637, ";", ", ")</f>
        <v>Array, Hash Table, Sorting, </v>
      </c>
      <c r="I693" s="10" t="str">
        <f>Github!E$1637</f>
        <v>Easy</v>
      </c>
      <c r="J693" s="10" t="str">
        <f>IF(TRIM(Github!D$1637)="TRUE","FALSE","TRUE")</f>
        <v>TRUE</v>
      </c>
      <c r="K693" s="10" t="b">
        <f>Github!M$1637</f>
        <v>0</v>
      </c>
      <c r="L693" s="10" t="b">
        <f>Github!N$1637</f>
        <v>0</v>
      </c>
      <c r="M693" s="10" t="str">
        <f>ROUND(Github!O$1637, 2)&amp;"%"</f>
        <v>68.39%</v>
      </c>
      <c r="N693" s="10">
        <f>Github!P$1637</f>
        <v>59140</v>
      </c>
      <c r="O693" s="10">
        <f>Github!Q$1637</f>
        <v>86479</v>
      </c>
    </row>
    <row r="694">
      <c r="A694" s="10">
        <f>Github!J$721</f>
        <v>720</v>
      </c>
      <c r="B694" s="11" t="str">
        <f>HYPERLINK(CONCAT("http://leetcode.com/problems/",Github!C$721), Github!B$721)</f>
        <v>Longest Word in Dictionary</v>
      </c>
      <c r="C694" s="10">
        <f>Github!F$721</f>
        <v>1325</v>
      </c>
      <c r="D694" s="10">
        <f>Github!G$721</f>
        <v>1293</v>
      </c>
      <c r="E694" s="10">
        <f>Github!F$721+Github!G$721</f>
        <v>2618</v>
      </c>
      <c r="F694" s="12">
        <f t="shared" si="1"/>
        <v>1.02</v>
      </c>
      <c r="G694" s="10" t="str">
        <f>Github!H$721</f>
        <v>Algorithms</v>
      </c>
      <c r="H694" s="13" t="str">
        <f>SUBSTITUTE(Github!L$721, ";", ", ")</f>
        <v>Array, Hash Table, String, Trie, Sorting, </v>
      </c>
      <c r="I694" s="10" t="str">
        <f>Github!E$721</f>
        <v>Medium</v>
      </c>
      <c r="J694" s="10" t="str">
        <f>IF(TRIM(Github!D$721)="TRUE","FALSE","TRUE")</f>
        <v>TRUE</v>
      </c>
      <c r="K694" s="10" t="b">
        <f>Github!M$721</f>
        <v>1</v>
      </c>
      <c r="L694" s="10" t="b">
        <f>Github!N$721</f>
        <v>0</v>
      </c>
      <c r="M694" s="10" t="str">
        <f>ROUND(Github!O$721, 2)&amp;"%"</f>
        <v>50.97%</v>
      </c>
      <c r="N694" s="10">
        <f>Github!P$721</f>
        <v>112877</v>
      </c>
      <c r="O694" s="10">
        <f>Github!Q$721</f>
        <v>221455</v>
      </c>
    </row>
    <row r="695">
      <c r="A695" s="10">
        <f>Github!J$1010</f>
        <v>1009</v>
      </c>
      <c r="B695" s="11" t="str">
        <f>HYPERLINK(CONCAT("http://leetcode.com/problems/",Github!C$1010), Github!B$1010)</f>
        <v>Complement of Base 10 Integer</v>
      </c>
      <c r="C695" s="10">
        <f>Github!F$1010</f>
        <v>1326</v>
      </c>
      <c r="D695" s="10">
        <f>Github!G$1010</f>
        <v>71</v>
      </c>
      <c r="E695" s="10">
        <f>Github!F$1010+Github!G$1010</f>
        <v>1397</v>
      </c>
      <c r="F695" s="12">
        <f t="shared" si="1"/>
        <v>18.68</v>
      </c>
      <c r="G695" s="10" t="str">
        <f>Github!H$1010</f>
        <v>Algorithms</v>
      </c>
      <c r="H695" s="13" t="str">
        <f>SUBSTITUTE(Github!L$1010, ";", ", ")</f>
        <v>Bit Manipulation, </v>
      </c>
      <c r="I695" s="10" t="str">
        <f>Github!E$1010</f>
        <v>Easy</v>
      </c>
      <c r="J695" s="10" t="str">
        <f>IF(TRIM(Github!D$1010)="TRUE","FALSE","TRUE")</f>
        <v>TRUE</v>
      </c>
      <c r="K695" s="10" t="b">
        <f>Github!M$1010</f>
        <v>1</v>
      </c>
      <c r="L695" s="10" t="b">
        <f>Github!N$1010</f>
        <v>0</v>
      </c>
      <c r="M695" s="10" t="str">
        <f>ROUND(Github!O$1010, 2)&amp;"%"</f>
        <v>62.26%</v>
      </c>
      <c r="N695" s="10">
        <f>Github!P$1010</f>
        <v>126044</v>
      </c>
      <c r="O695" s="10">
        <f>Github!Q$1010</f>
        <v>202450</v>
      </c>
    </row>
    <row r="696">
      <c r="A696" s="10">
        <f>Github!J$1526</f>
        <v>1525</v>
      </c>
      <c r="B696" s="11" t="str">
        <f>HYPERLINK(CONCAT("http://leetcode.com/problems/",Github!C$1526), Github!B$1526)</f>
        <v>Number of Good Ways to Split a String</v>
      </c>
      <c r="C696" s="10">
        <f>Github!F$1526</f>
        <v>1326</v>
      </c>
      <c r="D696" s="10">
        <f>Github!G$1526</f>
        <v>30</v>
      </c>
      <c r="E696" s="10">
        <f>Github!F$1526+Github!G$1526</f>
        <v>1356</v>
      </c>
      <c r="F696" s="12">
        <f t="shared" si="1"/>
        <v>44.2</v>
      </c>
      <c r="G696" s="10" t="str">
        <f>Github!H$1526</f>
        <v>Algorithms</v>
      </c>
      <c r="H696" s="13" t="str">
        <f>SUBSTITUTE(Github!L$1526, ";", ", ")</f>
        <v>String, Dynamic Programming, Bit Manipulation, </v>
      </c>
      <c r="I696" s="10" t="str">
        <f>Github!E$1526</f>
        <v>Medium</v>
      </c>
      <c r="J696" s="10" t="str">
        <f>IF(TRIM(Github!D$1526)="TRUE","FALSE","TRUE")</f>
        <v>TRUE</v>
      </c>
      <c r="K696" s="10" t="b">
        <f>Github!M$1526</f>
        <v>0</v>
      </c>
      <c r="L696" s="10" t="b">
        <f>Github!N$1526</f>
        <v>0</v>
      </c>
      <c r="M696" s="10" t="str">
        <f>ROUND(Github!O$1526, 2)&amp;"%"</f>
        <v>70.13%</v>
      </c>
      <c r="N696" s="10">
        <f>Github!P$1526</f>
        <v>69624</v>
      </c>
      <c r="O696" s="10">
        <f>Github!Q$1526</f>
        <v>99283</v>
      </c>
    </row>
    <row r="697">
      <c r="A697" s="10">
        <f>Github!J$931</f>
        <v>930</v>
      </c>
      <c r="B697" s="11" t="str">
        <f>HYPERLINK(CONCAT("http://leetcode.com/problems/",Github!C$931), Github!B$931)</f>
        <v>Binary Subarrays With Sum</v>
      </c>
      <c r="C697" s="10">
        <f>Github!F$931</f>
        <v>1324</v>
      </c>
      <c r="D697" s="10">
        <f>Github!G$931</f>
        <v>44</v>
      </c>
      <c r="E697" s="10">
        <f>Github!F$931+Github!G$931</f>
        <v>1368</v>
      </c>
      <c r="F697" s="12">
        <f t="shared" si="1"/>
        <v>30.09</v>
      </c>
      <c r="G697" s="10" t="str">
        <f>Github!H$931</f>
        <v>Algorithms</v>
      </c>
      <c r="H697" s="13" t="str">
        <f>SUBSTITUTE(Github!L$931, ";", ", ")</f>
        <v>Array, Hash Table, Sliding Window, Prefix Sum, </v>
      </c>
      <c r="I697" s="10" t="str">
        <f>Github!E$931</f>
        <v>Medium</v>
      </c>
      <c r="J697" s="10" t="str">
        <f>IF(TRIM(Github!D$931)="TRUE","FALSE","TRUE")</f>
        <v>TRUE</v>
      </c>
      <c r="K697" s="10" t="b">
        <f>Github!M$931</f>
        <v>1</v>
      </c>
      <c r="L697" s="10" t="b">
        <f>Github!N$931</f>
        <v>0</v>
      </c>
      <c r="M697" s="10" t="str">
        <f>ROUND(Github!O$931, 2)&amp;"%"</f>
        <v>48.78%</v>
      </c>
      <c r="N697" s="10">
        <f>Github!P$931</f>
        <v>45412</v>
      </c>
      <c r="O697" s="10">
        <f>Github!Q$931</f>
        <v>93089</v>
      </c>
    </row>
    <row r="698">
      <c r="A698" s="10">
        <f>Github!J$525</f>
        <v>524</v>
      </c>
      <c r="B698" s="11" t="str">
        <f>HYPERLINK(CONCAT("http://leetcode.com/problems/",Github!C$525), Github!B$525)</f>
        <v>Longest Word in Dictionary through Deleting</v>
      </c>
      <c r="C698" s="10">
        <f>Github!F$525</f>
        <v>1313</v>
      </c>
      <c r="D698" s="10">
        <f>Github!G$525</f>
        <v>329</v>
      </c>
      <c r="E698" s="10">
        <f>Github!F$525+Github!G$525</f>
        <v>1642</v>
      </c>
      <c r="F698" s="12">
        <f t="shared" si="1"/>
        <v>3.99</v>
      </c>
      <c r="G698" s="10" t="str">
        <f>Github!H$525</f>
        <v>Algorithms</v>
      </c>
      <c r="H698" s="13" t="str">
        <f>SUBSTITUTE(Github!L$525, ";", ", ")</f>
        <v>Array, Two Pointers, String, Sorting, </v>
      </c>
      <c r="I698" s="10" t="str">
        <f>Github!E$525</f>
        <v>Medium</v>
      </c>
      <c r="J698" s="10" t="str">
        <f>IF(TRIM(Github!D$525)="TRUE","FALSE","TRUE")</f>
        <v>TRUE</v>
      </c>
      <c r="K698" s="10" t="b">
        <f>Github!M$525</f>
        <v>1</v>
      </c>
      <c r="L698" s="10" t="b">
        <f>Github!N$525</f>
        <v>0</v>
      </c>
      <c r="M698" s="10" t="str">
        <f>ROUND(Github!O$525, 2)&amp;"%"</f>
        <v>50.87%</v>
      </c>
      <c r="N698" s="10">
        <f>Github!P$525</f>
        <v>125283</v>
      </c>
      <c r="O698" s="10">
        <f>Github!Q$525</f>
        <v>246268</v>
      </c>
    </row>
    <row r="699">
      <c r="A699" s="10">
        <f>Github!J$1141</f>
        <v>1140</v>
      </c>
      <c r="B699" s="11" t="str">
        <f>HYPERLINK(CONCAT("http://leetcode.com/problems/",Github!C$1141), Github!B$1141)</f>
        <v>Stone Game II</v>
      </c>
      <c r="C699" s="10">
        <f>Github!F$1141</f>
        <v>1304</v>
      </c>
      <c r="D699" s="10">
        <f>Github!G$1141</f>
        <v>252</v>
      </c>
      <c r="E699" s="10">
        <f>Github!F$1141+Github!G$1141</f>
        <v>1556</v>
      </c>
      <c r="F699" s="12">
        <f t="shared" si="1"/>
        <v>5.17</v>
      </c>
      <c r="G699" s="10" t="str">
        <f>Github!H$1141</f>
        <v>Algorithms</v>
      </c>
      <c r="H699" s="13" t="str">
        <f>SUBSTITUTE(Github!L$1141, ";", ", ")</f>
        <v>Array, Math, Dynamic Programming, Game Theory, </v>
      </c>
      <c r="I699" s="10" t="str">
        <f>Github!E$1141</f>
        <v>Medium</v>
      </c>
      <c r="J699" s="10" t="str">
        <f>IF(TRIM(Github!D$1141)="TRUE","FALSE","TRUE")</f>
        <v>TRUE</v>
      </c>
      <c r="K699" s="10" t="b">
        <f>Github!M$1141</f>
        <v>0</v>
      </c>
      <c r="L699" s="10" t="b">
        <f>Github!N$1141</f>
        <v>0</v>
      </c>
      <c r="M699" s="10" t="str">
        <f>ROUND(Github!O$1141, 2)&amp;"%"</f>
        <v>64.91%</v>
      </c>
      <c r="N699" s="10">
        <f>Github!P$1141</f>
        <v>39114</v>
      </c>
      <c r="O699" s="10">
        <f>Github!Q$1141</f>
        <v>60256</v>
      </c>
    </row>
    <row r="700">
      <c r="A700" s="10">
        <f>Github!J$250</f>
        <v>249</v>
      </c>
      <c r="B700" s="11" t="str">
        <f>HYPERLINK(CONCAT("http://leetcode.com/problems/",Github!C$250), Github!B$250)</f>
        <v>Group Shifted Strings</v>
      </c>
      <c r="C700" s="10">
        <f>Github!F$250</f>
        <v>1307</v>
      </c>
      <c r="D700" s="10">
        <f>Github!G$250</f>
        <v>244</v>
      </c>
      <c r="E700" s="10">
        <f>Github!F$250+Github!G$250</f>
        <v>1551</v>
      </c>
      <c r="F700" s="12">
        <f t="shared" si="1"/>
        <v>5.36</v>
      </c>
      <c r="G700" s="10" t="str">
        <f>Github!H$250</f>
        <v>Algorithms</v>
      </c>
      <c r="H700" s="13" t="str">
        <f>SUBSTITUTE(Github!L$250, ";", ", ")</f>
        <v>Array, Hash Table, String, </v>
      </c>
      <c r="I700" s="10" t="str">
        <f>Github!E$250</f>
        <v>Medium</v>
      </c>
      <c r="J700" s="10" t="str">
        <f>IF(TRIM(Github!D$250)="TRUE","FALSE","TRUE")</f>
        <v>FALSE</v>
      </c>
      <c r="K700" s="10" t="b">
        <f>Github!M$250</f>
        <v>1</v>
      </c>
      <c r="L700" s="10" t="b">
        <f>Github!N$250</f>
        <v>0</v>
      </c>
      <c r="M700" s="10" t="str">
        <f>ROUND(Github!O$250, 2)&amp;"%"</f>
        <v>63.57%</v>
      </c>
      <c r="N700" s="10">
        <f>Github!P$250</f>
        <v>167238</v>
      </c>
      <c r="O700" s="10">
        <f>Github!Q$250</f>
        <v>263085</v>
      </c>
    </row>
    <row r="701">
      <c r="A701" s="10">
        <f>Github!J$1697</f>
        <v>1696</v>
      </c>
      <c r="B701" s="11" t="str">
        <f>HYPERLINK(CONCAT("http://leetcode.com/problems/",Github!C$1697), Github!B$1697)</f>
        <v>Jump Game VI</v>
      </c>
      <c r="C701" s="10">
        <f>Github!F$1697</f>
        <v>1301</v>
      </c>
      <c r="D701" s="10">
        <f>Github!G$1697</f>
        <v>52</v>
      </c>
      <c r="E701" s="10">
        <f>Github!F$1697+Github!G$1697</f>
        <v>1353</v>
      </c>
      <c r="F701" s="12">
        <f t="shared" si="1"/>
        <v>25.02</v>
      </c>
      <c r="G701" s="10" t="str">
        <f>Github!H$1697</f>
        <v>Algorithms</v>
      </c>
      <c r="H701" s="13" t="str">
        <f>SUBSTITUTE(Github!L$1697, ";", ", ")</f>
        <v>Array, Dynamic Programming, Queue, Sliding Window, Heap (Priority Queue), Monotonic Queue, </v>
      </c>
      <c r="I701" s="10" t="str">
        <f>Github!E$1697</f>
        <v>Medium</v>
      </c>
      <c r="J701" s="10" t="str">
        <f>IF(TRIM(Github!D$1697)="TRUE","FALSE","TRUE")</f>
        <v>TRUE</v>
      </c>
      <c r="K701" s="10" t="b">
        <f>Github!M$1697</f>
        <v>1</v>
      </c>
      <c r="L701" s="10" t="b">
        <f>Github!N$1697</f>
        <v>0</v>
      </c>
      <c r="M701" s="10" t="str">
        <f>ROUND(Github!O$1697, 2)&amp;"%"</f>
        <v>42.73%</v>
      </c>
      <c r="N701" s="10">
        <f>Github!P$1697</f>
        <v>42877</v>
      </c>
      <c r="O701" s="10">
        <f>Github!Q$1697</f>
        <v>100341</v>
      </c>
    </row>
    <row r="702">
      <c r="A702" s="10">
        <f>Github!J$179</f>
        <v>178</v>
      </c>
      <c r="B702" s="11" t="str">
        <f>HYPERLINK(CONCAT("http://leetcode.com/problems/",Github!C$179), Github!B$179)</f>
        <v>Rank Scores</v>
      </c>
      <c r="C702" s="10">
        <f>Github!F$179</f>
        <v>1294</v>
      </c>
      <c r="D702" s="10">
        <f>Github!G$179</f>
        <v>205</v>
      </c>
      <c r="E702" s="10">
        <f>Github!F$179+Github!G$179</f>
        <v>1499</v>
      </c>
      <c r="F702" s="12">
        <f t="shared" si="1"/>
        <v>6.31</v>
      </c>
      <c r="G702" s="10" t="str">
        <f>Github!H$179</f>
        <v>Database</v>
      </c>
      <c r="H702" s="13" t="str">
        <f>SUBSTITUTE(Github!L$179, ";", ", ")</f>
        <v>Database, </v>
      </c>
      <c r="I702" s="10" t="str">
        <f>Github!E$179</f>
        <v>Medium</v>
      </c>
      <c r="J702" s="10" t="str">
        <f>IF(TRIM(Github!D$179)="TRUE","FALSE","TRUE")</f>
        <v>TRUE</v>
      </c>
      <c r="K702" s="10" t="b">
        <f>Github!M$179</f>
        <v>0</v>
      </c>
      <c r="L702" s="10" t="b">
        <f>Github!N$179</f>
        <v>0</v>
      </c>
      <c r="M702" s="10" t="str">
        <f>ROUND(Github!O$179, 2)&amp;"%"</f>
        <v>57.38%</v>
      </c>
      <c r="N702" s="10">
        <f>Github!P$179</f>
        <v>222626</v>
      </c>
      <c r="O702" s="10">
        <f>Github!Q$179</f>
        <v>387971</v>
      </c>
    </row>
    <row r="703">
      <c r="A703" s="10">
        <f>Github!J$340</f>
        <v>339</v>
      </c>
      <c r="B703" s="11" t="str">
        <f>HYPERLINK(CONCAT("http://leetcode.com/problems/",Github!C$340), Github!B$340)</f>
        <v>Nested List Weight Sum</v>
      </c>
      <c r="C703" s="10">
        <f>Github!F$340</f>
        <v>1296</v>
      </c>
      <c r="D703" s="10">
        <f>Github!G$340</f>
        <v>301</v>
      </c>
      <c r="E703" s="10">
        <f>Github!F$340+Github!G$340</f>
        <v>1597</v>
      </c>
      <c r="F703" s="12">
        <f t="shared" si="1"/>
        <v>4.31</v>
      </c>
      <c r="G703" s="10" t="str">
        <f>Github!H$340</f>
        <v>Algorithms</v>
      </c>
      <c r="H703" s="13" t="str">
        <f>SUBSTITUTE(Github!L$340, ";", ", ")</f>
        <v>Depth-First Search, Breadth-First Search, </v>
      </c>
      <c r="I703" s="10" t="str">
        <f>Github!E$340</f>
        <v>Medium</v>
      </c>
      <c r="J703" s="10" t="str">
        <f>IF(TRIM(Github!D$340)="TRUE","FALSE","TRUE")</f>
        <v>FALSE</v>
      </c>
      <c r="K703" s="10" t="b">
        <f>Github!M$340</f>
        <v>1</v>
      </c>
      <c r="L703" s="10" t="b">
        <f>Github!N$340</f>
        <v>1</v>
      </c>
      <c r="M703" s="10" t="str">
        <f>ROUND(Github!O$340, 2)&amp;"%"</f>
        <v>81.17%</v>
      </c>
      <c r="N703" s="10">
        <f>Github!P$340</f>
        <v>190454</v>
      </c>
      <c r="O703" s="10">
        <f>Github!Q$340</f>
        <v>234629</v>
      </c>
    </row>
    <row r="704">
      <c r="A704" s="10">
        <f>Github!J$1648</f>
        <v>1647</v>
      </c>
      <c r="B704" s="11" t="str">
        <f>HYPERLINK(CONCAT("http://leetcode.com/problems/",Github!C$1648), Github!B$1648)</f>
        <v>Minimum Deletions to Make Character Frequencies Unique</v>
      </c>
      <c r="C704" s="10">
        <f>Github!F$1648</f>
        <v>1292</v>
      </c>
      <c r="D704" s="10">
        <f>Github!G$1648</f>
        <v>27</v>
      </c>
      <c r="E704" s="10">
        <f>Github!F$1648+Github!G$1648</f>
        <v>1319</v>
      </c>
      <c r="F704" s="12">
        <f t="shared" si="1"/>
        <v>47.85</v>
      </c>
      <c r="G704" s="10" t="str">
        <f>Github!H$1648</f>
        <v>Algorithms</v>
      </c>
      <c r="H704" s="13" t="str">
        <f>SUBSTITUTE(Github!L$1648, ";", ", ")</f>
        <v>String, Greedy, Sorting, </v>
      </c>
      <c r="I704" s="10" t="str">
        <f>Github!E$1648</f>
        <v>Medium</v>
      </c>
      <c r="J704" s="10" t="str">
        <f>IF(TRIM(Github!D$1648)="TRUE","FALSE","TRUE")</f>
        <v>TRUE</v>
      </c>
      <c r="K704" s="10" t="b">
        <f>Github!M$1648</f>
        <v>1</v>
      </c>
      <c r="L704" s="10" t="b">
        <f>Github!N$1648</f>
        <v>0</v>
      </c>
      <c r="M704" s="10" t="str">
        <f>ROUND(Github!O$1648, 2)&amp;"%"</f>
        <v>56.44%</v>
      </c>
      <c r="N704" s="10">
        <f>Github!P$1648</f>
        <v>82772</v>
      </c>
      <c r="O704" s="10">
        <f>Github!Q$1648</f>
        <v>146656</v>
      </c>
    </row>
    <row r="705">
      <c r="A705" s="10">
        <f>Github!J$1191</f>
        <v>1190</v>
      </c>
      <c r="B705" s="11" t="str">
        <f>HYPERLINK(CONCAT("http://leetcode.com/problems/",Github!C$1191), Github!B$1191)</f>
        <v>Reverse Substrings Between Each Pair of Parentheses</v>
      </c>
      <c r="C705" s="10">
        <f>Github!F$1191</f>
        <v>1284</v>
      </c>
      <c r="D705" s="10">
        <f>Github!G$1191</f>
        <v>34</v>
      </c>
      <c r="E705" s="10">
        <f>Github!F$1191+Github!G$1191</f>
        <v>1318</v>
      </c>
      <c r="F705" s="12">
        <f t="shared" si="1"/>
        <v>37.76</v>
      </c>
      <c r="G705" s="10" t="str">
        <f>Github!H$1191</f>
        <v>Algorithms</v>
      </c>
      <c r="H705" s="13" t="str">
        <f>SUBSTITUTE(Github!L$1191, ";", ", ")</f>
        <v>String, Stack, </v>
      </c>
      <c r="I705" s="10" t="str">
        <f>Github!E$1191</f>
        <v>Medium</v>
      </c>
      <c r="J705" s="10" t="str">
        <f>IF(TRIM(Github!D$1191)="TRUE","FALSE","TRUE")</f>
        <v>TRUE</v>
      </c>
      <c r="K705" s="10" t="b">
        <f>Github!M$1191</f>
        <v>0</v>
      </c>
      <c r="L705" s="10" t="b">
        <f>Github!N$1191</f>
        <v>0</v>
      </c>
      <c r="M705" s="10" t="str">
        <f>ROUND(Github!O$1191, 2)&amp;"%"</f>
        <v>65.7%</v>
      </c>
      <c r="N705" s="10">
        <f>Github!P$1191</f>
        <v>48220</v>
      </c>
      <c r="O705" s="10">
        <f>Github!Q$1191</f>
        <v>73394</v>
      </c>
    </row>
    <row r="706">
      <c r="A706" s="10">
        <f>Github!J$1061</f>
        <v>1060</v>
      </c>
      <c r="B706" s="11" t="str">
        <f>HYPERLINK(CONCAT("http://leetcode.com/problems/",Github!C$1061), Github!B$1061)</f>
        <v>Missing Element in Sorted Array</v>
      </c>
      <c r="C706" s="10">
        <f>Github!F$1061</f>
        <v>1281</v>
      </c>
      <c r="D706" s="10">
        <f>Github!G$1061</f>
        <v>51</v>
      </c>
      <c r="E706" s="10">
        <f>Github!F$1061+Github!G$1061</f>
        <v>1332</v>
      </c>
      <c r="F706" s="12">
        <f t="shared" si="1"/>
        <v>25.12</v>
      </c>
      <c r="G706" s="10" t="str">
        <f>Github!H$1061</f>
        <v>Algorithms</v>
      </c>
      <c r="H706" s="13" t="str">
        <f>SUBSTITUTE(Github!L$1061, ";", ", ")</f>
        <v>Array, Binary Search, </v>
      </c>
      <c r="I706" s="10" t="str">
        <f>Github!E$1061</f>
        <v>Medium</v>
      </c>
      <c r="J706" s="10" t="str">
        <f>IF(TRIM(Github!D$1061)="TRUE","FALSE","TRUE")</f>
        <v>FALSE</v>
      </c>
      <c r="K706" s="10" t="b">
        <f>Github!M$1061</f>
        <v>1</v>
      </c>
      <c r="L706" s="10" t="b">
        <f>Github!N$1061</f>
        <v>0</v>
      </c>
      <c r="M706" s="10" t="str">
        <f>ROUND(Github!O$1061, 2)&amp;"%"</f>
        <v>54.98%</v>
      </c>
      <c r="N706" s="10">
        <f>Github!P$1061</f>
        <v>94672</v>
      </c>
      <c r="O706" s="10">
        <f>Github!Q$1061</f>
        <v>172195</v>
      </c>
    </row>
    <row r="707">
      <c r="A707" s="10">
        <f>Github!J$731</f>
        <v>730</v>
      </c>
      <c r="B707" s="11" t="str">
        <f>HYPERLINK(CONCAT("http://leetcode.com/problems/",Github!C$731), Github!B$731)</f>
        <v>Count Different Palindromic Subsequences</v>
      </c>
      <c r="C707" s="10">
        <f>Github!F$731</f>
        <v>1280</v>
      </c>
      <c r="D707" s="10">
        <f>Github!G$731</f>
        <v>69</v>
      </c>
      <c r="E707" s="10">
        <f>Github!F$731+Github!G$731</f>
        <v>1349</v>
      </c>
      <c r="F707" s="12">
        <f t="shared" si="1"/>
        <v>18.55</v>
      </c>
      <c r="G707" s="10" t="str">
        <f>Github!H$731</f>
        <v>Algorithms</v>
      </c>
      <c r="H707" s="13" t="str">
        <f>SUBSTITUTE(Github!L$731, ";", ", ")</f>
        <v>String, Dynamic Programming, </v>
      </c>
      <c r="I707" s="10" t="str">
        <f>Github!E$731</f>
        <v>Hard</v>
      </c>
      <c r="J707" s="10" t="str">
        <f>IF(TRIM(Github!D$731)="TRUE","FALSE","TRUE")</f>
        <v>TRUE</v>
      </c>
      <c r="K707" s="10" t="b">
        <f>Github!M$731</f>
        <v>0</v>
      </c>
      <c r="L707" s="10" t="b">
        <f>Github!N$731</f>
        <v>0</v>
      </c>
      <c r="M707" s="10" t="str">
        <f>ROUND(Github!O$731, 2)&amp;"%"</f>
        <v>44.32%</v>
      </c>
      <c r="N707" s="10">
        <f>Github!P$731</f>
        <v>26567</v>
      </c>
      <c r="O707" s="10">
        <f>Github!Q$731</f>
        <v>59947</v>
      </c>
    </row>
    <row r="708">
      <c r="A708" s="10">
        <f>Github!J$1026</f>
        <v>1025</v>
      </c>
      <c r="B708" s="11" t="str">
        <f>HYPERLINK(CONCAT("http://leetcode.com/problems/",Github!C$1026), Github!B$1026)</f>
        <v>Divisor Game</v>
      </c>
      <c r="C708" s="10">
        <f>Github!F$1026</f>
        <v>1282</v>
      </c>
      <c r="D708" s="10">
        <f>Github!G$1026</f>
        <v>3059</v>
      </c>
      <c r="E708" s="10">
        <f>Github!F$1026+Github!G$1026</f>
        <v>4341</v>
      </c>
      <c r="F708" s="12">
        <f t="shared" si="1"/>
        <v>0.42</v>
      </c>
      <c r="G708" s="10" t="str">
        <f>Github!H$1026</f>
        <v>Algorithms</v>
      </c>
      <c r="H708" s="13" t="str">
        <f>SUBSTITUTE(Github!L$1026, ";", ", ")</f>
        <v>Math, Dynamic Programming, Brainteaser, Game Theory, </v>
      </c>
      <c r="I708" s="10" t="str">
        <f>Github!E$1026</f>
        <v>Easy</v>
      </c>
      <c r="J708" s="10" t="str">
        <f>IF(TRIM(Github!D$1026)="TRUE","FALSE","TRUE")</f>
        <v>TRUE</v>
      </c>
      <c r="K708" s="10" t="b">
        <f>Github!M$1026</f>
        <v>0</v>
      </c>
      <c r="L708" s="10" t="b">
        <f>Github!N$1026</f>
        <v>0</v>
      </c>
      <c r="M708" s="10" t="str">
        <f>ROUND(Github!O$1026, 2)&amp;"%"</f>
        <v>66.61%</v>
      </c>
      <c r="N708" s="10">
        <f>Github!P$1026</f>
        <v>152650</v>
      </c>
      <c r="O708" s="10">
        <f>Github!Q$1026</f>
        <v>229175</v>
      </c>
    </row>
    <row r="709">
      <c r="A709" s="10">
        <f>Github!J$979</f>
        <v>978</v>
      </c>
      <c r="B709" s="11" t="str">
        <f>HYPERLINK(CONCAT("http://leetcode.com/problems/",Github!C$979), Github!B$979)</f>
        <v>Longest Turbulent Subarray</v>
      </c>
      <c r="C709" s="10">
        <f>Github!F$979</f>
        <v>1274</v>
      </c>
      <c r="D709" s="10">
        <f>Github!G$979</f>
        <v>166</v>
      </c>
      <c r="E709" s="10">
        <f>Github!F$979+Github!G$979</f>
        <v>1440</v>
      </c>
      <c r="F709" s="12">
        <f t="shared" si="1"/>
        <v>7.67</v>
      </c>
      <c r="G709" s="10" t="str">
        <f>Github!H$979</f>
        <v>Algorithms</v>
      </c>
      <c r="H709" s="13" t="str">
        <f>SUBSTITUTE(Github!L$979, ";", ", ")</f>
        <v>Array, Dynamic Programming, Sliding Window, </v>
      </c>
      <c r="I709" s="10" t="str">
        <f>Github!E$979</f>
        <v>Medium</v>
      </c>
      <c r="J709" s="10" t="str">
        <f>IF(TRIM(Github!D$979)="TRUE","FALSE","TRUE")</f>
        <v>TRUE</v>
      </c>
      <c r="K709" s="10" t="b">
        <f>Github!M$979</f>
        <v>1</v>
      </c>
      <c r="L709" s="10" t="b">
        <f>Github!N$979</f>
        <v>0</v>
      </c>
      <c r="M709" s="10" t="str">
        <f>ROUND(Github!O$979, 2)&amp;"%"</f>
        <v>47.53%</v>
      </c>
      <c r="N709" s="10">
        <f>Github!P$979</f>
        <v>71463</v>
      </c>
      <c r="O709" s="10">
        <f>Github!Q$979</f>
        <v>150366</v>
      </c>
    </row>
    <row r="710">
      <c r="A710" s="10">
        <f>Github!J$1072</f>
        <v>1071</v>
      </c>
      <c r="B710" s="11" t="str">
        <f>HYPERLINK(CONCAT("http://leetcode.com/problems/",Github!C$1072), Github!B$1072)</f>
        <v>Greatest Common Divisor of Strings</v>
      </c>
      <c r="C710" s="10">
        <f>Github!F$1072</f>
        <v>1275</v>
      </c>
      <c r="D710" s="10">
        <f>Github!G$1072</f>
        <v>254</v>
      </c>
      <c r="E710" s="10">
        <f>Github!F$1072+Github!G$1072</f>
        <v>1529</v>
      </c>
      <c r="F710" s="12">
        <f t="shared" si="1"/>
        <v>5.02</v>
      </c>
      <c r="G710" s="10" t="str">
        <f>Github!H$1072</f>
        <v>Algorithms</v>
      </c>
      <c r="H710" s="13" t="str">
        <f>SUBSTITUTE(Github!L$1072, ";", ", ")</f>
        <v>Math, String, </v>
      </c>
      <c r="I710" s="10" t="str">
        <f>Github!E$1072</f>
        <v>Easy</v>
      </c>
      <c r="J710" s="10" t="str">
        <f>IF(TRIM(Github!D$1072)="TRUE","FALSE","TRUE")</f>
        <v>TRUE</v>
      </c>
      <c r="K710" s="10" t="b">
        <f>Github!M$1072</f>
        <v>0</v>
      </c>
      <c r="L710" s="10" t="b">
        <f>Github!N$1072</f>
        <v>0</v>
      </c>
      <c r="M710" s="10" t="str">
        <f>ROUND(Github!O$1072, 2)&amp;"%"</f>
        <v>51.45%</v>
      </c>
      <c r="N710" s="10">
        <f>Github!P$1072</f>
        <v>71675</v>
      </c>
      <c r="O710" s="10">
        <f>Github!Q$1072</f>
        <v>139305</v>
      </c>
    </row>
    <row r="711">
      <c r="A711" s="10">
        <f>Github!J$966</f>
        <v>965</v>
      </c>
      <c r="B711" s="11" t="str">
        <f>HYPERLINK(CONCAT("http://leetcode.com/problems/",Github!C$966), Github!B$966)</f>
        <v>Univalued Binary Tree</v>
      </c>
      <c r="C711" s="10">
        <f>Github!F$966</f>
        <v>1274</v>
      </c>
      <c r="D711" s="10">
        <f>Github!G$966</f>
        <v>56</v>
      </c>
      <c r="E711" s="10">
        <f>Github!F$966+Github!G$966</f>
        <v>1330</v>
      </c>
      <c r="F711" s="12">
        <f t="shared" si="1"/>
        <v>22.75</v>
      </c>
      <c r="G711" s="10" t="str">
        <f>Github!H$966</f>
        <v>Algorithms</v>
      </c>
      <c r="H711" s="13" t="str">
        <f>SUBSTITUTE(Github!L$966, ";", ", ")</f>
        <v>Tree, Depth-First Search, Breadth-First Search, Binary Tree, </v>
      </c>
      <c r="I711" s="10" t="str">
        <f>Github!E$966</f>
        <v>Easy</v>
      </c>
      <c r="J711" s="10" t="str">
        <f>IF(TRIM(Github!D$966)="TRUE","FALSE","TRUE")</f>
        <v>TRUE</v>
      </c>
      <c r="K711" s="10" t="b">
        <f>Github!M$966</f>
        <v>1</v>
      </c>
      <c r="L711" s="10" t="b">
        <f>Github!N$966</f>
        <v>0</v>
      </c>
      <c r="M711" s="10" t="str">
        <f>ROUND(Github!O$966, 2)&amp;"%"</f>
        <v>68.97%</v>
      </c>
      <c r="N711" s="10">
        <f>Github!P$966</f>
        <v>158207</v>
      </c>
      <c r="O711" s="10">
        <f>Github!Q$966</f>
        <v>229386</v>
      </c>
    </row>
    <row r="712">
      <c r="A712" s="10">
        <f>Github!J$829</f>
        <v>828</v>
      </c>
      <c r="B712" s="11" t="str">
        <f>HYPERLINK(CONCAT("http://leetcode.com/problems/",Github!C$829), Github!B$829)</f>
        <v>Count Unique Characters of All Substrings of a Given String</v>
      </c>
      <c r="C712" s="10">
        <f>Github!F$829</f>
        <v>1280</v>
      </c>
      <c r="D712" s="10">
        <f>Github!G$829</f>
        <v>177</v>
      </c>
      <c r="E712" s="10">
        <f>Github!F$829+Github!G$829</f>
        <v>1457</v>
      </c>
      <c r="F712" s="12">
        <f t="shared" si="1"/>
        <v>7.23</v>
      </c>
      <c r="G712" s="10" t="str">
        <f>Github!H$829</f>
        <v>Algorithms</v>
      </c>
      <c r="H712" s="13" t="str">
        <f>SUBSTITUTE(Github!L$829, ";", ", ")</f>
        <v>String, Dynamic Programming, </v>
      </c>
      <c r="I712" s="10" t="str">
        <f>Github!E$829</f>
        <v>Hard</v>
      </c>
      <c r="J712" s="10" t="str">
        <f>IF(TRIM(Github!D$829)="TRUE","FALSE","TRUE")</f>
        <v>TRUE</v>
      </c>
      <c r="K712" s="10" t="b">
        <f>Github!M$829</f>
        <v>0</v>
      </c>
      <c r="L712" s="10" t="b">
        <f>Github!N$829</f>
        <v>0</v>
      </c>
      <c r="M712" s="10" t="str">
        <f>ROUND(Github!O$829, 2)&amp;"%"</f>
        <v>49.82%</v>
      </c>
      <c r="N712" s="10">
        <f>Github!P$829</f>
        <v>40643</v>
      </c>
      <c r="O712" s="10">
        <f>Github!Q$829</f>
        <v>81587</v>
      </c>
    </row>
    <row r="713">
      <c r="A713" s="10">
        <f>Github!J$1674</f>
        <v>1673</v>
      </c>
      <c r="B713" s="11" t="str">
        <f>HYPERLINK(CONCAT("http://leetcode.com/problems/",Github!C$1674), Github!B$1674)</f>
        <v>Find the Most Competitive Subsequence</v>
      </c>
      <c r="C713" s="10">
        <f>Github!F$1674</f>
        <v>1269</v>
      </c>
      <c r="D713" s="10">
        <f>Github!G$1674</f>
        <v>61</v>
      </c>
      <c r="E713" s="10">
        <f>Github!F$1674+Github!G$1674</f>
        <v>1330</v>
      </c>
      <c r="F713" s="12">
        <f t="shared" si="1"/>
        <v>20.8</v>
      </c>
      <c r="G713" s="10" t="str">
        <f>Github!H$1674</f>
        <v>Algorithms</v>
      </c>
      <c r="H713" s="13" t="str">
        <f>SUBSTITUTE(Github!L$1674, ";", ", ")</f>
        <v>Array, Stack, Greedy, Monotonic Stack, </v>
      </c>
      <c r="I713" s="10" t="str">
        <f>Github!E$1674</f>
        <v>Medium</v>
      </c>
      <c r="J713" s="10" t="str">
        <f>IF(TRIM(Github!D$1674)="TRUE","FALSE","TRUE")</f>
        <v>TRUE</v>
      </c>
      <c r="K713" s="10" t="b">
        <f>Github!M$1674</f>
        <v>1</v>
      </c>
      <c r="L713" s="10" t="b">
        <f>Github!N$1674</f>
        <v>0</v>
      </c>
      <c r="M713" s="10" t="str">
        <f>ROUND(Github!O$1674, 2)&amp;"%"</f>
        <v>48.4%</v>
      </c>
      <c r="N713" s="10">
        <f>Github!P$1674</f>
        <v>42103</v>
      </c>
      <c r="O713" s="10">
        <f>Github!Q$1674</f>
        <v>86984</v>
      </c>
    </row>
    <row r="714">
      <c r="A714" s="10">
        <f>Github!J$371</f>
        <v>370</v>
      </c>
      <c r="B714" s="11" t="str">
        <f>HYPERLINK(CONCAT("http://leetcode.com/problems/",Github!C$371), Github!B$371)</f>
        <v>Range Addition</v>
      </c>
      <c r="C714" s="10">
        <f>Github!F$371</f>
        <v>1270</v>
      </c>
      <c r="D714" s="10">
        <f>Github!G$371</f>
        <v>65</v>
      </c>
      <c r="E714" s="10">
        <f>Github!F$371+Github!G$371</f>
        <v>1335</v>
      </c>
      <c r="F714" s="12">
        <f t="shared" si="1"/>
        <v>19.54</v>
      </c>
      <c r="G714" s="10" t="str">
        <f>Github!H$371</f>
        <v>Algorithms</v>
      </c>
      <c r="H714" s="13" t="str">
        <f>SUBSTITUTE(Github!L$371, ";", ", ")</f>
        <v>Array, Prefix Sum, </v>
      </c>
      <c r="I714" s="10" t="str">
        <f>Github!E$371</f>
        <v>Medium</v>
      </c>
      <c r="J714" s="10" t="str">
        <f>IF(TRIM(Github!D$371)="TRUE","FALSE","TRUE")</f>
        <v>FALSE</v>
      </c>
      <c r="K714" s="10" t="b">
        <f>Github!M$371</f>
        <v>1</v>
      </c>
      <c r="L714" s="10" t="b">
        <f>Github!N$371</f>
        <v>0</v>
      </c>
      <c r="M714" s="10" t="str">
        <f>ROUND(Github!O$371, 2)&amp;"%"</f>
        <v>69.5%</v>
      </c>
      <c r="N714" s="10">
        <f>Github!P$371</f>
        <v>68180</v>
      </c>
      <c r="O714" s="10">
        <f>Github!Q$371</f>
        <v>98107</v>
      </c>
    </row>
    <row r="715">
      <c r="A715" s="10">
        <f>Github!J$347</f>
        <v>346</v>
      </c>
      <c r="B715" s="11" t="str">
        <f>HYPERLINK(CONCAT("http://leetcode.com/problems/",Github!C$347), Github!B$347)</f>
        <v>Moving Average from Data Stream</v>
      </c>
      <c r="C715" s="10">
        <f>Github!F$347</f>
        <v>1264</v>
      </c>
      <c r="D715" s="10">
        <f>Github!G$347</f>
        <v>118</v>
      </c>
      <c r="E715" s="10">
        <f>Github!F$347+Github!G$347</f>
        <v>1382</v>
      </c>
      <c r="F715" s="12">
        <f t="shared" si="1"/>
        <v>10.71</v>
      </c>
      <c r="G715" s="10" t="str">
        <f>Github!H$347</f>
        <v>Algorithms</v>
      </c>
      <c r="H715" s="13" t="str">
        <f>SUBSTITUTE(Github!L$347, ";", ", ")</f>
        <v>Array, Design, Queue, Data Stream, </v>
      </c>
      <c r="I715" s="10" t="str">
        <f>Github!E$347</f>
        <v>Easy</v>
      </c>
      <c r="J715" s="10" t="str">
        <f>IF(TRIM(Github!D$347)="TRUE","FALSE","TRUE")</f>
        <v>FALSE</v>
      </c>
      <c r="K715" s="10" t="b">
        <f>Github!M$347</f>
        <v>1</v>
      </c>
      <c r="L715" s="10" t="b">
        <f>Github!N$347</f>
        <v>0</v>
      </c>
      <c r="M715" s="10" t="str">
        <f>ROUND(Github!O$347, 2)&amp;"%"</f>
        <v>76.31%</v>
      </c>
      <c r="N715" s="10">
        <f>Github!P$347</f>
        <v>257078</v>
      </c>
      <c r="O715" s="10">
        <f>Github!Q$347</f>
        <v>336862</v>
      </c>
    </row>
    <row r="716">
      <c r="A716" s="10">
        <f>Github!J$1473</f>
        <v>1472</v>
      </c>
      <c r="B716" s="11" t="str">
        <f>HYPERLINK(CONCAT("http://leetcode.com/problems/",Github!C$1473), Github!B$1473)</f>
        <v>Design Browser History</v>
      </c>
      <c r="C716" s="10">
        <f>Github!F$1473</f>
        <v>1265</v>
      </c>
      <c r="D716" s="10">
        <f>Github!G$1473</f>
        <v>102</v>
      </c>
      <c r="E716" s="10">
        <f>Github!F$1473+Github!G$1473</f>
        <v>1367</v>
      </c>
      <c r="F716" s="12">
        <f t="shared" si="1"/>
        <v>12.4</v>
      </c>
      <c r="G716" s="10" t="str">
        <f>Github!H$1473</f>
        <v>Algorithms</v>
      </c>
      <c r="H716" s="13" t="str">
        <f>SUBSTITUTE(Github!L$1473, ";", ", ")</f>
        <v>Array, Linked List, Stack, Design, Doubly-Linked List, Data Stream, </v>
      </c>
      <c r="I716" s="10" t="str">
        <f>Github!E$1473</f>
        <v>Medium</v>
      </c>
      <c r="J716" s="10" t="str">
        <f>IF(TRIM(Github!D$1473)="TRUE","FALSE","TRUE")</f>
        <v>TRUE</v>
      </c>
      <c r="K716" s="10" t="b">
        <f>Github!M$1473</f>
        <v>0</v>
      </c>
      <c r="L716" s="10" t="b">
        <f>Github!N$1473</f>
        <v>0</v>
      </c>
      <c r="M716" s="10" t="str">
        <f>ROUND(Github!O$1473, 2)&amp;"%"</f>
        <v>74.93%</v>
      </c>
      <c r="N716" s="10">
        <f>Github!P$1473</f>
        <v>74858</v>
      </c>
      <c r="O716" s="10">
        <f>Github!Q$1473</f>
        <v>99909</v>
      </c>
    </row>
    <row r="717">
      <c r="A717" s="10">
        <f>Github!J$624</f>
        <v>623</v>
      </c>
      <c r="B717" s="11" t="str">
        <f>HYPERLINK(CONCAT("http://leetcode.com/problems/",Github!C$624), Github!B$624)</f>
        <v>Add One Row to Tree</v>
      </c>
      <c r="C717" s="10">
        <f>Github!F$624</f>
        <v>1258</v>
      </c>
      <c r="D717" s="10">
        <f>Github!G$624</f>
        <v>171</v>
      </c>
      <c r="E717" s="10">
        <f>Github!F$624+Github!G$624</f>
        <v>1429</v>
      </c>
      <c r="F717" s="12">
        <f t="shared" si="1"/>
        <v>7.36</v>
      </c>
      <c r="G717" s="10" t="str">
        <f>Github!H$624</f>
        <v>Algorithms</v>
      </c>
      <c r="H717" s="13" t="str">
        <f>SUBSTITUTE(Github!L$624, ";", ", ")</f>
        <v>Tree, Depth-First Search, Breadth-First Search, Binary Tree, </v>
      </c>
      <c r="I717" s="10" t="str">
        <f>Github!E$624</f>
        <v>Medium</v>
      </c>
      <c r="J717" s="10" t="str">
        <f>IF(TRIM(Github!D$624)="TRUE","FALSE","TRUE")</f>
        <v>TRUE</v>
      </c>
      <c r="K717" s="10" t="b">
        <f>Github!M$624</f>
        <v>1</v>
      </c>
      <c r="L717" s="10" t="b">
        <f>Github!N$624</f>
        <v>0</v>
      </c>
      <c r="M717" s="10" t="str">
        <f>ROUND(Github!O$624, 2)&amp;"%"</f>
        <v>53.93%</v>
      </c>
      <c r="N717" s="10">
        <f>Github!P$624</f>
        <v>82847</v>
      </c>
      <c r="O717" s="10">
        <f>Github!Q$624</f>
        <v>153628</v>
      </c>
    </row>
    <row r="718">
      <c r="A718" s="10">
        <f>Github!J$889</f>
        <v>888</v>
      </c>
      <c r="B718" s="11" t="str">
        <f>HYPERLINK(CONCAT("http://leetcode.com/problems/",Github!C$889), Github!B$889)</f>
        <v>Fair Candy Swap</v>
      </c>
      <c r="C718" s="10">
        <f>Github!F$889</f>
        <v>1261</v>
      </c>
      <c r="D718" s="10">
        <f>Github!G$889</f>
        <v>231</v>
      </c>
      <c r="E718" s="10">
        <f>Github!F$889+Github!G$889</f>
        <v>1492</v>
      </c>
      <c r="F718" s="12">
        <f t="shared" si="1"/>
        <v>5.46</v>
      </c>
      <c r="G718" s="10" t="str">
        <f>Github!H$889</f>
        <v>Algorithms</v>
      </c>
      <c r="H718" s="13" t="str">
        <f>SUBSTITUTE(Github!L$889, ";", ", ")</f>
        <v>Array, Hash Table, Binary Search, Sorting, </v>
      </c>
      <c r="I718" s="10" t="str">
        <f>Github!E$889</f>
        <v>Easy</v>
      </c>
      <c r="J718" s="10" t="str">
        <f>IF(TRIM(Github!D$889)="TRUE","FALSE","TRUE")</f>
        <v>TRUE</v>
      </c>
      <c r="K718" s="10" t="b">
        <f>Github!M$889</f>
        <v>1</v>
      </c>
      <c r="L718" s="10" t="b">
        <f>Github!N$889</f>
        <v>0</v>
      </c>
      <c r="M718" s="10" t="str">
        <f>ROUND(Github!O$889, 2)&amp;"%"</f>
        <v>60.4%</v>
      </c>
      <c r="N718" s="10">
        <f>Github!P$889</f>
        <v>81121</v>
      </c>
      <c r="O718" s="10">
        <f>Github!Q$889</f>
        <v>134319</v>
      </c>
    </row>
    <row r="719">
      <c r="A719" s="10">
        <f>Github!J$1511</f>
        <v>1510</v>
      </c>
      <c r="B719" s="11" t="str">
        <f>HYPERLINK(CONCAT("http://leetcode.com/problems/",Github!C$1511), Github!B$1511)</f>
        <v>Stone Game IV</v>
      </c>
      <c r="C719" s="10">
        <f>Github!F$1511</f>
        <v>1250</v>
      </c>
      <c r="D719" s="10">
        <f>Github!G$1511</f>
        <v>55</v>
      </c>
      <c r="E719" s="10">
        <f>Github!F$1511+Github!G$1511</f>
        <v>1305</v>
      </c>
      <c r="F719" s="12">
        <f t="shared" si="1"/>
        <v>22.73</v>
      </c>
      <c r="G719" s="10" t="str">
        <f>Github!H$1511</f>
        <v>Algorithms</v>
      </c>
      <c r="H719" s="13" t="str">
        <f>SUBSTITUTE(Github!L$1511, ";", ", ")</f>
        <v>Math, Dynamic Programming, Game Theory, </v>
      </c>
      <c r="I719" s="10" t="str">
        <f>Github!E$1511</f>
        <v>Hard</v>
      </c>
      <c r="J719" s="10" t="str">
        <f>IF(TRIM(Github!D$1511)="TRUE","FALSE","TRUE")</f>
        <v>TRUE</v>
      </c>
      <c r="K719" s="10" t="b">
        <f>Github!M$1511</f>
        <v>1</v>
      </c>
      <c r="L719" s="10" t="b">
        <f>Github!N$1511</f>
        <v>0</v>
      </c>
      <c r="M719" s="10" t="str">
        <f>ROUND(Github!O$1511, 2)&amp;"%"</f>
        <v>60.8%</v>
      </c>
      <c r="N719" s="10">
        <f>Github!P$1511</f>
        <v>58327</v>
      </c>
      <c r="O719" s="10">
        <f>Github!Q$1511</f>
        <v>95932</v>
      </c>
    </row>
    <row r="720">
      <c r="A720" s="10">
        <f>Github!J$820</f>
        <v>819</v>
      </c>
      <c r="B720" s="11" t="str">
        <f>HYPERLINK(CONCAT("http://leetcode.com/problems/",Github!C$820), Github!B$820)</f>
        <v>Most Common Word</v>
      </c>
      <c r="C720" s="10">
        <f>Github!F$820</f>
        <v>1253</v>
      </c>
      <c r="D720" s="10">
        <f>Github!G$820</f>
        <v>2558</v>
      </c>
      <c r="E720" s="10">
        <f>Github!F$820+Github!G$820</f>
        <v>3811</v>
      </c>
      <c r="F720" s="12">
        <f t="shared" si="1"/>
        <v>0.49</v>
      </c>
      <c r="G720" s="10" t="str">
        <f>Github!H$820</f>
        <v>Algorithms</v>
      </c>
      <c r="H720" s="13" t="str">
        <f>SUBSTITUTE(Github!L$820, ";", ", ")</f>
        <v>Hash Table, String, Counting, </v>
      </c>
      <c r="I720" s="10" t="str">
        <f>Github!E$820</f>
        <v>Easy</v>
      </c>
      <c r="J720" s="10" t="str">
        <f>IF(TRIM(Github!D$820)="TRUE","FALSE","TRUE")</f>
        <v>TRUE</v>
      </c>
      <c r="K720" s="10" t="b">
        <f>Github!M$820</f>
        <v>1</v>
      </c>
      <c r="L720" s="10" t="b">
        <f>Github!N$820</f>
        <v>0</v>
      </c>
      <c r="M720" s="10" t="str">
        <f>ROUND(Github!O$820, 2)&amp;"%"</f>
        <v>45.23%</v>
      </c>
      <c r="N720" s="10">
        <f>Github!P$820</f>
        <v>285272</v>
      </c>
      <c r="O720" s="10">
        <f>Github!Q$820</f>
        <v>630667</v>
      </c>
    </row>
    <row r="721">
      <c r="A721" s="10">
        <f>Github!J$1022</f>
        <v>1021</v>
      </c>
      <c r="B721" s="11" t="str">
        <f>HYPERLINK(CONCAT("http://leetcode.com/problems/",Github!C$1022), Github!B$1022)</f>
        <v>Remove Outermost Parentheses</v>
      </c>
      <c r="C721" s="10">
        <f>Github!F$1022</f>
        <v>1251</v>
      </c>
      <c r="D721" s="10">
        <f>Github!G$1022</f>
        <v>1170</v>
      </c>
      <c r="E721" s="10">
        <f>Github!F$1022+Github!G$1022</f>
        <v>2421</v>
      </c>
      <c r="F721" s="12">
        <f t="shared" si="1"/>
        <v>1.07</v>
      </c>
      <c r="G721" s="10" t="str">
        <f>Github!H$1022</f>
        <v>Algorithms</v>
      </c>
      <c r="H721" s="13" t="str">
        <f>SUBSTITUTE(Github!L$1022, ";", ", ")</f>
        <v>String, Stack, </v>
      </c>
      <c r="I721" s="10" t="str">
        <f>Github!E$1022</f>
        <v>Easy</v>
      </c>
      <c r="J721" s="10" t="str">
        <f>IF(TRIM(Github!D$1022)="TRUE","FALSE","TRUE")</f>
        <v>TRUE</v>
      </c>
      <c r="K721" s="10" t="b">
        <f>Github!M$1022</f>
        <v>0</v>
      </c>
      <c r="L721" s="10" t="b">
        <f>Github!N$1022</f>
        <v>0</v>
      </c>
      <c r="M721" s="10" t="str">
        <f>ROUND(Github!O$1022, 2)&amp;"%"</f>
        <v>79.82%</v>
      </c>
      <c r="N721" s="10">
        <f>Github!P$1022</f>
        <v>170392</v>
      </c>
      <c r="O721" s="10">
        <f>Github!Q$1022</f>
        <v>213472</v>
      </c>
    </row>
    <row r="722">
      <c r="A722" s="10">
        <f>Github!J$277</f>
        <v>276</v>
      </c>
      <c r="B722" s="11" t="str">
        <f>HYPERLINK(CONCAT("http://leetcode.com/problems/",Github!C$277), Github!B$277)</f>
        <v>Paint Fence</v>
      </c>
      <c r="C722" s="10">
        <f>Github!F$277</f>
        <v>1244</v>
      </c>
      <c r="D722" s="10">
        <f>Github!G$277</f>
        <v>356</v>
      </c>
      <c r="E722" s="10">
        <f>Github!F$277+Github!G$277</f>
        <v>1600</v>
      </c>
      <c r="F722" s="12">
        <f t="shared" si="1"/>
        <v>3.49</v>
      </c>
      <c r="G722" s="10" t="str">
        <f>Github!H$277</f>
        <v>Algorithms</v>
      </c>
      <c r="H722" s="13" t="str">
        <f>SUBSTITUTE(Github!L$277, ";", ", ")</f>
        <v>Dynamic Programming, </v>
      </c>
      <c r="I722" s="10" t="str">
        <f>Github!E$277</f>
        <v>Medium</v>
      </c>
      <c r="J722" s="10" t="str">
        <f>IF(TRIM(Github!D$277)="TRUE","FALSE","TRUE")</f>
        <v>FALSE</v>
      </c>
      <c r="K722" s="10" t="b">
        <f>Github!M$277</f>
        <v>1</v>
      </c>
      <c r="L722" s="10" t="b">
        <f>Github!N$277</f>
        <v>0</v>
      </c>
      <c r="M722" s="10" t="str">
        <f>ROUND(Github!O$277, 2)&amp;"%"</f>
        <v>42.85%</v>
      </c>
      <c r="N722" s="10">
        <f>Github!P$277</f>
        <v>84803</v>
      </c>
      <c r="O722" s="10">
        <f>Github!Q$277</f>
        <v>197920</v>
      </c>
    </row>
    <row r="723">
      <c r="A723" s="10">
        <f>Github!J$953</f>
        <v>952</v>
      </c>
      <c r="B723" s="11" t="str">
        <f>HYPERLINK(CONCAT("http://leetcode.com/problems/",Github!C$953), Github!B$953)</f>
        <v>Largest Component Size by Common Factor</v>
      </c>
      <c r="C723" s="10">
        <f>Github!F$953</f>
        <v>1242</v>
      </c>
      <c r="D723" s="10">
        <f>Github!G$953</f>
        <v>86</v>
      </c>
      <c r="E723" s="10">
        <f>Github!F$953+Github!G$953</f>
        <v>1328</v>
      </c>
      <c r="F723" s="12">
        <f t="shared" si="1"/>
        <v>14.44</v>
      </c>
      <c r="G723" s="10" t="str">
        <f>Github!H$953</f>
        <v>Algorithms</v>
      </c>
      <c r="H723" s="13" t="str">
        <f>SUBSTITUTE(Github!L$953, ";", ", ")</f>
        <v>Array, Math, Union Find, </v>
      </c>
      <c r="I723" s="10" t="str">
        <f>Github!E$953</f>
        <v>Hard</v>
      </c>
      <c r="J723" s="10" t="str">
        <f>IF(TRIM(Github!D$953)="TRUE","FALSE","TRUE")</f>
        <v>TRUE</v>
      </c>
      <c r="K723" s="10" t="b">
        <f>Github!M$953</f>
        <v>1</v>
      </c>
      <c r="L723" s="10" t="b">
        <f>Github!N$953</f>
        <v>0</v>
      </c>
      <c r="M723" s="10" t="str">
        <f>ROUND(Github!O$953, 2)&amp;"%"</f>
        <v>40.23%</v>
      </c>
      <c r="N723" s="10">
        <f>Github!P$953</f>
        <v>43895</v>
      </c>
      <c r="O723" s="10">
        <f>Github!Q$953</f>
        <v>109119</v>
      </c>
    </row>
    <row r="724">
      <c r="A724" s="10">
        <f>Github!J$1106</f>
        <v>1105</v>
      </c>
      <c r="B724" s="11" t="str">
        <f>HYPERLINK(CONCAT("http://leetcode.com/problems/",Github!C$1106), Github!B$1106)</f>
        <v>Filling Bookcase Shelves</v>
      </c>
      <c r="C724" s="10">
        <f>Github!F$1106</f>
        <v>1243</v>
      </c>
      <c r="D724" s="10">
        <f>Github!G$1106</f>
        <v>75</v>
      </c>
      <c r="E724" s="10">
        <f>Github!F$1106+Github!G$1106</f>
        <v>1318</v>
      </c>
      <c r="F724" s="12">
        <f t="shared" si="1"/>
        <v>16.57</v>
      </c>
      <c r="G724" s="10" t="str">
        <f>Github!H$1106</f>
        <v>Algorithms</v>
      </c>
      <c r="H724" s="13" t="str">
        <f>SUBSTITUTE(Github!L$1106, ";", ", ")</f>
        <v>Array, Dynamic Programming, </v>
      </c>
      <c r="I724" s="10" t="str">
        <f>Github!E$1106</f>
        <v>Medium</v>
      </c>
      <c r="J724" s="10" t="str">
        <f>IF(TRIM(Github!D$1106)="TRUE","FALSE","TRUE")</f>
        <v>TRUE</v>
      </c>
      <c r="K724" s="10" t="b">
        <f>Github!M$1106</f>
        <v>0</v>
      </c>
      <c r="L724" s="10" t="b">
        <f>Github!N$1106</f>
        <v>0</v>
      </c>
      <c r="M724" s="10" t="str">
        <f>ROUND(Github!O$1106, 2)&amp;"%"</f>
        <v>58.13%</v>
      </c>
      <c r="N724" s="10">
        <f>Github!P$1106</f>
        <v>32803</v>
      </c>
      <c r="O724" s="10">
        <f>Github!Q$1106</f>
        <v>56430</v>
      </c>
    </row>
    <row r="725">
      <c r="A725" s="10">
        <f>Github!J$915</f>
        <v>914</v>
      </c>
      <c r="B725" s="11" t="str">
        <f>HYPERLINK(CONCAT("http://leetcode.com/problems/",Github!C$915), Github!B$915)</f>
        <v>X of a Kind in a Deck of Cards</v>
      </c>
      <c r="C725" s="10">
        <f>Github!F$915</f>
        <v>1241</v>
      </c>
      <c r="D725" s="10">
        <f>Github!G$915</f>
        <v>305</v>
      </c>
      <c r="E725" s="10">
        <f>Github!F$915+Github!G$915</f>
        <v>1546</v>
      </c>
      <c r="F725" s="12">
        <f t="shared" si="1"/>
        <v>4.07</v>
      </c>
      <c r="G725" s="10" t="str">
        <f>Github!H$915</f>
        <v>Algorithms</v>
      </c>
      <c r="H725" s="13" t="str">
        <f>SUBSTITUTE(Github!L$915, ";", ", ")</f>
        <v>Array, Hash Table, Math, Counting, Number Theory, </v>
      </c>
      <c r="I725" s="10" t="str">
        <f>Github!E$915</f>
        <v>Easy</v>
      </c>
      <c r="J725" s="10" t="str">
        <f>IF(TRIM(Github!D$915)="TRUE","FALSE","TRUE")</f>
        <v>TRUE</v>
      </c>
      <c r="K725" s="10" t="b">
        <f>Github!M$915</f>
        <v>1</v>
      </c>
      <c r="L725" s="10" t="b">
        <f>Github!N$915</f>
        <v>0</v>
      </c>
      <c r="M725" s="10" t="str">
        <f>ROUND(Github!O$915, 2)&amp;"%"</f>
        <v>32.96%</v>
      </c>
      <c r="N725" s="10">
        <f>Github!P$915</f>
        <v>85253</v>
      </c>
      <c r="O725" s="10">
        <f>Github!Q$915</f>
        <v>258661</v>
      </c>
    </row>
    <row r="726">
      <c r="A726" s="10">
        <f>Github!J$1339</f>
        <v>1338</v>
      </c>
      <c r="B726" s="11" t="str">
        <f>HYPERLINK(CONCAT("http://leetcode.com/problems/",Github!C$1339), Github!B$1339)</f>
        <v>Reduce Array Size to The Half</v>
      </c>
      <c r="C726" s="10">
        <f>Github!F$1339</f>
        <v>1242</v>
      </c>
      <c r="D726" s="10">
        <f>Github!G$1339</f>
        <v>84</v>
      </c>
      <c r="E726" s="10">
        <f>Github!F$1339+Github!G$1339</f>
        <v>1326</v>
      </c>
      <c r="F726" s="12">
        <f t="shared" si="1"/>
        <v>14.79</v>
      </c>
      <c r="G726" s="10" t="str">
        <f>Github!H$1339</f>
        <v>Algorithms</v>
      </c>
      <c r="H726" s="13" t="str">
        <f>SUBSTITUTE(Github!L$1339, ";", ", ")</f>
        <v>Array, Hash Table, Greedy, Sorting, Heap (Priority Queue), </v>
      </c>
      <c r="I726" s="10" t="str">
        <f>Github!E$1339</f>
        <v>Medium</v>
      </c>
      <c r="J726" s="10" t="str">
        <f>IF(TRIM(Github!D$1339)="TRUE","FALSE","TRUE")</f>
        <v>TRUE</v>
      </c>
      <c r="K726" s="10" t="b">
        <f>Github!M$1339</f>
        <v>1</v>
      </c>
      <c r="L726" s="10" t="b">
        <f>Github!N$1339</f>
        <v>0</v>
      </c>
      <c r="M726" s="10" t="str">
        <f>ROUND(Github!O$1339, 2)&amp;"%"</f>
        <v>68.39%</v>
      </c>
      <c r="N726" s="10">
        <f>Github!P$1339</f>
        <v>83823</v>
      </c>
      <c r="O726" s="10">
        <f>Github!Q$1339</f>
        <v>122573</v>
      </c>
    </row>
    <row r="727">
      <c r="A727" s="10">
        <f>Github!J$260</f>
        <v>259</v>
      </c>
      <c r="B727" s="11" t="str">
        <f>HYPERLINK(CONCAT("http://leetcode.com/problems/",Github!C$260), Github!B$260)</f>
        <v>3Sum Smaller</v>
      </c>
      <c r="C727" s="10">
        <f>Github!F$260</f>
        <v>1243</v>
      </c>
      <c r="D727" s="10">
        <f>Github!G$260</f>
        <v>124</v>
      </c>
      <c r="E727" s="10">
        <f>Github!F$260+Github!G$260</f>
        <v>1367</v>
      </c>
      <c r="F727" s="12">
        <f t="shared" si="1"/>
        <v>10.02</v>
      </c>
      <c r="G727" s="10" t="str">
        <f>Github!H$260</f>
        <v>Algorithms</v>
      </c>
      <c r="H727" s="13" t="str">
        <f>SUBSTITUTE(Github!L$260, ";", ", ")</f>
        <v>Array, Two Pointers, Binary Search, Sorting, </v>
      </c>
      <c r="I727" s="10" t="str">
        <f>Github!E$260</f>
        <v>Medium</v>
      </c>
      <c r="J727" s="10" t="str">
        <f>IF(TRIM(Github!D$260)="TRUE","FALSE","TRUE")</f>
        <v>FALSE</v>
      </c>
      <c r="K727" s="10" t="b">
        <f>Github!M$260</f>
        <v>1</v>
      </c>
      <c r="L727" s="10" t="b">
        <f>Github!N$260</f>
        <v>0</v>
      </c>
      <c r="M727" s="10" t="str">
        <f>ROUND(Github!O$260, 2)&amp;"%"</f>
        <v>50.33%</v>
      </c>
      <c r="N727" s="10">
        <f>Github!P$260</f>
        <v>115070</v>
      </c>
      <c r="O727" s="10">
        <f>Github!Q$260</f>
        <v>228633</v>
      </c>
    </row>
    <row r="728">
      <c r="A728" s="10">
        <f>Github!J$1296</f>
        <v>1295</v>
      </c>
      <c r="B728" s="11" t="str">
        <f>HYPERLINK(CONCAT("http://leetcode.com/problems/",Github!C$1296), Github!B$1296)</f>
        <v>Find Numbers with Even Number of Digits</v>
      </c>
      <c r="C728" s="10">
        <f>Github!F$1296</f>
        <v>1244</v>
      </c>
      <c r="D728" s="10">
        <f>Github!G$1296</f>
        <v>98</v>
      </c>
      <c r="E728" s="10">
        <f>Github!F$1296+Github!G$1296</f>
        <v>1342</v>
      </c>
      <c r="F728" s="12">
        <f t="shared" si="1"/>
        <v>12.69</v>
      </c>
      <c r="G728" s="10" t="str">
        <f>Github!H$1296</f>
        <v>Algorithms</v>
      </c>
      <c r="H728" s="13" t="str">
        <f>SUBSTITUTE(Github!L$1296, ";", ", ")</f>
        <v>Array, </v>
      </c>
      <c r="I728" s="10" t="str">
        <f>Github!E$1296</f>
        <v>Easy</v>
      </c>
      <c r="J728" s="10" t="str">
        <f>IF(TRIM(Github!D$1296)="TRUE","FALSE","TRUE")</f>
        <v>TRUE</v>
      </c>
      <c r="K728" s="10" t="b">
        <f>Github!M$1296</f>
        <v>0</v>
      </c>
      <c r="L728" s="10" t="b">
        <f>Github!N$1296</f>
        <v>0</v>
      </c>
      <c r="M728" s="10" t="str">
        <f>ROUND(Github!O$1296, 2)&amp;"%"</f>
        <v>77.11%</v>
      </c>
      <c r="N728" s="10">
        <f>Github!P$1296</f>
        <v>425405</v>
      </c>
      <c r="O728" s="10">
        <f>Github!Q$1296</f>
        <v>551666</v>
      </c>
    </row>
    <row r="729">
      <c r="A729" s="10">
        <f>Github!J$1187</f>
        <v>1186</v>
      </c>
      <c r="B729" s="11" t="str">
        <f>HYPERLINK(CONCAT("http://leetcode.com/problems/",Github!C$1187), Github!B$1187)</f>
        <v>Maximum Subarray Sum with One Deletion</v>
      </c>
      <c r="C729" s="10">
        <f>Github!F$1187</f>
        <v>1232</v>
      </c>
      <c r="D729" s="10">
        <f>Github!G$1187</f>
        <v>43</v>
      </c>
      <c r="E729" s="10">
        <f>Github!F$1187+Github!G$1187</f>
        <v>1275</v>
      </c>
      <c r="F729" s="12">
        <f t="shared" si="1"/>
        <v>28.65</v>
      </c>
      <c r="G729" s="10" t="str">
        <f>Github!H$1187</f>
        <v>Algorithms</v>
      </c>
      <c r="H729" s="13" t="str">
        <f>SUBSTITUTE(Github!L$1187, ";", ", ")</f>
        <v>Array, Dynamic Programming, </v>
      </c>
      <c r="I729" s="10" t="str">
        <f>Github!E$1187</f>
        <v>Medium</v>
      </c>
      <c r="J729" s="10" t="str">
        <f>IF(TRIM(Github!D$1187)="TRUE","FALSE","TRUE")</f>
        <v>TRUE</v>
      </c>
      <c r="K729" s="10" t="b">
        <f>Github!M$1187</f>
        <v>0</v>
      </c>
      <c r="L729" s="10" t="b">
        <f>Github!N$1187</f>
        <v>0</v>
      </c>
      <c r="M729" s="10" t="str">
        <f>ROUND(Github!O$1187, 2)&amp;"%"</f>
        <v>40.61%</v>
      </c>
      <c r="N729" s="10">
        <f>Github!P$1187</f>
        <v>31677</v>
      </c>
      <c r="O729" s="10">
        <f>Github!Q$1187</f>
        <v>78011</v>
      </c>
    </row>
    <row r="730">
      <c r="A730" s="10">
        <f>Github!J$1340</f>
        <v>1339</v>
      </c>
      <c r="B730" s="11" t="str">
        <f>HYPERLINK(CONCAT("http://leetcode.com/problems/",Github!C$1340), Github!B$1340)</f>
        <v>Maximum Product of Splitted Binary Tree</v>
      </c>
      <c r="C730" s="10">
        <f>Github!F$1340</f>
        <v>1232</v>
      </c>
      <c r="D730" s="10">
        <f>Github!G$1340</f>
        <v>55</v>
      </c>
      <c r="E730" s="10">
        <f>Github!F$1340+Github!G$1340</f>
        <v>1287</v>
      </c>
      <c r="F730" s="12">
        <f t="shared" si="1"/>
        <v>22.4</v>
      </c>
      <c r="G730" s="10" t="str">
        <f>Github!H$1340</f>
        <v>Algorithms</v>
      </c>
      <c r="H730" s="13" t="str">
        <f>SUBSTITUTE(Github!L$1340, ";", ", ")</f>
        <v>Tree, Depth-First Search, Binary Tree, </v>
      </c>
      <c r="I730" s="10" t="str">
        <f>Github!E$1340</f>
        <v>Medium</v>
      </c>
      <c r="J730" s="10" t="str">
        <f>IF(TRIM(Github!D$1340)="TRUE","FALSE","TRUE")</f>
        <v>TRUE</v>
      </c>
      <c r="K730" s="10" t="b">
        <f>Github!M$1340</f>
        <v>1</v>
      </c>
      <c r="L730" s="10" t="b">
        <f>Github!N$1340</f>
        <v>0</v>
      </c>
      <c r="M730" s="10" t="str">
        <f>ROUND(Github!O$1340, 2)&amp;"%"</f>
        <v>42.96%</v>
      </c>
      <c r="N730" s="10">
        <f>Github!P$1340</f>
        <v>56429</v>
      </c>
      <c r="O730" s="10">
        <f>Github!Q$1340</f>
        <v>131351</v>
      </c>
    </row>
    <row r="731">
      <c r="A731" s="10">
        <f>Github!J$958</f>
        <v>957</v>
      </c>
      <c r="B731" s="11" t="str">
        <f>HYPERLINK(CONCAT("http://leetcode.com/problems/",Github!C$958), Github!B$958)</f>
        <v>Prison Cells After N Days</v>
      </c>
      <c r="C731" s="10">
        <f>Github!F$958</f>
        <v>1227</v>
      </c>
      <c r="D731" s="10">
        <f>Github!G$958</f>
        <v>1518</v>
      </c>
      <c r="E731" s="10">
        <f>Github!F$958+Github!G$958</f>
        <v>2745</v>
      </c>
      <c r="F731" s="12">
        <f t="shared" si="1"/>
        <v>0.81</v>
      </c>
      <c r="G731" s="10" t="str">
        <f>Github!H$958</f>
        <v>Algorithms</v>
      </c>
      <c r="H731" s="13" t="str">
        <f>SUBSTITUTE(Github!L$958, ";", ", ")</f>
        <v>Array, Hash Table, Math, Bit Manipulation, </v>
      </c>
      <c r="I731" s="10" t="str">
        <f>Github!E$958</f>
        <v>Medium</v>
      </c>
      <c r="J731" s="10" t="str">
        <f>IF(TRIM(Github!D$958)="TRUE","FALSE","TRUE")</f>
        <v>TRUE</v>
      </c>
      <c r="K731" s="10" t="b">
        <f>Github!M$958</f>
        <v>1</v>
      </c>
      <c r="L731" s="10" t="b">
        <f>Github!N$958</f>
        <v>0</v>
      </c>
      <c r="M731" s="10" t="str">
        <f>ROUND(Github!O$958, 2)&amp;"%"</f>
        <v>39.38%</v>
      </c>
      <c r="N731" s="10">
        <f>Github!P$958</f>
        <v>140757</v>
      </c>
      <c r="O731" s="10">
        <f>Github!Q$958</f>
        <v>357457</v>
      </c>
    </row>
    <row r="732">
      <c r="A732" s="10">
        <f>Github!J$672</f>
        <v>671</v>
      </c>
      <c r="B732" s="11" t="str">
        <f>HYPERLINK(CONCAT("http://leetcode.com/problems/",Github!C$672), Github!B$672)</f>
        <v>Second Minimum Node In a Binary Tree</v>
      </c>
      <c r="C732" s="10">
        <f>Github!F$672</f>
        <v>1237</v>
      </c>
      <c r="D732" s="10">
        <f>Github!G$672</f>
        <v>1485</v>
      </c>
      <c r="E732" s="10">
        <f>Github!F$672+Github!G$672</f>
        <v>2722</v>
      </c>
      <c r="F732" s="12">
        <f t="shared" si="1"/>
        <v>0.83</v>
      </c>
      <c r="G732" s="10" t="str">
        <f>Github!H$672</f>
        <v>Algorithms</v>
      </c>
      <c r="H732" s="13" t="str">
        <f>SUBSTITUTE(Github!L$672, ";", ", ")</f>
        <v>Tree, Depth-First Search, Binary Tree, </v>
      </c>
      <c r="I732" s="10" t="str">
        <f>Github!E$672</f>
        <v>Easy</v>
      </c>
      <c r="J732" s="10" t="str">
        <f>IF(TRIM(Github!D$672)="TRUE","FALSE","TRUE")</f>
        <v>TRUE</v>
      </c>
      <c r="K732" s="10" t="b">
        <f>Github!M$672</f>
        <v>1</v>
      </c>
      <c r="L732" s="10" t="b">
        <f>Github!N$672</f>
        <v>0</v>
      </c>
      <c r="M732" s="10" t="str">
        <f>ROUND(Github!O$672, 2)&amp;"%"</f>
        <v>43.68%</v>
      </c>
      <c r="N732" s="10">
        <f>Github!P$672</f>
        <v>139551</v>
      </c>
      <c r="O732" s="10">
        <f>Github!Q$672</f>
        <v>319499</v>
      </c>
    </row>
    <row r="733">
      <c r="A733" s="10">
        <f>Github!J$728</f>
        <v>727</v>
      </c>
      <c r="B733" s="11" t="str">
        <f>HYPERLINK(CONCAT("http://leetcode.com/problems/",Github!C$728), Github!B$728)</f>
        <v>Minimum Window Subsequence</v>
      </c>
      <c r="C733" s="10">
        <f>Github!F$728</f>
        <v>1230</v>
      </c>
      <c r="D733" s="10">
        <f>Github!G$728</f>
        <v>74</v>
      </c>
      <c r="E733" s="10">
        <f>Github!F$728+Github!G$728</f>
        <v>1304</v>
      </c>
      <c r="F733" s="12">
        <f t="shared" si="1"/>
        <v>16.62</v>
      </c>
      <c r="G733" s="10" t="str">
        <f>Github!H$728</f>
        <v>Algorithms</v>
      </c>
      <c r="H733" s="13" t="str">
        <f>SUBSTITUTE(Github!L$728, ";", ", ")</f>
        <v>String, Dynamic Programming, Sliding Window, </v>
      </c>
      <c r="I733" s="10" t="str">
        <f>Github!E$728</f>
        <v>Hard</v>
      </c>
      <c r="J733" s="10" t="str">
        <f>IF(TRIM(Github!D$728)="TRUE","FALSE","TRUE")</f>
        <v>FALSE</v>
      </c>
      <c r="K733" s="10" t="b">
        <f>Github!M$728</f>
        <v>0</v>
      </c>
      <c r="L733" s="10" t="b">
        <f>Github!N$728</f>
        <v>0</v>
      </c>
      <c r="M733" s="10" t="str">
        <f>ROUND(Github!O$728, 2)&amp;"%"</f>
        <v>42.86%</v>
      </c>
      <c r="N733" s="10">
        <f>Github!P$728</f>
        <v>76602</v>
      </c>
      <c r="O733" s="10">
        <f>Github!Q$728</f>
        <v>178743</v>
      </c>
    </row>
    <row r="734">
      <c r="A734" s="10">
        <f>Github!J$1585</f>
        <v>1584</v>
      </c>
      <c r="B734" s="11" t="str">
        <f>HYPERLINK(CONCAT("http://leetcode.com/problems/",Github!C$1585), Github!B$1585)</f>
        <v>Min Cost to Connect All Points</v>
      </c>
      <c r="C734" s="10">
        <f>Github!F$1585</f>
        <v>2319</v>
      </c>
      <c r="D734" s="10">
        <f>Github!G$1585</f>
        <v>70</v>
      </c>
      <c r="E734" s="10">
        <f>Github!F$1585+Github!G$1585</f>
        <v>2389</v>
      </c>
      <c r="F734" s="12">
        <f t="shared" si="1"/>
        <v>33.13</v>
      </c>
      <c r="G734" s="10" t="str">
        <f>Github!H$1585</f>
        <v>Algorithms</v>
      </c>
      <c r="H734" s="13" t="str">
        <f>SUBSTITUTE(Github!L$1585, ";", ", ")</f>
        <v>Array, Union Find, Minimum Spanning Tree, </v>
      </c>
      <c r="I734" s="10" t="str">
        <f>Github!E$1585</f>
        <v>Medium</v>
      </c>
      <c r="J734" s="10" t="str">
        <f>IF(TRIM(Github!D$1585)="TRUE","FALSE","TRUE")</f>
        <v>TRUE</v>
      </c>
      <c r="K734" s="10" t="b">
        <f>Github!M$1585</f>
        <v>1</v>
      </c>
      <c r="L734" s="10" t="b">
        <f>Github!N$1585</f>
        <v>0</v>
      </c>
      <c r="M734" s="10" t="str">
        <f>ROUND(Github!O$1585, 2)&amp;"%"</f>
        <v>64.23%</v>
      </c>
      <c r="N734" s="10">
        <f>Github!P$1585</f>
        <v>89011</v>
      </c>
      <c r="O734" s="10">
        <f>Github!Q$1585</f>
        <v>138584</v>
      </c>
    </row>
    <row r="735">
      <c r="A735" s="10">
        <f>Github!J$871</f>
        <v>870</v>
      </c>
      <c r="B735" s="11" t="str">
        <f>HYPERLINK(CONCAT("http://leetcode.com/problems/",Github!C$871), Github!B$871)</f>
        <v>Advantage Shuffle</v>
      </c>
      <c r="C735" s="10">
        <f>Github!F$871</f>
        <v>1229</v>
      </c>
      <c r="D735" s="10">
        <f>Github!G$871</f>
        <v>79</v>
      </c>
      <c r="E735" s="10">
        <f>Github!F$871+Github!G$871</f>
        <v>1308</v>
      </c>
      <c r="F735" s="12">
        <f t="shared" si="1"/>
        <v>15.56</v>
      </c>
      <c r="G735" s="10" t="str">
        <f>Github!H$871</f>
        <v>Algorithms</v>
      </c>
      <c r="H735" s="13" t="str">
        <f>SUBSTITUTE(Github!L$871, ";", ", ")</f>
        <v>Array, Greedy, Sorting, </v>
      </c>
      <c r="I735" s="10" t="str">
        <f>Github!E$871</f>
        <v>Medium</v>
      </c>
      <c r="J735" s="10" t="str">
        <f>IF(TRIM(Github!D$871)="TRUE","FALSE","TRUE")</f>
        <v>TRUE</v>
      </c>
      <c r="K735" s="10" t="b">
        <f>Github!M$871</f>
        <v>1</v>
      </c>
      <c r="L735" s="10" t="b">
        <f>Github!N$871</f>
        <v>0</v>
      </c>
      <c r="M735" s="10" t="str">
        <f>ROUND(Github!O$871, 2)&amp;"%"</f>
        <v>51.24%</v>
      </c>
      <c r="N735" s="10">
        <f>Github!P$871</f>
        <v>52845</v>
      </c>
      <c r="O735" s="10">
        <f>Github!Q$871</f>
        <v>103142</v>
      </c>
    </row>
    <row r="736">
      <c r="A736" s="10">
        <f>Github!J$1336</f>
        <v>1335</v>
      </c>
      <c r="B736" s="11" t="str">
        <f>HYPERLINK(CONCAT("http://leetcode.com/problems/",Github!C$1336), Github!B$1336)</f>
        <v>Minimum Difficulty of a Job Schedule</v>
      </c>
      <c r="C736" s="10">
        <f>Github!F$1336</f>
        <v>1226</v>
      </c>
      <c r="D736" s="10">
        <f>Github!G$1336</f>
        <v>142</v>
      </c>
      <c r="E736" s="10">
        <f>Github!F$1336+Github!G$1336</f>
        <v>1368</v>
      </c>
      <c r="F736" s="12">
        <f t="shared" si="1"/>
        <v>8.63</v>
      </c>
      <c r="G736" s="10" t="str">
        <f>Github!H$1336</f>
        <v>Algorithms</v>
      </c>
      <c r="H736" s="13" t="str">
        <f>SUBSTITUTE(Github!L$1336, ";", ", ")</f>
        <v>Array, Dynamic Programming, </v>
      </c>
      <c r="I736" s="10" t="str">
        <f>Github!E$1336</f>
        <v>Hard</v>
      </c>
      <c r="J736" s="10" t="str">
        <f>IF(TRIM(Github!D$1336)="TRUE","FALSE","TRUE")</f>
        <v>TRUE</v>
      </c>
      <c r="K736" s="10" t="b">
        <f>Github!M$1336</f>
        <v>0</v>
      </c>
      <c r="L736" s="10" t="b">
        <f>Github!N$1336</f>
        <v>0</v>
      </c>
      <c r="M736" s="10" t="str">
        <f>ROUND(Github!O$1336, 2)&amp;"%"</f>
        <v>56.5%</v>
      </c>
      <c r="N736" s="10">
        <f>Github!P$1336</f>
        <v>68506</v>
      </c>
      <c r="O736" s="10">
        <f>Github!Q$1336</f>
        <v>121253</v>
      </c>
    </row>
    <row r="737">
      <c r="A737" s="10">
        <f>Github!J$1397</f>
        <v>1396</v>
      </c>
      <c r="B737" s="11" t="str">
        <f>HYPERLINK(CONCAT("http://leetcode.com/problems/",Github!C$1397), Github!B$1397)</f>
        <v>Design Underground System</v>
      </c>
      <c r="C737" s="10">
        <f>Github!F$1397</f>
        <v>2028</v>
      </c>
      <c r="D737" s="10">
        <f>Github!G$1397</f>
        <v>101</v>
      </c>
      <c r="E737" s="10">
        <f>Github!F$1397+Github!G$1397</f>
        <v>2129</v>
      </c>
      <c r="F737" s="12">
        <f t="shared" si="1"/>
        <v>20.08</v>
      </c>
      <c r="G737" s="10" t="str">
        <f>Github!H$1397</f>
        <v>Algorithms</v>
      </c>
      <c r="H737" s="13" t="str">
        <f>SUBSTITUTE(Github!L$1397, ";", ", ")</f>
        <v>Hash Table, String, Design, </v>
      </c>
      <c r="I737" s="10" t="str">
        <f>Github!E$1397</f>
        <v>Medium</v>
      </c>
      <c r="J737" s="10" t="str">
        <f>IF(TRIM(Github!D$1397)="TRUE","FALSE","TRUE")</f>
        <v>TRUE</v>
      </c>
      <c r="K737" s="10" t="b">
        <f>Github!M$1397</f>
        <v>1</v>
      </c>
      <c r="L737" s="10" t="b">
        <f>Github!N$1397</f>
        <v>0</v>
      </c>
      <c r="M737" s="10" t="str">
        <f>ROUND(Github!O$1397, 2)&amp;"%"</f>
        <v>73.61%</v>
      </c>
      <c r="N737" s="10">
        <f>Github!P$1397</f>
        <v>131751</v>
      </c>
      <c r="O737" s="10">
        <f>Github!Q$1397</f>
        <v>178979</v>
      </c>
    </row>
    <row r="738">
      <c r="A738" s="10">
        <f>Github!J$360</f>
        <v>359</v>
      </c>
      <c r="B738" s="11" t="str">
        <f>HYPERLINK(CONCAT("http://leetcode.com/problems/",Github!C$360), Github!B$360)</f>
        <v>Logger Rate Limiter</v>
      </c>
      <c r="C738" s="10">
        <f>Github!F$360</f>
        <v>1224</v>
      </c>
      <c r="D738" s="10">
        <f>Github!G$360</f>
        <v>162</v>
      </c>
      <c r="E738" s="10">
        <f>Github!F$360+Github!G$360</f>
        <v>1386</v>
      </c>
      <c r="F738" s="12">
        <f t="shared" si="1"/>
        <v>7.56</v>
      </c>
      <c r="G738" s="10" t="str">
        <f>Github!H$360</f>
        <v>Algorithms</v>
      </c>
      <c r="H738" s="13" t="str">
        <f>SUBSTITUTE(Github!L$360, ";", ", ")</f>
        <v>Hash Table, Design, </v>
      </c>
      <c r="I738" s="10" t="str">
        <f>Github!E$360</f>
        <v>Easy</v>
      </c>
      <c r="J738" s="10" t="str">
        <f>IF(TRIM(Github!D$360)="TRUE","FALSE","TRUE")</f>
        <v>FALSE</v>
      </c>
      <c r="K738" s="10" t="b">
        <f>Github!M$360</f>
        <v>1</v>
      </c>
      <c r="L738" s="10" t="b">
        <f>Github!N$360</f>
        <v>0</v>
      </c>
      <c r="M738" s="10" t="str">
        <f>ROUND(Github!O$360, 2)&amp;"%"</f>
        <v>74.9%</v>
      </c>
      <c r="N738" s="10">
        <f>Github!P$360</f>
        <v>221365</v>
      </c>
      <c r="O738" s="10">
        <f>Github!Q$360</f>
        <v>295542</v>
      </c>
    </row>
    <row r="739">
      <c r="A739" s="10">
        <f>Github!J$1447</f>
        <v>1446</v>
      </c>
      <c r="B739" s="11" t="str">
        <f>HYPERLINK(CONCAT("http://leetcode.com/problems/",Github!C$1447), Github!B$1447)</f>
        <v>Consecutive Characters</v>
      </c>
      <c r="C739" s="10">
        <f>Github!F$1447</f>
        <v>1219</v>
      </c>
      <c r="D739" s="10">
        <f>Github!G$1447</f>
        <v>24</v>
      </c>
      <c r="E739" s="10">
        <f>Github!F$1447+Github!G$1447</f>
        <v>1243</v>
      </c>
      <c r="F739" s="12">
        <f t="shared" si="1"/>
        <v>50.79</v>
      </c>
      <c r="G739" s="10" t="str">
        <f>Github!H$1447</f>
        <v>Algorithms</v>
      </c>
      <c r="H739" s="13" t="str">
        <f>SUBSTITUTE(Github!L$1447, ";", ", ")</f>
        <v>String, </v>
      </c>
      <c r="I739" s="10" t="str">
        <f>Github!E$1447</f>
        <v>Easy</v>
      </c>
      <c r="J739" s="10" t="str">
        <f>IF(TRIM(Github!D$1447)="TRUE","FALSE","TRUE")</f>
        <v>TRUE</v>
      </c>
      <c r="K739" s="10" t="b">
        <f>Github!M$1447</f>
        <v>1</v>
      </c>
      <c r="L739" s="10" t="b">
        <f>Github!N$1447</f>
        <v>0</v>
      </c>
      <c r="M739" s="10" t="str">
        <f>ROUND(Github!O$1447, 2)&amp;"%"</f>
        <v>61.98%</v>
      </c>
      <c r="N739" s="10">
        <f>Github!P$1447</f>
        <v>118800</v>
      </c>
      <c r="O739" s="10">
        <f>Github!Q$1447</f>
        <v>191680</v>
      </c>
    </row>
    <row r="740">
      <c r="A740" s="10">
        <f>Github!J$1300</f>
        <v>1299</v>
      </c>
      <c r="B740" s="11" t="str">
        <f>HYPERLINK(CONCAT("http://leetcode.com/problems/",Github!C$1300), Github!B$1300)</f>
        <v>Replace Elements with Greatest Element on Right Side</v>
      </c>
      <c r="C740" s="10">
        <f>Github!F$1300</f>
        <v>1223</v>
      </c>
      <c r="D740" s="10">
        <f>Github!G$1300</f>
        <v>164</v>
      </c>
      <c r="E740" s="10">
        <f>Github!F$1300+Github!G$1300</f>
        <v>1387</v>
      </c>
      <c r="F740" s="12">
        <f t="shared" si="1"/>
        <v>7.46</v>
      </c>
      <c r="G740" s="10" t="str">
        <f>Github!H$1300</f>
        <v>Algorithms</v>
      </c>
      <c r="H740" s="13" t="str">
        <f>SUBSTITUTE(Github!L$1300, ";", ", ")</f>
        <v>Array, </v>
      </c>
      <c r="I740" s="10" t="str">
        <f>Github!E$1300</f>
        <v>Easy</v>
      </c>
      <c r="J740" s="10" t="str">
        <f>IF(TRIM(Github!D$1300)="TRUE","FALSE","TRUE")</f>
        <v>TRUE</v>
      </c>
      <c r="K740" s="10" t="b">
        <f>Github!M$1300</f>
        <v>0</v>
      </c>
      <c r="L740" s="10" t="b">
        <f>Github!N$1300</f>
        <v>0</v>
      </c>
      <c r="M740" s="10" t="str">
        <f>ROUND(Github!O$1300, 2)&amp;"%"</f>
        <v>74.45%</v>
      </c>
      <c r="N740" s="10">
        <f>Github!P$1300</f>
        <v>203494</v>
      </c>
      <c r="O740" s="10">
        <f>Github!Q$1300</f>
        <v>273314</v>
      </c>
    </row>
    <row r="741">
      <c r="A741" s="10">
        <f>Github!J$805</f>
        <v>804</v>
      </c>
      <c r="B741" s="11" t="str">
        <f>HYPERLINK(CONCAT("http://leetcode.com/problems/",Github!C$805), Github!B$805)</f>
        <v>Unique Morse Code Words</v>
      </c>
      <c r="C741" s="10">
        <f>Github!F$805</f>
        <v>1221</v>
      </c>
      <c r="D741" s="10">
        <f>Github!G$805</f>
        <v>1028</v>
      </c>
      <c r="E741" s="10">
        <f>Github!F$805+Github!G$805</f>
        <v>2249</v>
      </c>
      <c r="F741" s="12">
        <f t="shared" si="1"/>
        <v>1.19</v>
      </c>
      <c r="G741" s="10" t="str">
        <f>Github!H$805</f>
        <v>Algorithms</v>
      </c>
      <c r="H741" s="13" t="str">
        <f>SUBSTITUTE(Github!L$805, ";", ", ")</f>
        <v>Array, Hash Table, String, </v>
      </c>
      <c r="I741" s="10" t="str">
        <f>Github!E$805</f>
        <v>Easy</v>
      </c>
      <c r="J741" s="10" t="str">
        <f>IF(TRIM(Github!D$805)="TRUE","FALSE","TRUE")</f>
        <v>TRUE</v>
      </c>
      <c r="K741" s="10" t="b">
        <f>Github!M$805</f>
        <v>1</v>
      </c>
      <c r="L741" s="10" t="b">
        <f>Github!N$805</f>
        <v>0</v>
      </c>
      <c r="M741" s="10" t="str">
        <f>ROUND(Github!O$805, 2)&amp;"%"</f>
        <v>80%</v>
      </c>
      <c r="N741" s="10">
        <f>Github!P$805</f>
        <v>215945</v>
      </c>
      <c r="O741" s="10">
        <f>Github!Q$805</f>
        <v>269915</v>
      </c>
    </row>
    <row r="742">
      <c r="A742" s="10">
        <f>Github!J$861</f>
        <v>860</v>
      </c>
      <c r="B742" s="11" t="str">
        <f>HYPERLINK(CONCAT("http://leetcode.com/problems/",Github!C$861), Github!B$861)</f>
        <v>Lemonade Change</v>
      </c>
      <c r="C742" s="10">
        <f>Github!F$861</f>
        <v>1211</v>
      </c>
      <c r="D742" s="10">
        <f>Github!G$861</f>
        <v>121</v>
      </c>
      <c r="E742" s="10">
        <f>Github!F$861+Github!G$861</f>
        <v>1332</v>
      </c>
      <c r="F742" s="12">
        <f t="shared" si="1"/>
        <v>10.01</v>
      </c>
      <c r="G742" s="10" t="str">
        <f>Github!H$861</f>
        <v>Algorithms</v>
      </c>
      <c r="H742" s="13" t="str">
        <f>SUBSTITUTE(Github!L$861, ";", ", ")</f>
        <v>Array, Greedy, </v>
      </c>
      <c r="I742" s="10" t="str">
        <f>Github!E$861</f>
        <v>Easy</v>
      </c>
      <c r="J742" s="10" t="str">
        <f>IF(TRIM(Github!D$861)="TRUE","FALSE","TRUE")</f>
        <v>TRUE</v>
      </c>
      <c r="K742" s="10" t="b">
        <f>Github!M$861</f>
        <v>1</v>
      </c>
      <c r="L742" s="10" t="b">
        <f>Github!N$861</f>
        <v>0</v>
      </c>
      <c r="M742" s="10" t="str">
        <f>ROUND(Github!O$861, 2)&amp;"%"</f>
        <v>52.47%</v>
      </c>
      <c r="N742" s="10">
        <f>Github!P$861</f>
        <v>95593</v>
      </c>
      <c r="O742" s="10">
        <f>Github!Q$861</f>
        <v>182193</v>
      </c>
    </row>
    <row r="743">
      <c r="A743" s="10">
        <f>Github!J$1348</f>
        <v>1347</v>
      </c>
      <c r="B743" s="11" t="str">
        <f>HYPERLINK(CONCAT("http://leetcode.com/problems/",Github!C$1348), Github!B$1348)</f>
        <v>Minimum Number of Steps to Make Two Strings Anagram</v>
      </c>
      <c r="C743" s="10">
        <f>Github!F$1348</f>
        <v>1210</v>
      </c>
      <c r="D743" s="10">
        <f>Github!G$1348</f>
        <v>56</v>
      </c>
      <c r="E743" s="10">
        <f>Github!F$1348+Github!G$1348</f>
        <v>1266</v>
      </c>
      <c r="F743" s="12">
        <f t="shared" si="1"/>
        <v>21.61</v>
      </c>
      <c r="G743" s="10" t="str">
        <f>Github!H$1348</f>
        <v>Algorithms</v>
      </c>
      <c r="H743" s="13" t="str">
        <f>SUBSTITUTE(Github!L$1348, ";", ", ")</f>
        <v>Hash Table, String, Counting, </v>
      </c>
      <c r="I743" s="10" t="str">
        <f>Github!E$1348</f>
        <v>Medium</v>
      </c>
      <c r="J743" s="10" t="str">
        <f>IF(TRIM(Github!D$1348)="TRUE","FALSE","TRUE")</f>
        <v>TRUE</v>
      </c>
      <c r="K743" s="10" t="b">
        <f>Github!M$1348</f>
        <v>0</v>
      </c>
      <c r="L743" s="10" t="b">
        <f>Github!N$1348</f>
        <v>0</v>
      </c>
      <c r="M743" s="10" t="str">
        <f>ROUND(Github!O$1348, 2)&amp;"%"</f>
        <v>76.35%</v>
      </c>
      <c r="N743" s="10">
        <f>Github!P$1348</f>
        <v>88892</v>
      </c>
      <c r="O743" s="10">
        <f>Github!Q$1348</f>
        <v>116426</v>
      </c>
    </row>
    <row r="744">
      <c r="A744" s="10">
        <f>Github!J$678</f>
        <v>677</v>
      </c>
      <c r="B744" s="11" t="str">
        <f>HYPERLINK(CONCAT("http://leetcode.com/problems/",Github!C$678), Github!B$678)</f>
        <v>Map Sum Pairs</v>
      </c>
      <c r="C744" s="10">
        <f>Github!F$678</f>
        <v>1211</v>
      </c>
      <c r="D744" s="10">
        <f>Github!G$678</f>
        <v>123</v>
      </c>
      <c r="E744" s="10">
        <f>Github!F$678+Github!G$678</f>
        <v>1334</v>
      </c>
      <c r="F744" s="12">
        <f t="shared" si="1"/>
        <v>9.85</v>
      </c>
      <c r="G744" s="10" t="str">
        <f>Github!H$678</f>
        <v>Algorithms</v>
      </c>
      <c r="H744" s="13" t="str">
        <f>SUBSTITUTE(Github!L$678, ";", ", ")</f>
        <v>Hash Table, String, Design, Trie, </v>
      </c>
      <c r="I744" s="10" t="str">
        <f>Github!E$678</f>
        <v>Medium</v>
      </c>
      <c r="J744" s="10" t="str">
        <f>IF(TRIM(Github!D$678)="TRUE","FALSE","TRUE")</f>
        <v>TRUE</v>
      </c>
      <c r="K744" s="10" t="b">
        <f>Github!M$678</f>
        <v>1</v>
      </c>
      <c r="L744" s="10" t="b">
        <f>Github!N$678</f>
        <v>0</v>
      </c>
      <c r="M744" s="10" t="str">
        <f>ROUND(Github!O$678, 2)&amp;"%"</f>
        <v>56.98%</v>
      </c>
      <c r="N744" s="10">
        <f>Github!P$678</f>
        <v>87503</v>
      </c>
      <c r="O744" s="10">
        <f>Github!Q$678</f>
        <v>153571</v>
      </c>
    </row>
    <row r="745">
      <c r="A745" s="10">
        <f>Github!J$1478</f>
        <v>1477</v>
      </c>
      <c r="B745" s="11" t="str">
        <f>HYPERLINK(CONCAT("http://leetcode.com/problems/",Github!C$1478), Github!B$1478)</f>
        <v>Find Two Non-overlapping Sub-arrays Each With Target Sum</v>
      </c>
      <c r="C745" s="10">
        <f>Github!F$1478</f>
        <v>1210</v>
      </c>
      <c r="D745" s="10">
        <f>Github!G$1478</f>
        <v>60</v>
      </c>
      <c r="E745" s="10">
        <f>Github!F$1478+Github!G$1478</f>
        <v>1270</v>
      </c>
      <c r="F745" s="12">
        <f t="shared" si="1"/>
        <v>20.17</v>
      </c>
      <c r="G745" s="10" t="str">
        <f>Github!H$1478</f>
        <v>Algorithms</v>
      </c>
      <c r="H745" s="13" t="str">
        <f>SUBSTITUTE(Github!L$1478, ";", ", ")</f>
        <v>Array, Hash Table, Binary Search, Dynamic Programming, Sliding Window, </v>
      </c>
      <c r="I745" s="10" t="str">
        <f>Github!E$1478</f>
        <v>Medium</v>
      </c>
      <c r="J745" s="10" t="str">
        <f>IF(TRIM(Github!D$1478)="TRUE","FALSE","TRUE")</f>
        <v>TRUE</v>
      </c>
      <c r="K745" s="10" t="b">
        <f>Github!M$1478</f>
        <v>0</v>
      </c>
      <c r="L745" s="10" t="b">
        <f>Github!N$1478</f>
        <v>0</v>
      </c>
      <c r="M745" s="10" t="str">
        <f>ROUND(Github!O$1478, 2)&amp;"%"</f>
        <v>36.75%</v>
      </c>
      <c r="N745" s="10">
        <f>Github!P$1478</f>
        <v>36717</v>
      </c>
      <c r="O745" s="10">
        <f>Github!Q$1478</f>
        <v>99907</v>
      </c>
    </row>
    <row r="746">
      <c r="A746" s="10">
        <f>Github!J$387</f>
        <v>386</v>
      </c>
      <c r="B746" s="11" t="str">
        <f>HYPERLINK(CONCAT("http://leetcode.com/problems/",Github!C$387), Github!B$387)</f>
        <v>Lexicographical Numbers</v>
      </c>
      <c r="C746" s="10">
        <f>Github!F$387</f>
        <v>1211</v>
      </c>
      <c r="D746" s="10">
        <f>Github!G$387</f>
        <v>113</v>
      </c>
      <c r="E746" s="10">
        <f>Github!F$387+Github!G$387</f>
        <v>1324</v>
      </c>
      <c r="F746" s="12">
        <f t="shared" si="1"/>
        <v>10.72</v>
      </c>
      <c r="G746" s="10" t="str">
        <f>Github!H$387</f>
        <v>Algorithms</v>
      </c>
      <c r="H746" s="13" t="str">
        <f>SUBSTITUTE(Github!L$387, ";", ", ")</f>
        <v>Depth-First Search, Trie, </v>
      </c>
      <c r="I746" s="10" t="str">
        <f>Github!E$387</f>
        <v>Medium</v>
      </c>
      <c r="J746" s="10" t="str">
        <f>IF(TRIM(Github!D$387)="TRUE","FALSE","TRUE")</f>
        <v>TRUE</v>
      </c>
      <c r="K746" s="10" t="b">
        <f>Github!M$387</f>
        <v>0</v>
      </c>
      <c r="L746" s="10" t="b">
        <f>Github!N$387</f>
        <v>0</v>
      </c>
      <c r="M746" s="10" t="str">
        <f>ROUND(Github!O$387, 2)&amp;"%"</f>
        <v>58.85%</v>
      </c>
      <c r="N746" s="10">
        <f>Github!P$387</f>
        <v>83063</v>
      </c>
      <c r="O746" s="10">
        <f>Github!Q$387</f>
        <v>141138</v>
      </c>
    </row>
    <row r="747">
      <c r="A747" s="10">
        <f>Github!J$275</f>
        <v>274</v>
      </c>
      <c r="B747" s="11" t="str">
        <f>HYPERLINK(CONCAT("http://leetcode.com/problems/",Github!C$275), Github!B$275)</f>
        <v>H-Index</v>
      </c>
      <c r="C747" s="10">
        <f>Github!F$275</f>
        <v>1211</v>
      </c>
      <c r="D747" s="10">
        <f>Github!G$275</f>
        <v>1819</v>
      </c>
      <c r="E747" s="10">
        <f>Github!F$275+Github!G$275</f>
        <v>3030</v>
      </c>
      <c r="F747" s="12">
        <f t="shared" si="1"/>
        <v>0.67</v>
      </c>
      <c r="G747" s="10" t="str">
        <f>Github!H$275</f>
        <v>Algorithms</v>
      </c>
      <c r="H747" s="13" t="str">
        <f>SUBSTITUTE(Github!L$275, ";", ", ")</f>
        <v>Array, Sorting, Counting Sort, </v>
      </c>
      <c r="I747" s="10" t="str">
        <f>Github!E$275</f>
        <v>Medium</v>
      </c>
      <c r="J747" s="10" t="str">
        <f>IF(TRIM(Github!D$275)="TRUE","FALSE","TRUE")</f>
        <v>TRUE</v>
      </c>
      <c r="K747" s="10" t="b">
        <f>Github!M$275</f>
        <v>1</v>
      </c>
      <c r="L747" s="10" t="b">
        <f>Github!N$275</f>
        <v>0</v>
      </c>
      <c r="M747" s="10" t="str">
        <f>ROUND(Github!O$275, 2)&amp;"%"</f>
        <v>37.58%</v>
      </c>
      <c r="N747" s="10">
        <f>Github!P$275</f>
        <v>232201</v>
      </c>
      <c r="O747" s="10">
        <f>Github!Q$275</f>
        <v>617839</v>
      </c>
    </row>
    <row r="748">
      <c r="A748" s="10">
        <f>Github!J$990</f>
        <v>989</v>
      </c>
      <c r="B748" s="11" t="str">
        <f>HYPERLINK(CONCAT("http://leetcode.com/problems/",Github!C$990), Github!B$990)</f>
        <v>Add to Array-Form of Integer</v>
      </c>
      <c r="C748" s="10">
        <f>Github!F$990</f>
        <v>1211</v>
      </c>
      <c r="D748" s="10">
        <f>Github!G$990</f>
        <v>146</v>
      </c>
      <c r="E748" s="10">
        <f>Github!F$990+Github!G$990</f>
        <v>1357</v>
      </c>
      <c r="F748" s="12">
        <f t="shared" si="1"/>
        <v>8.29</v>
      </c>
      <c r="G748" s="10" t="str">
        <f>Github!H$990</f>
        <v>Algorithms</v>
      </c>
      <c r="H748" s="13" t="str">
        <f>SUBSTITUTE(Github!L$990, ";", ", ")</f>
        <v>Array, Math, </v>
      </c>
      <c r="I748" s="10" t="str">
        <f>Github!E$990</f>
        <v>Easy</v>
      </c>
      <c r="J748" s="10" t="str">
        <f>IF(TRIM(Github!D$990)="TRUE","FALSE","TRUE")</f>
        <v>TRUE</v>
      </c>
      <c r="K748" s="10" t="b">
        <f>Github!M$990</f>
        <v>1</v>
      </c>
      <c r="L748" s="10" t="b">
        <f>Github!N$990</f>
        <v>0</v>
      </c>
      <c r="M748" s="10" t="str">
        <f>ROUND(Github!O$990, 2)&amp;"%"</f>
        <v>45.51%</v>
      </c>
      <c r="N748" s="10">
        <f>Github!P$990</f>
        <v>108845</v>
      </c>
      <c r="O748" s="10">
        <f>Github!Q$990</f>
        <v>239157</v>
      </c>
    </row>
    <row r="749">
      <c r="A749" s="10">
        <f>Github!J$844</f>
        <v>843</v>
      </c>
      <c r="B749" s="11" t="str">
        <f>HYPERLINK(CONCAT("http://leetcode.com/problems/",Github!C$844), Github!B$844)</f>
        <v>Guess the Word</v>
      </c>
      <c r="C749" s="10">
        <f>Github!F$844</f>
        <v>1201</v>
      </c>
      <c r="D749" s="10">
        <f>Github!G$844</f>
        <v>1351</v>
      </c>
      <c r="E749" s="10">
        <f>Github!F$844+Github!G$844</f>
        <v>2552</v>
      </c>
      <c r="F749" s="12">
        <f t="shared" si="1"/>
        <v>0.89</v>
      </c>
      <c r="G749" s="10" t="str">
        <f>Github!H$844</f>
        <v>Algorithms</v>
      </c>
      <c r="H749" s="13" t="str">
        <f>SUBSTITUTE(Github!L$844, ";", ", ")</f>
        <v>Array, Math, String, Interactive, Game Theory, </v>
      </c>
      <c r="I749" s="10" t="str">
        <f>Github!E$844</f>
        <v>Hard</v>
      </c>
      <c r="J749" s="10" t="str">
        <f>IF(TRIM(Github!D$844)="TRUE","FALSE","TRUE")</f>
        <v>TRUE</v>
      </c>
      <c r="K749" s="10" t="b">
        <f>Github!M$844</f>
        <v>0</v>
      </c>
      <c r="L749" s="10" t="b">
        <f>Github!N$844</f>
        <v>0</v>
      </c>
      <c r="M749" s="10" t="str">
        <f>ROUND(Github!O$844, 2)&amp;"%"</f>
        <v>43%</v>
      </c>
      <c r="N749" s="10">
        <f>Github!P$844</f>
        <v>114497</v>
      </c>
      <c r="O749" s="10">
        <f>Github!Q$844</f>
        <v>266302</v>
      </c>
    </row>
    <row r="750">
      <c r="A750" s="10">
        <f>Github!J$1130</f>
        <v>1129</v>
      </c>
      <c r="B750" s="11" t="str">
        <f>HYPERLINK(CONCAT("http://leetcode.com/problems/",Github!C$1130), Github!B$1130)</f>
        <v>Shortest Path with Alternating Colors</v>
      </c>
      <c r="C750" s="10">
        <f>Github!F$1130</f>
        <v>1207</v>
      </c>
      <c r="D750" s="10">
        <f>Github!G$1130</f>
        <v>60</v>
      </c>
      <c r="E750" s="10">
        <f>Github!F$1130+Github!G$1130</f>
        <v>1267</v>
      </c>
      <c r="F750" s="12">
        <f t="shared" si="1"/>
        <v>20.12</v>
      </c>
      <c r="G750" s="10" t="str">
        <f>Github!H$1130</f>
        <v>Algorithms</v>
      </c>
      <c r="H750" s="13" t="str">
        <f>SUBSTITUTE(Github!L$1130, ";", ", ")</f>
        <v>Breadth-First Search, Graph, </v>
      </c>
      <c r="I750" s="10" t="str">
        <f>Github!E$1130</f>
        <v>Medium</v>
      </c>
      <c r="J750" s="10" t="str">
        <f>IF(TRIM(Github!D$1130)="TRUE","FALSE","TRUE")</f>
        <v>TRUE</v>
      </c>
      <c r="K750" s="10" t="b">
        <f>Github!M$1130</f>
        <v>0</v>
      </c>
      <c r="L750" s="10" t="b">
        <f>Github!N$1130</f>
        <v>0</v>
      </c>
      <c r="M750" s="10" t="str">
        <f>ROUND(Github!O$1130, 2)&amp;"%"</f>
        <v>42.16%</v>
      </c>
      <c r="N750" s="10">
        <f>Github!P$1130</f>
        <v>35014</v>
      </c>
      <c r="O750" s="10">
        <f>Github!Q$1130</f>
        <v>83046</v>
      </c>
    </row>
    <row r="751">
      <c r="A751" s="10">
        <f>Github!J$1124</f>
        <v>1123</v>
      </c>
      <c r="B751" s="11" t="str">
        <f>HYPERLINK(CONCAT("http://leetcode.com/problems/",Github!C$1124), Github!B$1124)</f>
        <v>Lowest Common Ancestor of Deepest Leaves</v>
      </c>
      <c r="C751" s="10">
        <f>Github!F$1124</f>
        <v>1198</v>
      </c>
      <c r="D751" s="10">
        <f>Github!G$1124</f>
        <v>736</v>
      </c>
      <c r="E751" s="10">
        <f>Github!F$1124+Github!G$1124</f>
        <v>1934</v>
      </c>
      <c r="F751" s="12">
        <f t="shared" si="1"/>
        <v>1.63</v>
      </c>
      <c r="G751" s="10" t="str">
        <f>Github!H$1124</f>
        <v>Algorithms</v>
      </c>
      <c r="H751" s="13" t="str">
        <f>SUBSTITUTE(Github!L$1124, ";", ", ")</f>
        <v>Hash Table, Tree, Depth-First Search, Breadth-First Search, Binary Tree, </v>
      </c>
      <c r="I751" s="10" t="str">
        <f>Github!E$1124</f>
        <v>Medium</v>
      </c>
      <c r="J751" s="10" t="str">
        <f>IF(TRIM(Github!D$1124)="TRUE","FALSE","TRUE")</f>
        <v>TRUE</v>
      </c>
      <c r="K751" s="10" t="b">
        <f>Github!M$1124</f>
        <v>0</v>
      </c>
      <c r="L751" s="10" t="b">
        <f>Github!N$1124</f>
        <v>0</v>
      </c>
      <c r="M751" s="10" t="str">
        <f>ROUND(Github!O$1124, 2)&amp;"%"</f>
        <v>70.13%</v>
      </c>
      <c r="N751" s="10">
        <f>Github!P$1124</f>
        <v>74881</v>
      </c>
      <c r="O751" s="10">
        <f>Github!Q$1124</f>
        <v>106772</v>
      </c>
    </row>
    <row r="752">
      <c r="A752" s="10">
        <f>Github!J$1021</f>
        <v>1020</v>
      </c>
      <c r="B752" s="11" t="str">
        <f>HYPERLINK(CONCAT("http://leetcode.com/problems/",Github!C$1021), Github!B$1021)</f>
        <v>Number of Enclaves</v>
      </c>
      <c r="C752" s="10">
        <f>Github!F$1021</f>
        <v>1200</v>
      </c>
      <c r="D752" s="10">
        <f>Github!G$1021</f>
        <v>32</v>
      </c>
      <c r="E752" s="10">
        <f>Github!F$1021+Github!G$1021</f>
        <v>1232</v>
      </c>
      <c r="F752" s="12">
        <f t="shared" si="1"/>
        <v>37.5</v>
      </c>
      <c r="G752" s="10" t="str">
        <f>Github!H$1021</f>
        <v>Algorithms</v>
      </c>
      <c r="H752" s="13" t="str">
        <f>SUBSTITUTE(Github!L$1021, ";", ", ")</f>
        <v>Array, Depth-First Search, Breadth-First Search, Union Find, Matrix, </v>
      </c>
      <c r="I752" s="10" t="str">
        <f>Github!E$1021</f>
        <v>Medium</v>
      </c>
      <c r="J752" s="10" t="str">
        <f>IF(TRIM(Github!D$1021)="TRUE","FALSE","TRUE")</f>
        <v>TRUE</v>
      </c>
      <c r="K752" s="10" t="b">
        <f>Github!M$1021</f>
        <v>0</v>
      </c>
      <c r="L752" s="10" t="b">
        <f>Github!N$1021</f>
        <v>0</v>
      </c>
      <c r="M752" s="10" t="str">
        <f>ROUND(Github!O$1021, 2)&amp;"%"</f>
        <v>62.74%</v>
      </c>
      <c r="N752" s="10">
        <f>Github!P$1021</f>
        <v>52747</v>
      </c>
      <c r="O752" s="10">
        <f>Github!Q$1021</f>
        <v>84072</v>
      </c>
    </row>
    <row r="753">
      <c r="A753" s="10">
        <f>Github!J$1263</f>
        <v>1262</v>
      </c>
      <c r="B753" s="11" t="str">
        <f>HYPERLINK(CONCAT("http://leetcode.com/problems/",Github!C$1263), Github!B$1263)</f>
        <v>Greatest Sum Divisible by Three</v>
      </c>
      <c r="C753" s="10">
        <f>Github!F$1263</f>
        <v>1201</v>
      </c>
      <c r="D753" s="10">
        <f>Github!G$1263</f>
        <v>33</v>
      </c>
      <c r="E753" s="10">
        <f>Github!F$1263+Github!G$1263</f>
        <v>1234</v>
      </c>
      <c r="F753" s="12">
        <f t="shared" si="1"/>
        <v>36.39</v>
      </c>
      <c r="G753" s="10" t="str">
        <f>Github!H$1263</f>
        <v>Algorithms</v>
      </c>
      <c r="H753" s="13" t="str">
        <f>SUBSTITUTE(Github!L$1263, ";", ", ")</f>
        <v>Array, Dynamic Programming, Greedy, </v>
      </c>
      <c r="I753" s="10" t="str">
        <f>Github!E$1263</f>
        <v>Medium</v>
      </c>
      <c r="J753" s="10" t="str">
        <f>IF(TRIM(Github!D$1263)="TRUE","FALSE","TRUE")</f>
        <v>TRUE</v>
      </c>
      <c r="K753" s="10" t="b">
        <f>Github!M$1263</f>
        <v>0</v>
      </c>
      <c r="L753" s="10" t="b">
        <f>Github!N$1263</f>
        <v>0</v>
      </c>
      <c r="M753" s="10" t="str">
        <f>ROUND(Github!O$1263, 2)&amp;"%"</f>
        <v>50.86%</v>
      </c>
      <c r="N753" s="10">
        <f>Github!P$1263</f>
        <v>37889</v>
      </c>
      <c r="O753" s="10">
        <f>Github!Q$1263</f>
        <v>74500</v>
      </c>
    </row>
    <row r="754">
      <c r="A754" s="10">
        <f>Github!J$776</f>
        <v>775</v>
      </c>
      <c r="B754" s="11" t="str">
        <f>HYPERLINK(CONCAT("http://leetcode.com/problems/",Github!C$776), Github!B$776)</f>
        <v>Global and Local Inversions</v>
      </c>
      <c r="C754" s="10">
        <f>Github!F$776</f>
        <v>1193</v>
      </c>
      <c r="D754" s="10">
        <f>Github!G$776</f>
        <v>303</v>
      </c>
      <c r="E754" s="10">
        <f>Github!F$776+Github!G$776</f>
        <v>1496</v>
      </c>
      <c r="F754" s="12">
        <f t="shared" si="1"/>
        <v>3.94</v>
      </c>
      <c r="G754" s="10" t="str">
        <f>Github!H$776</f>
        <v>Algorithms</v>
      </c>
      <c r="H754" s="13" t="str">
        <f>SUBSTITUTE(Github!L$776, ";", ", ")</f>
        <v>Array, Math, </v>
      </c>
      <c r="I754" s="10" t="str">
        <f>Github!E$776</f>
        <v>Medium</v>
      </c>
      <c r="J754" s="10" t="str">
        <f>IF(TRIM(Github!D$776)="TRUE","FALSE","TRUE")</f>
        <v>TRUE</v>
      </c>
      <c r="K754" s="10" t="b">
        <f>Github!M$776</f>
        <v>1</v>
      </c>
      <c r="L754" s="10" t="b">
        <f>Github!N$776</f>
        <v>0</v>
      </c>
      <c r="M754" s="10" t="str">
        <f>ROUND(Github!O$776, 2)&amp;"%"</f>
        <v>45.2%</v>
      </c>
      <c r="N754" s="10">
        <f>Github!P$776</f>
        <v>56643</v>
      </c>
      <c r="O754" s="10">
        <f>Github!Q$776</f>
        <v>125329</v>
      </c>
    </row>
    <row r="755">
      <c r="A755" s="10">
        <f>Github!J$1025</f>
        <v>1024</v>
      </c>
      <c r="B755" s="11" t="str">
        <f>HYPERLINK(CONCAT("http://leetcode.com/problems/",Github!C$1025), Github!B$1025)</f>
        <v>Video Stitching</v>
      </c>
      <c r="C755" s="10">
        <f>Github!F$1025</f>
        <v>1190</v>
      </c>
      <c r="D755" s="10">
        <f>Github!G$1025</f>
        <v>47</v>
      </c>
      <c r="E755" s="10">
        <f>Github!F$1025+Github!G$1025</f>
        <v>1237</v>
      </c>
      <c r="F755" s="12">
        <f t="shared" si="1"/>
        <v>25.32</v>
      </c>
      <c r="G755" s="10" t="str">
        <f>Github!H$1025</f>
        <v>Algorithms</v>
      </c>
      <c r="H755" s="13" t="str">
        <f>SUBSTITUTE(Github!L$1025, ";", ", ")</f>
        <v>Array, Dynamic Programming, Greedy, </v>
      </c>
      <c r="I755" s="10" t="str">
        <f>Github!E$1025</f>
        <v>Medium</v>
      </c>
      <c r="J755" s="10" t="str">
        <f>IF(TRIM(Github!D$1025)="TRUE","FALSE","TRUE")</f>
        <v>TRUE</v>
      </c>
      <c r="K755" s="10" t="b">
        <f>Github!M$1025</f>
        <v>0</v>
      </c>
      <c r="L755" s="10" t="b">
        <f>Github!N$1025</f>
        <v>0</v>
      </c>
      <c r="M755" s="10" t="str">
        <f>ROUND(Github!O$1025, 2)&amp;"%"</f>
        <v>50.05%</v>
      </c>
      <c r="N755" s="10">
        <f>Github!P$1025</f>
        <v>46698</v>
      </c>
      <c r="O755" s="10">
        <f>Github!Q$1025</f>
        <v>93300</v>
      </c>
    </row>
    <row r="756">
      <c r="A756" s="10">
        <f>Github!J$334</f>
        <v>333</v>
      </c>
      <c r="B756" s="11" t="str">
        <f>HYPERLINK(CONCAT("http://leetcode.com/problems/",Github!C$334), Github!B$334)</f>
        <v>Largest BST Subtree</v>
      </c>
      <c r="C756" s="10">
        <f>Github!F$334</f>
        <v>1189</v>
      </c>
      <c r="D756" s="10">
        <f>Github!G$334</f>
        <v>99</v>
      </c>
      <c r="E756" s="10">
        <f>Github!F$334+Github!G$334</f>
        <v>1288</v>
      </c>
      <c r="F756" s="12">
        <f t="shared" si="1"/>
        <v>12.01</v>
      </c>
      <c r="G756" s="10" t="str">
        <f>Github!H$334</f>
        <v>Algorithms</v>
      </c>
      <c r="H756" s="13" t="str">
        <f>SUBSTITUTE(Github!L$334, ";", ", ")</f>
        <v>Dynamic Programming, Tree, Depth-First Search, Binary Search Tree, Binary Tree, </v>
      </c>
      <c r="I756" s="10" t="str">
        <f>Github!E$334</f>
        <v>Medium</v>
      </c>
      <c r="J756" s="10" t="str">
        <f>IF(TRIM(Github!D$334)="TRUE","FALSE","TRUE")</f>
        <v>FALSE</v>
      </c>
      <c r="K756" s="10" t="b">
        <f>Github!M$334</f>
        <v>1</v>
      </c>
      <c r="L756" s="10" t="b">
        <f>Github!N$334</f>
        <v>0</v>
      </c>
      <c r="M756" s="10" t="str">
        <f>ROUND(Github!O$334, 2)&amp;"%"</f>
        <v>41.28%</v>
      </c>
      <c r="N756" s="10">
        <f>Github!P$334</f>
        <v>82109</v>
      </c>
      <c r="O756" s="10">
        <f>Github!Q$334</f>
        <v>198911</v>
      </c>
    </row>
    <row r="757">
      <c r="A757" s="10">
        <f>Github!J$600</f>
        <v>599</v>
      </c>
      <c r="B757" s="11" t="str">
        <f>HYPERLINK(CONCAT("http://leetcode.com/problems/",Github!C$600), Github!B$600)</f>
        <v>Minimum Index Sum of Two Lists</v>
      </c>
      <c r="C757" s="10">
        <f>Github!F$600</f>
        <v>1184</v>
      </c>
      <c r="D757" s="10">
        <f>Github!G$600</f>
        <v>318</v>
      </c>
      <c r="E757" s="10">
        <f>Github!F$600+Github!G$600</f>
        <v>1502</v>
      </c>
      <c r="F757" s="12">
        <f t="shared" si="1"/>
        <v>3.72</v>
      </c>
      <c r="G757" s="10" t="str">
        <f>Github!H$600</f>
        <v>Algorithms</v>
      </c>
      <c r="H757" s="13" t="str">
        <f>SUBSTITUTE(Github!L$600, ";", ", ")</f>
        <v>Array, Hash Table, String, </v>
      </c>
      <c r="I757" s="10" t="str">
        <f>Github!E$600</f>
        <v>Easy</v>
      </c>
      <c r="J757" s="10" t="str">
        <f>IF(TRIM(Github!D$600)="TRUE","FALSE","TRUE")</f>
        <v>TRUE</v>
      </c>
      <c r="K757" s="10" t="b">
        <f>Github!M$600</f>
        <v>1</v>
      </c>
      <c r="L757" s="10" t="b">
        <f>Github!N$600</f>
        <v>0</v>
      </c>
      <c r="M757" s="10" t="str">
        <f>ROUND(Github!O$600, 2)&amp;"%"</f>
        <v>52.78%</v>
      </c>
      <c r="N757" s="10">
        <f>Github!P$600</f>
        <v>148954</v>
      </c>
      <c r="O757" s="10">
        <f>Github!Q$600</f>
        <v>282213</v>
      </c>
    </row>
    <row r="758">
      <c r="A758" s="10">
        <f>Github!J$437</f>
        <v>436</v>
      </c>
      <c r="B758" s="11" t="str">
        <f>HYPERLINK(CONCAT("http://leetcode.com/problems/",Github!C$437), Github!B$437)</f>
        <v>Find Right Interval</v>
      </c>
      <c r="C758" s="10">
        <f>Github!F$437</f>
        <v>1184</v>
      </c>
      <c r="D758" s="10">
        <f>Github!G$437</f>
        <v>249</v>
      </c>
      <c r="E758" s="10">
        <f>Github!F$437+Github!G$437</f>
        <v>1433</v>
      </c>
      <c r="F758" s="12">
        <f t="shared" si="1"/>
        <v>4.76</v>
      </c>
      <c r="G758" s="10" t="str">
        <f>Github!H$437</f>
        <v>Algorithms</v>
      </c>
      <c r="H758" s="13" t="str">
        <f>SUBSTITUTE(Github!L$437, ";", ", ")</f>
        <v>Array, Binary Search, Sorting, </v>
      </c>
      <c r="I758" s="10" t="str">
        <f>Github!E$437</f>
        <v>Medium</v>
      </c>
      <c r="J758" s="10" t="str">
        <f>IF(TRIM(Github!D$437)="TRUE","FALSE","TRUE")</f>
        <v>TRUE</v>
      </c>
      <c r="K758" s="10" t="b">
        <f>Github!M$437</f>
        <v>1</v>
      </c>
      <c r="L758" s="10" t="b">
        <f>Github!N$437</f>
        <v>0</v>
      </c>
      <c r="M758" s="10" t="str">
        <f>ROUND(Github!O$437, 2)&amp;"%"</f>
        <v>49.49%</v>
      </c>
      <c r="N758" s="10">
        <f>Github!P$437</f>
        <v>76852</v>
      </c>
      <c r="O758" s="10">
        <f>Github!Q$437</f>
        <v>155291</v>
      </c>
    </row>
    <row r="759">
      <c r="A759" s="10">
        <f>Github!J$1839</f>
        <v>1838</v>
      </c>
      <c r="B759" s="11" t="str">
        <f>HYPERLINK(CONCAT("http://leetcode.com/problems/",Github!C$1839), Github!B$1839)</f>
        <v>Frequency of the Most Frequent Element</v>
      </c>
      <c r="C759" s="10">
        <f>Github!F$1839</f>
        <v>1197</v>
      </c>
      <c r="D759" s="10">
        <f>Github!G$1839</f>
        <v>27</v>
      </c>
      <c r="E759" s="10">
        <f>Github!F$1839+Github!G$1839</f>
        <v>1224</v>
      </c>
      <c r="F759" s="12">
        <f t="shared" si="1"/>
        <v>44.33</v>
      </c>
      <c r="G759" s="10" t="str">
        <f>Github!H$1839</f>
        <v>Algorithms</v>
      </c>
      <c r="H759" s="13" t="str">
        <f>SUBSTITUTE(Github!L$1839, ";", ", ")</f>
        <v>Array, Binary Search, Greedy, Sliding Window, Sorting, Prefix Sum, </v>
      </c>
      <c r="I759" s="10" t="str">
        <f>Github!E$1839</f>
        <v>Medium</v>
      </c>
      <c r="J759" s="10" t="str">
        <f>IF(TRIM(Github!D$1839)="TRUE","FALSE","TRUE")</f>
        <v>TRUE</v>
      </c>
      <c r="K759" s="10" t="b">
        <f>Github!M$1839</f>
        <v>0</v>
      </c>
      <c r="L759" s="10" t="b">
        <f>Github!N$1839</f>
        <v>0</v>
      </c>
      <c r="M759" s="10" t="str">
        <f>ROUND(Github!O$1839, 2)&amp;"%"</f>
        <v>36.89%</v>
      </c>
      <c r="N759" s="10">
        <f>Github!P$1839</f>
        <v>21407</v>
      </c>
      <c r="O759" s="10">
        <f>Github!Q$1839</f>
        <v>58021</v>
      </c>
    </row>
    <row r="760">
      <c r="A760" s="10">
        <f>Github!J$1921</f>
        <v>1920</v>
      </c>
      <c r="B760" s="11" t="str">
        <f>HYPERLINK(CONCAT("http://leetcode.com/problems/",Github!C$1921), Github!B$1921)</f>
        <v>Build Array from Permutation</v>
      </c>
      <c r="C760" s="10">
        <f>Github!F$1921</f>
        <v>1193</v>
      </c>
      <c r="D760" s="10">
        <f>Github!G$1921</f>
        <v>165</v>
      </c>
      <c r="E760" s="10">
        <f>Github!F$1921+Github!G$1921</f>
        <v>1358</v>
      </c>
      <c r="F760" s="12">
        <f t="shared" si="1"/>
        <v>7.23</v>
      </c>
      <c r="G760" s="10" t="str">
        <f>Github!H$1921</f>
        <v>Algorithms</v>
      </c>
      <c r="H760" s="13" t="str">
        <f>SUBSTITUTE(Github!L$1921, ";", ", ")</f>
        <v>Array, Simulation, </v>
      </c>
      <c r="I760" s="10" t="str">
        <f>Github!E$1921</f>
        <v>Easy</v>
      </c>
      <c r="J760" s="10" t="str">
        <f>IF(TRIM(Github!D$1921)="TRUE","FALSE","TRUE")</f>
        <v>TRUE</v>
      </c>
      <c r="K760" s="10" t="b">
        <f>Github!M$1921</f>
        <v>0</v>
      </c>
      <c r="L760" s="10" t="b">
        <f>Github!N$1921</f>
        <v>0</v>
      </c>
      <c r="M760" s="10" t="str">
        <f>ROUND(Github!O$1921, 2)&amp;"%"</f>
        <v>91.63%</v>
      </c>
      <c r="N760" s="10">
        <f>Github!P$1921</f>
        <v>151554</v>
      </c>
      <c r="O760" s="10">
        <f>Github!Q$1921</f>
        <v>165407</v>
      </c>
    </row>
    <row r="761">
      <c r="A761" s="10">
        <f>Github!J$1267</f>
        <v>1266</v>
      </c>
      <c r="B761" s="11" t="str">
        <f>HYPERLINK(CONCAT("http://leetcode.com/problems/",Github!C$1267), Github!B$1267)</f>
        <v>Minimum Time Visiting All Points</v>
      </c>
      <c r="C761" s="10">
        <f>Github!F$1267</f>
        <v>1180</v>
      </c>
      <c r="D761" s="10">
        <f>Github!G$1267</f>
        <v>158</v>
      </c>
      <c r="E761" s="10">
        <f>Github!F$1267+Github!G$1267</f>
        <v>1338</v>
      </c>
      <c r="F761" s="12">
        <f t="shared" si="1"/>
        <v>7.47</v>
      </c>
      <c r="G761" s="10" t="str">
        <f>Github!H$1267</f>
        <v>Algorithms</v>
      </c>
      <c r="H761" s="13" t="str">
        <f>SUBSTITUTE(Github!L$1267, ";", ", ")</f>
        <v>Array, Math, Geometry, </v>
      </c>
      <c r="I761" s="10" t="str">
        <f>Github!E$1267</f>
        <v>Easy</v>
      </c>
      <c r="J761" s="10" t="str">
        <f>IF(TRIM(Github!D$1267)="TRUE","FALSE","TRUE")</f>
        <v>TRUE</v>
      </c>
      <c r="K761" s="10" t="b">
        <f>Github!M$1267</f>
        <v>0</v>
      </c>
      <c r="L761" s="10" t="b">
        <f>Github!N$1267</f>
        <v>0</v>
      </c>
      <c r="M761" s="10" t="str">
        <f>ROUND(Github!O$1267, 2)&amp;"%"</f>
        <v>79.13%</v>
      </c>
      <c r="N761" s="10">
        <f>Github!P$1267</f>
        <v>114885</v>
      </c>
      <c r="O761" s="10">
        <f>Github!Q$1267</f>
        <v>145193</v>
      </c>
    </row>
    <row r="762">
      <c r="A762" s="10">
        <f>Github!J$680</f>
        <v>679</v>
      </c>
      <c r="B762" s="11" t="str">
        <f>HYPERLINK(CONCAT("http://leetcode.com/problems/",Github!C$680), Github!B$680)</f>
        <v>24 Game</v>
      </c>
      <c r="C762" s="10">
        <f>Github!F$680</f>
        <v>1174</v>
      </c>
      <c r="D762" s="10">
        <f>Github!G$680</f>
        <v>219</v>
      </c>
      <c r="E762" s="10">
        <f>Github!F$680+Github!G$680</f>
        <v>1393</v>
      </c>
      <c r="F762" s="12">
        <f t="shared" si="1"/>
        <v>5.36</v>
      </c>
      <c r="G762" s="10" t="str">
        <f>Github!H$680</f>
        <v>Algorithms</v>
      </c>
      <c r="H762" s="13" t="str">
        <f>SUBSTITUTE(Github!L$680, ";", ", ")</f>
        <v>Array, Math, Backtracking, </v>
      </c>
      <c r="I762" s="10" t="str">
        <f>Github!E$680</f>
        <v>Hard</v>
      </c>
      <c r="J762" s="10" t="str">
        <f>IF(TRIM(Github!D$680)="TRUE","FALSE","TRUE")</f>
        <v>TRUE</v>
      </c>
      <c r="K762" s="10" t="b">
        <f>Github!M$680</f>
        <v>0</v>
      </c>
      <c r="L762" s="10" t="b">
        <f>Github!N$680</f>
        <v>0</v>
      </c>
      <c r="M762" s="10" t="str">
        <f>ROUND(Github!O$680, 2)&amp;"%"</f>
        <v>48.78%</v>
      </c>
      <c r="N762" s="10">
        <f>Github!P$680</f>
        <v>63139</v>
      </c>
      <c r="O762" s="10">
        <f>Github!Q$680</f>
        <v>129440</v>
      </c>
    </row>
    <row r="763">
      <c r="A763" s="10">
        <f>Github!J$916</f>
        <v>915</v>
      </c>
      <c r="B763" s="11" t="str">
        <f>HYPERLINK(CONCAT("http://leetcode.com/problems/",Github!C$916), Github!B$916)</f>
        <v>Partition Array into Disjoint Intervals</v>
      </c>
      <c r="C763" s="10">
        <f>Github!F$916</f>
        <v>1166</v>
      </c>
      <c r="D763" s="10">
        <f>Github!G$916</f>
        <v>59</v>
      </c>
      <c r="E763" s="10">
        <f>Github!F$916+Github!G$916</f>
        <v>1225</v>
      </c>
      <c r="F763" s="12">
        <f t="shared" si="1"/>
        <v>19.76</v>
      </c>
      <c r="G763" s="10" t="str">
        <f>Github!H$916</f>
        <v>Algorithms</v>
      </c>
      <c r="H763" s="13" t="str">
        <f>SUBSTITUTE(Github!L$916, ";", ", ")</f>
        <v>Array, </v>
      </c>
      <c r="I763" s="10" t="str">
        <f>Github!E$916</f>
        <v>Medium</v>
      </c>
      <c r="J763" s="10" t="str">
        <f>IF(TRIM(Github!D$916)="TRUE","FALSE","TRUE")</f>
        <v>TRUE</v>
      </c>
      <c r="K763" s="10" t="b">
        <f>Github!M$916</f>
        <v>1</v>
      </c>
      <c r="L763" s="10" t="b">
        <f>Github!N$916</f>
        <v>0</v>
      </c>
      <c r="M763" s="10" t="str">
        <f>ROUND(Github!O$916, 2)&amp;"%"</f>
        <v>48.39%</v>
      </c>
      <c r="N763" s="10">
        <f>Github!P$916</f>
        <v>65933</v>
      </c>
      <c r="O763" s="10">
        <f>Github!Q$916</f>
        <v>136252</v>
      </c>
    </row>
    <row r="764">
      <c r="A764" s="10">
        <f>Github!J$553</f>
        <v>552</v>
      </c>
      <c r="B764" s="11" t="str">
        <f>HYPERLINK(CONCAT("http://leetcode.com/problems/",Github!C$553), Github!B$553)</f>
        <v>Student Attendance Record II</v>
      </c>
      <c r="C764" s="10">
        <f>Github!F$553</f>
        <v>1171</v>
      </c>
      <c r="D764" s="10">
        <f>Github!G$553</f>
        <v>199</v>
      </c>
      <c r="E764" s="10">
        <f>Github!F$553+Github!G$553</f>
        <v>1370</v>
      </c>
      <c r="F764" s="12">
        <f t="shared" si="1"/>
        <v>5.88</v>
      </c>
      <c r="G764" s="10" t="str">
        <f>Github!H$553</f>
        <v>Algorithms</v>
      </c>
      <c r="H764" s="13" t="str">
        <f>SUBSTITUTE(Github!L$553, ";", ", ")</f>
        <v>Dynamic Programming, </v>
      </c>
      <c r="I764" s="10" t="str">
        <f>Github!E$553</f>
        <v>Hard</v>
      </c>
      <c r="J764" s="10" t="str">
        <f>IF(TRIM(Github!D$553)="TRUE","FALSE","TRUE")</f>
        <v>TRUE</v>
      </c>
      <c r="K764" s="10" t="b">
        <f>Github!M$553</f>
        <v>1</v>
      </c>
      <c r="L764" s="10" t="b">
        <f>Github!N$553</f>
        <v>0</v>
      </c>
      <c r="M764" s="10" t="str">
        <f>ROUND(Github!O$553, 2)&amp;"%"</f>
        <v>40.55%</v>
      </c>
      <c r="N764" s="10">
        <f>Github!P$553</f>
        <v>46755</v>
      </c>
      <c r="O764" s="10">
        <f>Github!Q$553</f>
        <v>115293</v>
      </c>
    </row>
    <row r="765">
      <c r="A765" s="10">
        <f>Github!J$1096</f>
        <v>1095</v>
      </c>
      <c r="B765" s="11" t="str">
        <f>HYPERLINK(CONCAT("http://leetcode.com/problems/",Github!C$1096), Github!B$1096)</f>
        <v>Find in Mountain Array</v>
      </c>
      <c r="C765" s="10">
        <f>Github!F$1096</f>
        <v>1174</v>
      </c>
      <c r="D765" s="10">
        <f>Github!G$1096</f>
        <v>57</v>
      </c>
      <c r="E765" s="10">
        <f>Github!F$1096+Github!G$1096</f>
        <v>1231</v>
      </c>
      <c r="F765" s="12">
        <f t="shared" si="1"/>
        <v>20.6</v>
      </c>
      <c r="G765" s="10" t="str">
        <f>Github!H$1096</f>
        <v>Algorithms</v>
      </c>
      <c r="H765" s="13" t="str">
        <f>SUBSTITUTE(Github!L$1096, ";", ", ")</f>
        <v>Array, Binary Search, Interactive, </v>
      </c>
      <c r="I765" s="10" t="str">
        <f>Github!E$1096</f>
        <v>Hard</v>
      </c>
      <c r="J765" s="10" t="str">
        <f>IF(TRIM(Github!D$1096)="TRUE","FALSE","TRUE")</f>
        <v>TRUE</v>
      </c>
      <c r="K765" s="10" t="b">
        <f>Github!M$1096</f>
        <v>0</v>
      </c>
      <c r="L765" s="10" t="b">
        <f>Github!N$1096</f>
        <v>0</v>
      </c>
      <c r="M765" s="10" t="str">
        <f>ROUND(Github!O$1096, 2)&amp;"%"</f>
        <v>35.92%</v>
      </c>
      <c r="N765" s="10">
        <f>Github!P$1096</f>
        <v>42914</v>
      </c>
      <c r="O765" s="10">
        <f>Github!Q$1096</f>
        <v>119471</v>
      </c>
    </row>
    <row r="766">
      <c r="A766" s="10">
        <f>Github!J$536</f>
        <v>535</v>
      </c>
      <c r="B766" s="11" t="str">
        <f>HYPERLINK(CONCAT("http://leetcode.com/problems/",Github!C$536), Github!B$536)</f>
        <v>Encode and Decode TinyURL</v>
      </c>
      <c r="C766" s="10">
        <f>Github!F$536</f>
        <v>1564</v>
      </c>
      <c r="D766" s="10">
        <f>Github!G$536</f>
        <v>3018</v>
      </c>
      <c r="E766" s="10">
        <f>Github!F$536+Github!G$536</f>
        <v>4582</v>
      </c>
      <c r="F766" s="12">
        <f t="shared" si="1"/>
        <v>0.52</v>
      </c>
      <c r="G766" s="10" t="str">
        <f>Github!H$536</f>
        <v>Algorithms</v>
      </c>
      <c r="H766" s="13" t="str">
        <f>SUBSTITUTE(Github!L$536, ";", ", ")</f>
        <v>Hash Table, String, Design, Hash Function, </v>
      </c>
      <c r="I766" s="10" t="str">
        <f>Github!E$536</f>
        <v>Medium</v>
      </c>
      <c r="J766" s="10" t="str">
        <f>IF(TRIM(Github!D$536)="TRUE","FALSE","TRUE")</f>
        <v>TRUE</v>
      </c>
      <c r="K766" s="10" t="b">
        <f>Github!M$536</f>
        <v>1</v>
      </c>
      <c r="L766" s="10" t="b">
        <f>Github!N$536</f>
        <v>0</v>
      </c>
      <c r="M766" s="10" t="str">
        <f>ROUND(Github!O$536, 2)&amp;"%"</f>
        <v>85.4%</v>
      </c>
      <c r="N766" s="10">
        <f>Github!P$536</f>
        <v>203186</v>
      </c>
      <c r="O766" s="10">
        <f>Github!Q$536</f>
        <v>237917</v>
      </c>
    </row>
    <row r="767">
      <c r="A767" s="10">
        <f>Github!J$1515</f>
        <v>1514</v>
      </c>
      <c r="B767" s="11" t="str">
        <f>HYPERLINK(CONCAT("http://leetcode.com/problems/",Github!C$1515), Github!B$1515)</f>
        <v>Path with Maximum Probability</v>
      </c>
      <c r="C767" s="10">
        <f>Github!F$1515</f>
        <v>1158</v>
      </c>
      <c r="D767" s="10">
        <f>Github!G$1515</f>
        <v>25</v>
      </c>
      <c r="E767" s="10">
        <f>Github!F$1515+Github!G$1515</f>
        <v>1183</v>
      </c>
      <c r="F767" s="12">
        <f t="shared" si="1"/>
        <v>46.32</v>
      </c>
      <c r="G767" s="10" t="str">
        <f>Github!H$1515</f>
        <v>Algorithms</v>
      </c>
      <c r="H767" s="13" t="str">
        <f>SUBSTITUTE(Github!L$1515, ";", ", ")</f>
        <v>Graph, Heap (Priority Queue), Shortest Path, </v>
      </c>
      <c r="I767" s="10" t="str">
        <f>Github!E$1515</f>
        <v>Medium</v>
      </c>
      <c r="J767" s="10" t="str">
        <f>IF(TRIM(Github!D$1515)="TRUE","FALSE","TRUE")</f>
        <v>TRUE</v>
      </c>
      <c r="K767" s="10" t="b">
        <f>Github!M$1515</f>
        <v>0</v>
      </c>
      <c r="L767" s="10" t="b">
        <f>Github!N$1515</f>
        <v>0</v>
      </c>
      <c r="M767" s="10" t="str">
        <f>ROUND(Github!O$1515, 2)&amp;"%"</f>
        <v>46.46%</v>
      </c>
      <c r="N767" s="10">
        <f>Github!P$1515</f>
        <v>42549</v>
      </c>
      <c r="O767" s="10">
        <f>Github!Q$1515</f>
        <v>91583</v>
      </c>
    </row>
    <row r="768">
      <c r="A768" s="10">
        <f>Github!J$769</f>
        <v>768</v>
      </c>
      <c r="B768" s="11" t="str">
        <f>HYPERLINK(CONCAT("http://leetcode.com/problems/",Github!C$769), Github!B$769)</f>
        <v>Max Chunks To Make Sorted II</v>
      </c>
      <c r="C768" s="10">
        <f>Github!F$769</f>
        <v>1153</v>
      </c>
      <c r="D768" s="10">
        <f>Github!G$769</f>
        <v>32</v>
      </c>
      <c r="E768" s="10">
        <f>Github!F$769+Github!G$769</f>
        <v>1185</v>
      </c>
      <c r="F768" s="12">
        <f t="shared" si="1"/>
        <v>36.03</v>
      </c>
      <c r="G768" s="10" t="str">
        <f>Github!H$769</f>
        <v>Algorithms</v>
      </c>
      <c r="H768" s="13" t="str">
        <f>SUBSTITUTE(Github!L$769, ";", ", ")</f>
        <v>Array, Stack, Greedy, Sorting, Monotonic Stack, </v>
      </c>
      <c r="I768" s="10" t="str">
        <f>Github!E$769</f>
        <v>Hard</v>
      </c>
      <c r="J768" s="10" t="str">
        <f>IF(TRIM(Github!D$769)="TRUE","FALSE","TRUE")</f>
        <v>TRUE</v>
      </c>
      <c r="K768" s="10" t="b">
        <f>Github!M$769</f>
        <v>0</v>
      </c>
      <c r="L768" s="10" t="b">
        <f>Github!N$769</f>
        <v>0</v>
      </c>
      <c r="M768" s="10" t="str">
        <f>ROUND(Github!O$769, 2)&amp;"%"</f>
        <v>51.94%</v>
      </c>
      <c r="N768" s="10">
        <f>Github!P$769</f>
        <v>40691</v>
      </c>
      <c r="O768" s="10">
        <f>Github!Q$769</f>
        <v>78335</v>
      </c>
    </row>
    <row r="769">
      <c r="A769" s="10">
        <f>Github!J$1824</f>
        <v>1823</v>
      </c>
      <c r="B769" s="11" t="str">
        <f>HYPERLINK(CONCAT("http://leetcode.com/problems/",Github!C$1824), Github!B$1824)</f>
        <v>Find the Winner of the Circular Game</v>
      </c>
      <c r="C769" s="10">
        <f>Github!F$1824</f>
        <v>1161</v>
      </c>
      <c r="D769" s="10">
        <f>Github!G$1824</f>
        <v>31</v>
      </c>
      <c r="E769" s="10">
        <f>Github!F$1824+Github!G$1824</f>
        <v>1192</v>
      </c>
      <c r="F769" s="12">
        <f t="shared" si="1"/>
        <v>37.45</v>
      </c>
      <c r="G769" s="10" t="str">
        <f>Github!H$1824</f>
        <v>Algorithms</v>
      </c>
      <c r="H769" s="13" t="str">
        <f>SUBSTITUTE(Github!L$1824, ";", ", ")</f>
        <v>Array, Math, Recursion, Queue, Simulation, </v>
      </c>
      <c r="I769" s="10" t="str">
        <f>Github!E$1824</f>
        <v>Medium</v>
      </c>
      <c r="J769" s="10" t="str">
        <f>IF(TRIM(Github!D$1824)="TRUE","FALSE","TRUE")</f>
        <v>TRUE</v>
      </c>
      <c r="K769" s="10" t="b">
        <f>Github!M$1824</f>
        <v>0</v>
      </c>
      <c r="L769" s="10" t="b">
        <f>Github!N$1824</f>
        <v>0</v>
      </c>
      <c r="M769" s="10" t="str">
        <f>ROUND(Github!O$1824, 2)&amp;"%"</f>
        <v>76.3%</v>
      </c>
      <c r="N769" s="10">
        <f>Github!P$1824</f>
        <v>44322</v>
      </c>
      <c r="O769" s="10">
        <f>Github!Q$1824</f>
        <v>58086</v>
      </c>
    </row>
    <row r="770">
      <c r="A770" s="10">
        <f>Github!J$1548</f>
        <v>1547</v>
      </c>
      <c r="B770" s="11" t="str">
        <f>HYPERLINK(CONCAT("http://leetcode.com/problems/",Github!C$1548), Github!B$1548)</f>
        <v>Minimum Cost to Cut a Stick</v>
      </c>
      <c r="C770" s="10">
        <f>Github!F$1548</f>
        <v>1168</v>
      </c>
      <c r="D770" s="10">
        <f>Github!G$1548</f>
        <v>23</v>
      </c>
      <c r="E770" s="10">
        <f>Github!F$1548+Github!G$1548</f>
        <v>1191</v>
      </c>
      <c r="F770" s="12">
        <f t="shared" si="1"/>
        <v>50.78</v>
      </c>
      <c r="G770" s="10" t="str">
        <f>Github!H$1548</f>
        <v>Algorithms</v>
      </c>
      <c r="H770" s="13" t="str">
        <f>SUBSTITUTE(Github!L$1548, ";", ", ")</f>
        <v>Array, Dynamic Programming, </v>
      </c>
      <c r="I770" s="10" t="str">
        <f>Github!E$1548</f>
        <v>Hard</v>
      </c>
      <c r="J770" s="10" t="str">
        <f>IF(TRIM(Github!D$1548)="TRUE","FALSE","TRUE")</f>
        <v>TRUE</v>
      </c>
      <c r="K770" s="10" t="b">
        <f>Github!M$1548</f>
        <v>0</v>
      </c>
      <c r="L770" s="10" t="b">
        <f>Github!N$1548</f>
        <v>0</v>
      </c>
      <c r="M770" s="10" t="str">
        <f>ROUND(Github!O$1548, 2)&amp;"%"</f>
        <v>55.06%</v>
      </c>
      <c r="N770" s="10">
        <f>Github!P$1548</f>
        <v>22529</v>
      </c>
      <c r="O770" s="10">
        <f>Github!Q$1548</f>
        <v>40916</v>
      </c>
    </row>
    <row r="771">
      <c r="A771" s="10">
        <f>Github!J$868</f>
        <v>867</v>
      </c>
      <c r="B771" s="11" t="str">
        <f>HYPERLINK(CONCAT("http://leetcode.com/problems/",Github!C$868), Github!B$868)</f>
        <v>Transpose Matrix</v>
      </c>
      <c r="C771" s="10">
        <f>Github!F$868</f>
        <v>1150</v>
      </c>
      <c r="D771" s="10">
        <f>Github!G$868</f>
        <v>371</v>
      </c>
      <c r="E771" s="10">
        <f>Github!F$868+Github!G$868</f>
        <v>1521</v>
      </c>
      <c r="F771" s="12">
        <f t="shared" si="1"/>
        <v>3.1</v>
      </c>
      <c r="G771" s="10" t="str">
        <f>Github!H$868</f>
        <v>Algorithms</v>
      </c>
      <c r="H771" s="13" t="str">
        <f>SUBSTITUTE(Github!L$868, ";", ", ")</f>
        <v>Array, Matrix, Simulation, </v>
      </c>
      <c r="I771" s="10" t="str">
        <f>Github!E$868</f>
        <v>Easy</v>
      </c>
      <c r="J771" s="10" t="str">
        <f>IF(TRIM(Github!D$868)="TRUE","FALSE","TRUE")</f>
        <v>TRUE</v>
      </c>
      <c r="K771" s="10" t="b">
        <f>Github!M$868</f>
        <v>1</v>
      </c>
      <c r="L771" s="10" t="b">
        <f>Github!N$868</f>
        <v>0</v>
      </c>
      <c r="M771" s="10" t="str">
        <f>ROUND(Github!O$868, 2)&amp;"%"</f>
        <v>61.05%</v>
      </c>
      <c r="N771" s="10">
        <f>Github!P$868</f>
        <v>131609</v>
      </c>
      <c r="O771" s="10">
        <f>Github!Q$868</f>
        <v>215575</v>
      </c>
    </row>
    <row r="772">
      <c r="A772" s="10">
        <f>Github!J$881</f>
        <v>880</v>
      </c>
      <c r="B772" s="11" t="str">
        <f>HYPERLINK(CONCAT("http://leetcode.com/problems/",Github!C$881), Github!B$881)</f>
        <v>Decoded String at Index</v>
      </c>
      <c r="C772" s="10">
        <f>Github!F$881</f>
        <v>1143</v>
      </c>
      <c r="D772" s="10">
        <f>Github!G$881</f>
        <v>187</v>
      </c>
      <c r="E772" s="10">
        <f>Github!F$881+Github!G$881</f>
        <v>1330</v>
      </c>
      <c r="F772" s="12">
        <f t="shared" si="1"/>
        <v>6.11</v>
      </c>
      <c r="G772" s="10" t="str">
        <f>Github!H$881</f>
        <v>Algorithms</v>
      </c>
      <c r="H772" s="13" t="str">
        <f>SUBSTITUTE(Github!L$881, ";", ", ")</f>
        <v>String, Stack, </v>
      </c>
      <c r="I772" s="10" t="str">
        <f>Github!E$881</f>
        <v>Medium</v>
      </c>
      <c r="J772" s="10" t="str">
        <f>IF(TRIM(Github!D$881)="TRUE","FALSE","TRUE")</f>
        <v>TRUE</v>
      </c>
      <c r="K772" s="10" t="b">
        <f>Github!M$881</f>
        <v>1</v>
      </c>
      <c r="L772" s="10" t="b">
        <f>Github!N$881</f>
        <v>0</v>
      </c>
      <c r="M772" s="10" t="str">
        <f>ROUND(Github!O$881, 2)&amp;"%"</f>
        <v>28.29%</v>
      </c>
      <c r="N772" s="10">
        <f>Github!P$881</f>
        <v>33246</v>
      </c>
      <c r="O772" s="10">
        <f>Github!Q$881</f>
        <v>117503</v>
      </c>
    </row>
    <row r="773">
      <c r="A773" s="10">
        <f>Github!J$1287</f>
        <v>1286</v>
      </c>
      <c r="B773" s="11" t="str">
        <f>HYPERLINK(CONCAT("http://leetcode.com/problems/",Github!C$1287), Github!B$1287)</f>
        <v>Iterator for Combination</v>
      </c>
      <c r="C773" s="10">
        <f>Github!F$1287</f>
        <v>1140</v>
      </c>
      <c r="D773" s="10">
        <f>Github!G$1287</f>
        <v>92</v>
      </c>
      <c r="E773" s="10">
        <f>Github!F$1287+Github!G$1287</f>
        <v>1232</v>
      </c>
      <c r="F773" s="12">
        <f t="shared" si="1"/>
        <v>12.39</v>
      </c>
      <c r="G773" s="10" t="str">
        <f>Github!H$1287</f>
        <v>Algorithms</v>
      </c>
      <c r="H773" s="13" t="str">
        <f>SUBSTITUTE(Github!L$1287, ";", ", ")</f>
        <v>String, Backtracking, Design, Iterator, </v>
      </c>
      <c r="I773" s="10" t="str">
        <f>Github!E$1287</f>
        <v>Medium</v>
      </c>
      <c r="J773" s="10" t="str">
        <f>IF(TRIM(Github!D$1287)="TRUE","FALSE","TRUE")</f>
        <v>TRUE</v>
      </c>
      <c r="K773" s="10" t="b">
        <f>Github!M$1287</f>
        <v>1</v>
      </c>
      <c r="L773" s="10" t="b">
        <f>Github!N$1287</f>
        <v>0</v>
      </c>
      <c r="M773" s="10" t="str">
        <f>ROUND(Github!O$1287, 2)&amp;"%"</f>
        <v>73.24%</v>
      </c>
      <c r="N773" s="10">
        <f>Github!P$1287</f>
        <v>62301</v>
      </c>
      <c r="O773" s="10">
        <f>Github!Q$1287</f>
        <v>85069</v>
      </c>
    </row>
    <row r="774">
      <c r="A774" s="10">
        <f>Github!J$1384</f>
        <v>1383</v>
      </c>
      <c r="B774" s="11" t="str">
        <f>HYPERLINK(CONCAT("http://leetcode.com/problems/",Github!C$1384), Github!B$1384)</f>
        <v>Maximum Performance of a Team</v>
      </c>
      <c r="C774" s="10">
        <f>Github!F$1384</f>
        <v>1143</v>
      </c>
      <c r="D774" s="10">
        <f>Github!G$1384</f>
        <v>39</v>
      </c>
      <c r="E774" s="10">
        <f>Github!F$1384+Github!G$1384</f>
        <v>1182</v>
      </c>
      <c r="F774" s="12">
        <f t="shared" si="1"/>
        <v>29.31</v>
      </c>
      <c r="G774" s="10" t="str">
        <f>Github!H$1384</f>
        <v>Algorithms</v>
      </c>
      <c r="H774" s="13" t="str">
        <f>SUBSTITUTE(Github!L$1384, ";", ", ")</f>
        <v>Array, Greedy, Sorting, Heap (Priority Queue), </v>
      </c>
      <c r="I774" s="10" t="str">
        <f>Github!E$1384</f>
        <v>Hard</v>
      </c>
      <c r="J774" s="10" t="str">
        <f>IF(TRIM(Github!D$1384)="TRUE","FALSE","TRUE")</f>
        <v>TRUE</v>
      </c>
      <c r="K774" s="10" t="b">
        <f>Github!M$1384</f>
        <v>1</v>
      </c>
      <c r="L774" s="10" t="b">
        <f>Github!N$1384</f>
        <v>0</v>
      </c>
      <c r="M774" s="10" t="str">
        <f>ROUND(Github!O$1384, 2)&amp;"%"</f>
        <v>41.49%</v>
      </c>
      <c r="N774" s="10">
        <f>Github!P$1384</f>
        <v>38655</v>
      </c>
      <c r="O774" s="10">
        <f>Github!Q$1384</f>
        <v>93176</v>
      </c>
    </row>
    <row r="775">
      <c r="A775" s="10">
        <f>Github!J$729</f>
        <v>728</v>
      </c>
      <c r="B775" s="11" t="str">
        <f>HYPERLINK(CONCAT("http://leetcode.com/problems/",Github!C$729), Github!B$729)</f>
        <v>Self Dividing Numbers</v>
      </c>
      <c r="C775" s="10">
        <f>Github!F$729</f>
        <v>1139</v>
      </c>
      <c r="D775" s="10">
        <f>Github!G$729</f>
        <v>347</v>
      </c>
      <c r="E775" s="10">
        <f>Github!F$729+Github!G$729</f>
        <v>1486</v>
      </c>
      <c r="F775" s="12">
        <f t="shared" si="1"/>
        <v>3.28</v>
      </c>
      <c r="G775" s="10" t="str">
        <f>Github!H$729</f>
        <v>Algorithms</v>
      </c>
      <c r="H775" s="13" t="str">
        <f>SUBSTITUTE(Github!L$729, ";", ", ")</f>
        <v>Math, </v>
      </c>
      <c r="I775" s="10" t="str">
        <f>Github!E$729</f>
        <v>Easy</v>
      </c>
      <c r="J775" s="10" t="str">
        <f>IF(TRIM(Github!D$729)="TRUE","FALSE","TRUE")</f>
        <v>TRUE</v>
      </c>
      <c r="K775" s="10" t="b">
        <f>Github!M$729</f>
        <v>1</v>
      </c>
      <c r="L775" s="10" t="b">
        <f>Github!N$729</f>
        <v>0</v>
      </c>
      <c r="M775" s="10" t="str">
        <f>ROUND(Github!O$729, 2)&amp;"%"</f>
        <v>76.94%</v>
      </c>
      <c r="N775" s="10">
        <f>Github!P$729</f>
        <v>175042</v>
      </c>
      <c r="O775" s="10">
        <f>Github!Q$729</f>
        <v>227494</v>
      </c>
    </row>
    <row r="776">
      <c r="A776" s="10">
        <f>Github!J$1282</f>
        <v>1281</v>
      </c>
      <c r="B776" s="11" t="str">
        <f>HYPERLINK(CONCAT("http://leetcode.com/problems/",Github!C$1282), Github!B$1282)</f>
        <v>Subtract the Product and Sum of Digits of an Integer</v>
      </c>
      <c r="C776" s="10">
        <f>Github!F$1282</f>
        <v>1147</v>
      </c>
      <c r="D776" s="10">
        <f>Github!G$1282</f>
        <v>188</v>
      </c>
      <c r="E776" s="10">
        <f>Github!F$1282+Github!G$1282</f>
        <v>1335</v>
      </c>
      <c r="F776" s="12">
        <f t="shared" si="1"/>
        <v>6.1</v>
      </c>
      <c r="G776" s="10" t="str">
        <f>Github!H$1282</f>
        <v>Algorithms</v>
      </c>
      <c r="H776" s="13" t="str">
        <f>SUBSTITUTE(Github!L$1282, ";", ", ")</f>
        <v>Math, </v>
      </c>
      <c r="I776" s="10" t="str">
        <f>Github!E$1282</f>
        <v>Easy</v>
      </c>
      <c r="J776" s="10" t="str">
        <f>IF(TRIM(Github!D$1282)="TRUE","FALSE","TRUE")</f>
        <v>TRUE</v>
      </c>
      <c r="K776" s="10" t="b">
        <f>Github!M$1282</f>
        <v>0</v>
      </c>
      <c r="L776" s="10" t="b">
        <f>Github!N$1282</f>
        <v>0</v>
      </c>
      <c r="M776" s="10" t="str">
        <f>ROUND(Github!O$1282, 2)&amp;"%"</f>
        <v>86.35%</v>
      </c>
      <c r="N776" s="10">
        <f>Github!P$1282</f>
        <v>225498</v>
      </c>
      <c r="O776" s="10">
        <f>Github!Q$1282</f>
        <v>261153</v>
      </c>
    </row>
    <row r="777">
      <c r="A777" s="10">
        <f>Github!J$732</f>
        <v>731</v>
      </c>
      <c r="B777" s="11" t="str">
        <f>HYPERLINK(CONCAT("http://leetcode.com/problems/",Github!C$732), Github!B$732)</f>
        <v>My Calendar II</v>
      </c>
      <c r="C777" s="10">
        <f>Github!F$732</f>
        <v>1141</v>
      </c>
      <c r="D777" s="10">
        <f>Github!G$732</f>
        <v>123</v>
      </c>
      <c r="E777" s="10">
        <f>Github!F$732+Github!G$732</f>
        <v>1264</v>
      </c>
      <c r="F777" s="12">
        <f t="shared" si="1"/>
        <v>9.28</v>
      </c>
      <c r="G777" s="10" t="str">
        <f>Github!H$732</f>
        <v>Algorithms</v>
      </c>
      <c r="H777" s="13" t="str">
        <f>SUBSTITUTE(Github!L$732, ";", ", ")</f>
        <v>Design, Segment Tree, Ordered Set, </v>
      </c>
      <c r="I777" s="10" t="str">
        <f>Github!E$732</f>
        <v>Medium</v>
      </c>
      <c r="J777" s="10" t="str">
        <f>IF(TRIM(Github!D$732)="TRUE","FALSE","TRUE")</f>
        <v>TRUE</v>
      </c>
      <c r="K777" s="10" t="b">
        <f>Github!M$732</f>
        <v>1</v>
      </c>
      <c r="L777" s="10" t="b">
        <f>Github!N$732</f>
        <v>0</v>
      </c>
      <c r="M777" s="10" t="str">
        <f>ROUND(Github!O$732, 2)&amp;"%"</f>
        <v>53.38%</v>
      </c>
      <c r="N777" s="10">
        <f>Github!P$732</f>
        <v>72888</v>
      </c>
      <c r="O777" s="10">
        <f>Github!Q$732</f>
        <v>136544</v>
      </c>
    </row>
    <row r="778">
      <c r="A778" s="10">
        <f>Github!J$963</f>
        <v>962</v>
      </c>
      <c r="B778" s="11" t="str">
        <f>HYPERLINK(CONCAT("http://leetcode.com/problems/",Github!C$963), Github!B$963)</f>
        <v>Maximum Width Ramp</v>
      </c>
      <c r="C778" s="10">
        <f>Github!F$963</f>
        <v>1134</v>
      </c>
      <c r="D778" s="10">
        <f>Github!G$963</f>
        <v>35</v>
      </c>
      <c r="E778" s="10">
        <f>Github!F$963+Github!G$963</f>
        <v>1169</v>
      </c>
      <c r="F778" s="12">
        <f t="shared" si="1"/>
        <v>32.4</v>
      </c>
      <c r="G778" s="10" t="str">
        <f>Github!H$963</f>
        <v>Algorithms</v>
      </c>
      <c r="H778" s="13" t="str">
        <f>SUBSTITUTE(Github!L$963, ";", ", ")</f>
        <v>Array, Stack, Monotonic Stack, </v>
      </c>
      <c r="I778" s="10" t="str">
        <f>Github!E$963</f>
        <v>Medium</v>
      </c>
      <c r="J778" s="10" t="str">
        <f>IF(TRIM(Github!D$963)="TRUE","FALSE","TRUE")</f>
        <v>TRUE</v>
      </c>
      <c r="K778" s="10" t="b">
        <f>Github!M$963</f>
        <v>0</v>
      </c>
      <c r="L778" s="10" t="b">
        <f>Github!N$963</f>
        <v>0</v>
      </c>
      <c r="M778" s="10" t="str">
        <f>ROUND(Github!O$963, 2)&amp;"%"</f>
        <v>48.2%</v>
      </c>
      <c r="N778" s="10">
        <f>Github!P$963</f>
        <v>33009</v>
      </c>
      <c r="O778" s="10">
        <f>Github!Q$963</f>
        <v>68490</v>
      </c>
    </row>
    <row r="779">
      <c r="A779" s="10">
        <f>Github!J$1053</f>
        <v>1052</v>
      </c>
      <c r="B779" s="11" t="str">
        <f>HYPERLINK(CONCAT("http://leetcode.com/problems/",Github!C$1053), Github!B$1053)</f>
        <v>Grumpy Bookstore Owner</v>
      </c>
      <c r="C779" s="10">
        <f>Github!F$1053</f>
        <v>1132</v>
      </c>
      <c r="D779" s="10">
        <f>Github!G$1053</f>
        <v>93</v>
      </c>
      <c r="E779" s="10">
        <f>Github!F$1053+Github!G$1053</f>
        <v>1225</v>
      </c>
      <c r="F779" s="12">
        <f t="shared" si="1"/>
        <v>12.17</v>
      </c>
      <c r="G779" s="10" t="str">
        <f>Github!H$1053</f>
        <v>Algorithms</v>
      </c>
      <c r="H779" s="13" t="str">
        <f>SUBSTITUTE(Github!L$1053, ";", ", ")</f>
        <v>Array, Sliding Window, </v>
      </c>
      <c r="I779" s="10" t="str">
        <f>Github!E$1053</f>
        <v>Medium</v>
      </c>
      <c r="J779" s="10" t="str">
        <f>IF(TRIM(Github!D$1053)="TRUE","FALSE","TRUE")</f>
        <v>TRUE</v>
      </c>
      <c r="K779" s="10" t="b">
        <f>Github!M$1053</f>
        <v>0</v>
      </c>
      <c r="L779" s="10" t="b">
        <f>Github!N$1053</f>
        <v>0</v>
      </c>
      <c r="M779" s="10" t="str">
        <f>ROUND(Github!O$1053, 2)&amp;"%"</f>
        <v>56.74%</v>
      </c>
      <c r="N779" s="10">
        <f>Github!P$1053</f>
        <v>52724</v>
      </c>
      <c r="O779" s="10">
        <f>Github!Q$1053</f>
        <v>92921</v>
      </c>
    </row>
    <row r="780">
      <c r="A780" s="10">
        <f>Github!J$466</f>
        <v>465</v>
      </c>
      <c r="B780" s="11" t="str">
        <f>HYPERLINK(CONCAT("http://leetcode.com/problems/",Github!C$466), Github!B$466)</f>
        <v>Optimal Account Balancing</v>
      </c>
      <c r="C780" s="10">
        <f>Github!F$466</f>
        <v>1127</v>
      </c>
      <c r="D780" s="10">
        <f>Github!G$466</f>
        <v>108</v>
      </c>
      <c r="E780" s="10">
        <f>Github!F$466+Github!G$466</f>
        <v>1235</v>
      </c>
      <c r="F780" s="12">
        <f t="shared" si="1"/>
        <v>10.44</v>
      </c>
      <c r="G780" s="10" t="str">
        <f>Github!H$466</f>
        <v>Algorithms</v>
      </c>
      <c r="H780" s="13" t="str">
        <f>SUBSTITUTE(Github!L$466, ";", ", ")</f>
        <v>Array, Dynamic Programming, Backtracking, Bit Manipulation, Bitmask, </v>
      </c>
      <c r="I780" s="10" t="str">
        <f>Github!E$466</f>
        <v>Hard</v>
      </c>
      <c r="J780" s="10" t="str">
        <f>IF(TRIM(Github!D$466)="TRUE","FALSE","TRUE")</f>
        <v>FALSE</v>
      </c>
      <c r="K780" s="10" t="b">
        <f>Github!M$466</f>
        <v>0</v>
      </c>
      <c r="L780" s="10" t="b">
        <f>Github!N$466</f>
        <v>0</v>
      </c>
      <c r="M780" s="10" t="str">
        <f>ROUND(Github!O$466, 2)&amp;"%"</f>
        <v>48.9%</v>
      </c>
      <c r="N780" s="10">
        <f>Github!P$466</f>
        <v>69191</v>
      </c>
      <c r="O780" s="10">
        <f>Github!Q$466</f>
        <v>141485</v>
      </c>
    </row>
    <row r="781">
      <c r="A781" s="10">
        <f>Github!J$1335</f>
        <v>1334</v>
      </c>
      <c r="B781" s="11" t="str">
        <f>HYPERLINK(CONCAT("http://leetcode.com/problems/",Github!C$1335), Github!B$1335)</f>
        <v>Find the City With the Smallest Number of Neighbors at a Threshold Distance</v>
      </c>
      <c r="C781" s="10">
        <f>Github!F$1335</f>
        <v>1131</v>
      </c>
      <c r="D781" s="10">
        <f>Github!G$1335</f>
        <v>56</v>
      </c>
      <c r="E781" s="10">
        <f>Github!F$1335+Github!G$1335</f>
        <v>1187</v>
      </c>
      <c r="F781" s="12">
        <f t="shared" si="1"/>
        <v>20.2</v>
      </c>
      <c r="G781" s="10" t="str">
        <f>Github!H$1335</f>
        <v>Algorithms</v>
      </c>
      <c r="H781" s="13" t="str">
        <f>SUBSTITUTE(Github!L$1335, ";", ", ")</f>
        <v>Dynamic Programming, Graph, Shortest Path, </v>
      </c>
      <c r="I781" s="10" t="str">
        <f>Github!E$1335</f>
        <v>Medium</v>
      </c>
      <c r="J781" s="10" t="str">
        <f>IF(TRIM(Github!D$1335)="TRUE","FALSE","TRUE")</f>
        <v>TRUE</v>
      </c>
      <c r="K781" s="10" t="b">
        <f>Github!M$1335</f>
        <v>0</v>
      </c>
      <c r="L781" s="10" t="b">
        <f>Github!N$1335</f>
        <v>0</v>
      </c>
      <c r="M781" s="10" t="str">
        <f>ROUND(Github!O$1335, 2)&amp;"%"</f>
        <v>51.17%</v>
      </c>
      <c r="N781" s="10">
        <f>Github!P$1335</f>
        <v>38419</v>
      </c>
      <c r="O781" s="10">
        <f>Github!Q$1335</f>
        <v>75078</v>
      </c>
    </row>
    <row r="782">
      <c r="A782" s="10">
        <f>Github!J$1406</f>
        <v>1405</v>
      </c>
      <c r="B782" s="11" t="str">
        <f>HYPERLINK(CONCAT("http://leetcode.com/problems/",Github!C$1406), Github!B$1406)</f>
        <v>Longest Happy String</v>
      </c>
      <c r="C782" s="10">
        <f>Github!F$1406</f>
        <v>1135</v>
      </c>
      <c r="D782" s="10">
        <f>Github!G$1406</f>
        <v>179</v>
      </c>
      <c r="E782" s="10">
        <f>Github!F$1406+Github!G$1406</f>
        <v>1314</v>
      </c>
      <c r="F782" s="12">
        <f t="shared" si="1"/>
        <v>6.34</v>
      </c>
      <c r="G782" s="10" t="str">
        <f>Github!H$1406</f>
        <v>Algorithms</v>
      </c>
      <c r="H782" s="13" t="str">
        <f>SUBSTITUTE(Github!L$1406, ";", ", ")</f>
        <v>String, Greedy, Heap (Priority Queue), </v>
      </c>
      <c r="I782" s="10" t="str">
        <f>Github!E$1406</f>
        <v>Medium</v>
      </c>
      <c r="J782" s="10" t="str">
        <f>IF(TRIM(Github!D$1406)="TRUE","FALSE","TRUE")</f>
        <v>TRUE</v>
      </c>
      <c r="K782" s="10" t="b">
        <f>Github!M$1406</f>
        <v>0</v>
      </c>
      <c r="L782" s="10" t="b">
        <f>Github!N$1406</f>
        <v>0</v>
      </c>
      <c r="M782" s="10" t="str">
        <f>ROUND(Github!O$1406, 2)&amp;"%"</f>
        <v>56.54%</v>
      </c>
      <c r="N782" s="10">
        <f>Github!P$1406</f>
        <v>43568</v>
      </c>
      <c r="O782" s="10">
        <f>Github!Q$1406</f>
        <v>77053</v>
      </c>
    </row>
    <row r="783">
      <c r="A783" s="10">
        <f>Github!J$162</f>
        <v>161</v>
      </c>
      <c r="B783" s="11" t="str">
        <f>HYPERLINK(CONCAT("http://leetcode.com/problems/",Github!C$162), Github!B$162)</f>
        <v>One Edit Distance</v>
      </c>
      <c r="C783" s="10">
        <f>Github!F$162</f>
        <v>1120</v>
      </c>
      <c r="D783" s="10">
        <f>Github!G$162</f>
        <v>165</v>
      </c>
      <c r="E783" s="10">
        <f>Github!F$162+Github!G$162</f>
        <v>1285</v>
      </c>
      <c r="F783" s="12">
        <f t="shared" si="1"/>
        <v>6.79</v>
      </c>
      <c r="G783" s="10" t="str">
        <f>Github!H$162</f>
        <v>Algorithms</v>
      </c>
      <c r="H783" s="13" t="str">
        <f>SUBSTITUTE(Github!L$162, ";", ", ")</f>
        <v>Two Pointers, String, </v>
      </c>
      <c r="I783" s="10" t="str">
        <f>Github!E$162</f>
        <v>Medium</v>
      </c>
      <c r="J783" s="10" t="str">
        <f>IF(TRIM(Github!D$162)="TRUE","FALSE","TRUE")</f>
        <v>FALSE</v>
      </c>
      <c r="K783" s="10" t="b">
        <f>Github!M$162</f>
        <v>1</v>
      </c>
      <c r="L783" s="10" t="b">
        <f>Github!N$162</f>
        <v>0</v>
      </c>
      <c r="M783" s="10" t="str">
        <f>ROUND(Github!O$162, 2)&amp;"%"</f>
        <v>33.93%</v>
      </c>
      <c r="N783" s="10">
        <f>Github!P$162</f>
        <v>172399</v>
      </c>
      <c r="O783" s="10">
        <f>Github!Q$162</f>
        <v>508105</v>
      </c>
    </row>
    <row r="784">
      <c r="A784" s="10">
        <f>Github!J$1553</f>
        <v>1552</v>
      </c>
      <c r="B784" s="11" t="str">
        <f>HYPERLINK(CONCAT("http://leetcode.com/problems/",Github!C$1553), Github!B$1553)</f>
        <v>Magnetic Force Between Two Balls</v>
      </c>
      <c r="C784" s="10">
        <f>Github!F$1553</f>
        <v>1130</v>
      </c>
      <c r="D784" s="10">
        <f>Github!G$1553</f>
        <v>78</v>
      </c>
      <c r="E784" s="10">
        <f>Github!F$1553+Github!G$1553</f>
        <v>1208</v>
      </c>
      <c r="F784" s="12">
        <f t="shared" si="1"/>
        <v>14.49</v>
      </c>
      <c r="G784" s="10" t="str">
        <f>Github!H$1553</f>
        <v>Algorithms</v>
      </c>
      <c r="H784" s="13" t="str">
        <f>SUBSTITUTE(Github!L$1553, ";", ", ")</f>
        <v>Array, Binary Search, Sorting, </v>
      </c>
      <c r="I784" s="10" t="str">
        <f>Github!E$1553</f>
        <v>Medium</v>
      </c>
      <c r="J784" s="10" t="str">
        <f>IF(TRIM(Github!D$1553)="TRUE","FALSE","TRUE")</f>
        <v>TRUE</v>
      </c>
      <c r="K784" s="10" t="b">
        <f>Github!M$1553</f>
        <v>0</v>
      </c>
      <c r="L784" s="10" t="b">
        <f>Github!N$1553</f>
        <v>0</v>
      </c>
      <c r="M784" s="10" t="str">
        <f>ROUND(Github!O$1553, 2)&amp;"%"</f>
        <v>54.8%</v>
      </c>
      <c r="N784" s="10">
        <f>Github!P$1553</f>
        <v>26624</v>
      </c>
      <c r="O784" s="10">
        <f>Github!Q$1553</f>
        <v>48582</v>
      </c>
    </row>
    <row r="785">
      <c r="A785" s="10">
        <f>Github!J$1499</f>
        <v>1498</v>
      </c>
      <c r="B785" s="11" t="str">
        <f>HYPERLINK(CONCAT("http://leetcode.com/problems/",Github!C$1499), Github!B$1499)</f>
        <v>Number of Subsequences That Satisfy the Given Sum Condition</v>
      </c>
      <c r="C785" s="10">
        <f>Github!F$1499</f>
        <v>1123</v>
      </c>
      <c r="D785" s="10">
        <f>Github!G$1499</f>
        <v>104</v>
      </c>
      <c r="E785" s="10">
        <f>Github!F$1499+Github!G$1499</f>
        <v>1227</v>
      </c>
      <c r="F785" s="12">
        <f t="shared" si="1"/>
        <v>10.8</v>
      </c>
      <c r="G785" s="10" t="str">
        <f>Github!H$1499</f>
        <v>Algorithms</v>
      </c>
      <c r="H785" s="13" t="str">
        <f>SUBSTITUTE(Github!L$1499, ";", ", ")</f>
        <v>Array, Two Pointers, Binary Search, Sorting, </v>
      </c>
      <c r="I785" s="10" t="str">
        <f>Github!E$1499</f>
        <v>Medium</v>
      </c>
      <c r="J785" s="10" t="str">
        <f>IF(TRIM(Github!D$1499)="TRUE","FALSE","TRUE")</f>
        <v>TRUE</v>
      </c>
      <c r="K785" s="10" t="b">
        <f>Github!M$1499</f>
        <v>0</v>
      </c>
      <c r="L785" s="10" t="b">
        <f>Github!N$1499</f>
        <v>0</v>
      </c>
      <c r="M785" s="10" t="str">
        <f>ROUND(Github!O$1499, 2)&amp;"%"</f>
        <v>39.16%</v>
      </c>
      <c r="N785" s="10">
        <f>Github!P$1499</f>
        <v>28390</v>
      </c>
      <c r="O785" s="10">
        <f>Github!Q$1499</f>
        <v>72505</v>
      </c>
    </row>
    <row r="786">
      <c r="A786" s="10">
        <f>Github!J$1382</f>
        <v>1381</v>
      </c>
      <c r="B786" s="11" t="str">
        <f>HYPERLINK(CONCAT("http://leetcode.com/problems/",Github!C$1382), Github!B$1382)</f>
        <v>Design a Stack With Increment Operation</v>
      </c>
      <c r="C786" s="10">
        <f>Github!F$1382</f>
        <v>1122</v>
      </c>
      <c r="D786" s="10">
        <f>Github!G$1382</f>
        <v>69</v>
      </c>
      <c r="E786" s="10">
        <f>Github!F$1382+Github!G$1382</f>
        <v>1191</v>
      </c>
      <c r="F786" s="12">
        <f t="shared" si="1"/>
        <v>16.26</v>
      </c>
      <c r="G786" s="10" t="str">
        <f>Github!H$1382</f>
        <v>Algorithms</v>
      </c>
      <c r="H786" s="13" t="str">
        <f>SUBSTITUTE(Github!L$1382, ";", ", ")</f>
        <v>Array, Stack, Design, </v>
      </c>
      <c r="I786" s="10" t="str">
        <f>Github!E$1382</f>
        <v>Medium</v>
      </c>
      <c r="J786" s="10" t="str">
        <f>IF(TRIM(Github!D$1382)="TRUE","FALSE","TRUE")</f>
        <v>TRUE</v>
      </c>
      <c r="K786" s="10" t="b">
        <f>Github!M$1382</f>
        <v>0</v>
      </c>
      <c r="L786" s="10" t="b">
        <f>Github!N$1382</f>
        <v>0</v>
      </c>
      <c r="M786" s="10" t="str">
        <f>ROUND(Github!O$1382, 2)&amp;"%"</f>
        <v>77.09%</v>
      </c>
      <c r="N786" s="10">
        <f>Github!P$1382</f>
        <v>68087</v>
      </c>
      <c r="O786" s="10">
        <f>Github!Q$1382</f>
        <v>88326</v>
      </c>
    </row>
    <row r="787">
      <c r="A787" s="10">
        <f>Github!J$755</f>
        <v>754</v>
      </c>
      <c r="B787" s="11" t="str">
        <f>HYPERLINK(CONCAT("http://leetcode.com/problems/",Github!C$755), Github!B$755)</f>
        <v>Reach a Number</v>
      </c>
      <c r="C787" s="10">
        <f>Github!F$755</f>
        <v>1114</v>
      </c>
      <c r="D787" s="10">
        <f>Github!G$755</f>
        <v>661</v>
      </c>
      <c r="E787" s="10">
        <f>Github!F$755+Github!G$755</f>
        <v>1775</v>
      </c>
      <c r="F787" s="12">
        <f t="shared" si="1"/>
        <v>1.69</v>
      </c>
      <c r="G787" s="10" t="str">
        <f>Github!H$755</f>
        <v>Algorithms</v>
      </c>
      <c r="H787" s="13" t="str">
        <f>SUBSTITUTE(Github!L$755, ";", ", ")</f>
        <v>Math, Binary Search, </v>
      </c>
      <c r="I787" s="10" t="str">
        <f>Github!E$755</f>
        <v>Medium</v>
      </c>
      <c r="J787" s="10" t="str">
        <f>IF(TRIM(Github!D$755)="TRUE","FALSE","TRUE")</f>
        <v>TRUE</v>
      </c>
      <c r="K787" s="10" t="b">
        <f>Github!M$755</f>
        <v>1</v>
      </c>
      <c r="L787" s="10" t="b">
        <f>Github!N$755</f>
        <v>0</v>
      </c>
      <c r="M787" s="10" t="str">
        <f>ROUND(Github!O$755, 2)&amp;"%"</f>
        <v>41.8%</v>
      </c>
      <c r="N787" s="10">
        <f>Github!P$755</f>
        <v>38372</v>
      </c>
      <c r="O787" s="10">
        <f>Github!Q$755</f>
        <v>91795</v>
      </c>
    </row>
    <row r="788">
      <c r="A788" s="10">
        <f>Github!J$765</f>
        <v>764</v>
      </c>
      <c r="B788" s="11" t="str">
        <f>HYPERLINK(CONCAT("http://leetcode.com/problems/",Github!C$765), Github!B$765)</f>
        <v>Largest Plus Sign</v>
      </c>
      <c r="C788" s="10">
        <f>Github!F$765</f>
        <v>1107</v>
      </c>
      <c r="D788" s="10">
        <f>Github!G$765</f>
        <v>190</v>
      </c>
      <c r="E788" s="10">
        <f>Github!F$765+Github!G$765</f>
        <v>1297</v>
      </c>
      <c r="F788" s="12">
        <f t="shared" si="1"/>
        <v>5.83</v>
      </c>
      <c r="G788" s="10" t="str">
        <f>Github!H$765</f>
        <v>Algorithms</v>
      </c>
      <c r="H788" s="13" t="str">
        <f>SUBSTITUTE(Github!L$765, ";", ", ")</f>
        <v>Array, Dynamic Programming, </v>
      </c>
      <c r="I788" s="10" t="str">
        <f>Github!E$765</f>
        <v>Medium</v>
      </c>
      <c r="J788" s="10" t="str">
        <f>IF(TRIM(Github!D$765)="TRUE","FALSE","TRUE")</f>
        <v>TRUE</v>
      </c>
      <c r="K788" s="10" t="b">
        <f>Github!M$765</f>
        <v>1</v>
      </c>
      <c r="L788" s="10" t="b">
        <f>Github!N$765</f>
        <v>0</v>
      </c>
      <c r="M788" s="10" t="str">
        <f>ROUND(Github!O$765, 2)&amp;"%"</f>
        <v>48.57%</v>
      </c>
      <c r="N788" s="10">
        <f>Github!P$765</f>
        <v>48210</v>
      </c>
      <c r="O788" s="10">
        <f>Github!Q$765</f>
        <v>99260</v>
      </c>
    </row>
    <row r="789">
      <c r="A789" s="10">
        <f>Github!J$1198</f>
        <v>1197</v>
      </c>
      <c r="B789" s="11" t="str">
        <f>HYPERLINK(CONCAT("http://leetcode.com/problems/",Github!C$1198), Github!B$1198)</f>
        <v>Minimum Knight Moves</v>
      </c>
      <c r="C789" s="10">
        <f>Github!F$1198</f>
        <v>1104</v>
      </c>
      <c r="D789" s="10">
        <f>Github!G$1198</f>
        <v>335</v>
      </c>
      <c r="E789" s="10">
        <f>Github!F$1198+Github!G$1198</f>
        <v>1439</v>
      </c>
      <c r="F789" s="12">
        <f t="shared" si="1"/>
        <v>3.3</v>
      </c>
      <c r="G789" s="10" t="str">
        <f>Github!H$1198</f>
        <v>Algorithms</v>
      </c>
      <c r="H789" s="13" t="str">
        <f>SUBSTITUTE(Github!L$1198, ";", ", ")</f>
        <v>Breadth-First Search, </v>
      </c>
      <c r="I789" s="10" t="str">
        <f>Github!E$1198</f>
        <v>Medium</v>
      </c>
      <c r="J789" s="10" t="str">
        <f>IF(TRIM(Github!D$1198)="TRUE","FALSE","TRUE")</f>
        <v>FALSE</v>
      </c>
      <c r="K789" s="10" t="b">
        <f>Github!M$1198</f>
        <v>1</v>
      </c>
      <c r="L789" s="10" t="b">
        <f>Github!N$1198</f>
        <v>0</v>
      </c>
      <c r="M789" s="10" t="str">
        <f>ROUND(Github!O$1198, 2)&amp;"%"</f>
        <v>39.62%</v>
      </c>
      <c r="N789" s="10">
        <f>Github!P$1198</f>
        <v>110478</v>
      </c>
      <c r="O789" s="10">
        <f>Github!Q$1198</f>
        <v>278876</v>
      </c>
    </row>
    <row r="790">
      <c r="A790" s="10">
        <f>Github!J$1014</f>
        <v>1013</v>
      </c>
      <c r="B790" s="11" t="str">
        <f>HYPERLINK(CONCAT("http://leetcode.com/problems/",Github!C$1014), Github!B$1014)</f>
        <v>Partition Array Into Three Parts With Equal Sum</v>
      </c>
      <c r="C790" s="10">
        <f>Github!F$1014</f>
        <v>1104</v>
      </c>
      <c r="D790" s="10">
        <f>Github!G$1014</f>
        <v>117</v>
      </c>
      <c r="E790" s="10">
        <f>Github!F$1014+Github!G$1014</f>
        <v>1221</v>
      </c>
      <c r="F790" s="12">
        <f t="shared" si="1"/>
        <v>9.44</v>
      </c>
      <c r="G790" s="10" t="str">
        <f>Github!H$1014</f>
        <v>Algorithms</v>
      </c>
      <c r="H790" s="13" t="str">
        <f>SUBSTITUTE(Github!L$1014, ";", ", ")</f>
        <v>Array, Greedy, </v>
      </c>
      <c r="I790" s="10" t="str">
        <f>Github!E$1014</f>
        <v>Easy</v>
      </c>
      <c r="J790" s="10" t="str">
        <f>IF(TRIM(Github!D$1014)="TRUE","FALSE","TRUE")</f>
        <v>TRUE</v>
      </c>
      <c r="K790" s="10" t="b">
        <f>Github!M$1014</f>
        <v>0</v>
      </c>
      <c r="L790" s="10" t="b">
        <f>Github!N$1014</f>
        <v>0</v>
      </c>
      <c r="M790" s="10" t="str">
        <f>ROUND(Github!O$1014, 2)&amp;"%"</f>
        <v>44.49%</v>
      </c>
      <c r="N790" s="10">
        <f>Github!P$1014</f>
        <v>63111</v>
      </c>
      <c r="O790" s="10">
        <f>Github!Q$1014</f>
        <v>141843</v>
      </c>
    </row>
    <row r="791">
      <c r="A791" s="10">
        <f>Github!J$1374</f>
        <v>1373</v>
      </c>
      <c r="B791" s="11" t="str">
        <f>HYPERLINK(CONCAT("http://leetcode.com/problems/",Github!C$1374), Github!B$1374)</f>
        <v>Maximum Sum BST in Binary Tree</v>
      </c>
      <c r="C791" s="10">
        <f>Github!F$1374</f>
        <v>1119</v>
      </c>
      <c r="D791" s="10">
        <f>Github!G$1374</f>
        <v>123</v>
      </c>
      <c r="E791" s="10">
        <f>Github!F$1374+Github!G$1374</f>
        <v>1242</v>
      </c>
      <c r="F791" s="12">
        <f t="shared" si="1"/>
        <v>9.1</v>
      </c>
      <c r="G791" s="10" t="str">
        <f>Github!H$1374</f>
        <v>Algorithms</v>
      </c>
      <c r="H791" s="13" t="str">
        <f>SUBSTITUTE(Github!L$1374, ";", ", ")</f>
        <v>Dynamic Programming, Tree, Depth-First Search, Binary Search Tree, Binary Tree, </v>
      </c>
      <c r="I791" s="10" t="str">
        <f>Github!E$1374</f>
        <v>Hard</v>
      </c>
      <c r="J791" s="10" t="str">
        <f>IF(TRIM(Github!D$1374)="TRUE","FALSE","TRUE")</f>
        <v>TRUE</v>
      </c>
      <c r="K791" s="10" t="b">
        <f>Github!M$1374</f>
        <v>0</v>
      </c>
      <c r="L791" s="10" t="b">
        <f>Github!N$1374</f>
        <v>0</v>
      </c>
      <c r="M791" s="10" t="str">
        <f>ROUND(Github!O$1374, 2)&amp;"%"</f>
        <v>38.7%</v>
      </c>
      <c r="N791" s="10">
        <f>Github!P$1374</f>
        <v>32135</v>
      </c>
      <c r="O791" s="10">
        <f>Github!Q$1374</f>
        <v>83038</v>
      </c>
    </row>
    <row r="792">
      <c r="A792" s="10">
        <f>Github!J$1372</f>
        <v>1371</v>
      </c>
      <c r="B792" s="11" t="str">
        <f>HYPERLINK(CONCAT("http://leetcode.com/problems/",Github!C$1372), Github!B$1372)</f>
        <v>Find the Longest Substring Containing Vowels in Even Counts</v>
      </c>
      <c r="C792" s="10">
        <f>Github!F$1372</f>
        <v>1105</v>
      </c>
      <c r="D792" s="10">
        <f>Github!G$1372</f>
        <v>41</v>
      </c>
      <c r="E792" s="10">
        <f>Github!F$1372+Github!G$1372</f>
        <v>1146</v>
      </c>
      <c r="F792" s="12">
        <f t="shared" si="1"/>
        <v>26.95</v>
      </c>
      <c r="G792" s="10" t="str">
        <f>Github!H$1372</f>
        <v>Algorithms</v>
      </c>
      <c r="H792" s="13" t="str">
        <f>SUBSTITUTE(Github!L$1372, ";", ", ")</f>
        <v>Hash Table, String, Bit Manipulation, Prefix Sum, </v>
      </c>
      <c r="I792" s="10" t="str">
        <f>Github!E$1372</f>
        <v>Medium</v>
      </c>
      <c r="J792" s="10" t="str">
        <f>IF(TRIM(Github!D$1372)="TRUE","FALSE","TRUE")</f>
        <v>TRUE</v>
      </c>
      <c r="K792" s="10" t="b">
        <f>Github!M$1372</f>
        <v>0</v>
      </c>
      <c r="L792" s="10" t="b">
        <f>Github!N$1372</f>
        <v>0</v>
      </c>
      <c r="M792" s="10" t="str">
        <f>ROUND(Github!O$1372, 2)&amp;"%"</f>
        <v>62.59%</v>
      </c>
      <c r="N792" s="10">
        <f>Github!P$1372</f>
        <v>18349</v>
      </c>
      <c r="O792" s="10">
        <f>Github!Q$1372</f>
        <v>29317</v>
      </c>
    </row>
    <row r="793">
      <c r="A793" s="10">
        <f>Github!J$331</f>
        <v>330</v>
      </c>
      <c r="B793" s="11" t="str">
        <f>HYPERLINK(CONCAT("http://leetcode.com/problems/",Github!C$331), Github!B$331)</f>
        <v>Patching Array</v>
      </c>
      <c r="C793" s="10">
        <f>Github!F$331</f>
        <v>1092</v>
      </c>
      <c r="D793" s="10">
        <f>Github!G$331</f>
        <v>114</v>
      </c>
      <c r="E793" s="10">
        <f>Github!F$331+Github!G$331</f>
        <v>1206</v>
      </c>
      <c r="F793" s="12">
        <f t="shared" si="1"/>
        <v>9.58</v>
      </c>
      <c r="G793" s="10" t="str">
        <f>Github!H$331</f>
        <v>Algorithms</v>
      </c>
      <c r="H793" s="13" t="str">
        <f>SUBSTITUTE(Github!L$331, ";", ", ")</f>
        <v>Array, Greedy, </v>
      </c>
      <c r="I793" s="10" t="str">
        <f>Github!E$331</f>
        <v>Hard</v>
      </c>
      <c r="J793" s="10" t="str">
        <f>IF(TRIM(Github!D$331)="TRUE","FALSE","TRUE")</f>
        <v>TRUE</v>
      </c>
      <c r="K793" s="10" t="b">
        <f>Github!M$331</f>
        <v>1</v>
      </c>
      <c r="L793" s="10" t="b">
        <f>Github!N$331</f>
        <v>0</v>
      </c>
      <c r="M793" s="10" t="str">
        <f>ROUND(Github!O$331, 2)&amp;"%"</f>
        <v>39.52%</v>
      </c>
      <c r="N793" s="10">
        <f>Github!P$331</f>
        <v>56087</v>
      </c>
      <c r="O793" s="10">
        <f>Github!Q$331</f>
        <v>141930</v>
      </c>
    </row>
    <row r="794">
      <c r="A794" s="10">
        <f>Github!J$185</f>
        <v>184</v>
      </c>
      <c r="B794" s="11" t="str">
        <f>HYPERLINK(CONCAT("http://leetcode.com/problems/",Github!C$185), Github!B$185)</f>
        <v>Department Highest Salary</v>
      </c>
      <c r="C794" s="10">
        <f>Github!F$185</f>
        <v>1098</v>
      </c>
      <c r="D794" s="10">
        <f>Github!G$185</f>
        <v>163</v>
      </c>
      <c r="E794" s="10">
        <f>Github!F$185+Github!G$185</f>
        <v>1261</v>
      </c>
      <c r="F794" s="12">
        <f t="shared" si="1"/>
        <v>6.74</v>
      </c>
      <c r="G794" s="10" t="str">
        <f>Github!H$185</f>
        <v>Database</v>
      </c>
      <c r="H794" s="13" t="str">
        <f>SUBSTITUTE(Github!L$185, ";", ", ")</f>
        <v>Database, </v>
      </c>
      <c r="I794" s="10" t="str">
        <f>Github!E$185</f>
        <v>Medium</v>
      </c>
      <c r="J794" s="10" t="str">
        <f>IF(TRIM(Github!D$185)="TRUE","FALSE","TRUE")</f>
        <v>TRUE</v>
      </c>
      <c r="K794" s="10" t="b">
        <f>Github!M$185</f>
        <v>1</v>
      </c>
      <c r="L794" s="10" t="b">
        <f>Github!N$185</f>
        <v>0</v>
      </c>
      <c r="M794" s="10" t="str">
        <f>ROUND(Github!O$185, 2)&amp;"%"</f>
        <v>46.89%</v>
      </c>
      <c r="N794" s="10">
        <f>Github!P$185</f>
        <v>219442</v>
      </c>
      <c r="O794" s="10">
        <f>Github!Q$185</f>
        <v>468011</v>
      </c>
    </row>
    <row r="795">
      <c r="A795" s="10">
        <f>Github!J$1373</f>
        <v>1372</v>
      </c>
      <c r="B795" s="11" t="str">
        <f>HYPERLINK(CONCAT("http://leetcode.com/problems/",Github!C$1373), Github!B$1373)</f>
        <v>Longest ZigZag Path in a Binary Tree</v>
      </c>
      <c r="C795" s="10">
        <f>Github!F$1373</f>
        <v>1096</v>
      </c>
      <c r="D795" s="10">
        <f>Github!G$1373</f>
        <v>21</v>
      </c>
      <c r="E795" s="10">
        <f>Github!F$1373+Github!G$1373</f>
        <v>1117</v>
      </c>
      <c r="F795" s="12">
        <f t="shared" si="1"/>
        <v>52.19</v>
      </c>
      <c r="G795" s="10" t="str">
        <f>Github!H$1373</f>
        <v>Algorithms</v>
      </c>
      <c r="H795" s="13" t="str">
        <f>SUBSTITUTE(Github!L$1373, ";", ", ")</f>
        <v>Dynamic Programming, Tree, Depth-First Search, Binary Tree, </v>
      </c>
      <c r="I795" s="10" t="str">
        <f>Github!E$1373</f>
        <v>Medium</v>
      </c>
      <c r="J795" s="10" t="str">
        <f>IF(TRIM(Github!D$1373)="TRUE","FALSE","TRUE")</f>
        <v>TRUE</v>
      </c>
      <c r="K795" s="10" t="b">
        <f>Github!M$1373</f>
        <v>0</v>
      </c>
      <c r="L795" s="10" t="b">
        <f>Github!N$1373</f>
        <v>0</v>
      </c>
      <c r="M795" s="10" t="str">
        <f>ROUND(Github!O$1373, 2)&amp;"%"</f>
        <v>58.3%</v>
      </c>
      <c r="N795" s="10">
        <f>Github!P$1373</f>
        <v>34290</v>
      </c>
      <c r="O795" s="10">
        <f>Github!Q$1373</f>
        <v>58815</v>
      </c>
    </row>
    <row r="796">
      <c r="A796" s="10">
        <f>Github!J$977</f>
        <v>976</v>
      </c>
      <c r="B796" s="11" t="str">
        <f>HYPERLINK(CONCAT("http://leetcode.com/problems/",Github!C$977), Github!B$977)</f>
        <v>Largest Perimeter Triangle</v>
      </c>
      <c r="C796" s="10">
        <f>Github!F$977</f>
        <v>1092</v>
      </c>
      <c r="D796" s="10">
        <f>Github!G$977</f>
        <v>122</v>
      </c>
      <c r="E796" s="10">
        <f>Github!F$977+Github!G$977</f>
        <v>1214</v>
      </c>
      <c r="F796" s="12">
        <f t="shared" si="1"/>
        <v>8.95</v>
      </c>
      <c r="G796" s="10" t="str">
        <f>Github!H$977</f>
        <v>Algorithms</v>
      </c>
      <c r="H796" s="13" t="str">
        <f>SUBSTITUTE(Github!L$977, ";", ", ")</f>
        <v>Array, Math, Greedy, Sorting, </v>
      </c>
      <c r="I796" s="10" t="str">
        <f>Github!E$977</f>
        <v>Easy</v>
      </c>
      <c r="J796" s="10" t="str">
        <f>IF(TRIM(Github!D$977)="TRUE","FALSE","TRUE")</f>
        <v>TRUE</v>
      </c>
      <c r="K796" s="10" t="b">
        <f>Github!M$977</f>
        <v>1</v>
      </c>
      <c r="L796" s="10" t="b">
        <f>Github!N$977</f>
        <v>0</v>
      </c>
      <c r="M796" s="10" t="str">
        <f>ROUND(Github!O$977, 2)&amp;"%"</f>
        <v>55.7%</v>
      </c>
      <c r="N796" s="10">
        <f>Github!P$977</f>
        <v>79363</v>
      </c>
      <c r="O796" s="10">
        <f>Github!Q$977</f>
        <v>142476</v>
      </c>
    </row>
    <row r="797">
      <c r="A797" s="10">
        <f>Github!J$955</f>
        <v>954</v>
      </c>
      <c r="B797" s="11" t="str">
        <f>HYPERLINK(CONCAT("http://leetcode.com/problems/",Github!C$955), Github!B$955)</f>
        <v>Array of Doubled Pairs</v>
      </c>
      <c r="C797" s="10">
        <f>Github!F$955</f>
        <v>1084</v>
      </c>
      <c r="D797" s="10">
        <f>Github!G$955</f>
        <v>127</v>
      </c>
      <c r="E797" s="10">
        <f>Github!F$955+Github!G$955</f>
        <v>1211</v>
      </c>
      <c r="F797" s="12">
        <f t="shared" si="1"/>
        <v>8.54</v>
      </c>
      <c r="G797" s="10" t="str">
        <f>Github!H$955</f>
        <v>Algorithms</v>
      </c>
      <c r="H797" s="13" t="str">
        <f>SUBSTITUTE(Github!L$955, ";", ", ")</f>
        <v>Array, Hash Table, Greedy, Sorting, </v>
      </c>
      <c r="I797" s="10" t="str">
        <f>Github!E$955</f>
        <v>Medium</v>
      </c>
      <c r="J797" s="10" t="str">
        <f>IF(TRIM(Github!D$955)="TRUE","FALSE","TRUE")</f>
        <v>TRUE</v>
      </c>
      <c r="K797" s="10" t="b">
        <f>Github!M$955</f>
        <v>1</v>
      </c>
      <c r="L797" s="10" t="b">
        <f>Github!N$955</f>
        <v>0</v>
      </c>
      <c r="M797" s="10" t="str">
        <f>ROUND(Github!O$955, 2)&amp;"%"</f>
        <v>38.68%</v>
      </c>
      <c r="N797" s="10">
        <f>Github!P$955</f>
        <v>70535</v>
      </c>
      <c r="O797" s="10">
        <f>Github!Q$955</f>
        <v>182360</v>
      </c>
    </row>
    <row r="798">
      <c r="A798" s="10">
        <f>Github!J$433</f>
        <v>432</v>
      </c>
      <c r="B798" s="11" t="str">
        <f>HYPERLINK(CONCAT("http://leetcode.com/problems/",Github!C$433), Github!B$433)</f>
        <v>All O`one Data Structure</v>
      </c>
      <c r="C798" s="10">
        <f>Github!F$433</f>
        <v>1088</v>
      </c>
      <c r="D798" s="10">
        <f>Github!G$433</f>
        <v>131</v>
      </c>
      <c r="E798" s="10">
        <f>Github!F$433+Github!G$433</f>
        <v>1219</v>
      </c>
      <c r="F798" s="12">
        <f t="shared" si="1"/>
        <v>8.31</v>
      </c>
      <c r="G798" s="10" t="str">
        <f>Github!H$433</f>
        <v>Algorithms</v>
      </c>
      <c r="H798" s="13" t="str">
        <f>SUBSTITUTE(Github!L$433, ";", ", ")</f>
        <v>Hash Table, Linked List, Design, Doubly-Linked List, </v>
      </c>
      <c r="I798" s="10" t="str">
        <f>Github!E$433</f>
        <v>Hard</v>
      </c>
      <c r="J798" s="10" t="str">
        <f>IF(TRIM(Github!D$433)="TRUE","FALSE","TRUE")</f>
        <v>TRUE</v>
      </c>
      <c r="K798" s="10" t="b">
        <f>Github!M$433</f>
        <v>0</v>
      </c>
      <c r="L798" s="10" t="b">
        <f>Github!N$433</f>
        <v>0</v>
      </c>
      <c r="M798" s="10" t="str">
        <f>ROUND(Github!O$433, 2)&amp;"%"</f>
        <v>35.99%</v>
      </c>
      <c r="N798" s="10">
        <f>Github!P$433</f>
        <v>57265</v>
      </c>
      <c r="O798" s="10">
        <f>Github!Q$433</f>
        <v>159111</v>
      </c>
    </row>
    <row r="799">
      <c r="A799" s="10">
        <f>Github!J$911</f>
        <v>910</v>
      </c>
      <c r="B799" s="11" t="str">
        <f>HYPERLINK(CONCAT("http://leetcode.com/problems/",Github!C$911), Github!B$911)</f>
        <v>Smallest Range II</v>
      </c>
      <c r="C799" s="10">
        <f>Github!F$911</f>
        <v>1086</v>
      </c>
      <c r="D799" s="10">
        <f>Github!G$911</f>
        <v>354</v>
      </c>
      <c r="E799" s="10">
        <f>Github!F$911+Github!G$911</f>
        <v>1440</v>
      </c>
      <c r="F799" s="12">
        <f t="shared" si="1"/>
        <v>3.07</v>
      </c>
      <c r="G799" s="10" t="str">
        <f>Github!H$911</f>
        <v>Algorithms</v>
      </c>
      <c r="H799" s="13" t="str">
        <f>SUBSTITUTE(Github!L$911, ";", ", ")</f>
        <v>Array, Math, Greedy, Sorting, </v>
      </c>
      <c r="I799" s="10" t="str">
        <f>Github!E$911</f>
        <v>Medium</v>
      </c>
      <c r="J799" s="10" t="str">
        <f>IF(TRIM(Github!D$911)="TRUE","FALSE","TRUE")</f>
        <v>TRUE</v>
      </c>
      <c r="K799" s="10" t="b">
        <f>Github!M$911</f>
        <v>1</v>
      </c>
      <c r="L799" s="10" t="b">
        <f>Github!N$911</f>
        <v>0</v>
      </c>
      <c r="M799" s="10" t="str">
        <f>ROUND(Github!O$911, 2)&amp;"%"</f>
        <v>32.77%</v>
      </c>
      <c r="N799" s="10">
        <f>Github!P$911</f>
        <v>33333</v>
      </c>
      <c r="O799" s="10">
        <f>Github!Q$911</f>
        <v>101713</v>
      </c>
    </row>
    <row r="800">
      <c r="A800" s="10">
        <f>Github!J$1531</f>
        <v>1530</v>
      </c>
      <c r="B800" s="11" t="str">
        <f>HYPERLINK(CONCAT("http://leetcode.com/problems/",Github!C$1531), Github!B$1531)</f>
        <v>Number of Good Leaf Nodes Pairs</v>
      </c>
      <c r="C800" s="10">
        <f>Github!F$1531</f>
        <v>1087</v>
      </c>
      <c r="D800" s="10">
        <f>Github!G$1531</f>
        <v>21</v>
      </c>
      <c r="E800" s="10">
        <f>Github!F$1531+Github!G$1531</f>
        <v>1108</v>
      </c>
      <c r="F800" s="12">
        <f t="shared" si="1"/>
        <v>51.76</v>
      </c>
      <c r="G800" s="10" t="str">
        <f>Github!H$1531</f>
        <v>Algorithms</v>
      </c>
      <c r="H800" s="13" t="str">
        <f>SUBSTITUTE(Github!L$1531, ";", ", ")</f>
        <v>Tree, Depth-First Search, Binary Tree, </v>
      </c>
      <c r="I800" s="10" t="str">
        <f>Github!E$1531</f>
        <v>Medium</v>
      </c>
      <c r="J800" s="10" t="str">
        <f>IF(TRIM(Github!D$1531)="TRUE","FALSE","TRUE")</f>
        <v>TRUE</v>
      </c>
      <c r="K800" s="10" t="b">
        <f>Github!M$1531</f>
        <v>0</v>
      </c>
      <c r="L800" s="10" t="b">
        <f>Github!N$1531</f>
        <v>0</v>
      </c>
      <c r="M800" s="10" t="str">
        <f>ROUND(Github!O$1531, 2)&amp;"%"</f>
        <v>59.62%</v>
      </c>
      <c r="N800" s="10">
        <f>Github!P$1531</f>
        <v>25383</v>
      </c>
      <c r="O800" s="10">
        <f>Github!Q$1531</f>
        <v>42574</v>
      </c>
    </row>
    <row r="801">
      <c r="A801" s="10">
        <f>Github!J$941</f>
        <v>940</v>
      </c>
      <c r="B801" s="11" t="str">
        <f>HYPERLINK(CONCAT("http://leetcode.com/problems/",Github!C$941), Github!B$941)</f>
        <v>Distinct Subsequences II</v>
      </c>
      <c r="C801" s="10">
        <f>Github!F$941</f>
        <v>1083</v>
      </c>
      <c r="D801" s="10">
        <f>Github!G$941</f>
        <v>27</v>
      </c>
      <c r="E801" s="10">
        <f>Github!F$941+Github!G$941</f>
        <v>1110</v>
      </c>
      <c r="F801" s="12">
        <f t="shared" si="1"/>
        <v>40.11</v>
      </c>
      <c r="G801" s="10" t="str">
        <f>Github!H$941</f>
        <v>Algorithms</v>
      </c>
      <c r="H801" s="13" t="str">
        <f>SUBSTITUTE(Github!L$941, ";", ", ")</f>
        <v>String, Dynamic Programming, </v>
      </c>
      <c r="I801" s="10" t="str">
        <f>Github!E$941</f>
        <v>Hard</v>
      </c>
      <c r="J801" s="10" t="str">
        <f>IF(TRIM(Github!D$941)="TRUE","FALSE","TRUE")</f>
        <v>TRUE</v>
      </c>
      <c r="K801" s="10" t="b">
        <f>Github!M$941</f>
        <v>1</v>
      </c>
      <c r="L801" s="10" t="b">
        <f>Github!N$941</f>
        <v>0</v>
      </c>
      <c r="M801" s="10" t="str">
        <f>ROUND(Github!O$941, 2)&amp;"%"</f>
        <v>44.29%</v>
      </c>
      <c r="N801" s="10">
        <f>Github!P$941</f>
        <v>26835</v>
      </c>
      <c r="O801" s="10">
        <f>Github!Q$941</f>
        <v>60596</v>
      </c>
    </row>
    <row r="802">
      <c r="A802" s="10">
        <f>Github!J$1109</f>
        <v>1108</v>
      </c>
      <c r="B802" s="11" t="str">
        <f>HYPERLINK(CONCAT("http://leetcode.com/problems/",Github!C$1109), Github!B$1109)</f>
        <v>Defanging an IP Address</v>
      </c>
      <c r="C802" s="10">
        <f>Github!F$1109</f>
        <v>1083</v>
      </c>
      <c r="D802" s="10">
        <f>Github!G$1109</f>
        <v>1463</v>
      </c>
      <c r="E802" s="10">
        <f>Github!F$1109+Github!G$1109</f>
        <v>2546</v>
      </c>
      <c r="F802" s="12">
        <f t="shared" si="1"/>
        <v>0.74</v>
      </c>
      <c r="G802" s="10" t="str">
        <f>Github!H$1109</f>
        <v>Algorithms</v>
      </c>
      <c r="H802" s="13" t="str">
        <f>SUBSTITUTE(Github!L$1109, ";", ", ")</f>
        <v>String, </v>
      </c>
      <c r="I802" s="10" t="str">
        <f>Github!E$1109</f>
        <v>Easy</v>
      </c>
      <c r="J802" s="10" t="str">
        <f>IF(TRIM(Github!D$1109)="TRUE","FALSE","TRUE")</f>
        <v>TRUE</v>
      </c>
      <c r="K802" s="10" t="b">
        <f>Github!M$1109</f>
        <v>0</v>
      </c>
      <c r="L802" s="10" t="b">
        <f>Github!N$1109</f>
        <v>0</v>
      </c>
      <c r="M802" s="10" t="str">
        <f>ROUND(Github!O$1109, 2)&amp;"%"</f>
        <v>88.98%</v>
      </c>
      <c r="N802" s="10">
        <f>Github!P$1109</f>
        <v>403582</v>
      </c>
      <c r="O802" s="10">
        <f>Github!Q$1109</f>
        <v>453547</v>
      </c>
    </row>
    <row r="803">
      <c r="A803" s="10">
        <f>Github!J$1179</f>
        <v>1178</v>
      </c>
      <c r="B803" s="11" t="str">
        <f>HYPERLINK(CONCAT("http://leetcode.com/problems/",Github!C$1179), Github!B$1179)</f>
        <v>Number of Valid Words for Each Puzzle</v>
      </c>
      <c r="C803" s="10">
        <f>Github!F$1179</f>
        <v>1078</v>
      </c>
      <c r="D803" s="10">
        <f>Github!G$1179</f>
        <v>73</v>
      </c>
      <c r="E803" s="10">
        <f>Github!F$1179+Github!G$1179</f>
        <v>1151</v>
      </c>
      <c r="F803" s="12">
        <f t="shared" si="1"/>
        <v>14.77</v>
      </c>
      <c r="G803" s="10" t="str">
        <f>Github!H$1179</f>
        <v>Algorithms</v>
      </c>
      <c r="H803" s="13" t="str">
        <f>SUBSTITUTE(Github!L$1179, ";", ", ")</f>
        <v>Array, Hash Table, String, Bit Manipulation, Trie, </v>
      </c>
      <c r="I803" s="10" t="str">
        <f>Github!E$1179</f>
        <v>Hard</v>
      </c>
      <c r="J803" s="10" t="str">
        <f>IF(TRIM(Github!D$1179)="TRUE","FALSE","TRUE")</f>
        <v>TRUE</v>
      </c>
      <c r="K803" s="10" t="b">
        <f>Github!M$1179</f>
        <v>1</v>
      </c>
      <c r="L803" s="10" t="b">
        <f>Github!N$1179</f>
        <v>0</v>
      </c>
      <c r="M803" s="10" t="str">
        <f>ROUND(Github!O$1179, 2)&amp;"%"</f>
        <v>46.84%</v>
      </c>
      <c r="N803" s="10">
        <f>Github!P$1179</f>
        <v>26752</v>
      </c>
      <c r="O803" s="10">
        <f>Github!Q$1179</f>
        <v>57116</v>
      </c>
    </row>
    <row r="804">
      <c r="A804" s="10">
        <f>Github!J$1297</f>
        <v>1296</v>
      </c>
      <c r="B804" s="11" t="str">
        <f>HYPERLINK(CONCAT("http://leetcode.com/problems/",Github!C$1297), Github!B$1297)</f>
        <v>Divide Array in Sets of K Consecutive Numbers</v>
      </c>
      <c r="C804" s="10">
        <f>Github!F$1297</f>
        <v>1074</v>
      </c>
      <c r="D804" s="10">
        <f>Github!G$1297</f>
        <v>82</v>
      </c>
      <c r="E804" s="10">
        <f>Github!F$1297+Github!G$1297</f>
        <v>1156</v>
      </c>
      <c r="F804" s="12">
        <f t="shared" si="1"/>
        <v>13.1</v>
      </c>
      <c r="G804" s="10" t="str">
        <f>Github!H$1297</f>
        <v>Algorithms</v>
      </c>
      <c r="H804" s="13" t="str">
        <f>SUBSTITUTE(Github!L$1297, ";", ", ")</f>
        <v>Array, Hash Table, Greedy, Sorting, </v>
      </c>
      <c r="I804" s="10" t="str">
        <f>Github!E$1297</f>
        <v>Medium</v>
      </c>
      <c r="J804" s="10" t="str">
        <f>IF(TRIM(Github!D$1297)="TRUE","FALSE","TRUE")</f>
        <v>TRUE</v>
      </c>
      <c r="K804" s="10" t="b">
        <f>Github!M$1297</f>
        <v>0</v>
      </c>
      <c r="L804" s="10" t="b">
        <f>Github!N$1297</f>
        <v>0</v>
      </c>
      <c r="M804" s="10" t="str">
        <f>ROUND(Github!O$1297, 2)&amp;"%"</f>
        <v>56.49%</v>
      </c>
      <c r="N804" s="10">
        <f>Github!P$1297</f>
        <v>59263</v>
      </c>
      <c r="O804" s="10">
        <f>Github!Q$1297</f>
        <v>104913</v>
      </c>
    </row>
    <row r="805">
      <c r="A805" s="10">
        <f>Github!J$468</f>
        <v>467</v>
      </c>
      <c r="B805" s="11" t="str">
        <f>HYPERLINK(CONCAT("http://leetcode.com/problems/",Github!C$468), Github!B$468)</f>
        <v>Unique Substrings in Wraparound String</v>
      </c>
      <c r="C805" s="10">
        <f>Github!F$468</f>
        <v>1073</v>
      </c>
      <c r="D805" s="10">
        <f>Github!G$468</f>
        <v>136</v>
      </c>
      <c r="E805" s="10">
        <f>Github!F$468+Github!G$468</f>
        <v>1209</v>
      </c>
      <c r="F805" s="12">
        <f t="shared" si="1"/>
        <v>7.89</v>
      </c>
      <c r="G805" s="10" t="str">
        <f>Github!H$468</f>
        <v>Algorithms</v>
      </c>
      <c r="H805" s="13" t="str">
        <f>SUBSTITUTE(Github!L$468, ";", ", ")</f>
        <v>String, Dynamic Programming, </v>
      </c>
      <c r="I805" s="10" t="str">
        <f>Github!E$468</f>
        <v>Medium</v>
      </c>
      <c r="J805" s="10" t="str">
        <f>IF(TRIM(Github!D$468)="TRUE","FALSE","TRUE")</f>
        <v>TRUE</v>
      </c>
      <c r="K805" s="10" t="b">
        <f>Github!M$468</f>
        <v>0</v>
      </c>
      <c r="L805" s="10" t="b">
        <f>Github!N$468</f>
        <v>0</v>
      </c>
      <c r="M805" s="10" t="str">
        <f>ROUND(Github!O$468, 2)&amp;"%"</f>
        <v>37.54%</v>
      </c>
      <c r="N805" s="10">
        <f>Github!P$468</f>
        <v>34898</v>
      </c>
      <c r="O805" s="10">
        <f>Github!Q$468</f>
        <v>92968</v>
      </c>
    </row>
    <row r="806">
      <c r="A806" s="10">
        <f>Github!J$970</f>
        <v>969</v>
      </c>
      <c r="B806" s="11" t="str">
        <f>HYPERLINK(CONCAT("http://leetcode.com/problems/",Github!C$970), Github!B$970)</f>
        <v>Pancake Sorting</v>
      </c>
      <c r="C806" s="10">
        <f>Github!F$970</f>
        <v>1072</v>
      </c>
      <c r="D806" s="10">
        <f>Github!G$970</f>
        <v>1234</v>
      </c>
      <c r="E806" s="10">
        <f>Github!F$970+Github!G$970</f>
        <v>2306</v>
      </c>
      <c r="F806" s="12">
        <f t="shared" si="1"/>
        <v>0.87</v>
      </c>
      <c r="G806" s="10" t="str">
        <f>Github!H$970</f>
        <v>Algorithms</v>
      </c>
      <c r="H806" s="13" t="str">
        <f>SUBSTITUTE(Github!L$970, ";", ", ")</f>
        <v>Array, Two Pointers, Greedy, Sorting, </v>
      </c>
      <c r="I806" s="10" t="str">
        <f>Github!E$970</f>
        <v>Medium</v>
      </c>
      <c r="J806" s="10" t="str">
        <f>IF(TRIM(Github!D$970)="TRUE","FALSE","TRUE")</f>
        <v>TRUE</v>
      </c>
      <c r="K806" s="10" t="b">
        <f>Github!M$970</f>
        <v>1</v>
      </c>
      <c r="L806" s="10" t="b">
        <f>Github!N$970</f>
        <v>0</v>
      </c>
      <c r="M806" s="10" t="str">
        <f>ROUND(Github!O$970, 2)&amp;"%"</f>
        <v>69.7%</v>
      </c>
      <c r="N806" s="10">
        <f>Github!P$970</f>
        <v>73433</v>
      </c>
      <c r="O806" s="10">
        <f>Github!Q$970</f>
        <v>105349</v>
      </c>
    </row>
    <row r="807">
      <c r="A807" s="10">
        <f>Github!J$1573</f>
        <v>1572</v>
      </c>
      <c r="B807" s="11" t="str">
        <f>HYPERLINK(CONCAT("http://leetcode.com/problems/",Github!C$1573), Github!B$1573)</f>
        <v>Matrix Diagonal Sum</v>
      </c>
      <c r="C807" s="10">
        <f>Github!F$1573</f>
        <v>1077</v>
      </c>
      <c r="D807" s="10">
        <f>Github!G$1573</f>
        <v>20</v>
      </c>
      <c r="E807" s="10">
        <f>Github!F$1573+Github!G$1573</f>
        <v>1097</v>
      </c>
      <c r="F807" s="12">
        <f t="shared" si="1"/>
        <v>53.85</v>
      </c>
      <c r="G807" s="10" t="str">
        <f>Github!H$1573</f>
        <v>Algorithms</v>
      </c>
      <c r="H807" s="13" t="str">
        <f>SUBSTITUTE(Github!L$1573, ";", ", ")</f>
        <v>Array, Matrix, </v>
      </c>
      <c r="I807" s="10" t="str">
        <f>Github!E$1573</f>
        <v>Easy</v>
      </c>
      <c r="J807" s="10" t="str">
        <f>IF(TRIM(Github!D$1573)="TRUE","FALSE","TRUE")</f>
        <v>TRUE</v>
      </c>
      <c r="K807" s="10" t="b">
        <f>Github!M$1573</f>
        <v>0</v>
      </c>
      <c r="L807" s="10" t="b">
        <f>Github!N$1573</f>
        <v>0</v>
      </c>
      <c r="M807" s="10" t="str">
        <f>ROUND(Github!O$1573, 2)&amp;"%"</f>
        <v>79.1%</v>
      </c>
      <c r="N807" s="10">
        <f>Github!P$1573</f>
        <v>102576</v>
      </c>
      <c r="O807" s="10">
        <f>Github!Q$1573</f>
        <v>129671</v>
      </c>
    </row>
    <row r="808">
      <c r="A808" s="10">
        <f>Github!J$186</f>
        <v>185</v>
      </c>
      <c r="B808" s="11" t="str">
        <f>HYPERLINK(CONCAT("http://leetcode.com/problems/",Github!C$186), Github!B$186)</f>
        <v>Department Top Three Salaries</v>
      </c>
      <c r="C808" s="10">
        <f>Github!F$186</f>
        <v>1069</v>
      </c>
      <c r="D808" s="10">
        <f>Github!G$186</f>
        <v>182</v>
      </c>
      <c r="E808" s="10">
        <f>Github!F$186+Github!G$186</f>
        <v>1251</v>
      </c>
      <c r="F808" s="12">
        <f t="shared" si="1"/>
        <v>5.87</v>
      </c>
      <c r="G808" s="10" t="str">
        <f>Github!H$186</f>
        <v>Database</v>
      </c>
      <c r="H808" s="13" t="str">
        <f>SUBSTITUTE(Github!L$186, ";", ", ")</f>
        <v>Database, </v>
      </c>
      <c r="I808" s="10" t="str">
        <f>Github!E$186</f>
        <v>Hard</v>
      </c>
      <c r="J808" s="10" t="str">
        <f>IF(TRIM(Github!D$186)="TRUE","FALSE","TRUE")</f>
        <v>TRUE</v>
      </c>
      <c r="K808" s="10" t="b">
        <f>Github!M$186</f>
        <v>1</v>
      </c>
      <c r="L808" s="10" t="b">
        <f>Github!N$186</f>
        <v>0</v>
      </c>
      <c r="M808" s="10" t="str">
        <f>ROUND(Github!O$186, 2)&amp;"%"</f>
        <v>47.12%</v>
      </c>
      <c r="N808" s="10">
        <f>Github!P$186</f>
        <v>165230</v>
      </c>
      <c r="O808" s="10">
        <f>Github!Q$186</f>
        <v>350667</v>
      </c>
    </row>
    <row r="809">
      <c r="A809" s="10">
        <f>Github!J$710</f>
        <v>709</v>
      </c>
      <c r="B809" s="11" t="str">
        <f>HYPERLINK(CONCAT("http://leetcode.com/problems/",Github!C$710), Github!B$710)</f>
        <v>To Lower Case</v>
      </c>
      <c r="C809" s="10">
        <f>Github!F$710</f>
        <v>1070</v>
      </c>
      <c r="D809" s="10">
        <f>Github!G$710</f>
        <v>2307</v>
      </c>
      <c r="E809" s="10">
        <f>Github!F$710+Github!G$710</f>
        <v>3377</v>
      </c>
      <c r="F809" s="12">
        <f t="shared" si="1"/>
        <v>0.46</v>
      </c>
      <c r="G809" s="10" t="str">
        <f>Github!H$710</f>
        <v>Algorithms</v>
      </c>
      <c r="H809" s="13" t="str">
        <f>SUBSTITUTE(Github!L$710, ";", ", ")</f>
        <v>String, </v>
      </c>
      <c r="I809" s="10" t="str">
        <f>Github!E$710</f>
        <v>Easy</v>
      </c>
      <c r="J809" s="10" t="str">
        <f>IF(TRIM(Github!D$710)="TRUE","FALSE","TRUE")</f>
        <v>TRUE</v>
      </c>
      <c r="K809" s="10" t="b">
        <f>Github!M$710</f>
        <v>1</v>
      </c>
      <c r="L809" s="10" t="b">
        <f>Github!N$710</f>
        <v>0</v>
      </c>
      <c r="M809" s="10" t="str">
        <f>ROUND(Github!O$710, 2)&amp;"%"</f>
        <v>81.35%</v>
      </c>
      <c r="N809" s="10">
        <f>Github!P$710</f>
        <v>338585</v>
      </c>
      <c r="O809" s="10">
        <f>Github!Q$710</f>
        <v>416227</v>
      </c>
    </row>
    <row r="810">
      <c r="A810" s="10">
        <f>Github!J$488</f>
        <v>487</v>
      </c>
      <c r="B810" s="11" t="str">
        <f>HYPERLINK(CONCAT("http://leetcode.com/problems/",Github!C$488), Github!B$488)</f>
        <v>Max Consecutive Ones II</v>
      </c>
      <c r="C810" s="10">
        <f>Github!F$488</f>
        <v>1066</v>
      </c>
      <c r="D810" s="10">
        <f>Github!G$488</f>
        <v>22</v>
      </c>
      <c r="E810" s="10">
        <f>Github!F$488+Github!G$488</f>
        <v>1088</v>
      </c>
      <c r="F810" s="12">
        <f t="shared" si="1"/>
        <v>48.45</v>
      </c>
      <c r="G810" s="10" t="str">
        <f>Github!H$488</f>
        <v>Algorithms</v>
      </c>
      <c r="H810" s="13" t="str">
        <f>SUBSTITUTE(Github!L$488, ";", ", ")</f>
        <v>Array, Dynamic Programming, Sliding Window, </v>
      </c>
      <c r="I810" s="10" t="str">
        <f>Github!E$488</f>
        <v>Medium</v>
      </c>
      <c r="J810" s="10" t="str">
        <f>IF(TRIM(Github!D$488)="TRUE","FALSE","TRUE")</f>
        <v>FALSE</v>
      </c>
      <c r="K810" s="10" t="b">
        <f>Github!M$488</f>
        <v>1</v>
      </c>
      <c r="L810" s="10" t="b">
        <f>Github!N$488</f>
        <v>0</v>
      </c>
      <c r="M810" s="10" t="str">
        <f>ROUND(Github!O$488, 2)&amp;"%"</f>
        <v>48.87%</v>
      </c>
      <c r="N810" s="10">
        <f>Github!P$488</f>
        <v>91303</v>
      </c>
      <c r="O810" s="10">
        <f>Github!Q$488</f>
        <v>186816</v>
      </c>
    </row>
    <row r="811">
      <c r="A811" s="10">
        <f>Github!J$1510</f>
        <v>1509</v>
      </c>
      <c r="B811" s="11" t="str">
        <f>HYPERLINK(CONCAT("http://leetcode.com/problems/",Github!C$1510), Github!B$1510)</f>
        <v>Minimum Difference Between Largest and Smallest Value in Three Moves</v>
      </c>
      <c r="C811" s="10">
        <f>Github!F$1510</f>
        <v>1067</v>
      </c>
      <c r="D811" s="10">
        <f>Github!G$1510</f>
        <v>147</v>
      </c>
      <c r="E811" s="10">
        <f>Github!F$1510+Github!G$1510</f>
        <v>1214</v>
      </c>
      <c r="F811" s="12">
        <f t="shared" si="1"/>
        <v>7.26</v>
      </c>
      <c r="G811" s="10" t="str">
        <f>Github!H$1510</f>
        <v>Algorithms</v>
      </c>
      <c r="H811" s="13" t="str">
        <f>SUBSTITUTE(Github!L$1510, ";", ", ")</f>
        <v>Array, Greedy, Sorting, </v>
      </c>
      <c r="I811" s="10" t="str">
        <f>Github!E$1510</f>
        <v>Medium</v>
      </c>
      <c r="J811" s="10" t="str">
        <f>IF(TRIM(Github!D$1510)="TRUE","FALSE","TRUE")</f>
        <v>TRUE</v>
      </c>
      <c r="K811" s="10" t="b">
        <f>Github!M$1510</f>
        <v>0</v>
      </c>
      <c r="L811" s="10" t="b">
        <f>Github!N$1510</f>
        <v>0</v>
      </c>
      <c r="M811" s="10" t="str">
        <f>ROUND(Github!O$1510, 2)&amp;"%"</f>
        <v>55.48%</v>
      </c>
      <c r="N811" s="10">
        <f>Github!P$1510</f>
        <v>61280</v>
      </c>
      <c r="O811" s="10">
        <f>Github!Q$1510</f>
        <v>110456</v>
      </c>
    </row>
    <row r="812">
      <c r="A812" s="10">
        <f>Github!J$601</f>
        <v>600</v>
      </c>
      <c r="B812" s="11" t="str">
        <f>HYPERLINK(CONCAT("http://leetcode.com/problems/",Github!C$601), Github!B$601)</f>
        <v>Non-negative Integers without Consecutive Ones</v>
      </c>
      <c r="C812" s="10">
        <f>Github!F$601</f>
        <v>1061</v>
      </c>
      <c r="D812" s="10">
        <f>Github!G$601</f>
        <v>114</v>
      </c>
      <c r="E812" s="10">
        <f>Github!F$601+Github!G$601</f>
        <v>1175</v>
      </c>
      <c r="F812" s="12">
        <f t="shared" si="1"/>
        <v>9.31</v>
      </c>
      <c r="G812" s="10" t="str">
        <f>Github!H$601</f>
        <v>Algorithms</v>
      </c>
      <c r="H812" s="13" t="str">
        <f>SUBSTITUTE(Github!L$601, ";", ", ")</f>
        <v>Dynamic Programming, </v>
      </c>
      <c r="I812" s="10" t="str">
        <f>Github!E$601</f>
        <v>Hard</v>
      </c>
      <c r="J812" s="10" t="str">
        <f>IF(TRIM(Github!D$601)="TRUE","FALSE","TRUE")</f>
        <v>TRUE</v>
      </c>
      <c r="K812" s="10" t="b">
        <f>Github!M$601</f>
        <v>1</v>
      </c>
      <c r="L812" s="10" t="b">
        <f>Github!N$601</f>
        <v>0</v>
      </c>
      <c r="M812" s="10" t="str">
        <f>ROUND(Github!O$601, 2)&amp;"%"</f>
        <v>38.8%</v>
      </c>
      <c r="N812" s="10">
        <f>Github!P$601</f>
        <v>30552</v>
      </c>
      <c r="O812" s="10">
        <f>Github!Q$601</f>
        <v>78744</v>
      </c>
    </row>
    <row r="813">
      <c r="A813" s="10">
        <f>Github!J$989</f>
        <v>988</v>
      </c>
      <c r="B813" s="11" t="str">
        <f>HYPERLINK(CONCAT("http://leetcode.com/problems/",Github!C$989), Github!B$989)</f>
        <v>Smallest String Starting From Leaf</v>
      </c>
      <c r="C813" s="10">
        <f>Github!F$989</f>
        <v>1069</v>
      </c>
      <c r="D813" s="10">
        <f>Github!G$989</f>
        <v>170</v>
      </c>
      <c r="E813" s="10">
        <f>Github!F$989+Github!G$989</f>
        <v>1239</v>
      </c>
      <c r="F813" s="12">
        <f t="shared" si="1"/>
        <v>6.29</v>
      </c>
      <c r="G813" s="10" t="str">
        <f>Github!H$989</f>
        <v>Algorithms</v>
      </c>
      <c r="H813" s="13" t="str">
        <f>SUBSTITUTE(Github!L$989, ";", ", ")</f>
        <v>String, Tree, Depth-First Search, Binary Tree, </v>
      </c>
      <c r="I813" s="10" t="str">
        <f>Github!E$989</f>
        <v>Medium</v>
      </c>
      <c r="J813" s="10" t="str">
        <f>IF(TRIM(Github!D$989)="TRUE","FALSE","TRUE")</f>
        <v>TRUE</v>
      </c>
      <c r="K813" s="10" t="b">
        <f>Github!M$989</f>
        <v>1</v>
      </c>
      <c r="L813" s="10" t="b">
        <f>Github!N$989</f>
        <v>0</v>
      </c>
      <c r="M813" s="10" t="str">
        <f>ROUND(Github!O$989, 2)&amp;"%"</f>
        <v>48.68%</v>
      </c>
      <c r="N813" s="10">
        <f>Github!P$989</f>
        <v>52709</v>
      </c>
      <c r="O813" s="10">
        <f>Github!Q$989</f>
        <v>108282</v>
      </c>
    </row>
    <row r="814">
      <c r="A814" s="10">
        <f>Github!J$812</f>
        <v>811</v>
      </c>
      <c r="B814" s="11" t="str">
        <f>HYPERLINK(CONCAT("http://leetcode.com/problems/",Github!C$812), Github!B$812)</f>
        <v>Subdomain Visit Count</v>
      </c>
      <c r="C814" s="10">
        <f>Github!F$812</f>
        <v>1062</v>
      </c>
      <c r="D814" s="10">
        <f>Github!G$812</f>
        <v>1119</v>
      </c>
      <c r="E814" s="10">
        <f>Github!F$812+Github!G$812</f>
        <v>2181</v>
      </c>
      <c r="F814" s="12">
        <f t="shared" si="1"/>
        <v>0.95</v>
      </c>
      <c r="G814" s="10" t="str">
        <f>Github!H$812</f>
        <v>Algorithms</v>
      </c>
      <c r="H814" s="13" t="str">
        <f>SUBSTITUTE(Github!L$812, ";", ", ")</f>
        <v>Array, Hash Table, String, Counting, </v>
      </c>
      <c r="I814" s="10" t="str">
        <f>Github!E$812</f>
        <v>Medium</v>
      </c>
      <c r="J814" s="10" t="str">
        <f>IF(TRIM(Github!D$812)="TRUE","FALSE","TRUE")</f>
        <v>TRUE</v>
      </c>
      <c r="K814" s="10" t="b">
        <f>Github!M$812</f>
        <v>1</v>
      </c>
      <c r="L814" s="10" t="b">
        <f>Github!N$812</f>
        <v>0</v>
      </c>
      <c r="M814" s="10" t="str">
        <f>ROUND(Github!O$812, 2)&amp;"%"</f>
        <v>74.2%</v>
      </c>
      <c r="N814" s="10">
        <f>Github!P$812</f>
        <v>170686</v>
      </c>
      <c r="O814" s="10">
        <f>Github!Q$812</f>
        <v>230030</v>
      </c>
    </row>
    <row r="815">
      <c r="A815" s="10">
        <f>Github!J$1305</f>
        <v>1304</v>
      </c>
      <c r="B815" s="11" t="str">
        <f>HYPERLINK(CONCAT("http://leetcode.com/problems/",Github!C$1305), Github!B$1305)</f>
        <v>Find N Unique Integers Sum up to Zero</v>
      </c>
      <c r="C815" s="10">
        <f>Github!F$1305</f>
        <v>1062</v>
      </c>
      <c r="D815" s="10">
        <f>Github!G$1305</f>
        <v>458</v>
      </c>
      <c r="E815" s="10">
        <f>Github!F$1305+Github!G$1305</f>
        <v>1520</v>
      </c>
      <c r="F815" s="12">
        <f t="shared" si="1"/>
        <v>2.32</v>
      </c>
      <c r="G815" s="10" t="str">
        <f>Github!H$1305</f>
        <v>Algorithms</v>
      </c>
      <c r="H815" s="13" t="str">
        <f>SUBSTITUTE(Github!L$1305, ";", ", ")</f>
        <v>Array, Math, </v>
      </c>
      <c r="I815" s="10" t="str">
        <f>Github!E$1305</f>
        <v>Easy</v>
      </c>
      <c r="J815" s="10" t="str">
        <f>IF(TRIM(Github!D$1305)="TRUE","FALSE","TRUE")</f>
        <v>TRUE</v>
      </c>
      <c r="K815" s="10" t="b">
        <f>Github!M$1305</f>
        <v>0</v>
      </c>
      <c r="L815" s="10" t="b">
        <f>Github!N$1305</f>
        <v>0</v>
      </c>
      <c r="M815" s="10" t="str">
        <f>ROUND(Github!O$1305, 2)&amp;"%"</f>
        <v>76.94%</v>
      </c>
      <c r="N815" s="10">
        <f>Github!P$1305</f>
        <v>137056</v>
      </c>
      <c r="O815" s="10">
        <f>Github!Q$1305</f>
        <v>178125</v>
      </c>
    </row>
    <row r="816">
      <c r="A816" s="10">
        <f>Github!J$640</f>
        <v>639</v>
      </c>
      <c r="B816" s="11" t="str">
        <f>HYPERLINK(CONCAT("http://leetcode.com/problems/",Github!C$640), Github!B$640)</f>
        <v>Decode Ways II</v>
      </c>
      <c r="C816" s="10">
        <f>Github!F$640</f>
        <v>1054</v>
      </c>
      <c r="D816" s="10">
        <f>Github!G$640</f>
        <v>745</v>
      </c>
      <c r="E816" s="10">
        <f>Github!F$640+Github!G$640</f>
        <v>1799</v>
      </c>
      <c r="F816" s="12">
        <f t="shared" si="1"/>
        <v>1.41</v>
      </c>
      <c r="G816" s="10" t="str">
        <f>Github!H$640</f>
        <v>Algorithms</v>
      </c>
      <c r="H816" s="13" t="str">
        <f>SUBSTITUTE(Github!L$640, ";", ", ")</f>
        <v>String, Dynamic Programming, </v>
      </c>
      <c r="I816" s="10" t="str">
        <f>Github!E$640</f>
        <v>Hard</v>
      </c>
      <c r="J816" s="10" t="str">
        <f>IF(TRIM(Github!D$640)="TRUE","FALSE","TRUE")</f>
        <v>TRUE</v>
      </c>
      <c r="K816" s="10" t="b">
        <f>Github!M$640</f>
        <v>1</v>
      </c>
      <c r="L816" s="10" t="b">
        <f>Github!N$640</f>
        <v>0</v>
      </c>
      <c r="M816" s="10" t="str">
        <f>ROUND(Github!O$640, 2)&amp;"%"</f>
        <v>30.37%</v>
      </c>
      <c r="N816" s="10">
        <f>Github!P$640</f>
        <v>60545</v>
      </c>
      <c r="O816" s="10">
        <f>Github!Q$640</f>
        <v>199378</v>
      </c>
    </row>
    <row r="817">
      <c r="A817" s="10">
        <f>Github!J$293</f>
        <v>292</v>
      </c>
      <c r="B817" s="11" t="str">
        <f>HYPERLINK(CONCAT("http://leetcode.com/problems/",Github!C$293), Github!B$293)</f>
        <v>Nim Game</v>
      </c>
      <c r="C817" s="10">
        <f>Github!F$293</f>
        <v>1053</v>
      </c>
      <c r="D817" s="10">
        <f>Github!G$293</f>
        <v>2207</v>
      </c>
      <c r="E817" s="10">
        <f>Github!F$293+Github!G$293</f>
        <v>3260</v>
      </c>
      <c r="F817" s="12">
        <f t="shared" si="1"/>
        <v>0.48</v>
      </c>
      <c r="G817" s="10" t="str">
        <f>Github!H$293</f>
        <v>Algorithms</v>
      </c>
      <c r="H817" s="13" t="str">
        <f>SUBSTITUTE(Github!L$293, ";", ", ")</f>
        <v>Math, Brainteaser, Game Theory, </v>
      </c>
      <c r="I817" s="10" t="str">
        <f>Github!E$293</f>
        <v>Easy</v>
      </c>
      <c r="J817" s="10" t="str">
        <f>IF(TRIM(Github!D$293)="TRUE","FALSE","TRUE")</f>
        <v>TRUE</v>
      </c>
      <c r="K817" s="10" t="b">
        <f>Github!M$293</f>
        <v>1</v>
      </c>
      <c r="L817" s="10" t="b">
        <f>Github!N$293</f>
        <v>0</v>
      </c>
      <c r="M817" s="10" t="str">
        <f>ROUND(Github!O$293, 2)&amp;"%"</f>
        <v>55.49%</v>
      </c>
      <c r="N817" s="10">
        <f>Github!P$293</f>
        <v>277006</v>
      </c>
      <c r="O817" s="10">
        <f>Github!Q$293</f>
        <v>499171</v>
      </c>
    </row>
    <row r="818">
      <c r="A818" s="10">
        <f>Github!J$746</f>
        <v>745</v>
      </c>
      <c r="B818" s="11" t="str">
        <f>HYPERLINK(CONCAT("http://leetcode.com/problems/",Github!C$746), Github!B$746)</f>
        <v>Prefix and Suffix Search</v>
      </c>
      <c r="C818" s="10">
        <f>Github!F$746</f>
        <v>1046</v>
      </c>
      <c r="D818" s="10">
        <f>Github!G$746</f>
        <v>330</v>
      </c>
      <c r="E818" s="10">
        <f>Github!F$746+Github!G$746</f>
        <v>1376</v>
      </c>
      <c r="F818" s="12">
        <f t="shared" si="1"/>
        <v>3.17</v>
      </c>
      <c r="G818" s="10" t="str">
        <f>Github!H$746</f>
        <v>Algorithms</v>
      </c>
      <c r="H818" s="13" t="str">
        <f>SUBSTITUTE(Github!L$746, ";", ", ")</f>
        <v>String, Design, Trie, </v>
      </c>
      <c r="I818" s="10" t="str">
        <f>Github!E$746</f>
        <v>Hard</v>
      </c>
      <c r="J818" s="10" t="str">
        <f>IF(TRIM(Github!D$746)="TRUE","FALSE","TRUE")</f>
        <v>TRUE</v>
      </c>
      <c r="K818" s="10" t="b">
        <f>Github!M$746</f>
        <v>1</v>
      </c>
      <c r="L818" s="10" t="b">
        <f>Github!N$746</f>
        <v>0</v>
      </c>
      <c r="M818" s="10" t="str">
        <f>ROUND(Github!O$746, 2)&amp;"%"</f>
        <v>36.51%</v>
      </c>
      <c r="N818" s="10">
        <f>Github!P$746</f>
        <v>49932</v>
      </c>
      <c r="O818" s="10">
        <f>Github!Q$746</f>
        <v>136749</v>
      </c>
    </row>
    <row r="819">
      <c r="A819" s="10">
        <f>Github!J$183</f>
        <v>182</v>
      </c>
      <c r="B819" s="11" t="str">
        <f>HYPERLINK(CONCAT("http://leetcode.com/problems/",Github!C$183), Github!B$183)</f>
        <v>Duplicate Emails</v>
      </c>
      <c r="C819" s="10">
        <f>Github!F$183</f>
        <v>1050</v>
      </c>
      <c r="D819" s="10">
        <f>Github!G$183</f>
        <v>46</v>
      </c>
      <c r="E819" s="10">
        <f>Github!F$183+Github!G$183</f>
        <v>1096</v>
      </c>
      <c r="F819" s="12">
        <f t="shared" si="1"/>
        <v>22.83</v>
      </c>
      <c r="G819" s="10" t="str">
        <f>Github!H$183</f>
        <v>Database</v>
      </c>
      <c r="H819" s="13" t="str">
        <f>SUBSTITUTE(Github!L$183, ";", ", ")</f>
        <v>Database, </v>
      </c>
      <c r="I819" s="10" t="str">
        <f>Github!E$183</f>
        <v>Easy</v>
      </c>
      <c r="J819" s="10" t="str">
        <f>IF(TRIM(Github!D$183)="TRUE","FALSE","TRUE")</f>
        <v>TRUE</v>
      </c>
      <c r="K819" s="10" t="b">
        <f>Github!M$183</f>
        <v>1</v>
      </c>
      <c r="L819" s="10" t="b">
        <f>Github!N$183</f>
        <v>0</v>
      </c>
      <c r="M819" s="10" t="str">
        <f>ROUND(Github!O$183, 2)&amp;"%"</f>
        <v>68.91%</v>
      </c>
      <c r="N819" s="10">
        <f>Github!P$183</f>
        <v>348761</v>
      </c>
      <c r="O819" s="10">
        <f>Github!Q$183</f>
        <v>506134</v>
      </c>
    </row>
    <row r="820">
      <c r="A820" s="10">
        <f>Github!J$589</f>
        <v>588</v>
      </c>
      <c r="B820" s="11" t="str">
        <f>HYPERLINK(CONCAT("http://leetcode.com/problems/",Github!C$589), Github!B$589)</f>
        <v>Design In-Memory File System</v>
      </c>
      <c r="C820" s="10">
        <f>Github!F$589</f>
        <v>1048</v>
      </c>
      <c r="D820" s="10">
        <f>Github!G$589</f>
        <v>126</v>
      </c>
      <c r="E820" s="10">
        <f>Github!F$589+Github!G$589</f>
        <v>1174</v>
      </c>
      <c r="F820" s="12">
        <f t="shared" si="1"/>
        <v>8.32</v>
      </c>
      <c r="G820" s="10" t="str">
        <f>Github!H$589</f>
        <v>Algorithms</v>
      </c>
      <c r="H820" s="13" t="str">
        <f>SUBSTITUTE(Github!L$589, ";", ", ")</f>
        <v>Hash Table, String, Design, Trie, </v>
      </c>
      <c r="I820" s="10" t="str">
        <f>Github!E$589</f>
        <v>Hard</v>
      </c>
      <c r="J820" s="10" t="str">
        <f>IF(TRIM(Github!D$589)="TRUE","FALSE","TRUE")</f>
        <v>FALSE</v>
      </c>
      <c r="K820" s="10" t="b">
        <f>Github!M$589</f>
        <v>1</v>
      </c>
      <c r="L820" s="10" t="b">
        <f>Github!N$589</f>
        <v>0</v>
      </c>
      <c r="M820" s="10" t="str">
        <f>ROUND(Github!O$589, 2)&amp;"%"</f>
        <v>48.33%</v>
      </c>
      <c r="N820" s="10">
        <f>Github!P$589</f>
        <v>64311</v>
      </c>
      <c r="O820" s="10">
        <f>Github!Q$589</f>
        <v>133075</v>
      </c>
    </row>
    <row r="821">
      <c r="A821" s="10">
        <f>Github!J$903</f>
        <v>902</v>
      </c>
      <c r="B821" s="11" t="str">
        <f>HYPERLINK(CONCAT("http://leetcode.com/problems/",Github!C$903), Github!B$903)</f>
        <v>Numbers At Most N Given Digit Set</v>
      </c>
      <c r="C821" s="10">
        <f>Github!F$903</f>
        <v>1044</v>
      </c>
      <c r="D821" s="10">
        <f>Github!G$903</f>
        <v>88</v>
      </c>
      <c r="E821" s="10">
        <f>Github!F$903+Github!G$903</f>
        <v>1132</v>
      </c>
      <c r="F821" s="12">
        <f t="shared" si="1"/>
        <v>11.86</v>
      </c>
      <c r="G821" s="10" t="str">
        <f>Github!H$903</f>
        <v>Algorithms</v>
      </c>
      <c r="H821" s="13" t="str">
        <f>SUBSTITUTE(Github!L$903, ";", ", ")</f>
        <v>Array, Math, Binary Search, Dynamic Programming, </v>
      </c>
      <c r="I821" s="10" t="str">
        <f>Github!E$903</f>
        <v>Hard</v>
      </c>
      <c r="J821" s="10" t="str">
        <f>IF(TRIM(Github!D$903)="TRUE","FALSE","TRUE")</f>
        <v>TRUE</v>
      </c>
      <c r="K821" s="10" t="b">
        <f>Github!M$903</f>
        <v>1</v>
      </c>
      <c r="L821" s="10" t="b">
        <f>Github!N$903</f>
        <v>0</v>
      </c>
      <c r="M821" s="10" t="str">
        <f>ROUND(Github!O$903, 2)&amp;"%"</f>
        <v>40.94%</v>
      </c>
      <c r="N821" s="10">
        <f>Github!P$903</f>
        <v>35417</v>
      </c>
      <c r="O821" s="10">
        <f>Github!Q$903</f>
        <v>86513</v>
      </c>
    </row>
    <row r="822">
      <c r="A822" s="10">
        <f>Github!J$1466</f>
        <v>1465</v>
      </c>
      <c r="B822" s="11" t="str">
        <f>HYPERLINK(CONCAT("http://leetcode.com/problems/",Github!C$1466), Github!B$1466)</f>
        <v>Maximum Area of a Piece of Cake After Horizontal and Vertical Cuts</v>
      </c>
      <c r="C822" s="10">
        <f>Github!F$1466</f>
        <v>1049</v>
      </c>
      <c r="D822" s="10">
        <f>Github!G$1466</f>
        <v>232</v>
      </c>
      <c r="E822" s="10">
        <f>Github!F$1466+Github!G$1466</f>
        <v>1281</v>
      </c>
      <c r="F822" s="12">
        <f t="shared" si="1"/>
        <v>4.52</v>
      </c>
      <c r="G822" s="10" t="str">
        <f>Github!H$1466</f>
        <v>Algorithms</v>
      </c>
      <c r="H822" s="13" t="str">
        <f>SUBSTITUTE(Github!L$1466, ";", ", ")</f>
        <v>Array, Greedy, Sorting, </v>
      </c>
      <c r="I822" s="10" t="str">
        <f>Github!E$1466</f>
        <v>Medium</v>
      </c>
      <c r="J822" s="10" t="str">
        <f>IF(TRIM(Github!D$1466)="TRUE","FALSE","TRUE")</f>
        <v>TRUE</v>
      </c>
      <c r="K822" s="10" t="b">
        <f>Github!M$1466</f>
        <v>1</v>
      </c>
      <c r="L822" s="10" t="b">
        <f>Github!N$1466</f>
        <v>0</v>
      </c>
      <c r="M822" s="10" t="str">
        <f>ROUND(Github!O$1466, 2)&amp;"%"</f>
        <v>37.14%</v>
      </c>
      <c r="N822" s="10">
        <f>Github!P$1466</f>
        <v>91401</v>
      </c>
      <c r="O822" s="10">
        <f>Github!Q$1466</f>
        <v>246097</v>
      </c>
    </row>
    <row r="823">
      <c r="A823" s="10">
        <f>Github!J$546</f>
        <v>545</v>
      </c>
      <c r="B823" s="11" t="str">
        <f>HYPERLINK(CONCAT("http://leetcode.com/problems/",Github!C$546), Github!B$546)</f>
        <v>Boundary of Binary Tree</v>
      </c>
      <c r="C823" s="10">
        <f>Github!F$546</f>
        <v>1048</v>
      </c>
      <c r="D823" s="10">
        <f>Github!G$546</f>
        <v>1698</v>
      </c>
      <c r="E823" s="10">
        <f>Github!F$546+Github!G$546</f>
        <v>2746</v>
      </c>
      <c r="F823" s="12">
        <f t="shared" si="1"/>
        <v>0.62</v>
      </c>
      <c r="G823" s="10" t="str">
        <f>Github!H$546</f>
        <v>Algorithms</v>
      </c>
      <c r="H823" s="13" t="str">
        <f>SUBSTITUTE(Github!L$546, ";", ", ")</f>
        <v>Tree, Depth-First Search, Binary Tree, </v>
      </c>
      <c r="I823" s="10" t="str">
        <f>Github!E$546</f>
        <v>Medium</v>
      </c>
      <c r="J823" s="10" t="str">
        <f>IF(TRIM(Github!D$546)="TRUE","FALSE","TRUE")</f>
        <v>FALSE</v>
      </c>
      <c r="K823" s="10" t="b">
        <f>Github!M$546</f>
        <v>1</v>
      </c>
      <c r="L823" s="10" t="b">
        <f>Github!N$546</f>
        <v>0</v>
      </c>
      <c r="M823" s="10" t="str">
        <f>ROUND(Github!O$546, 2)&amp;"%"</f>
        <v>43.19%</v>
      </c>
      <c r="N823" s="10">
        <f>Github!P$546</f>
        <v>99773</v>
      </c>
      <c r="O823" s="10">
        <f>Github!Q$546</f>
        <v>230999</v>
      </c>
    </row>
    <row r="824">
      <c r="A824" s="10">
        <f>Github!J$273</f>
        <v>272</v>
      </c>
      <c r="B824" s="11" t="str">
        <f>HYPERLINK(CONCAT("http://leetcode.com/problems/",Github!C$273), Github!B$273)</f>
        <v>Closest Binary Search Tree Value II</v>
      </c>
      <c r="C824" s="10">
        <f>Github!F$273</f>
        <v>1046</v>
      </c>
      <c r="D824" s="10">
        <f>Github!G$273</f>
        <v>34</v>
      </c>
      <c r="E824" s="10">
        <f>Github!F$273+Github!G$273</f>
        <v>1080</v>
      </c>
      <c r="F824" s="12">
        <f t="shared" si="1"/>
        <v>30.76</v>
      </c>
      <c r="G824" s="10" t="str">
        <f>Github!H$273</f>
        <v>Algorithms</v>
      </c>
      <c r="H824" s="13" t="str">
        <f>SUBSTITUTE(Github!L$273, ";", ", ")</f>
        <v>Two Pointers, Stack, Tree, Depth-First Search, Binary Search Tree, Heap (Priority Queue), Binary Tree, </v>
      </c>
      <c r="I824" s="10" t="str">
        <f>Github!E$273</f>
        <v>Hard</v>
      </c>
      <c r="J824" s="10" t="str">
        <f>IF(TRIM(Github!D$273)="TRUE","FALSE","TRUE")</f>
        <v>FALSE</v>
      </c>
      <c r="K824" s="10" t="b">
        <f>Github!M$273</f>
        <v>1</v>
      </c>
      <c r="L824" s="10" t="b">
        <f>Github!N$273</f>
        <v>0</v>
      </c>
      <c r="M824" s="10" t="str">
        <f>ROUND(Github!O$273, 2)&amp;"%"</f>
        <v>56.94%</v>
      </c>
      <c r="N824" s="10">
        <f>Github!P$273</f>
        <v>96169</v>
      </c>
      <c r="O824" s="10">
        <f>Github!Q$273</f>
        <v>168909</v>
      </c>
    </row>
    <row r="825">
      <c r="A825" s="10">
        <f>Github!J$1369</f>
        <v>1368</v>
      </c>
      <c r="B825" s="11" t="str">
        <f>HYPERLINK(CONCAT("http://leetcode.com/problems/",Github!C$1369), Github!B$1369)</f>
        <v>Minimum Cost to Make at Least One Valid Path in a Grid</v>
      </c>
      <c r="C825" s="10">
        <f>Github!F$1369</f>
        <v>1044</v>
      </c>
      <c r="D825" s="10">
        <f>Github!G$1369</f>
        <v>7</v>
      </c>
      <c r="E825" s="10">
        <f>Github!F$1369+Github!G$1369</f>
        <v>1051</v>
      </c>
      <c r="F825" s="12">
        <f t="shared" si="1"/>
        <v>149.14</v>
      </c>
      <c r="G825" s="10" t="str">
        <f>Github!H$1369</f>
        <v>Algorithms</v>
      </c>
      <c r="H825" s="13" t="str">
        <f>SUBSTITUTE(Github!L$1369, ";", ", ")</f>
        <v>Array, Breadth-First Search, Graph, Heap (Priority Queue), Matrix, Shortest Path, </v>
      </c>
      <c r="I825" s="10" t="str">
        <f>Github!E$1369</f>
        <v>Hard</v>
      </c>
      <c r="J825" s="10" t="str">
        <f>IF(TRIM(Github!D$1369)="TRUE","FALSE","TRUE")</f>
        <v>TRUE</v>
      </c>
      <c r="K825" s="10" t="b">
        <f>Github!M$1369</f>
        <v>0</v>
      </c>
      <c r="L825" s="10" t="b">
        <f>Github!N$1369</f>
        <v>0</v>
      </c>
      <c r="M825" s="10" t="str">
        <f>ROUND(Github!O$1369, 2)&amp;"%"</f>
        <v>60.67%</v>
      </c>
      <c r="N825" s="10">
        <f>Github!P$1369</f>
        <v>30781</v>
      </c>
      <c r="O825" s="10">
        <f>Github!Q$1369</f>
        <v>50732</v>
      </c>
    </row>
    <row r="826">
      <c r="A826" s="10">
        <f>Github!J$946</f>
        <v>945</v>
      </c>
      <c r="B826" s="11" t="str">
        <f>HYPERLINK(CONCAT("http://leetcode.com/problems/",Github!C$946), Github!B$946)</f>
        <v>Minimum Increment to Make Array Unique</v>
      </c>
      <c r="C826" s="10">
        <f>Github!F$946</f>
        <v>1039</v>
      </c>
      <c r="D826" s="10">
        <f>Github!G$946</f>
        <v>44</v>
      </c>
      <c r="E826" s="10">
        <f>Github!F$946+Github!G$946</f>
        <v>1083</v>
      </c>
      <c r="F826" s="12">
        <f t="shared" si="1"/>
        <v>23.61</v>
      </c>
      <c r="G826" s="10" t="str">
        <f>Github!H$946</f>
        <v>Algorithms</v>
      </c>
      <c r="H826" s="13" t="str">
        <f>SUBSTITUTE(Github!L$946, ";", ", ")</f>
        <v>Array, Greedy, Sorting, Counting, </v>
      </c>
      <c r="I826" s="10" t="str">
        <f>Github!E$946</f>
        <v>Medium</v>
      </c>
      <c r="J826" s="10" t="str">
        <f>IF(TRIM(Github!D$946)="TRUE","FALSE","TRUE")</f>
        <v>TRUE</v>
      </c>
      <c r="K826" s="10" t="b">
        <f>Github!M$946</f>
        <v>1</v>
      </c>
      <c r="L826" s="10" t="b">
        <f>Github!N$946</f>
        <v>0</v>
      </c>
      <c r="M826" s="10" t="str">
        <f>ROUND(Github!O$946, 2)&amp;"%"</f>
        <v>49.07%</v>
      </c>
      <c r="N826" s="10">
        <f>Github!P$946</f>
        <v>52821</v>
      </c>
      <c r="O826" s="10">
        <f>Github!Q$946</f>
        <v>107644</v>
      </c>
    </row>
    <row r="827">
      <c r="A827" s="10">
        <f>Github!J$862</f>
        <v>861</v>
      </c>
      <c r="B827" s="11" t="str">
        <f>HYPERLINK(CONCAT("http://leetcode.com/problems/",Github!C$862), Github!B$862)</f>
        <v>Score After Flipping Matrix</v>
      </c>
      <c r="C827" s="10">
        <f>Github!F$862</f>
        <v>1035</v>
      </c>
      <c r="D827" s="10">
        <f>Github!G$862</f>
        <v>162</v>
      </c>
      <c r="E827" s="10">
        <f>Github!F$862+Github!G$862</f>
        <v>1197</v>
      </c>
      <c r="F827" s="12">
        <f t="shared" si="1"/>
        <v>6.39</v>
      </c>
      <c r="G827" s="10" t="str">
        <f>Github!H$862</f>
        <v>Algorithms</v>
      </c>
      <c r="H827" s="13" t="str">
        <f>SUBSTITUTE(Github!L$862, ";", ", ")</f>
        <v>Array, Greedy, Bit Manipulation, Matrix, </v>
      </c>
      <c r="I827" s="10" t="str">
        <f>Github!E$862</f>
        <v>Medium</v>
      </c>
      <c r="J827" s="10" t="str">
        <f>IF(TRIM(Github!D$862)="TRUE","FALSE","TRUE")</f>
        <v>TRUE</v>
      </c>
      <c r="K827" s="10" t="b">
        <f>Github!M$862</f>
        <v>0</v>
      </c>
      <c r="L827" s="10" t="b">
        <f>Github!N$862</f>
        <v>0</v>
      </c>
      <c r="M827" s="10" t="str">
        <f>ROUND(Github!O$862, 2)&amp;"%"</f>
        <v>74.82%</v>
      </c>
      <c r="N827" s="10">
        <f>Github!P$862</f>
        <v>34485</v>
      </c>
      <c r="O827" s="10">
        <f>Github!Q$862</f>
        <v>46089</v>
      </c>
    </row>
    <row r="828">
      <c r="A828" s="10">
        <f>Github!J$1476</f>
        <v>1475</v>
      </c>
      <c r="B828" s="11" t="str">
        <f>HYPERLINK(CONCAT("http://leetcode.com/problems/",Github!C$1476), Github!B$1476)</f>
        <v>Final Prices With a Special Discount in a Shop</v>
      </c>
      <c r="C828" s="10">
        <f>Github!F$1476</f>
        <v>1041</v>
      </c>
      <c r="D828" s="10">
        <f>Github!G$1476</f>
        <v>66</v>
      </c>
      <c r="E828" s="10">
        <f>Github!F$1476+Github!G$1476</f>
        <v>1107</v>
      </c>
      <c r="F828" s="12">
        <f t="shared" si="1"/>
        <v>15.77</v>
      </c>
      <c r="G828" s="10" t="str">
        <f>Github!H$1476</f>
        <v>Algorithms</v>
      </c>
      <c r="H828" s="13" t="str">
        <f>SUBSTITUTE(Github!L$1476, ";", ", ")</f>
        <v>Array, Stack, Monotonic Stack, </v>
      </c>
      <c r="I828" s="10" t="str">
        <f>Github!E$1476</f>
        <v>Easy</v>
      </c>
      <c r="J828" s="10" t="str">
        <f>IF(TRIM(Github!D$1476)="TRUE","FALSE","TRUE")</f>
        <v>TRUE</v>
      </c>
      <c r="K828" s="10" t="b">
        <f>Github!M$1476</f>
        <v>0</v>
      </c>
      <c r="L828" s="10" t="b">
        <f>Github!N$1476</f>
        <v>0</v>
      </c>
      <c r="M828" s="10" t="str">
        <f>ROUND(Github!O$1476, 2)&amp;"%"</f>
        <v>75.22%</v>
      </c>
      <c r="N828" s="10">
        <f>Github!P$1476</f>
        <v>75201</v>
      </c>
      <c r="O828" s="10">
        <f>Github!Q$1476</f>
        <v>99979</v>
      </c>
    </row>
    <row r="829">
      <c r="A829" s="10">
        <f>Github!J$178</f>
        <v>177</v>
      </c>
      <c r="B829" s="11" t="str">
        <f>HYPERLINK(CONCAT("http://leetcode.com/problems/",Github!C$178), Github!B$178)</f>
        <v>Nth Highest Salary</v>
      </c>
      <c r="C829" s="10">
        <f>Github!F$178</f>
        <v>1030</v>
      </c>
      <c r="D829" s="10">
        <f>Github!G$178</f>
        <v>650</v>
      </c>
      <c r="E829" s="10">
        <f>Github!F$178+Github!G$178</f>
        <v>1680</v>
      </c>
      <c r="F829" s="12">
        <f t="shared" si="1"/>
        <v>1.58</v>
      </c>
      <c r="G829" s="10" t="str">
        <f>Github!H$178</f>
        <v>Database</v>
      </c>
      <c r="H829" s="13" t="str">
        <f>SUBSTITUTE(Github!L$178, ";", ", ")</f>
        <v>Database, </v>
      </c>
      <c r="I829" s="10" t="str">
        <f>Github!E$178</f>
        <v>Medium</v>
      </c>
      <c r="J829" s="10" t="str">
        <f>IF(TRIM(Github!D$178)="TRUE","FALSE","TRUE")</f>
        <v>TRUE</v>
      </c>
      <c r="K829" s="10" t="b">
        <f>Github!M$178</f>
        <v>0</v>
      </c>
      <c r="L829" s="10" t="b">
        <f>Github!N$178</f>
        <v>0</v>
      </c>
      <c r="M829" s="10" t="str">
        <f>ROUND(Github!O$178, 2)&amp;"%"</f>
        <v>36.07%</v>
      </c>
      <c r="N829" s="10">
        <f>Github!P$178</f>
        <v>235029</v>
      </c>
      <c r="O829" s="10">
        <f>Github!Q$178</f>
        <v>651548</v>
      </c>
    </row>
    <row r="830">
      <c r="A830" s="10">
        <f>Github!J$506</f>
        <v>505</v>
      </c>
      <c r="B830" s="11" t="str">
        <f>HYPERLINK(CONCAT("http://leetcode.com/problems/",Github!C$506), Github!B$506)</f>
        <v>The Maze II</v>
      </c>
      <c r="C830" s="10">
        <f>Github!F$506</f>
        <v>1030</v>
      </c>
      <c r="D830" s="10">
        <f>Github!G$506</f>
        <v>45</v>
      </c>
      <c r="E830" s="10">
        <f>Github!F$506+Github!G$506</f>
        <v>1075</v>
      </c>
      <c r="F830" s="12">
        <f t="shared" si="1"/>
        <v>22.89</v>
      </c>
      <c r="G830" s="10" t="str">
        <f>Github!H$506</f>
        <v>Algorithms</v>
      </c>
      <c r="H830" s="13" t="str">
        <f>SUBSTITUTE(Github!L$506, ";", ", ")</f>
        <v>Depth-First Search, Breadth-First Search, Graph, Heap (Priority Queue), Shortest Path, </v>
      </c>
      <c r="I830" s="10" t="str">
        <f>Github!E$506</f>
        <v>Medium</v>
      </c>
      <c r="J830" s="10" t="str">
        <f>IF(TRIM(Github!D$506)="TRUE","FALSE","TRUE")</f>
        <v>FALSE</v>
      </c>
      <c r="K830" s="10" t="b">
        <f>Github!M$506</f>
        <v>1</v>
      </c>
      <c r="L830" s="10" t="b">
        <f>Github!N$506</f>
        <v>0</v>
      </c>
      <c r="M830" s="10" t="str">
        <f>ROUND(Github!O$506, 2)&amp;"%"</f>
        <v>51.29%</v>
      </c>
      <c r="N830" s="10">
        <f>Github!P$506</f>
        <v>80481</v>
      </c>
      <c r="O830" s="10">
        <f>Github!Q$506</f>
        <v>156899</v>
      </c>
    </row>
    <row r="831">
      <c r="A831" s="10">
        <f>Github!J$1029</f>
        <v>1028</v>
      </c>
      <c r="B831" s="11" t="str">
        <f>HYPERLINK(CONCAT("http://leetcode.com/problems/",Github!C$1029), Github!B$1029)</f>
        <v>Recover a Tree From Preorder Traversal</v>
      </c>
      <c r="C831" s="10">
        <f>Github!F$1029</f>
        <v>1027</v>
      </c>
      <c r="D831" s="10">
        <f>Github!G$1029</f>
        <v>30</v>
      </c>
      <c r="E831" s="10">
        <f>Github!F$1029+Github!G$1029</f>
        <v>1057</v>
      </c>
      <c r="F831" s="12">
        <f t="shared" si="1"/>
        <v>34.23</v>
      </c>
      <c r="G831" s="10" t="str">
        <f>Github!H$1029</f>
        <v>Algorithms</v>
      </c>
      <c r="H831" s="13" t="str">
        <f>SUBSTITUTE(Github!L$1029, ";", ", ")</f>
        <v>String, Tree, Depth-First Search, Binary Tree, </v>
      </c>
      <c r="I831" s="10" t="str">
        <f>Github!E$1029</f>
        <v>Hard</v>
      </c>
      <c r="J831" s="10" t="str">
        <f>IF(TRIM(Github!D$1029)="TRUE","FALSE","TRUE")</f>
        <v>TRUE</v>
      </c>
      <c r="K831" s="10" t="b">
        <f>Github!M$1029</f>
        <v>0</v>
      </c>
      <c r="L831" s="10" t="b">
        <f>Github!N$1029</f>
        <v>0</v>
      </c>
      <c r="M831" s="10" t="str">
        <f>ROUND(Github!O$1029, 2)&amp;"%"</f>
        <v>72.41%</v>
      </c>
      <c r="N831" s="10">
        <f>Github!P$1029</f>
        <v>34419</v>
      </c>
      <c r="O831" s="10">
        <f>Github!Q$1029</f>
        <v>47534</v>
      </c>
    </row>
    <row r="832">
      <c r="A832" s="10">
        <f>Github!J$540</f>
        <v>539</v>
      </c>
      <c r="B832" s="11" t="str">
        <f>HYPERLINK(CONCAT("http://leetcode.com/problems/",Github!C$540), Github!B$540)</f>
        <v>Minimum Time Difference</v>
      </c>
      <c r="C832" s="10">
        <f>Github!F$540</f>
        <v>1029</v>
      </c>
      <c r="D832" s="10">
        <f>Github!G$540</f>
        <v>200</v>
      </c>
      <c r="E832" s="10">
        <f>Github!F$540+Github!G$540</f>
        <v>1229</v>
      </c>
      <c r="F832" s="12">
        <f t="shared" si="1"/>
        <v>5.15</v>
      </c>
      <c r="G832" s="10" t="str">
        <f>Github!H$540</f>
        <v>Algorithms</v>
      </c>
      <c r="H832" s="13" t="str">
        <f>SUBSTITUTE(Github!L$540, ";", ", ")</f>
        <v>Array, Math, String, Sorting, </v>
      </c>
      <c r="I832" s="10" t="str">
        <f>Github!E$540</f>
        <v>Medium</v>
      </c>
      <c r="J832" s="10" t="str">
        <f>IF(TRIM(Github!D$540)="TRUE","FALSE","TRUE")</f>
        <v>TRUE</v>
      </c>
      <c r="K832" s="10" t="b">
        <f>Github!M$540</f>
        <v>0</v>
      </c>
      <c r="L832" s="10" t="b">
        <f>Github!N$540</f>
        <v>0</v>
      </c>
      <c r="M832" s="10" t="str">
        <f>ROUND(Github!O$540, 2)&amp;"%"</f>
        <v>54.82%</v>
      </c>
      <c r="N832" s="10">
        <f>Github!P$540</f>
        <v>85835</v>
      </c>
      <c r="O832" s="10">
        <f>Github!Q$540</f>
        <v>156564</v>
      </c>
    </row>
    <row r="833">
      <c r="A833" s="10">
        <f>Github!J$150</f>
        <v>149</v>
      </c>
      <c r="B833" s="11" t="str">
        <f>HYPERLINK(CONCAT("http://leetcode.com/problems/",Github!C$150), Github!B$150)</f>
        <v>Max Points on a Line</v>
      </c>
      <c r="C833" s="10">
        <f>Github!F$150</f>
        <v>1032</v>
      </c>
      <c r="D833" s="10">
        <f>Github!G$150</f>
        <v>180</v>
      </c>
      <c r="E833" s="10">
        <f>Github!F$150+Github!G$150</f>
        <v>1212</v>
      </c>
      <c r="F833" s="12">
        <f t="shared" si="1"/>
        <v>5.73</v>
      </c>
      <c r="G833" s="10" t="str">
        <f>Github!H$150</f>
        <v>Algorithms</v>
      </c>
      <c r="H833" s="13" t="str">
        <f>SUBSTITUTE(Github!L$150, ";", ", ")</f>
        <v>Array, Hash Table, Math, Geometry, </v>
      </c>
      <c r="I833" s="10" t="str">
        <f>Github!E$150</f>
        <v>Hard</v>
      </c>
      <c r="J833" s="10" t="str">
        <f>IF(TRIM(Github!D$150)="TRUE","FALSE","TRUE")</f>
        <v>TRUE</v>
      </c>
      <c r="K833" s="10" t="b">
        <f>Github!M$150</f>
        <v>1</v>
      </c>
      <c r="L833" s="10" t="b">
        <f>Github!N$150</f>
        <v>0</v>
      </c>
      <c r="M833" s="10" t="str">
        <f>ROUND(Github!O$150, 2)&amp;"%"</f>
        <v>20.46%</v>
      </c>
      <c r="N833" s="10">
        <f>Github!P$150</f>
        <v>228638</v>
      </c>
      <c r="O833" s="10">
        <f>Github!Q$150</f>
        <v>1117691</v>
      </c>
    </row>
    <row r="834">
      <c r="A834" s="10">
        <f>Github!J$1168</f>
        <v>1167</v>
      </c>
      <c r="B834" s="11" t="str">
        <f>HYPERLINK(CONCAT("http://leetcode.com/problems/",Github!C$1168), Github!B$1168)</f>
        <v>Minimum Cost to Connect Sticks</v>
      </c>
      <c r="C834" s="10">
        <f>Github!F$1168</f>
        <v>1012</v>
      </c>
      <c r="D834" s="10">
        <f>Github!G$1168</f>
        <v>149</v>
      </c>
      <c r="E834" s="10">
        <f>Github!F$1168+Github!G$1168</f>
        <v>1161</v>
      </c>
      <c r="F834" s="12">
        <f t="shared" si="1"/>
        <v>6.79</v>
      </c>
      <c r="G834" s="10" t="str">
        <f>Github!H$1168</f>
        <v>Algorithms</v>
      </c>
      <c r="H834" s="13" t="str">
        <f>SUBSTITUTE(Github!L$1168, ";", ", ")</f>
        <v>Array, Greedy, Heap (Priority Queue), </v>
      </c>
      <c r="I834" s="10" t="str">
        <f>Github!E$1168</f>
        <v>Medium</v>
      </c>
      <c r="J834" s="10" t="str">
        <f>IF(TRIM(Github!D$1168)="TRUE","FALSE","TRUE")</f>
        <v>FALSE</v>
      </c>
      <c r="K834" s="10" t="b">
        <f>Github!M$1168</f>
        <v>1</v>
      </c>
      <c r="L834" s="10" t="b">
        <f>Github!N$1168</f>
        <v>1</v>
      </c>
      <c r="M834" s="10" t="str">
        <f>ROUND(Github!O$1168, 2)&amp;"%"</f>
        <v>67.05%</v>
      </c>
      <c r="N834" s="10">
        <f>Github!P$1168</f>
        <v>85532</v>
      </c>
      <c r="O834" s="10">
        <f>Github!Q$1168</f>
        <v>127555</v>
      </c>
    </row>
    <row r="835">
      <c r="A835" s="10">
        <f>Github!J$1110</f>
        <v>1109</v>
      </c>
      <c r="B835" s="11" t="str">
        <f>HYPERLINK(CONCAT("http://leetcode.com/problems/",Github!C$1110), Github!B$1110)</f>
        <v>Corporate Flight Bookings</v>
      </c>
      <c r="C835" s="10">
        <f>Github!F$1110</f>
        <v>1014</v>
      </c>
      <c r="D835" s="10">
        <f>Github!G$1110</f>
        <v>141</v>
      </c>
      <c r="E835" s="10">
        <f>Github!F$1110+Github!G$1110</f>
        <v>1155</v>
      </c>
      <c r="F835" s="12">
        <f t="shared" si="1"/>
        <v>7.19</v>
      </c>
      <c r="G835" s="10" t="str">
        <f>Github!H$1110</f>
        <v>Algorithms</v>
      </c>
      <c r="H835" s="13" t="str">
        <f>SUBSTITUTE(Github!L$1110, ";", ", ")</f>
        <v>Array, Prefix Sum, </v>
      </c>
      <c r="I835" s="10" t="str">
        <f>Github!E$1110</f>
        <v>Medium</v>
      </c>
      <c r="J835" s="10" t="str">
        <f>IF(TRIM(Github!D$1110)="TRUE","FALSE","TRUE")</f>
        <v>TRUE</v>
      </c>
      <c r="K835" s="10" t="b">
        <f>Github!M$1110</f>
        <v>0</v>
      </c>
      <c r="L835" s="10" t="b">
        <f>Github!N$1110</f>
        <v>0</v>
      </c>
      <c r="M835" s="10" t="str">
        <f>ROUND(Github!O$1110, 2)&amp;"%"</f>
        <v>58.59%</v>
      </c>
      <c r="N835" s="10">
        <f>Github!P$1110</f>
        <v>38614</v>
      </c>
      <c r="O835" s="10">
        <f>Github!Q$1110</f>
        <v>65910</v>
      </c>
    </row>
    <row r="836">
      <c r="A836" s="10">
        <f>Github!J$1414</f>
        <v>1413</v>
      </c>
      <c r="B836" s="11" t="str">
        <f>HYPERLINK(CONCAT("http://leetcode.com/problems/",Github!C$1414), Github!B$1414)</f>
        <v>Minimum Value to Get Positive Step by Step Sum</v>
      </c>
      <c r="C836" s="10">
        <f>Github!F$1414</f>
        <v>1010</v>
      </c>
      <c r="D836" s="10">
        <f>Github!G$1414</f>
        <v>231</v>
      </c>
      <c r="E836" s="10">
        <f>Github!F$1414+Github!G$1414</f>
        <v>1241</v>
      </c>
      <c r="F836" s="12">
        <f t="shared" si="1"/>
        <v>4.37</v>
      </c>
      <c r="G836" s="10" t="str">
        <f>Github!H$1414</f>
        <v>Algorithms</v>
      </c>
      <c r="H836" s="13" t="str">
        <f>SUBSTITUTE(Github!L$1414, ";", ", ")</f>
        <v>Array, Prefix Sum, </v>
      </c>
      <c r="I836" s="10" t="str">
        <f>Github!E$1414</f>
        <v>Easy</v>
      </c>
      <c r="J836" s="10" t="str">
        <f>IF(TRIM(Github!D$1414)="TRUE","FALSE","TRUE")</f>
        <v>TRUE</v>
      </c>
      <c r="K836" s="10" t="b">
        <f>Github!M$1414</f>
        <v>1</v>
      </c>
      <c r="L836" s="10" t="b">
        <f>Github!N$1414</f>
        <v>0</v>
      </c>
      <c r="M836" s="10" t="str">
        <f>ROUND(Github!O$1414, 2)&amp;"%"</f>
        <v>68.63%</v>
      </c>
      <c r="N836" s="10">
        <f>Github!P$1414</f>
        <v>69671</v>
      </c>
      <c r="O836" s="10">
        <f>Github!Q$1414</f>
        <v>101510</v>
      </c>
    </row>
    <row r="837">
      <c r="A837" s="10">
        <f>Github!J$1190</f>
        <v>1189</v>
      </c>
      <c r="B837" s="11" t="str">
        <f>HYPERLINK(CONCAT("http://leetcode.com/problems/",Github!C$1190), Github!B$1190)</f>
        <v>Maximum Number of Balloons</v>
      </c>
      <c r="C837" s="10">
        <f>Github!F$1190</f>
        <v>1010</v>
      </c>
      <c r="D837" s="10">
        <f>Github!G$1190</f>
        <v>68</v>
      </c>
      <c r="E837" s="10">
        <f>Github!F$1190+Github!G$1190</f>
        <v>1078</v>
      </c>
      <c r="F837" s="12">
        <f t="shared" si="1"/>
        <v>14.85</v>
      </c>
      <c r="G837" s="10" t="str">
        <f>Github!H$1190</f>
        <v>Algorithms</v>
      </c>
      <c r="H837" s="13" t="str">
        <f>SUBSTITUTE(Github!L$1190, ";", ", ")</f>
        <v>Hash Table, String, Counting, </v>
      </c>
      <c r="I837" s="10" t="str">
        <f>Github!E$1190</f>
        <v>Easy</v>
      </c>
      <c r="J837" s="10" t="str">
        <f>IF(TRIM(Github!D$1190)="TRUE","FALSE","TRUE")</f>
        <v>TRUE</v>
      </c>
      <c r="K837" s="10" t="b">
        <f>Github!M$1190</f>
        <v>1</v>
      </c>
      <c r="L837" s="10" t="b">
        <f>Github!N$1190</f>
        <v>0</v>
      </c>
      <c r="M837" s="10" t="str">
        <f>ROUND(Github!O$1190, 2)&amp;"%"</f>
        <v>62.51%</v>
      </c>
      <c r="N837" s="10">
        <f>Github!P$1190</f>
        <v>110375</v>
      </c>
      <c r="O837" s="10">
        <f>Github!Q$1190</f>
        <v>176576</v>
      </c>
    </row>
    <row r="838">
      <c r="A838" s="10">
        <f>Github!J$1103</f>
        <v>1102</v>
      </c>
      <c r="B838" s="11" t="str">
        <f>HYPERLINK(CONCAT("http://leetcode.com/problems/",Github!C$1103), Github!B$1103)</f>
        <v>Path With Maximum Minimum Value</v>
      </c>
      <c r="C838" s="10">
        <f>Github!F$1103</f>
        <v>1013</v>
      </c>
      <c r="D838" s="10">
        <f>Github!G$1103</f>
        <v>106</v>
      </c>
      <c r="E838" s="10">
        <f>Github!F$1103+Github!G$1103</f>
        <v>1119</v>
      </c>
      <c r="F838" s="12">
        <f t="shared" si="1"/>
        <v>9.56</v>
      </c>
      <c r="G838" s="10" t="str">
        <f>Github!H$1103</f>
        <v>Algorithms</v>
      </c>
      <c r="H838" s="13" t="str">
        <f>SUBSTITUTE(Github!L$1103, ";", ", ")</f>
        <v>Array, Depth-First Search, Breadth-First Search, Union Find, Heap (Priority Queue), Matrix, </v>
      </c>
      <c r="I838" s="10" t="str">
        <f>Github!E$1103</f>
        <v>Medium</v>
      </c>
      <c r="J838" s="10" t="str">
        <f>IF(TRIM(Github!D$1103)="TRUE","FALSE","TRUE")</f>
        <v>FALSE</v>
      </c>
      <c r="K838" s="10" t="b">
        <f>Github!M$1103</f>
        <v>1</v>
      </c>
      <c r="L838" s="10" t="b">
        <f>Github!N$1103</f>
        <v>0</v>
      </c>
      <c r="M838" s="10" t="str">
        <f>ROUND(Github!O$1103, 2)&amp;"%"</f>
        <v>52.96%</v>
      </c>
      <c r="N838" s="10">
        <f>Github!P$1103</f>
        <v>47015</v>
      </c>
      <c r="O838" s="10">
        <f>Github!Q$1103</f>
        <v>88767</v>
      </c>
    </row>
    <row r="839">
      <c r="A839" s="10">
        <f>Github!J$944</f>
        <v>943</v>
      </c>
      <c r="B839" s="11" t="str">
        <f>HYPERLINK(CONCAT("http://leetcode.com/problems/",Github!C$944), Github!B$944)</f>
        <v>Find the Shortest Superstring</v>
      </c>
      <c r="C839" s="10">
        <f>Github!F$944</f>
        <v>1006</v>
      </c>
      <c r="D839" s="10">
        <f>Github!G$944</f>
        <v>126</v>
      </c>
      <c r="E839" s="10">
        <f>Github!F$944+Github!G$944</f>
        <v>1132</v>
      </c>
      <c r="F839" s="12">
        <f t="shared" si="1"/>
        <v>7.98</v>
      </c>
      <c r="G839" s="10" t="str">
        <f>Github!H$944</f>
        <v>Algorithms</v>
      </c>
      <c r="H839" s="13" t="str">
        <f>SUBSTITUTE(Github!L$944, ";", ", ")</f>
        <v>Array, String, Dynamic Programming, Bit Manipulation, Bitmask, </v>
      </c>
      <c r="I839" s="10" t="str">
        <f>Github!E$944</f>
        <v>Hard</v>
      </c>
      <c r="J839" s="10" t="str">
        <f>IF(TRIM(Github!D$944)="TRUE","FALSE","TRUE")</f>
        <v>TRUE</v>
      </c>
      <c r="K839" s="10" t="b">
        <f>Github!M$944</f>
        <v>1</v>
      </c>
      <c r="L839" s="10" t="b">
        <f>Github!N$944</f>
        <v>0</v>
      </c>
      <c r="M839" s="10" t="str">
        <f>ROUND(Github!O$944, 2)&amp;"%"</f>
        <v>45.4%</v>
      </c>
      <c r="N839" s="10">
        <f>Github!P$944</f>
        <v>23469</v>
      </c>
      <c r="O839" s="10">
        <f>Github!Q$944</f>
        <v>51693</v>
      </c>
    </row>
    <row r="840">
      <c r="A840" s="10">
        <f>Github!J$677</f>
        <v>676</v>
      </c>
      <c r="B840" s="11" t="str">
        <f>HYPERLINK(CONCAT("http://leetcode.com/problems/",Github!C$677), Github!B$677)</f>
        <v>Implement Magic Dictionary</v>
      </c>
      <c r="C840" s="10">
        <f>Github!F$677</f>
        <v>1006</v>
      </c>
      <c r="D840" s="10">
        <f>Github!G$677</f>
        <v>179</v>
      </c>
      <c r="E840" s="10">
        <f>Github!F$677+Github!G$677</f>
        <v>1185</v>
      </c>
      <c r="F840" s="12">
        <f t="shared" si="1"/>
        <v>5.62</v>
      </c>
      <c r="G840" s="10" t="str">
        <f>Github!H$677</f>
        <v>Algorithms</v>
      </c>
      <c r="H840" s="13" t="str">
        <f>SUBSTITUTE(Github!L$677, ";", ", ")</f>
        <v>Hash Table, String, Design, Trie, </v>
      </c>
      <c r="I840" s="10" t="str">
        <f>Github!E$677</f>
        <v>Medium</v>
      </c>
      <c r="J840" s="10" t="str">
        <f>IF(TRIM(Github!D$677)="TRUE","FALSE","TRUE")</f>
        <v>TRUE</v>
      </c>
      <c r="K840" s="10" t="b">
        <f>Github!M$677</f>
        <v>0</v>
      </c>
      <c r="L840" s="10" t="b">
        <f>Github!N$677</f>
        <v>0</v>
      </c>
      <c r="M840" s="10" t="str">
        <f>ROUND(Github!O$677, 2)&amp;"%"</f>
        <v>56.56%</v>
      </c>
      <c r="N840" s="10">
        <f>Github!P$677</f>
        <v>62848</v>
      </c>
      <c r="O840" s="10">
        <f>Github!Q$677</f>
        <v>111123</v>
      </c>
    </row>
    <row r="841">
      <c r="A841" s="10">
        <f>Github!J$285</f>
        <v>284</v>
      </c>
      <c r="B841" s="11" t="str">
        <f>HYPERLINK(CONCAT("http://leetcode.com/problems/",Github!C$285), Github!B$285)</f>
        <v>Peeking Iterator</v>
      </c>
      <c r="C841" s="10">
        <f>Github!F$285</f>
        <v>1551</v>
      </c>
      <c r="D841" s="10">
        <f>Github!G$285</f>
        <v>925</v>
      </c>
      <c r="E841" s="10">
        <f>Github!F$285+Github!G$285</f>
        <v>2476</v>
      </c>
      <c r="F841" s="12">
        <f t="shared" si="1"/>
        <v>1.68</v>
      </c>
      <c r="G841" s="10" t="str">
        <f>Github!H$285</f>
        <v>Algorithms</v>
      </c>
      <c r="H841" s="13" t="str">
        <f>SUBSTITUTE(Github!L$285, ";", ", ")</f>
        <v>Array, Design, Iterator, </v>
      </c>
      <c r="I841" s="10" t="str">
        <f>Github!E$285</f>
        <v>Medium</v>
      </c>
      <c r="J841" s="10" t="str">
        <f>IF(TRIM(Github!D$285)="TRUE","FALSE","TRUE")</f>
        <v>TRUE</v>
      </c>
      <c r="K841" s="10" t="b">
        <f>Github!M$285</f>
        <v>1</v>
      </c>
      <c r="L841" s="10" t="b">
        <f>Github!N$285</f>
        <v>0</v>
      </c>
      <c r="M841" s="10" t="str">
        <f>ROUND(Github!O$285, 2)&amp;"%"</f>
        <v>57.5%</v>
      </c>
      <c r="N841" s="10">
        <f>Github!P$285</f>
        <v>190776</v>
      </c>
      <c r="O841" s="10">
        <f>Github!Q$285</f>
        <v>331796</v>
      </c>
    </row>
    <row r="842">
      <c r="A842" s="10">
        <f>Github!J$830</f>
        <v>829</v>
      </c>
      <c r="B842" s="11" t="str">
        <f>HYPERLINK(CONCAT("http://leetcode.com/problems/",Github!C$830), Github!B$830)</f>
        <v>Consecutive Numbers Sum</v>
      </c>
      <c r="C842" s="10">
        <f>Github!F$830</f>
        <v>1005</v>
      </c>
      <c r="D842" s="10">
        <f>Github!G$830</f>
        <v>1218</v>
      </c>
      <c r="E842" s="10">
        <f>Github!F$830+Github!G$830</f>
        <v>2223</v>
      </c>
      <c r="F842" s="12">
        <f t="shared" si="1"/>
        <v>0.83</v>
      </c>
      <c r="G842" s="10" t="str">
        <f>Github!H$830</f>
        <v>Algorithms</v>
      </c>
      <c r="H842" s="13" t="str">
        <f>SUBSTITUTE(Github!L$830, ";", ", ")</f>
        <v>Math, Enumeration, </v>
      </c>
      <c r="I842" s="10" t="str">
        <f>Github!E$830</f>
        <v>Hard</v>
      </c>
      <c r="J842" s="10" t="str">
        <f>IF(TRIM(Github!D$830)="TRUE","FALSE","TRUE")</f>
        <v>TRUE</v>
      </c>
      <c r="K842" s="10" t="b">
        <f>Github!M$830</f>
        <v>1</v>
      </c>
      <c r="L842" s="10" t="b">
        <f>Github!N$830</f>
        <v>0</v>
      </c>
      <c r="M842" s="10" t="str">
        <f>ROUND(Github!O$830, 2)&amp;"%"</f>
        <v>41.05%</v>
      </c>
      <c r="N842" s="10">
        <f>Github!P$830</f>
        <v>67967</v>
      </c>
      <c r="O842" s="10">
        <f>Github!Q$830</f>
        <v>165585</v>
      </c>
    </row>
    <row r="843">
      <c r="A843" s="10">
        <f>Github!J$1283</f>
        <v>1282</v>
      </c>
      <c r="B843" s="11" t="str">
        <f>HYPERLINK(CONCAT("http://leetcode.com/problems/",Github!C$1283), Github!B$1283)</f>
        <v>Group the People Given the Group Size They Belong To</v>
      </c>
      <c r="C843" s="10">
        <f>Github!F$1283</f>
        <v>1007</v>
      </c>
      <c r="D843" s="10">
        <f>Github!G$1283</f>
        <v>462</v>
      </c>
      <c r="E843" s="10">
        <f>Github!F$1283+Github!G$1283</f>
        <v>1469</v>
      </c>
      <c r="F843" s="12">
        <f t="shared" si="1"/>
        <v>2.18</v>
      </c>
      <c r="G843" s="10" t="str">
        <f>Github!H$1283</f>
        <v>Algorithms</v>
      </c>
      <c r="H843" s="13" t="str">
        <f>SUBSTITUTE(Github!L$1283, ";", ", ")</f>
        <v>Array, Hash Table, </v>
      </c>
      <c r="I843" s="10" t="str">
        <f>Github!E$1283</f>
        <v>Medium</v>
      </c>
      <c r="J843" s="10" t="str">
        <f>IF(TRIM(Github!D$1283)="TRUE","FALSE","TRUE")</f>
        <v>TRUE</v>
      </c>
      <c r="K843" s="10" t="b">
        <f>Github!M$1283</f>
        <v>0</v>
      </c>
      <c r="L843" s="10" t="b">
        <f>Github!N$1283</f>
        <v>0</v>
      </c>
      <c r="M843" s="10" t="str">
        <f>ROUND(Github!O$1283, 2)&amp;"%"</f>
        <v>85.27%</v>
      </c>
      <c r="N843" s="10">
        <f>Github!P$1283</f>
        <v>78836</v>
      </c>
      <c r="O843" s="10">
        <f>Github!Q$1283</f>
        <v>92460</v>
      </c>
    </row>
    <row r="844">
      <c r="A844" s="10">
        <f>Github!J$1357</f>
        <v>1356</v>
      </c>
      <c r="B844" s="11" t="str">
        <f>HYPERLINK(CONCAT("http://leetcode.com/problems/",Github!C$1357), Github!B$1357)</f>
        <v>Sort Integers by The Number of 1 Bits</v>
      </c>
      <c r="C844" s="10">
        <f>Github!F$1357</f>
        <v>1007</v>
      </c>
      <c r="D844" s="10">
        <f>Github!G$1357</f>
        <v>45</v>
      </c>
      <c r="E844" s="10">
        <f>Github!F$1357+Github!G$1357</f>
        <v>1052</v>
      </c>
      <c r="F844" s="12">
        <f t="shared" si="1"/>
        <v>22.38</v>
      </c>
      <c r="G844" s="10" t="str">
        <f>Github!H$1357</f>
        <v>Algorithms</v>
      </c>
      <c r="H844" s="13" t="str">
        <f>SUBSTITUTE(Github!L$1357, ";", ", ")</f>
        <v>Array, Bit Manipulation, Sorting, Counting, </v>
      </c>
      <c r="I844" s="10" t="str">
        <f>Github!E$1357</f>
        <v>Easy</v>
      </c>
      <c r="J844" s="10" t="str">
        <f>IF(TRIM(Github!D$1357)="TRUE","FALSE","TRUE")</f>
        <v>TRUE</v>
      </c>
      <c r="K844" s="10" t="b">
        <f>Github!M$1357</f>
        <v>0</v>
      </c>
      <c r="L844" s="10" t="b">
        <f>Github!N$1357</f>
        <v>0</v>
      </c>
      <c r="M844" s="10" t="str">
        <f>ROUND(Github!O$1357, 2)&amp;"%"</f>
        <v>71.38%</v>
      </c>
      <c r="N844" s="10">
        <f>Github!P$1357</f>
        <v>66177</v>
      </c>
      <c r="O844" s="10">
        <f>Github!Q$1357</f>
        <v>92707</v>
      </c>
    </row>
    <row r="845">
      <c r="A845" s="10">
        <f>Github!J$244</f>
        <v>243</v>
      </c>
      <c r="B845" s="11" t="str">
        <f>HYPERLINK(CONCAT("http://leetcode.com/problems/",Github!C$244), Github!B$244)</f>
        <v>Shortest Word Distance</v>
      </c>
      <c r="C845" s="10">
        <f>Github!F$244</f>
        <v>1005</v>
      </c>
      <c r="D845" s="10">
        <f>Github!G$244</f>
        <v>85</v>
      </c>
      <c r="E845" s="10">
        <f>Github!F$244+Github!G$244</f>
        <v>1090</v>
      </c>
      <c r="F845" s="12">
        <f t="shared" si="1"/>
        <v>11.82</v>
      </c>
      <c r="G845" s="10" t="str">
        <f>Github!H$244</f>
        <v>Algorithms</v>
      </c>
      <c r="H845" s="13" t="str">
        <f>SUBSTITUTE(Github!L$244, ";", ", ")</f>
        <v>Array, String, </v>
      </c>
      <c r="I845" s="10" t="str">
        <f>Github!E$244</f>
        <v>Easy</v>
      </c>
      <c r="J845" s="10" t="str">
        <f>IF(TRIM(Github!D$244)="TRUE","FALSE","TRUE")</f>
        <v>FALSE</v>
      </c>
      <c r="K845" s="10" t="b">
        <f>Github!M$244</f>
        <v>1</v>
      </c>
      <c r="L845" s="10" t="b">
        <f>Github!N$244</f>
        <v>0</v>
      </c>
      <c r="M845" s="10" t="str">
        <f>ROUND(Github!O$244, 2)&amp;"%"</f>
        <v>64.31%</v>
      </c>
      <c r="N845" s="10">
        <f>Github!P$244</f>
        <v>174252</v>
      </c>
      <c r="O845" s="10">
        <f>Github!Q$244</f>
        <v>270957</v>
      </c>
    </row>
    <row r="846">
      <c r="A846" s="10">
        <f>Github!J$1390</f>
        <v>1389</v>
      </c>
      <c r="B846" s="11" t="str">
        <f>HYPERLINK(CONCAT("http://leetcode.com/problems/",Github!C$1390), Github!B$1390)</f>
        <v>Create Target Array in the Given Order</v>
      </c>
      <c r="C846" s="10">
        <f>Github!F$1390</f>
        <v>1002</v>
      </c>
      <c r="D846" s="10">
        <f>Github!G$1390</f>
        <v>1156</v>
      </c>
      <c r="E846" s="10">
        <f>Github!F$1390+Github!G$1390</f>
        <v>2158</v>
      </c>
      <c r="F846" s="12">
        <f t="shared" si="1"/>
        <v>0.87</v>
      </c>
      <c r="G846" s="10" t="str">
        <f>Github!H$1390</f>
        <v>Algorithms</v>
      </c>
      <c r="H846" s="13" t="str">
        <f>SUBSTITUTE(Github!L$1390, ";", ", ")</f>
        <v>Array, Simulation, </v>
      </c>
      <c r="I846" s="10" t="str">
        <f>Github!E$1390</f>
        <v>Easy</v>
      </c>
      <c r="J846" s="10" t="str">
        <f>IF(TRIM(Github!D$1390)="TRUE","FALSE","TRUE")</f>
        <v>TRUE</v>
      </c>
      <c r="K846" s="10" t="b">
        <f>Github!M$1390</f>
        <v>0</v>
      </c>
      <c r="L846" s="10" t="b">
        <f>Github!N$1390</f>
        <v>0</v>
      </c>
      <c r="M846" s="10" t="str">
        <f>ROUND(Github!O$1390, 2)&amp;"%"</f>
        <v>85.58%</v>
      </c>
      <c r="N846" s="10">
        <f>Github!P$1390</f>
        <v>140781</v>
      </c>
      <c r="O846" s="10">
        <f>Github!Q$1390</f>
        <v>164508</v>
      </c>
    </row>
    <row r="847">
      <c r="A847" s="10">
        <f>Github!J$1040</f>
        <v>1039</v>
      </c>
      <c r="B847" s="11" t="str">
        <f>HYPERLINK(CONCAT("http://leetcode.com/problems/",Github!C$1040), Github!B$1040)</f>
        <v>Minimum Score Triangulation of Polygon</v>
      </c>
      <c r="C847" s="10">
        <f>Github!F$1040</f>
        <v>997</v>
      </c>
      <c r="D847" s="10">
        <f>Github!G$1040</f>
        <v>114</v>
      </c>
      <c r="E847" s="10">
        <f>Github!F$1040+Github!G$1040</f>
        <v>1111</v>
      </c>
      <c r="F847" s="12">
        <f t="shared" si="1"/>
        <v>8.75</v>
      </c>
      <c r="G847" s="10" t="str">
        <f>Github!H$1040</f>
        <v>Algorithms</v>
      </c>
      <c r="H847" s="13" t="str">
        <f>SUBSTITUTE(Github!L$1040, ";", ", ")</f>
        <v>Array, Dynamic Programming, </v>
      </c>
      <c r="I847" s="10" t="str">
        <f>Github!E$1040</f>
        <v>Medium</v>
      </c>
      <c r="J847" s="10" t="str">
        <f>IF(TRIM(Github!D$1040)="TRUE","FALSE","TRUE")</f>
        <v>TRUE</v>
      </c>
      <c r="K847" s="10" t="b">
        <f>Github!M$1040</f>
        <v>0</v>
      </c>
      <c r="L847" s="10" t="b">
        <f>Github!N$1040</f>
        <v>0</v>
      </c>
      <c r="M847" s="10" t="str">
        <f>ROUND(Github!O$1040, 2)&amp;"%"</f>
        <v>52.43%</v>
      </c>
      <c r="N847" s="10">
        <f>Github!P$1040</f>
        <v>22279</v>
      </c>
      <c r="O847" s="10">
        <f>Github!Q$1040</f>
        <v>42496</v>
      </c>
    </row>
    <row r="848">
      <c r="A848" s="10">
        <f>Github!J$1219</f>
        <v>1218</v>
      </c>
      <c r="B848" s="11" t="str">
        <f>HYPERLINK(CONCAT("http://leetcode.com/problems/",Github!C$1219), Github!B$1219)</f>
        <v>Longest Arithmetic Subsequence of Given Difference</v>
      </c>
      <c r="C848" s="10">
        <f>Github!F$1219</f>
        <v>997</v>
      </c>
      <c r="D848" s="10">
        <f>Github!G$1219</f>
        <v>43</v>
      </c>
      <c r="E848" s="10">
        <f>Github!F$1219+Github!G$1219</f>
        <v>1040</v>
      </c>
      <c r="F848" s="12">
        <f t="shared" si="1"/>
        <v>23.19</v>
      </c>
      <c r="G848" s="10" t="str">
        <f>Github!H$1219</f>
        <v>Algorithms</v>
      </c>
      <c r="H848" s="13" t="str">
        <f>SUBSTITUTE(Github!L$1219, ";", ", ")</f>
        <v>Array, Hash Table, Dynamic Programming, </v>
      </c>
      <c r="I848" s="10" t="str">
        <f>Github!E$1219</f>
        <v>Medium</v>
      </c>
      <c r="J848" s="10" t="str">
        <f>IF(TRIM(Github!D$1219)="TRUE","FALSE","TRUE")</f>
        <v>TRUE</v>
      </c>
      <c r="K848" s="10" t="b">
        <f>Github!M$1219</f>
        <v>0</v>
      </c>
      <c r="L848" s="10" t="b">
        <f>Github!N$1219</f>
        <v>0</v>
      </c>
      <c r="M848" s="10" t="str">
        <f>ROUND(Github!O$1219, 2)&amp;"%"</f>
        <v>51.38%</v>
      </c>
      <c r="N848" s="10">
        <f>Github!P$1219</f>
        <v>47475</v>
      </c>
      <c r="O848" s="10">
        <f>Github!Q$1219</f>
        <v>92406</v>
      </c>
    </row>
    <row r="849">
      <c r="A849" s="10">
        <f>Github!J$639</f>
        <v>638</v>
      </c>
      <c r="B849" s="11" t="str">
        <f>HYPERLINK(CONCAT("http://leetcode.com/problems/",Github!C$639), Github!B$639)</f>
        <v>Shopping Offers</v>
      </c>
      <c r="C849" s="10">
        <f>Github!F$639</f>
        <v>990</v>
      </c>
      <c r="D849" s="10">
        <f>Github!G$639</f>
        <v>634</v>
      </c>
      <c r="E849" s="10">
        <f>Github!F$639+Github!G$639</f>
        <v>1624</v>
      </c>
      <c r="F849" s="12">
        <f t="shared" si="1"/>
        <v>1.56</v>
      </c>
      <c r="G849" s="10" t="str">
        <f>Github!H$639</f>
        <v>Algorithms</v>
      </c>
      <c r="H849" s="13" t="str">
        <f>SUBSTITUTE(Github!L$639, ";", ", ")</f>
        <v>Array, Dynamic Programming, Backtracking, Bit Manipulation, Memoization, Bitmask, </v>
      </c>
      <c r="I849" s="10" t="str">
        <f>Github!E$639</f>
        <v>Medium</v>
      </c>
      <c r="J849" s="10" t="str">
        <f>IF(TRIM(Github!D$639)="TRUE","FALSE","TRUE")</f>
        <v>TRUE</v>
      </c>
      <c r="K849" s="10" t="b">
        <f>Github!M$639</f>
        <v>1</v>
      </c>
      <c r="L849" s="10" t="b">
        <f>Github!N$639</f>
        <v>0</v>
      </c>
      <c r="M849" s="10" t="str">
        <f>ROUND(Github!O$639, 2)&amp;"%"</f>
        <v>54.59%</v>
      </c>
      <c r="N849" s="10">
        <f>Github!P$639</f>
        <v>45684</v>
      </c>
      <c r="O849" s="10">
        <f>Github!Q$639</f>
        <v>83691</v>
      </c>
    </row>
    <row r="850">
      <c r="A850" s="10">
        <f>Github!J$1489</f>
        <v>1488</v>
      </c>
      <c r="B850" s="11" t="str">
        <f>HYPERLINK(CONCAT("http://leetcode.com/problems/",Github!C$1489), Github!B$1489)</f>
        <v>Avoid Flood in The City</v>
      </c>
      <c r="C850" s="10">
        <f>Github!F$1489</f>
        <v>991</v>
      </c>
      <c r="D850" s="10">
        <f>Github!G$1489</f>
        <v>198</v>
      </c>
      <c r="E850" s="10">
        <f>Github!F$1489+Github!G$1489</f>
        <v>1189</v>
      </c>
      <c r="F850" s="12">
        <f t="shared" si="1"/>
        <v>5.01</v>
      </c>
      <c r="G850" s="10" t="str">
        <f>Github!H$1489</f>
        <v>Algorithms</v>
      </c>
      <c r="H850" s="13" t="str">
        <f>SUBSTITUTE(Github!L$1489, ";", ", ")</f>
        <v>Array, Hash Table, Binary Search, Greedy, Heap (Priority Queue), </v>
      </c>
      <c r="I850" s="10" t="str">
        <f>Github!E$1489</f>
        <v>Medium</v>
      </c>
      <c r="J850" s="10" t="str">
        <f>IF(TRIM(Github!D$1489)="TRUE","FALSE","TRUE")</f>
        <v>TRUE</v>
      </c>
      <c r="K850" s="10" t="b">
        <f>Github!M$1489</f>
        <v>0</v>
      </c>
      <c r="L850" s="10" t="b">
        <f>Github!N$1489</f>
        <v>0</v>
      </c>
      <c r="M850" s="10" t="str">
        <f>ROUND(Github!O$1489, 2)&amp;"%"</f>
        <v>25.37%</v>
      </c>
      <c r="N850" s="10">
        <f>Github!P$1489</f>
        <v>23246</v>
      </c>
      <c r="O850" s="10">
        <f>Github!Q$1489</f>
        <v>91631</v>
      </c>
    </row>
    <row r="851">
      <c r="A851" s="10">
        <f>Github!J$389</f>
        <v>388</v>
      </c>
      <c r="B851" s="11" t="str">
        <f>HYPERLINK(CONCAT("http://leetcode.com/problems/",Github!C$389), Github!B$389)</f>
        <v>Longest Absolute File Path</v>
      </c>
      <c r="C851" s="10">
        <f>Github!F$389</f>
        <v>986</v>
      </c>
      <c r="D851" s="10">
        <f>Github!G$389</f>
        <v>2128</v>
      </c>
      <c r="E851" s="10">
        <f>Github!F$389+Github!G$389</f>
        <v>3114</v>
      </c>
      <c r="F851" s="12">
        <f t="shared" si="1"/>
        <v>0.46</v>
      </c>
      <c r="G851" s="10" t="str">
        <f>Github!H$389</f>
        <v>Algorithms</v>
      </c>
      <c r="H851" s="13" t="str">
        <f>SUBSTITUTE(Github!L$389, ";", ", ")</f>
        <v>String, Stack, Depth-First Search, </v>
      </c>
      <c r="I851" s="10" t="str">
        <f>Github!E$389</f>
        <v>Medium</v>
      </c>
      <c r="J851" s="10" t="str">
        <f>IF(TRIM(Github!D$389)="TRUE","FALSE","TRUE")</f>
        <v>TRUE</v>
      </c>
      <c r="K851" s="10" t="b">
        <f>Github!M$389</f>
        <v>0</v>
      </c>
      <c r="L851" s="10" t="b">
        <f>Github!N$389</f>
        <v>0</v>
      </c>
      <c r="M851" s="10" t="str">
        <f>ROUND(Github!O$389, 2)&amp;"%"</f>
        <v>45.89%</v>
      </c>
      <c r="N851" s="10">
        <f>Github!P$389</f>
        <v>128603</v>
      </c>
      <c r="O851" s="10">
        <f>Github!Q$389</f>
        <v>280262</v>
      </c>
    </row>
    <row r="852">
      <c r="A852" s="10">
        <f>Github!J$1579</f>
        <v>1578</v>
      </c>
      <c r="B852" s="11" t="str">
        <f>HYPERLINK(CONCAT("http://leetcode.com/problems/",Github!C$1579), Github!B$1579)</f>
        <v>Minimum Time to Make Rope Colorful</v>
      </c>
      <c r="C852" s="10">
        <f>Github!F$1579</f>
        <v>986</v>
      </c>
      <c r="D852" s="10">
        <f>Github!G$1579</f>
        <v>41</v>
      </c>
      <c r="E852" s="10">
        <f>Github!F$1579+Github!G$1579</f>
        <v>1027</v>
      </c>
      <c r="F852" s="12">
        <f t="shared" si="1"/>
        <v>24.05</v>
      </c>
      <c r="G852" s="10" t="str">
        <f>Github!H$1579</f>
        <v>Algorithms</v>
      </c>
      <c r="H852" s="13" t="str">
        <f>SUBSTITUTE(Github!L$1579, ";", ", ")</f>
        <v>Array, String, Dynamic Programming, Greedy, </v>
      </c>
      <c r="I852" s="10" t="str">
        <f>Github!E$1579</f>
        <v>Medium</v>
      </c>
      <c r="J852" s="10" t="str">
        <f>IF(TRIM(Github!D$1579)="TRUE","FALSE","TRUE")</f>
        <v>TRUE</v>
      </c>
      <c r="K852" s="10" t="b">
        <f>Github!M$1579</f>
        <v>0</v>
      </c>
      <c r="L852" s="10" t="b">
        <f>Github!N$1579</f>
        <v>0</v>
      </c>
      <c r="M852" s="10" t="str">
        <f>ROUND(Github!O$1579, 2)&amp;"%"</f>
        <v>61.18%</v>
      </c>
      <c r="N852" s="10">
        <f>Github!P$1579</f>
        <v>60975</v>
      </c>
      <c r="O852" s="10">
        <f>Github!Q$1579</f>
        <v>99673</v>
      </c>
    </row>
    <row r="853">
      <c r="A853" s="10">
        <f>Github!J$1761</f>
        <v>1760</v>
      </c>
      <c r="B853" s="11" t="str">
        <f>HYPERLINK(CONCAT("http://leetcode.com/problems/",Github!C$1761), Github!B$1761)</f>
        <v>Minimum Limit of Balls in a Bag</v>
      </c>
      <c r="C853" s="10">
        <f>Github!F$1761</f>
        <v>991</v>
      </c>
      <c r="D853" s="10">
        <f>Github!G$1761</f>
        <v>32</v>
      </c>
      <c r="E853" s="10">
        <f>Github!F$1761+Github!G$1761</f>
        <v>1023</v>
      </c>
      <c r="F853" s="12">
        <f t="shared" si="1"/>
        <v>30.97</v>
      </c>
      <c r="G853" s="10" t="str">
        <f>Github!H$1761</f>
        <v>Algorithms</v>
      </c>
      <c r="H853" s="13" t="str">
        <f>SUBSTITUTE(Github!L$1761, ";", ", ")</f>
        <v>Array, Binary Search, </v>
      </c>
      <c r="I853" s="10" t="str">
        <f>Github!E$1761</f>
        <v>Medium</v>
      </c>
      <c r="J853" s="10" t="str">
        <f>IF(TRIM(Github!D$1761)="TRUE","FALSE","TRUE")</f>
        <v>TRUE</v>
      </c>
      <c r="K853" s="10" t="b">
        <f>Github!M$1761</f>
        <v>0</v>
      </c>
      <c r="L853" s="10" t="b">
        <f>Github!N$1761</f>
        <v>0</v>
      </c>
      <c r="M853" s="10" t="str">
        <f>ROUND(Github!O$1761, 2)&amp;"%"</f>
        <v>57.65%</v>
      </c>
      <c r="N853" s="10">
        <f>Github!P$1761</f>
        <v>17124</v>
      </c>
      <c r="O853" s="10">
        <f>Github!Q$1761</f>
        <v>29705</v>
      </c>
    </row>
    <row r="854">
      <c r="A854" s="10">
        <f>Github!J$181</f>
        <v>180</v>
      </c>
      <c r="B854" s="11" t="str">
        <f>HYPERLINK(CONCAT("http://leetcode.com/problems/",Github!C$181), Github!B$181)</f>
        <v>Consecutive Numbers</v>
      </c>
      <c r="C854" s="10">
        <f>Github!F$181</f>
        <v>980</v>
      </c>
      <c r="D854" s="10">
        <f>Github!G$181</f>
        <v>187</v>
      </c>
      <c r="E854" s="10">
        <f>Github!F$181+Github!G$181</f>
        <v>1167</v>
      </c>
      <c r="F854" s="12">
        <f t="shared" si="1"/>
        <v>5.24</v>
      </c>
      <c r="G854" s="10" t="str">
        <f>Github!H$181</f>
        <v>Database</v>
      </c>
      <c r="H854" s="13" t="str">
        <f>SUBSTITUTE(Github!L$181, ";", ", ")</f>
        <v>Database, </v>
      </c>
      <c r="I854" s="10" t="str">
        <f>Github!E$181</f>
        <v>Medium</v>
      </c>
      <c r="J854" s="10" t="str">
        <f>IF(TRIM(Github!D$181)="TRUE","FALSE","TRUE")</f>
        <v>TRUE</v>
      </c>
      <c r="K854" s="10" t="b">
        <f>Github!M$181</f>
        <v>1</v>
      </c>
      <c r="L854" s="10" t="b">
        <f>Github!N$181</f>
        <v>0</v>
      </c>
      <c r="M854" s="10" t="str">
        <f>ROUND(Github!O$181, 2)&amp;"%"</f>
        <v>45.6%</v>
      </c>
      <c r="N854" s="10">
        <f>Github!P$181</f>
        <v>186619</v>
      </c>
      <c r="O854" s="10">
        <f>Github!Q$181</f>
        <v>409274</v>
      </c>
    </row>
    <row r="855">
      <c r="A855" s="10">
        <f>Github!J$266</f>
        <v>265</v>
      </c>
      <c r="B855" s="11" t="str">
        <f>HYPERLINK(CONCAT("http://leetcode.com/problems/",Github!C$266), Github!B$266)</f>
        <v>Paint House II</v>
      </c>
      <c r="C855" s="10">
        <f>Github!F$266</f>
        <v>981</v>
      </c>
      <c r="D855" s="10">
        <f>Github!G$266</f>
        <v>33</v>
      </c>
      <c r="E855" s="10">
        <f>Github!F$266+Github!G$266</f>
        <v>1014</v>
      </c>
      <c r="F855" s="12">
        <f t="shared" si="1"/>
        <v>29.73</v>
      </c>
      <c r="G855" s="10" t="str">
        <f>Github!H$266</f>
        <v>Algorithms</v>
      </c>
      <c r="H855" s="13" t="str">
        <f>SUBSTITUTE(Github!L$266, ";", ", ")</f>
        <v>Array, Dynamic Programming, </v>
      </c>
      <c r="I855" s="10" t="str">
        <f>Github!E$266</f>
        <v>Hard</v>
      </c>
      <c r="J855" s="10" t="str">
        <f>IF(TRIM(Github!D$266)="TRUE","FALSE","TRUE")</f>
        <v>FALSE</v>
      </c>
      <c r="K855" s="10" t="b">
        <f>Github!M$266</f>
        <v>1</v>
      </c>
      <c r="L855" s="10" t="b">
        <f>Github!N$266</f>
        <v>0</v>
      </c>
      <c r="M855" s="10" t="str">
        <f>ROUND(Github!O$266, 2)&amp;"%"</f>
        <v>50.79%</v>
      </c>
      <c r="N855" s="10">
        <f>Github!P$266</f>
        <v>94644</v>
      </c>
      <c r="O855" s="10">
        <f>Github!Q$266</f>
        <v>186340</v>
      </c>
    </row>
    <row r="856">
      <c r="A856" s="10">
        <f>Github!J$1484</f>
        <v>1483</v>
      </c>
      <c r="B856" s="11" t="str">
        <f>HYPERLINK(CONCAT("http://leetcode.com/problems/",Github!C$1484), Github!B$1484)</f>
        <v>Kth Ancestor of a Tree Node</v>
      </c>
      <c r="C856" s="10">
        <f>Github!F$1484</f>
        <v>982</v>
      </c>
      <c r="D856" s="10">
        <f>Github!G$1484</f>
        <v>83</v>
      </c>
      <c r="E856" s="10">
        <f>Github!F$1484+Github!G$1484</f>
        <v>1065</v>
      </c>
      <c r="F856" s="12">
        <f t="shared" si="1"/>
        <v>11.83</v>
      </c>
      <c r="G856" s="10" t="str">
        <f>Github!H$1484</f>
        <v>Algorithms</v>
      </c>
      <c r="H856" s="13" t="str">
        <f>SUBSTITUTE(Github!L$1484, ";", ", ")</f>
        <v>Binary Search, Dynamic Programming, Tree, Depth-First Search, Breadth-First Search, Design, </v>
      </c>
      <c r="I856" s="10" t="str">
        <f>Github!E$1484</f>
        <v>Hard</v>
      </c>
      <c r="J856" s="10" t="str">
        <f>IF(TRIM(Github!D$1484)="TRUE","FALSE","TRUE")</f>
        <v>TRUE</v>
      </c>
      <c r="K856" s="10" t="b">
        <f>Github!M$1484</f>
        <v>0</v>
      </c>
      <c r="L856" s="10" t="b">
        <f>Github!N$1484</f>
        <v>0</v>
      </c>
      <c r="M856" s="10" t="str">
        <f>ROUND(Github!O$1484, 2)&amp;"%"</f>
        <v>33.41%</v>
      </c>
      <c r="N856" s="10">
        <f>Github!P$1484</f>
        <v>20115</v>
      </c>
      <c r="O856" s="10">
        <f>Github!Q$1484</f>
        <v>60200</v>
      </c>
    </row>
    <row r="857">
      <c r="A857" s="10">
        <f>Github!J$1324</f>
        <v>1323</v>
      </c>
      <c r="B857" s="11" t="str">
        <f>HYPERLINK(CONCAT("http://leetcode.com/problems/",Github!C$1324), Github!B$1324)</f>
        <v>Maximum 69 Number</v>
      </c>
      <c r="C857" s="10">
        <f>Github!F$1324</f>
        <v>974</v>
      </c>
      <c r="D857" s="10">
        <f>Github!G$1324</f>
        <v>118</v>
      </c>
      <c r="E857" s="10">
        <f>Github!F$1324+Github!G$1324</f>
        <v>1092</v>
      </c>
      <c r="F857" s="12">
        <f t="shared" si="1"/>
        <v>8.25</v>
      </c>
      <c r="G857" s="10" t="str">
        <f>Github!H$1324</f>
        <v>Algorithms</v>
      </c>
      <c r="H857" s="13" t="str">
        <f>SUBSTITUTE(Github!L$1324, ";", ", ")</f>
        <v>Math, Greedy, </v>
      </c>
      <c r="I857" s="10" t="str">
        <f>Github!E$1324</f>
        <v>Easy</v>
      </c>
      <c r="J857" s="10" t="str">
        <f>IF(TRIM(Github!D$1324)="TRUE","FALSE","TRUE")</f>
        <v>TRUE</v>
      </c>
      <c r="K857" s="10" t="b">
        <f>Github!M$1324</f>
        <v>0</v>
      </c>
      <c r="L857" s="10" t="b">
        <f>Github!N$1324</f>
        <v>0</v>
      </c>
      <c r="M857" s="10" t="str">
        <f>ROUND(Github!O$1324, 2)&amp;"%"</f>
        <v>78.84%</v>
      </c>
      <c r="N857" s="10">
        <f>Github!P$1324</f>
        <v>108891</v>
      </c>
      <c r="O857" s="10">
        <f>Github!Q$1324</f>
        <v>138108</v>
      </c>
    </row>
    <row r="858">
      <c r="A858" s="10">
        <f>Github!J$1115</f>
        <v>1114</v>
      </c>
      <c r="B858" s="11" t="str">
        <f>HYPERLINK(CONCAT("http://leetcode.com/problems/",Github!C$1115), Github!B$1115)</f>
        <v>Print in Order</v>
      </c>
      <c r="C858" s="10">
        <f>Github!F$1115</f>
        <v>972</v>
      </c>
      <c r="D858" s="10">
        <f>Github!G$1115</f>
        <v>168</v>
      </c>
      <c r="E858" s="10">
        <f>Github!F$1115+Github!G$1115</f>
        <v>1140</v>
      </c>
      <c r="F858" s="12">
        <f t="shared" si="1"/>
        <v>5.79</v>
      </c>
      <c r="G858" s="10" t="str">
        <f>Github!H$1115</f>
        <v>Concurrency</v>
      </c>
      <c r="H858" s="13" t="str">
        <f>SUBSTITUTE(Github!L$1115, ";", ", ")</f>
        <v>Concurrency, </v>
      </c>
      <c r="I858" s="10" t="str">
        <f>Github!E$1115</f>
        <v>Easy</v>
      </c>
      <c r="J858" s="10" t="str">
        <f>IF(TRIM(Github!D$1115)="TRUE","FALSE","TRUE")</f>
        <v>TRUE</v>
      </c>
      <c r="K858" s="10" t="b">
        <f>Github!M$1115</f>
        <v>1</v>
      </c>
      <c r="L858" s="10" t="b">
        <f>Github!N$1115</f>
        <v>0</v>
      </c>
      <c r="M858" s="10" t="str">
        <f>ROUND(Github!O$1115, 2)&amp;"%"</f>
        <v>68.22%</v>
      </c>
      <c r="N858" s="10">
        <f>Github!P$1115</f>
        <v>104723</v>
      </c>
      <c r="O858" s="10">
        <f>Github!Q$1115</f>
        <v>153519</v>
      </c>
    </row>
    <row r="859">
      <c r="A859" s="10">
        <f>Github!J$1575</f>
        <v>1574</v>
      </c>
      <c r="B859" s="11" t="str">
        <f>HYPERLINK(CONCAT("http://leetcode.com/problems/",Github!C$1575), Github!B$1575)</f>
        <v>Shortest Subarray to be Removed to Make Array Sorted</v>
      </c>
      <c r="C859" s="10">
        <f>Github!F$1575</f>
        <v>986</v>
      </c>
      <c r="D859" s="10">
        <f>Github!G$1575</f>
        <v>30</v>
      </c>
      <c r="E859" s="10">
        <f>Github!F$1575+Github!G$1575</f>
        <v>1016</v>
      </c>
      <c r="F859" s="12">
        <f t="shared" si="1"/>
        <v>32.87</v>
      </c>
      <c r="G859" s="10" t="str">
        <f>Github!H$1575</f>
        <v>Algorithms</v>
      </c>
      <c r="H859" s="13" t="str">
        <f>SUBSTITUTE(Github!L$1575, ";", ", ")</f>
        <v>Array, Two Pointers, Binary Search, Stack, Monotonic Stack, </v>
      </c>
      <c r="I859" s="10" t="str">
        <f>Github!E$1575</f>
        <v>Medium</v>
      </c>
      <c r="J859" s="10" t="str">
        <f>IF(TRIM(Github!D$1575)="TRUE","FALSE","TRUE")</f>
        <v>TRUE</v>
      </c>
      <c r="K859" s="10" t="b">
        <f>Github!M$1575</f>
        <v>0</v>
      </c>
      <c r="L859" s="10" t="b">
        <f>Github!N$1575</f>
        <v>0</v>
      </c>
      <c r="M859" s="10" t="str">
        <f>ROUND(Github!O$1575, 2)&amp;"%"</f>
        <v>35.54%</v>
      </c>
      <c r="N859" s="10">
        <f>Github!P$1575</f>
        <v>18204</v>
      </c>
      <c r="O859" s="10">
        <f>Github!Q$1575</f>
        <v>51224</v>
      </c>
    </row>
    <row r="860">
      <c r="A860" s="10">
        <f>Github!J$1016</f>
        <v>1015</v>
      </c>
      <c r="B860" s="11" t="str">
        <f>HYPERLINK(CONCAT("http://leetcode.com/problems/",Github!C$1016), Github!B$1016)</f>
        <v>Smallest Integer Divisible by K</v>
      </c>
      <c r="C860" s="10">
        <f>Github!F$1016</f>
        <v>968</v>
      </c>
      <c r="D860" s="10">
        <f>Github!G$1016</f>
        <v>800</v>
      </c>
      <c r="E860" s="10">
        <f>Github!F$1016+Github!G$1016</f>
        <v>1768</v>
      </c>
      <c r="F860" s="12">
        <f t="shared" si="1"/>
        <v>1.21</v>
      </c>
      <c r="G860" s="10" t="str">
        <f>Github!H$1016</f>
        <v>Algorithms</v>
      </c>
      <c r="H860" s="13" t="str">
        <f>SUBSTITUTE(Github!L$1016, ";", ", ")</f>
        <v>Hash Table, Math, </v>
      </c>
      <c r="I860" s="10" t="str">
        <f>Github!E$1016</f>
        <v>Medium</v>
      </c>
      <c r="J860" s="10" t="str">
        <f>IF(TRIM(Github!D$1016)="TRUE","FALSE","TRUE")</f>
        <v>TRUE</v>
      </c>
      <c r="K860" s="10" t="b">
        <f>Github!M$1016</f>
        <v>1</v>
      </c>
      <c r="L860" s="10" t="b">
        <f>Github!N$1016</f>
        <v>0</v>
      </c>
      <c r="M860" s="10" t="str">
        <f>ROUND(Github!O$1016, 2)&amp;"%"</f>
        <v>47.03%</v>
      </c>
      <c r="N860" s="10">
        <f>Github!P$1016</f>
        <v>55265</v>
      </c>
      <c r="O860" s="10">
        <f>Github!Q$1016</f>
        <v>117510</v>
      </c>
    </row>
    <row r="861">
      <c r="A861" s="10">
        <f>Github!J$856</f>
        <v>855</v>
      </c>
      <c r="B861" s="11" t="str">
        <f>HYPERLINK(CONCAT("http://leetcode.com/problems/",Github!C$856), Github!B$856)</f>
        <v>Exam Room</v>
      </c>
      <c r="C861" s="10">
        <f>Github!F$856</f>
        <v>968</v>
      </c>
      <c r="D861" s="10">
        <f>Github!G$856</f>
        <v>378</v>
      </c>
      <c r="E861" s="10">
        <f>Github!F$856+Github!G$856</f>
        <v>1346</v>
      </c>
      <c r="F861" s="12">
        <f t="shared" si="1"/>
        <v>2.56</v>
      </c>
      <c r="G861" s="10" t="str">
        <f>Github!H$856</f>
        <v>Algorithms</v>
      </c>
      <c r="H861" s="13" t="str">
        <f>SUBSTITUTE(Github!L$856, ";", ", ")</f>
        <v>Design, Ordered Set, </v>
      </c>
      <c r="I861" s="10" t="str">
        <f>Github!E$856</f>
        <v>Medium</v>
      </c>
      <c r="J861" s="10" t="str">
        <f>IF(TRIM(Github!D$856)="TRUE","FALSE","TRUE")</f>
        <v>TRUE</v>
      </c>
      <c r="K861" s="10" t="b">
        <f>Github!M$856</f>
        <v>0</v>
      </c>
      <c r="L861" s="10" t="b">
        <f>Github!N$856</f>
        <v>0</v>
      </c>
      <c r="M861" s="10" t="str">
        <f>ROUND(Github!O$856, 2)&amp;"%"</f>
        <v>43.61%</v>
      </c>
      <c r="N861" s="10">
        <f>Github!P$856</f>
        <v>46719</v>
      </c>
      <c r="O861" s="10">
        <f>Github!Q$856</f>
        <v>107119</v>
      </c>
    </row>
    <row r="862">
      <c r="A862" s="10">
        <f>Github!J$879</f>
        <v>878</v>
      </c>
      <c r="B862" s="11" t="str">
        <f>HYPERLINK(CONCAT("http://leetcode.com/problems/",Github!C$879), Github!B$879)</f>
        <v>Nth Magical Number</v>
      </c>
      <c r="C862" s="10">
        <f>Github!F$879</f>
        <v>965</v>
      </c>
      <c r="D862" s="10">
        <f>Github!G$879</f>
        <v>135</v>
      </c>
      <c r="E862" s="10">
        <f>Github!F$879+Github!G$879</f>
        <v>1100</v>
      </c>
      <c r="F862" s="12">
        <f t="shared" si="1"/>
        <v>7.15</v>
      </c>
      <c r="G862" s="10" t="str">
        <f>Github!H$879</f>
        <v>Algorithms</v>
      </c>
      <c r="H862" s="13" t="str">
        <f>SUBSTITUTE(Github!L$879, ";", ", ")</f>
        <v>Math, Binary Search, </v>
      </c>
      <c r="I862" s="10" t="str">
        <f>Github!E$879</f>
        <v>Hard</v>
      </c>
      <c r="J862" s="10" t="str">
        <f>IF(TRIM(Github!D$879)="TRUE","FALSE","TRUE")</f>
        <v>TRUE</v>
      </c>
      <c r="K862" s="10" t="b">
        <f>Github!M$879</f>
        <v>1</v>
      </c>
      <c r="L862" s="10" t="b">
        <f>Github!N$879</f>
        <v>0</v>
      </c>
      <c r="M862" s="10" t="str">
        <f>ROUND(Github!O$879, 2)&amp;"%"</f>
        <v>35.79%</v>
      </c>
      <c r="N862" s="10">
        <f>Github!P$879</f>
        <v>29303</v>
      </c>
      <c r="O862" s="10">
        <f>Github!Q$879</f>
        <v>81883</v>
      </c>
    </row>
    <row r="863">
      <c r="A863" s="10">
        <f>Github!J$1458</f>
        <v>1457</v>
      </c>
      <c r="B863" s="11" t="str">
        <f>HYPERLINK(CONCAT("http://leetcode.com/problems/",Github!C$1458), Github!B$1458)</f>
        <v>Pseudo-Palindromic Paths in a Binary Tree</v>
      </c>
      <c r="C863" s="10">
        <f>Github!F$1458</f>
        <v>969</v>
      </c>
      <c r="D863" s="10">
        <f>Github!G$1458</f>
        <v>34</v>
      </c>
      <c r="E863" s="10">
        <f>Github!F$1458+Github!G$1458</f>
        <v>1003</v>
      </c>
      <c r="F863" s="12">
        <f t="shared" si="1"/>
        <v>28.5</v>
      </c>
      <c r="G863" s="10" t="str">
        <f>Github!H$1458</f>
        <v>Algorithms</v>
      </c>
      <c r="H863" s="13" t="str">
        <f>SUBSTITUTE(Github!L$1458, ";", ", ")</f>
        <v>Bit Manipulation, Tree, Depth-First Search, Breadth-First Search, Binary Tree, </v>
      </c>
      <c r="I863" s="10" t="str">
        <f>Github!E$1458</f>
        <v>Medium</v>
      </c>
      <c r="J863" s="10" t="str">
        <f>IF(TRIM(Github!D$1458)="TRUE","FALSE","TRUE")</f>
        <v>TRUE</v>
      </c>
      <c r="K863" s="10" t="b">
        <f>Github!M$1458</f>
        <v>1</v>
      </c>
      <c r="L863" s="10" t="b">
        <f>Github!N$1458</f>
        <v>0</v>
      </c>
      <c r="M863" s="10" t="str">
        <f>ROUND(Github!O$1458, 2)&amp;"%"</f>
        <v>67.21%</v>
      </c>
      <c r="N863" s="10">
        <f>Github!P$1458</f>
        <v>51007</v>
      </c>
      <c r="O863" s="10">
        <f>Github!Q$1458</f>
        <v>75887</v>
      </c>
    </row>
    <row r="864">
      <c r="A864" s="10">
        <f>Github!J$1407</f>
        <v>1406</v>
      </c>
      <c r="B864" s="11" t="str">
        <f>HYPERLINK(CONCAT("http://leetcode.com/problems/",Github!C$1407), Github!B$1407)</f>
        <v>Stone Game III</v>
      </c>
      <c r="C864" s="10">
        <f>Github!F$1407</f>
        <v>966</v>
      </c>
      <c r="D864" s="10">
        <f>Github!G$1407</f>
        <v>22</v>
      </c>
      <c r="E864" s="10">
        <f>Github!F$1407+Github!G$1407</f>
        <v>988</v>
      </c>
      <c r="F864" s="12">
        <f t="shared" si="1"/>
        <v>43.91</v>
      </c>
      <c r="G864" s="10" t="str">
        <f>Github!H$1407</f>
        <v>Algorithms</v>
      </c>
      <c r="H864" s="13" t="str">
        <f>SUBSTITUTE(Github!L$1407, ";", ", ")</f>
        <v>Array, Math, Dynamic Programming, Game Theory, </v>
      </c>
      <c r="I864" s="10" t="str">
        <f>Github!E$1407</f>
        <v>Hard</v>
      </c>
      <c r="J864" s="10" t="str">
        <f>IF(TRIM(Github!D$1407)="TRUE","FALSE","TRUE")</f>
        <v>TRUE</v>
      </c>
      <c r="K864" s="10" t="b">
        <f>Github!M$1407</f>
        <v>0</v>
      </c>
      <c r="L864" s="10" t="b">
        <f>Github!N$1407</f>
        <v>0</v>
      </c>
      <c r="M864" s="10" t="str">
        <f>ROUND(Github!O$1407, 2)&amp;"%"</f>
        <v>60.23%</v>
      </c>
      <c r="N864" s="10">
        <f>Github!P$1407</f>
        <v>35913</v>
      </c>
      <c r="O864" s="10">
        <f>Github!Q$1407</f>
        <v>59627</v>
      </c>
    </row>
    <row r="865">
      <c r="A865" s="10">
        <f>Github!J$365</f>
        <v>364</v>
      </c>
      <c r="B865" s="11" t="str">
        <f>HYPERLINK(CONCAT("http://leetcode.com/problems/",Github!C$365), Github!B$365)</f>
        <v>Nested List Weight Sum II</v>
      </c>
      <c r="C865" s="10">
        <f>Github!F$365</f>
        <v>964</v>
      </c>
      <c r="D865" s="10">
        <f>Github!G$365</f>
        <v>290</v>
      </c>
      <c r="E865" s="10">
        <f>Github!F$365+Github!G$365</f>
        <v>1254</v>
      </c>
      <c r="F865" s="12">
        <f t="shared" si="1"/>
        <v>3.32</v>
      </c>
      <c r="G865" s="10" t="str">
        <f>Github!H$365</f>
        <v>Algorithms</v>
      </c>
      <c r="H865" s="13" t="str">
        <f>SUBSTITUTE(Github!L$365, ";", ", ")</f>
        <v>Stack, Depth-First Search, Breadth-First Search, </v>
      </c>
      <c r="I865" s="10" t="str">
        <f>Github!E$365</f>
        <v>Medium</v>
      </c>
      <c r="J865" s="10" t="str">
        <f>IF(TRIM(Github!D$365)="TRUE","FALSE","TRUE")</f>
        <v>FALSE</v>
      </c>
      <c r="K865" s="10" t="b">
        <f>Github!M$365</f>
        <v>1</v>
      </c>
      <c r="L865" s="10" t="b">
        <f>Github!N$365</f>
        <v>0</v>
      </c>
      <c r="M865" s="10" t="str">
        <f>ROUND(Github!O$365, 2)&amp;"%"</f>
        <v>68.37%</v>
      </c>
      <c r="N865" s="10">
        <f>Github!P$365</f>
        <v>113666</v>
      </c>
      <c r="O865" s="10">
        <f>Github!Q$365</f>
        <v>166249</v>
      </c>
    </row>
    <row r="866">
      <c r="A866" s="10">
        <f>Github!J$1161</f>
        <v>1160</v>
      </c>
      <c r="B866" s="11" t="str">
        <f>HYPERLINK(CONCAT("http://leetcode.com/problems/",Github!C$1161), Github!B$1161)</f>
        <v>Find Words That Can Be Formed by Characters</v>
      </c>
      <c r="C866" s="10">
        <f>Github!F$1161</f>
        <v>969</v>
      </c>
      <c r="D866" s="10">
        <f>Github!G$1161</f>
        <v>121</v>
      </c>
      <c r="E866" s="10">
        <f>Github!F$1161+Github!G$1161</f>
        <v>1090</v>
      </c>
      <c r="F866" s="12">
        <f t="shared" si="1"/>
        <v>8.01</v>
      </c>
      <c r="G866" s="10" t="str">
        <f>Github!H$1161</f>
        <v>Algorithms</v>
      </c>
      <c r="H866" s="13" t="str">
        <f>SUBSTITUTE(Github!L$1161, ";", ", ")</f>
        <v>Array, Hash Table, String, </v>
      </c>
      <c r="I866" s="10" t="str">
        <f>Github!E$1161</f>
        <v>Easy</v>
      </c>
      <c r="J866" s="10" t="str">
        <f>IF(TRIM(Github!D$1161)="TRUE","FALSE","TRUE")</f>
        <v>TRUE</v>
      </c>
      <c r="K866" s="10" t="b">
        <f>Github!M$1161</f>
        <v>0</v>
      </c>
      <c r="L866" s="10" t="b">
        <f>Github!N$1161</f>
        <v>0</v>
      </c>
      <c r="M866" s="10" t="str">
        <f>ROUND(Github!O$1161, 2)&amp;"%"</f>
        <v>67.69%</v>
      </c>
      <c r="N866" s="10">
        <f>Github!P$1161</f>
        <v>113253</v>
      </c>
      <c r="O866" s="10">
        <f>Github!Q$1161</f>
        <v>167312</v>
      </c>
    </row>
    <row r="867">
      <c r="A867" s="10">
        <f>Github!J$399</f>
        <v>398</v>
      </c>
      <c r="B867" s="11" t="str">
        <f>HYPERLINK(CONCAT("http://leetcode.com/problems/",Github!C$399), Github!B$399)</f>
        <v>Random Pick Index</v>
      </c>
      <c r="C867" s="10">
        <f>Github!F$399</f>
        <v>966</v>
      </c>
      <c r="D867" s="10">
        <f>Github!G$399</f>
        <v>1035</v>
      </c>
      <c r="E867" s="10">
        <f>Github!F$399+Github!G$399</f>
        <v>2001</v>
      </c>
      <c r="F867" s="12">
        <f t="shared" si="1"/>
        <v>0.93</v>
      </c>
      <c r="G867" s="10" t="str">
        <f>Github!H$399</f>
        <v>Algorithms</v>
      </c>
      <c r="H867" s="13" t="str">
        <f>SUBSTITUTE(Github!L$399, ";", ", ")</f>
        <v>Hash Table, Math, Reservoir Sampling, Randomized, </v>
      </c>
      <c r="I867" s="10" t="str">
        <f>Github!E$399</f>
        <v>Medium</v>
      </c>
      <c r="J867" s="10" t="str">
        <f>IF(TRIM(Github!D$399)="TRUE","FALSE","TRUE")</f>
        <v>TRUE</v>
      </c>
      <c r="K867" s="10" t="b">
        <f>Github!M$399</f>
        <v>1</v>
      </c>
      <c r="L867" s="10" t="b">
        <f>Github!N$399</f>
        <v>0</v>
      </c>
      <c r="M867" s="10" t="str">
        <f>ROUND(Github!O$399, 2)&amp;"%"</f>
        <v>63.77%</v>
      </c>
      <c r="N867" s="10">
        <f>Github!P$399</f>
        <v>168896</v>
      </c>
      <c r="O867" s="10">
        <f>Github!Q$399</f>
        <v>264832</v>
      </c>
    </row>
    <row r="868">
      <c r="A868" s="10">
        <f>Github!J$1006</f>
        <v>1005</v>
      </c>
      <c r="B868" s="11" t="str">
        <f>HYPERLINK(CONCAT("http://leetcode.com/problems/",Github!C$1006), Github!B$1006)</f>
        <v>Maximize Sum Of Array After K Negations</v>
      </c>
      <c r="C868" s="10">
        <f>Github!F$1006</f>
        <v>961</v>
      </c>
      <c r="D868" s="10">
        <f>Github!G$1006</f>
        <v>79</v>
      </c>
      <c r="E868" s="10">
        <f>Github!F$1006+Github!G$1006</f>
        <v>1040</v>
      </c>
      <c r="F868" s="12">
        <f t="shared" si="1"/>
        <v>12.16</v>
      </c>
      <c r="G868" s="10" t="str">
        <f>Github!H$1006</f>
        <v>Algorithms</v>
      </c>
      <c r="H868" s="13" t="str">
        <f>SUBSTITUTE(Github!L$1006, ";", ", ")</f>
        <v>Array, Greedy, Sorting, </v>
      </c>
      <c r="I868" s="10" t="str">
        <f>Github!E$1006</f>
        <v>Easy</v>
      </c>
      <c r="J868" s="10" t="str">
        <f>IF(TRIM(Github!D$1006)="TRUE","FALSE","TRUE")</f>
        <v>TRUE</v>
      </c>
      <c r="K868" s="10" t="b">
        <f>Github!M$1006</f>
        <v>0</v>
      </c>
      <c r="L868" s="10" t="b">
        <f>Github!N$1006</f>
        <v>0</v>
      </c>
      <c r="M868" s="10" t="str">
        <f>ROUND(Github!O$1006, 2)&amp;"%"</f>
        <v>51.41%</v>
      </c>
      <c r="N868" s="10">
        <f>Github!P$1006</f>
        <v>53821</v>
      </c>
      <c r="O868" s="10">
        <f>Github!Q$1006</f>
        <v>104686</v>
      </c>
    </row>
    <row r="869">
      <c r="A869" s="10">
        <f>Github!J$542</f>
        <v>541</v>
      </c>
      <c r="B869" s="11" t="str">
        <f>HYPERLINK(CONCAT("http://leetcode.com/problems/",Github!C$542), Github!B$542)</f>
        <v>Reverse String II</v>
      </c>
      <c r="C869" s="10">
        <f>Github!F$542</f>
        <v>959</v>
      </c>
      <c r="D869" s="10">
        <f>Github!G$542</f>
        <v>2389</v>
      </c>
      <c r="E869" s="10">
        <f>Github!F$542+Github!G$542</f>
        <v>3348</v>
      </c>
      <c r="F869" s="12">
        <f t="shared" si="1"/>
        <v>0.4</v>
      </c>
      <c r="G869" s="10" t="str">
        <f>Github!H$542</f>
        <v>Algorithms</v>
      </c>
      <c r="H869" s="13" t="str">
        <f>SUBSTITUTE(Github!L$542, ";", ", ")</f>
        <v>Two Pointers, String, </v>
      </c>
      <c r="I869" s="10" t="str">
        <f>Github!E$542</f>
        <v>Easy</v>
      </c>
      <c r="J869" s="10" t="str">
        <f>IF(TRIM(Github!D$542)="TRUE","FALSE","TRUE")</f>
        <v>TRUE</v>
      </c>
      <c r="K869" s="10" t="b">
        <f>Github!M$542</f>
        <v>1</v>
      </c>
      <c r="L869" s="10" t="b">
        <f>Github!N$542</f>
        <v>0</v>
      </c>
      <c r="M869" s="10" t="str">
        <f>ROUND(Github!O$542, 2)&amp;"%"</f>
        <v>50.16%</v>
      </c>
      <c r="N869" s="10">
        <f>Github!P$542</f>
        <v>150490</v>
      </c>
      <c r="O869" s="10">
        <f>Github!Q$542</f>
        <v>300048</v>
      </c>
    </row>
    <row r="870">
      <c r="A870" s="10">
        <f>Github!J$1105</f>
        <v>1104</v>
      </c>
      <c r="B870" s="11" t="str">
        <f>HYPERLINK(CONCAT("http://leetcode.com/problems/",Github!C$1105), Github!B$1105)</f>
        <v>Path In Zigzag Labelled Binary Tree</v>
      </c>
      <c r="C870" s="10">
        <f>Github!F$1105</f>
        <v>964</v>
      </c>
      <c r="D870" s="10">
        <f>Github!G$1105</f>
        <v>263</v>
      </c>
      <c r="E870" s="10">
        <f>Github!F$1105+Github!G$1105</f>
        <v>1227</v>
      </c>
      <c r="F870" s="12">
        <f t="shared" si="1"/>
        <v>3.67</v>
      </c>
      <c r="G870" s="10" t="str">
        <f>Github!H$1105</f>
        <v>Algorithms</v>
      </c>
      <c r="H870" s="13" t="str">
        <f>SUBSTITUTE(Github!L$1105, ";", ", ")</f>
        <v>Math, Tree, Binary Tree, </v>
      </c>
      <c r="I870" s="10" t="str">
        <f>Github!E$1105</f>
        <v>Medium</v>
      </c>
      <c r="J870" s="10" t="str">
        <f>IF(TRIM(Github!D$1105)="TRUE","FALSE","TRUE")</f>
        <v>TRUE</v>
      </c>
      <c r="K870" s="10" t="b">
        <f>Github!M$1105</f>
        <v>0</v>
      </c>
      <c r="L870" s="10" t="b">
        <f>Github!N$1105</f>
        <v>0</v>
      </c>
      <c r="M870" s="10" t="str">
        <f>ROUND(Github!O$1105, 2)&amp;"%"</f>
        <v>74.55%</v>
      </c>
      <c r="N870" s="10">
        <f>Github!P$1105</f>
        <v>32815</v>
      </c>
      <c r="O870" s="10">
        <f>Github!Q$1105</f>
        <v>44018</v>
      </c>
    </row>
    <row r="871">
      <c r="A871" s="10">
        <f>Github!J$905</f>
        <v>904</v>
      </c>
      <c r="B871" s="11" t="str">
        <f>HYPERLINK(CONCAT("http://leetcode.com/problems/",Github!C$905), Github!B$905)</f>
        <v>Fruit Into Baskets</v>
      </c>
      <c r="C871" s="10">
        <f>Github!F$905</f>
        <v>968</v>
      </c>
      <c r="D871" s="10">
        <f>Github!G$905</f>
        <v>76</v>
      </c>
      <c r="E871" s="10">
        <f>Github!F$905+Github!G$905</f>
        <v>1044</v>
      </c>
      <c r="F871" s="12">
        <f t="shared" si="1"/>
        <v>12.74</v>
      </c>
      <c r="G871" s="10" t="str">
        <f>Github!H$905</f>
        <v>Algorithms</v>
      </c>
      <c r="H871" s="13" t="str">
        <f>SUBSTITUTE(Github!L$905, ";", ", ")</f>
        <v>Array, Hash Table, Sliding Window, </v>
      </c>
      <c r="I871" s="10" t="str">
        <f>Github!E$905</f>
        <v>Medium</v>
      </c>
      <c r="J871" s="10" t="str">
        <f>IF(TRIM(Github!D$905)="TRUE","FALSE","TRUE")</f>
        <v>TRUE</v>
      </c>
      <c r="K871" s="10" t="b">
        <f>Github!M$905</f>
        <v>0</v>
      </c>
      <c r="L871" s="10" t="b">
        <f>Github!N$905</f>
        <v>0</v>
      </c>
      <c r="M871" s="10" t="str">
        <f>ROUND(Github!O$905, 2)&amp;"%"</f>
        <v>42.78%</v>
      </c>
      <c r="N871" s="10">
        <f>Github!P$905</f>
        <v>200081</v>
      </c>
      <c r="O871" s="10">
        <f>Github!Q$905</f>
        <v>467687</v>
      </c>
    </row>
    <row r="872">
      <c r="A872" s="10">
        <f>Github!J$1146</f>
        <v>1145</v>
      </c>
      <c r="B872" s="11" t="str">
        <f>HYPERLINK(CONCAT("http://leetcode.com/problems/",Github!C$1146), Github!B$1146)</f>
        <v>Binary Tree Coloring Game</v>
      </c>
      <c r="C872" s="10">
        <f>Github!F$1146</f>
        <v>958</v>
      </c>
      <c r="D872" s="10">
        <f>Github!G$1146</f>
        <v>172</v>
      </c>
      <c r="E872" s="10">
        <f>Github!F$1146+Github!G$1146</f>
        <v>1130</v>
      </c>
      <c r="F872" s="12">
        <f t="shared" si="1"/>
        <v>5.57</v>
      </c>
      <c r="G872" s="10" t="str">
        <f>Github!H$1146</f>
        <v>Algorithms</v>
      </c>
      <c r="H872" s="13" t="str">
        <f>SUBSTITUTE(Github!L$1146, ";", ", ")</f>
        <v>Tree, Depth-First Search, Binary Tree, </v>
      </c>
      <c r="I872" s="10" t="str">
        <f>Github!E$1146</f>
        <v>Medium</v>
      </c>
      <c r="J872" s="10" t="str">
        <f>IF(TRIM(Github!D$1146)="TRUE","FALSE","TRUE")</f>
        <v>TRUE</v>
      </c>
      <c r="K872" s="10" t="b">
        <f>Github!M$1146</f>
        <v>0</v>
      </c>
      <c r="L872" s="10" t="b">
        <f>Github!N$1146</f>
        <v>0</v>
      </c>
      <c r="M872" s="10" t="str">
        <f>ROUND(Github!O$1146, 2)&amp;"%"</f>
        <v>51.19%</v>
      </c>
      <c r="N872" s="10">
        <f>Github!P$1146</f>
        <v>34684</v>
      </c>
      <c r="O872" s="10">
        <f>Github!Q$1146</f>
        <v>67754</v>
      </c>
    </row>
    <row r="873">
      <c r="A873" s="10">
        <f>Github!J$917</f>
        <v>916</v>
      </c>
      <c r="B873" s="11" t="str">
        <f>HYPERLINK(CONCAT("http://leetcode.com/problems/",Github!C$917), Github!B$917)</f>
        <v>Word Subsets</v>
      </c>
      <c r="C873" s="10">
        <f>Github!F$917</f>
        <v>949</v>
      </c>
      <c r="D873" s="10">
        <f>Github!G$917</f>
        <v>126</v>
      </c>
      <c r="E873" s="10">
        <f>Github!F$917+Github!G$917</f>
        <v>1075</v>
      </c>
      <c r="F873" s="12">
        <f t="shared" si="1"/>
        <v>7.53</v>
      </c>
      <c r="G873" s="10" t="str">
        <f>Github!H$917</f>
        <v>Algorithms</v>
      </c>
      <c r="H873" s="13" t="str">
        <f>SUBSTITUTE(Github!L$917, ";", ", ")</f>
        <v>Array, Hash Table, String, </v>
      </c>
      <c r="I873" s="10" t="str">
        <f>Github!E$917</f>
        <v>Medium</v>
      </c>
      <c r="J873" s="10" t="str">
        <f>IF(TRIM(Github!D$917)="TRUE","FALSE","TRUE")</f>
        <v>TRUE</v>
      </c>
      <c r="K873" s="10" t="b">
        <f>Github!M$917</f>
        <v>1</v>
      </c>
      <c r="L873" s="10" t="b">
        <f>Github!N$917</f>
        <v>0</v>
      </c>
      <c r="M873" s="10" t="str">
        <f>ROUND(Github!O$917, 2)&amp;"%"</f>
        <v>52.65%</v>
      </c>
      <c r="N873" s="10">
        <f>Github!P$917</f>
        <v>49940</v>
      </c>
      <c r="O873" s="10">
        <f>Github!Q$917</f>
        <v>94848</v>
      </c>
    </row>
    <row r="874">
      <c r="A874" s="10">
        <f>Github!J$899</f>
        <v>898</v>
      </c>
      <c r="B874" s="11" t="str">
        <f>HYPERLINK(CONCAT("http://leetcode.com/problems/",Github!C$899), Github!B$899)</f>
        <v>Bitwise ORs of Subarrays</v>
      </c>
      <c r="C874" s="10">
        <f>Github!F$899</f>
        <v>951</v>
      </c>
      <c r="D874" s="10">
        <f>Github!G$899</f>
        <v>176</v>
      </c>
      <c r="E874" s="10">
        <f>Github!F$899+Github!G$899</f>
        <v>1127</v>
      </c>
      <c r="F874" s="12">
        <f t="shared" si="1"/>
        <v>5.4</v>
      </c>
      <c r="G874" s="10" t="str">
        <f>Github!H$899</f>
        <v>Algorithms</v>
      </c>
      <c r="H874" s="13" t="str">
        <f>SUBSTITUTE(Github!L$899, ";", ", ")</f>
        <v>Array, Dynamic Programming, Bit Manipulation, </v>
      </c>
      <c r="I874" s="10" t="str">
        <f>Github!E$899</f>
        <v>Medium</v>
      </c>
      <c r="J874" s="10" t="str">
        <f>IF(TRIM(Github!D$899)="TRUE","FALSE","TRUE")</f>
        <v>TRUE</v>
      </c>
      <c r="K874" s="10" t="b">
        <f>Github!M$899</f>
        <v>0</v>
      </c>
      <c r="L874" s="10" t="b">
        <f>Github!N$899</f>
        <v>0</v>
      </c>
      <c r="M874" s="10" t="str">
        <f>ROUND(Github!O$899, 2)&amp;"%"</f>
        <v>36.26%</v>
      </c>
      <c r="N874" s="10">
        <f>Github!P$899</f>
        <v>26036</v>
      </c>
      <c r="O874" s="10">
        <f>Github!Q$899</f>
        <v>71801</v>
      </c>
    </row>
    <row r="875">
      <c r="A875" s="10">
        <f>Github!J$1125</f>
        <v>1124</v>
      </c>
      <c r="B875" s="11" t="str">
        <f>HYPERLINK(CONCAT("http://leetcode.com/problems/",Github!C$1125), Github!B$1125)</f>
        <v>Longest Well-Performing Interval</v>
      </c>
      <c r="C875" s="10">
        <f>Github!F$1125</f>
        <v>947</v>
      </c>
      <c r="D875" s="10">
        <f>Github!G$1125</f>
        <v>95</v>
      </c>
      <c r="E875" s="10">
        <f>Github!F$1125+Github!G$1125</f>
        <v>1042</v>
      </c>
      <c r="F875" s="12">
        <f t="shared" si="1"/>
        <v>9.97</v>
      </c>
      <c r="G875" s="10" t="str">
        <f>Github!H$1125</f>
        <v>Algorithms</v>
      </c>
      <c r="H875" s="13" t="str">
        <f>SUBSTITUTE(Github!L$1125, ";", ", ")</f>
        <v>Array, Hash Table, Stack, Monotonic Stack, Prefix Sum, </v>
      </c>
      <c r="I875" s="10" t="str">
        <f>Github!E$1125</f>
        <v>Medium</v>
      </c>
      <c r="J875" s="10" t="str">
        <f>IF(TRIM(Github!D$1125)="TRUE","FALSE","TRUE")</f>
        <v>TRUE</v>
      </c>
      <c r="K875" s="10" t="b">
        <f>Github!M$1125</f>
        <v>0</v>
      </c>
      <c r="L875" s="10" t="b">
        <f>Github!N$1125</f>
        <v>0</v>
      </c>
      <c r="M875" s="10" t="str">
        <f>ROUND(Github!O$1125, 2)&amp;"%"</f>
        <v>34.25%</v>
      </c>
      <c r="N875" s="10">
        <f>Github!P$1125</f>
        <v>21676</v>
      </c>
      <c r="O875" s="10">
        <f>Github!Q$1125</f>
        <v>63287</v>
      </c>
    </row>
    <row r="876">
      <c r="A876" s="10">
        <f>Github!J$838</f>
        <v>837</v>
      </c>
      <c r="B876" s="11" t="str">
        <f>HYPERLINK(CONCAT("http://leetcode.com/problems/",Github!C$838), Github!B$838)</f>
        <v>New 21 Game</v>
      </c>
      <c r="C876" s="10">
        <f>Github!F$838</f>
        <v>944</v>
      </c>
      <c r="D876" s="10">
        <f>Github!G$838</f>
        <v>634</v>
      </c>
      <c r="E876" s="10">
        <f>Github!F$838+Github!G$838</f>
        <v>1578</v>
      </c>
      <c r="F876" s="12">
        <f t="shared" si="1"/>
        <v>1.49</v>
      </c>
      <c r="G876" s="10" t="str">
        <f>Github!H$838</f>
        <v>Algorithms</v>
      </c>
      <c r="H876" s="13" t="str">
        <f>SUBSTITUTE(Github!L$838, ";", ", ")</f>
        <v>Math, Dynamic Programming, Sliding Window, Probability and Statistics, </v>
      </c>
      <c r="I876" s="10" t="str">
        <f>Github!E$838</f>
        <v>Medium</v>
      </c>
      <c r="J876" s="10" t="str">
        <f>IF(TRIM(Github!D$838)="TRUE","FALSE","TRUE")</f>
        <v>TRUE</v>
      </c>
      <c r="K876" s="10" t="b">
        <f>Github!M$838</f>
        <v>0</v>
      </c>
      <c r="L876" s="10" t="b">
        <f>Github!N$838</f>
        <v>0</v>
      </c>
      <c r="M876" s="10" t="str">
        <f>ROUND(Github!O$838, 2)&amp;"%"</f>
        <v>36%</v>
      </c>
      <c r="N876" s="10">
        <f>Github!P$838</f>
        <v>31185</v>
      </c>
      <c r="O876" s="10">
        <f>Github!Q$838</f>
        <v>86630</v>
      </c>
    </row>
    <row r="877">
      <c r="A877" s="10">
        <f>Github!J$576</f>
        <v>575</v>
      </c>
      <c r="B877" s="11" t="str">
        <f>HYPERLINK(CONCAT("http://leetcode.com/problems/",Github!C$576), Github!B$576)</f>
        <v>Distribute Candies</v>
      </c>
      <c r="C877" s="10">
        <f>Github!F$576</f>
        <v>946</v>
      </c>
      <c r="D877" s="10">
        <f>Github!G$576</f>
        <v>1150</v>
      </c>
      <c r="E877" s="10">
        <f>Github!F$576+Github!G$576</f>
        <v>2096</v>
      </c>
      <c r="F877" s="12">
        <f t="shared" si="1"/>
        <v>0.82</v>
      </c>
      <c r="G877" s="10" t="str">
        <f>Github!H$576</f>
        <v>Algorithms</v>
      </c>
      <c r="H877" s="13" t="str">
        <f>SUBSTITUTE(Github!L$576, ";", ", ")</f>
        <v>Array, Hash Table, </v>
      </c>
      <c r="I877" s="10" t="str">
        <f>Github!E$576</f>
        <v>Easy</v>
      </c>
      <c r="J877" s="10" t="str">
        <f>IF(TRIM(Github!D$576)="TRUE","FALSE","TRUE")</f>
        <v>TRUE</v>
      </c>
      <c r="K877" s="10" t="b">
        <f>Github!M$576</f>
        <v>1</v>
      </c>
      <c r="L877" s="10" t="b">
        <f>Github!N$576</f>
        <v>0</v>
      </c>
      <c r="M877" s="10" t="str">
        <f>ROUND(Github!O$576, 2)&amp;"%"</f>
        <v>65.63%</v>
      </c>
      <c r="N877" s="10">
        <f>Github!P$576</f>
        <v>203272</v>
      </c>
      <c r="O877" s="10">
        <f>Github!Q$576</f>
        <v>309727</v>
      </c>
    </row>
    <row r="878">
      <c r="A878" s="10">
        <f>Github!J$781</f>
        <v>780</v>
      </c>
      <c r="B878" s="11" t="str">
        <f>HYPERLINK(CONCAT("http://leetcode.com/problems/",Github!C$781), Github!B$781)</f>
        <v>Reaching Points</v>
      </c>
      <c r="C878" s="10">
        <f>Github!F$781</f>
        <v>942</v>
      </c>
      <c r="D878" s="10">
        <f>Github!G$781</f>
        <v>161</v>
      </c>
      <c r="E878" s="10">
        <f>Github!F$781+Github!G$781</f>
        <v>1103</v>
      </c>
      <c r="F878" s="12">
        <f t="shared" si="1"/>
        <v>5.85</v>
      </c>
      <c r="G878" s="10" t="str">
        <f>Github!H$781</f>
        <v>Algorithms</v>
      </c>
      <c r="H878" s="13" t="str">
        <f>SUBSTITUTE(Github!L$781, ";", ", ")</f>
        <v>Math, </v>
      </c>
      <c r="I878" s="10" t="str">
        <f>Github!E$781</f>
        <v>Hard</v>
      </c>
      <c r="J878" s="10" t="str">
        <f>IF(TRIM(Github!D$781)="TRUE","FALSE","TRUE")</f>
        <v>TRUE</v>
      </c>
      <c r="K878" s="10" t="b">
        <f>Github!M$781</f>
        <v>1</v>
      </c>
      <c r="L878" s="10" t="b">
        <f>Github!N$781</f>
        <v>0</v>
      </c>
      <c r="M878" s="10" t="str">
        <f>ROUND(Github!O$781, 2)&amp;"%"</f>
        <v>31.63%</v>
      </c>
      <c r="N878" s="10">
        <f>Github!P$781</f>
        <v>41746</v>
      </c>
      <c r="O878" s="10">
        <f>Github!Q$781</f>
        <v>131962</v>
      </c>
    </row>
    <row r="879">
      <c r="A879" s="10">
        <f>Github!J$1930</f>
        <v>1929</v>
      </c>
      <c r="B879" s="11" t="str">
        <f>HYPERLINK(CONCAT("http://leetcode.com/problems/",Github!C$1930), Github!B$1930)</f>
        <v>Concatenation of Array</v>
      </c>
      <c r="C879" s="10">
        <f>Github!F$1930</f>
        <v>956</v>
      </c>
      <c r="D879" s="10">
        <f>Github!G$1930</f>
        <v>185</v>
      </c>
      <c r="E879" s="10">
        <f>Github!F$1930+Github!G$1930</f>
        <v>1141</v>
      </c>
      <c r="F879" s="12">
        <f t="shared" si="1"/>
        <v>5.17</v>
      </c>
      <c r="G879" s="10" t="str">
        <f>Github!H$1930</f>
        <v>Algorithms</v>
      </c>
      <c r="H879" s="13" t="str">
        <f>SUBSTITUTE(Github!L$1930, ";", ", ")</f>
        <v>Array, </v>
      </c>
      <c r="I879" s="10" t="str">
        <f>Github!E$1930</f>
        <v>Easy</v>
      </c>
      <c r="J879" s="10" t="str">
        <f>IF(TRIM(Github!D$1930)="TRUE","FALSE","TRUE")</f>
        <v>TRUE</v>
      </c>
      <c r="K879" s="10" t="b">
        <f>Github!M$1930</f>
        <v>0</v>
      </c>
      <c r="L879" s="10" t="b">
        <f>Github!N$1930</f>
        <v>0</v>
      </c>
      <c r="M879" s="10" t="str">
        <f>ROUND(Github!O$1930, 2)&amp;"%"</f>
        <v>91.64%</v>
      </c>
      <c r="N879" s="10">
        <f>Github!P$1930</f>
        <v>175273</v>
      </c>
      <c r="O879" s="10">
        <f>Github!Q$1930</f>
        <v>191271</v>
      </c>
    </row>
    <row r="880">
      <c r="A880" s="10">
        <f>Github!J$1221</f>
        <v>1220</v>
      </c>
      <c r="B880" s="11" t="str">
        <f>HYPERLINK(CONCAT("http://leetcode.com/problems/",Github!C$1221), Github!B$1221)</f>
        <v>Count Vowels Permutation</v>
      </c>
      <c r="C880" s="10">
        <f>Github!F$1221</f>
        <v>939</v>
      </c>
      <c r="D880" s="10">
        <f>Github!G$1221</f>
        <v>92</v>
      </c>
      <c r="E880" s="10">
        <f>Github!F$1221+Github!G$1221</f>
        <v>1031</v>
      </c>
      <c r="F880" s="12">
        <f t="shared" si="1"/>
        <v>10.21</v>
      </c>
      <c r="G880" s="10" t="str">
        <f>Github!H$1221</f>
        <v>Algorithms</v>
      </c>
      <c r="H880" s="13" t="str">
        <f>SUBSTITUTE(Github!L$1221, ";", ", ")</f>
        <v>Dynamic Programming, </v>
      </c>
      <c r="I880" s="10" t="str">
        <f>Github!E$1221</f>
        <v>Hard</v>
      </c>
      <c r="J880" s="10" t="str">
        <f>IF(TRIM(Github!D$1221)="TRUE","FALSE","TRUE")</f>
        <v>TRUE</v>
      </c>
      <c r="K880" s="10" t="b">
        <f>Github!M$1221</f>
        <v>1</v>
      </c>
      <c r="L880" s="10" t="b">
        <f>Github!N$1221</f>
        <v>0</v>
      </c>
      <c r="M880" s="10" t="str">
        <f>ROUND(Github!O$1221, 2)&amp;"%"</f>
        <v>56.25%</v>
      </c>
      <c r="N880" s="10">
        <f>Github!P$1221</f>
        <v>46881</v>
      </c>
      <c r="O880" s="10">
        <f>Github!Q$1221</f>
        <v>83338</v>
      </c>
    </row>
    <row r="881">
      <c r="A881" s="10">
        <f>Github!J$251</f>
        <v>250</v>
      </c>
      <c r="B881" s="11" t="str">
        <f>HYPERLINK(CONCAT("http://leetcode.com/problems/",Github!C$251), Github!B$251)</f>
        <v>Count Univalue Subtrees</v>
      </c>
      <c r="C881" s="10">
        <f>Github!F$251</f>
        <v>942</v>
      </c>
      <c r="D881" s="10">
        <f>Github!G$251</f>
        <v>306</v>
      </c>
      <c r="E881" s="10">
        <f>Github!F$251+Github!G$251</f>
        <v>1248</v>
      </c>
      <c r="F881" s="12">
        <f t="shared" si="1"/>
        <v>3.08</v>
      </c>
      <c r="G881" s="10" t="str">
        <f>Github!H$251</f>
        <v>Algorithms</v>
      </c>
      <c r="H881" s="13" t="str">
        <f>SUBSTITUTE(Github!L$251, ";", ", ")</f>
        <v>Tree, Depth-First Search, Binary Tree, </v>
      </c>
      <c r="I881" s="10" t="str">
        <f>Github!E$251</f>
        <v>Medium</v>
      </c>
      <c r="J881" s="10" t="str">
        <f>IF(TRIM(Github!D$251)="TRUE","FALSE","TRUE")</f>
        <v>FALSE</v>
      </c>
      <c r="K881" s="10" t="b">
        <f>Github!M$251</f>
        <v>1</v>
      </c>
      <c r="L881" s="10" t="b">
        <f>Github!N$251</f>
        <v>0</v>
      </c>
      <c r="M881" s="10" t="str">
        <f>ROUND(Github!O$251, 2)&amp;"%"</f>
        <v>54.79%</v>
      </c>
      <c r="N881" s="10">
        <f>Github!P$251</f>
        <v>118937</v>
      </c>
      <c r="O881" s="10">
        <f>Github!Q$251</f>
        <v>217065</v>
      </c>
    </row>
    <row r="882">
      <c r="A882" s="10">
        <f>Github!J$1498</f>
        <v>1497</v>
      </c>
      <c r="B882" s="11" t="str">
        <f>HYPERLINK(CONCAT("http://leetcode.com/problems/",Github!C$1498), Github!B$1498)</f>
        <v>Check If Array Pairs Are Divisible by k</v>
      </c>
      <c r="C882" s="10">
        <f>Github!F$1498</f>
        <v>945</v>
      </c>
      <c r="D882" s="10">
        <f>Github!G$1498</f>
        <v>56</v>
      </c>
      <c r="E882" s="10">
        <f>Github!F$1498+Github!G$1498</f>
        <v>1001</v>
      </c>
      <c r="F882" s="12">
        <f t="shared" si="1"/>
        <v>16.88</v>
      </c>
      <c r="G882" s="10" t="str">
        <f>Github!H$1498</f>
        <v>Algorithms</v>
      </c>
      <c r="H882" s="13" t="str">
        <f>SUBSTITUTE(Github!L$1498, ";", ", ")</f>
        <v>Array, Hash Table, Counting, </v>
      </c>
      <c r="I882" s="10" t="str">
        <f>Github!E$1498</f>
        <v>Medium</v>
      </c>
      <c r="J882" s="10" t="str">
        <f>IF(TRIM(Github!D$1498)="TRUE","FALSE","TRUE")</f>
        <v>TRUE</v>
      </c>
      <c r="K882" s="10" t="b">
        <f>Github!M$1498</f>
        <v>0</v>
      </c>
      <c r="L882" s="10" t="b">
        <f>Github!N$1498</f>
        <v>0</v>
      </c>
      <c r="M882" s="10" t="str">
        <f>ROUND(Github!O$1498, 2)&amp;"%"</f>
        <v>40.51%</v>
      </c>
      <c r="N882" s="10">
        <f>Github!P$1498</f>
        <v>30678</v>
      </c>
      <c r="O882" s="10">
        <f>Github!Q$1498</f>
        <v>75730</v>
      </c>
    </row>
    <row r="883">
      <c r="A883" s="10">
        <f>Github!J$1437</f>
        <v>1436</v>
      </c>
      <c r="B883" s="11" t="str">
        <f>HYPERLINK(CONCAT("http://leetcode.com/problems/",Github!C$1437), Github!B$1437)</f>
        <v>Destination City</v>
      </c>
      <c r="C883" s="10">
        <f>Github!F$1437</f>
        <v>944</v>
      </c>
      <c r="D883" s="10">
        <f>Github!G$1437</f>
        <v>59</v>
      </c>
      <c r="E883" s="10">
        <f>Github!F$1437+Github!G$1437</f>
        <v>1003</v>
      </c>
      <c r="F883" s="12">
        <f t="shared" si="1"/>
        <v>16</v>
      </c>
      <c r="G883" s="10" t="str">
        <f>Github!H$1437</f>
        <v>Algorithms</v>
      </c>
      <c r="H883" s="13" t="str">
        <f>SUBSTITUTE(Github!L$1437, ";", ", ")</f>
        <v>Hash Table, String, </v>
      </c>
      <c r="I883" s="10" t="str">
        <f>Github!E$1437</f>
        <v>Easy</v>
      </c>
      <c r="J883" s="10" t="str">
        <f>IF(TRIM(Github!D$1437)="TRUE","FALSE","TRUE")</f>
        <v>TRUE</v>
      </c>
      <c r="K883" s="10" t="b">
        <f>Github!M$1437</f>
        <v>0</v>
      </c>
      <c r="L883" s="10" t="b">
        <f>Github!N$1437</f>
        <v>0</v>
      </c>
      <c r="M883" s="10" t="str">
        <f>ROUND(Github!O$1437, 2)&amp;"%"</f>
        <v>77.7%</v>
      </c>
      <c r="N883" s="10">
        <f>Github!P$1437</f>
        <v>98029</v>
      </c>
      <c r="O883" s="10">
        <f>Github!Q$1437</f>
        <v>126156</v>
      </c>
    </row>
    <row r="884">
      <c r="A884" s="10">
        <f>Github!J$402</f>
        <v>401</v>
      </c>
      <c r="B884" s="11" t="str">
        <f>HYPERLINK(CONCAT("http://leetcode.com/problems/",Github!C$402), Github!B$402)</f>
        <v>Binary Watch</v>
      </c>
      <c r="C884" s="10">
        <f>Github!F$402</f>
        <v>937</v>
      </c>
      <c r="D884" s="10">
        <f>Github!G$402</f>
        <v>1763</v>
      </c>
      <c r="E884" s="10">
        <f>Github!F$402+Github!G$402</f>
        <v>2700</v>
      </c>
      <c r="F884" s="12">
        <f t="shared" si="1"/>
        <v>0.53</v>
      </c>
      <c r="G884" s="10" t="str">
        <f>Github!H$402</f>
        <v>Algorithms</v>
      </c>
      <c r="H884" s="13" t="str">
        <f>SUBSTITUTE(Github!L$402, ";", ", ")</f>
        <v>Backtracking, Bit Manipulation, </v>
      </c>
      <c r="I884" s="10" t="str">
        <f>Github!E$402</f>
        <v>Easy</v>
      </c>
      <c r="J884" s="10" t="str">
        <f>IF(TRIM(Github!D$402)="TRUE","FALSE","TRUE")</f>
        <v>TRUE</v>
      </c>
      <c r="K884" s="10" t="b">
        <f>Github!M$402</f>
        <v>0</v>
      </c>
      <c r="L884" s="10" t="b">
        <f>Github!N$402</f>
        <v>0</v>
      </c>
      <c r="M884" s="10" t="str">
        <f>ROUND(Github!O$402, 2)&amp;"%"</f>
        <v>50.47%</v>
      </c>
      <c r="N884" s="10">
        <f>Github!P$402</f>
        <v>109206</v>
      </c>
      <c r="O884" s="10">
        <f>Github!Q$402</f>
        <v>216363</v>
      </c>
    </row>
    <row r="885">
      <c r="A885" s="10">
        <f>Github!J$1429</f>
        <v>1428</v>
      </c>
      <c r="B885" s="11" t="str">
        <f>HYPERLINK(CONCAT("http://leetcode.com/problems/",Github!C$1429), Github!B$1429)</f>
        <v>Leftmost Column with at Least a One</v>
      </c>
      <c r="C885" s="10">
        <f>Github!F$1429</f>
        <v>941</v>
      </c>
      <c r="D885" s="10">
        <f>Github!G$1429</f>
        <v>113</v>
      </c>
      <c r="E885" s="10">
        <f>Github!F$1429+Github!G$1429</f>
        <v>1054</v>
      </c>
      <c r="F885" s="12">
        <f t="shared" si="1"/>
        <v>8.33</v>
      </c>
      <c r="G885" s="10" t="str">
        <f>Github!H$1429</f>
        <v>Algorithms</v>
      </c>
      <c r="H885" s="13" t="str">
        <f>SUBSTITUTE(Github!L$1429, ";", ", ")</f>
        <v>Array, Binary Search, Matrix, Interactive, </v>
      </c>
      <c r="I885" s="10" t="str">
        <f>Github!E$1429</f>
        <v>Medium</v>
      </c>
      <c r="J885" s="10" t="str">
        <f>IF(TRIM(Github!D$1429)="TRUE","FALSE","TRUE")</f>
        <v>FALSE</v>
      </c>
      <c r="K885" s="10" t="b">
        <f>Github!M$1429</f>
        <v>1</v>
      </c>
      <c r="L885" s="10" t="b">
        <f>Github!N$1429</f>
        <v>0</v>
      </c>
      <c r="M885" s="10" t="str">
        <f>ROUND(Github!O$1429, 2)&amp;"%"</f>
        <v>52.52%</v>
      </c>
      <c r="N885" s="10">
        <f>Github!P$1429</f>
        <v>146747</v>
      </c>
      <c r="O885" s="10">
        <f>Github!Q$1429</f>
        <v>279420</v>
      </c>
    </row>
    <row r="886">
      <c r="A886" s="10">
        <f>Github!J$1310</f>
        <v>1309</v>
      </c>
      <c r="B886" s="11" t="str">
        <f>HYPERLINK(CONCAT("http://leetcode.com/problems/",Github!C$1310), Github!B$1310)</f>
        <v>Decrypt String from Alphabet to Integer Mapping</v>
      </c>
      <c r="C886" s="10">
        <f>Github!F$1310</f>
        <v>946</v>
      </c>
      <c r="D886" s="10">
        <f>Github!G$1310</f>
        <v>73</v>
      </c>
      <c r="E886" s="10">
        <f>Github!F$1310+Github!G$1310</f>
        <v>1019</v>
      </c>
      <c r="F886" s="12">
        <f t="shared" si="1"/>
        <v>12.96</v>
      </c>
      <c r="G886" s="10" t="str">
        <f>Github!H$1310</f>
        <v>Algorithms</v>
      </c>
      <c r="H886" s="13" t="str">
        <f>SUBSTITUTE(Github!L$1310, ";", ", ")</f>
        <v>String, </v>
      </c>
      <c r="I886" s="10" t="str">
        <f>Github!E$1310</f>
        <v>Easy</v>
      </c>
      <c r="J886" s="10" t="str">
        <f>IF(TRIM(Github!D$1310)="TRUE","FALSE","TRUE")</f>
        <v>TRUE</v>
      </c>
      <c r="K886" s="10" t="b">
        <f>Github!M$1310</f>
        <v>0</v>
      </c>
      <c r="L886" s="10" t="b">
        <f>Github!N$1310</f>
        <v>0</v>
      </c>
      <c r="M886" s="10" t="str">
        <f>ROUND(Github!O$1310, 2)&amp;"%"</f>
        <v>78.73%</v>
      </c>
      <c r="N886" s="10">
        <f>Github!P$1310</f>
        <v>77298</v>
      </c>
      <c r="O886" s="10">
        <f>Github!Q$1310</f>
        <v>98181</v>
      </c>
    </row>
    <row r="887">
      <c r="A887" s="10">
        <f>Github!J$1381</f>
        <v>1380</v>
      </c>
      <c r="B887" s="11" t="str">
        <f>HYPERLINK(CONCAT("http://leetcode.com/problems/",Github!C$1381), Github!B$1381)</f>
        <v>Lucky Numbers in a Matrix</v>
      </c>
      <c r="C887" s="10">
        <f>Github!F$1381</f>
        <v>940</v>
      </c>
      <c r="D887" s="10">
        <f>Github!G$1381</f>
        <v>65</v>
      </c>
      <c r="E887" s="10">
        <f>Github!F$1381+Github!G$1381</f>
        <v>1005</v>
      </c>
      <c r="F887" s="12">
        <f t="shared" si="1"/>
        <v>14.46</v>
      </c>
      <c r="G887" s="10" t="str">
        <f>Github!H$1381</f>
        <v>Algorithms</v>
      </c>
      <c r="H887" s="13" t="str">
        <f>SUBSTITUTE(Github!L$1381, ";", ", ")</f>
        <v>Array, Matrix, </v>
      </c>
      <c r="I887" s="10" t="str">
        <f>Github!E$1381</f>
        <v>Easy</v>
      </c>
      <c r="J887" s="10" t="str">
        <f>IF(TRIM(Github!D$1381)="TRUE","FALSE","TRUE")</f>
        <v>TRUE</v>
      </c>
      <c r="K887" s="10" t="b">
        <f>Github!M$1381</f>
        <v>0</v>
      </c>
      <c r="L887" s="10" t="b">
        <f>Github!N$1381</f>
        <v>0</v>
      </c>
      <c r="M887" s="10" t="str">
        <f>ROUND(Github!O$1381, 2)&amp;"%"</f>
        <v>70.87%</v>
      </c>
      <c r="N887" s="10">
        <f>Github!P$1381</f>
        <v>63472</v>
      </c>
      <c r="O887" s="10">
        <f>Github!Q$1381</f>
        <v>89560</v>
      </c>
    </row>
    <row r="888">
      <c r="A888" s="10">
        <f>Github!J$1444</f>
        <v>1443</v>
      </c>
      <c r="B888" s="11" t="str">
        <f>HYPERLINK(CONCAT("http://leetcode.com/problems/",Github!C$1444), Github!B$1444)</f>
        <v>Minimum Time to Collect All Apples in a Tree</v>
      </c>
      <c r="C888" s="10">
        <f>Github!F$1444</f>
        <v>940</v>
      </c>
      <c r="D888" s="10">
        <f>Github!G$1444</f>
        <v>87</v>
      </c>
      <c r="E888" s="10">
        <f>Github!F$1444+Github!G$1444</f>
        <v>1027</v>
      </c>
      <c r="F888" s="12">
        <f t="shared" si="1"/>
        <v>10.8</v>
      </c>
      <c r="G888" s="10" t="str">
        <f>Github!H$1444</f>
        <v>Algorithms</v>
      </c>
      <c r="H888" s="13" t="str">
        <f>SUBSTITUTE(Github!L$1444, ";", ", ")</f>
        <v>Hash Table, Tree, Depth-First Search, Breadth-First Search, </v>
      </c>
      <c r="I888" s="10" t="str">
        <f>Github!E$1444</f>
        <v>Medium</v>
      </c>
      <c r="J888" s="10" t="str">
        <f>IF(TRIM(Github!D$1444)="TRUE","FALSE","TRUE")</f>
        <v>TRUE</v>
      </c>
      <c r="K888" s="10" t="b">
        <f>Github!M$1444</f>
        <v>0</v>
      </c>
      <c r="L888" s="10" t="b">
        <f>Github!N$1444</f>
        <v>0</v>
      </c>
      <c r="M888" s="10" t="str">
        <f>ROUND(Github!O$1444, 2)&amp;"%"</f>
        <v>55.62%</v>
      </c>
      <c r="N888" s="10">
        <f>Github!P$1444</f>
        <v>28825</v>
      </c>
      <c r="O888" s="10">
        <f>Github!Q$1444</f>
        <v>51823</v>
      </c>
    </row>
    <row r="889">
      <c r="A889" s="10">
        <f>Github!J$1403</f>
        <v>1402</v>
      </c>
      <c r="B889" s="11" t="str">
        <f>HYPERLINK(CONCAT("http://leetcode.com/problems/",Github!C$1403), Github!B$1403)</f>
        <v>Reducing Dishes</v>
      </c>
      <c r="C889" s="10">
        <f>Github!F$1403</f>
        <v>937</v>
      </c>
      <c r="D889" s="10">
        <f>Github!G$1403</f>
        <v>138</v>
      </c>
      <c r="E889" s="10">
        <f>Github!F$1403+Github!G$1403</f>
        <v>1075</v>
      </c>
      <c r="F889" s="12">
        <f t="shared" si="1"/>
        <v>6.79</v>
      </c>
      <c r="G889" s="10" t="str">
        <f>Github!H$1403</f>
        <v>Algorithms</v>
      </c>
      <c r="H889" s="13" t="str">
        <f>SUBSTITUTE(Github!L$1403, ";", ", ")</f>
        <v>Array, Dynamic Programming, Greedy, Sorting, </v>
      </c>
      <c r="I889" s="10" t="str">
        <f>Github!E$1403</f>
        <v>Hard</v>
      </c>
      <c r="J889" s="10" t="str">
        <f>IF(TRIM(Github!D$1403)="TRUE","FALSE","TRUE")</f>
        <v>TRUE</v>
      </c>
      <c r="K889" s="10" t="b">
        <f>Github!M$1403</f>
        <v>0</v>
      </c>
      <c r="L889" s="10" t="b">
        <f>Github!N$1403</f>
        <v>0</v>
      </c>
      <c r="M889" s="10" t="str">
        <f>ROUND(Github!O$1403, 2)&amp;"%"</f>
        <v>72.42%</v>
      </c>
      <c r="N889" s="10">
        <f>Github!P$1403</f>
        <v>36641</v>
      </c>
      <c r="O889" s="10">
        <f>Github!Q$1403</f>
        <v>50594</v>
      </c>
    </row>
    <row r="890">
      <c r="A890" s="10">
        <f>Github!J$184</f>
        <v>183</v>
      </c>
      <c r="B890" s="11" t="str">
        <f>HYPERLINK(CONCAT("http://leetcode.com/problems/",Github!C$184), Github!B$184)</f>
        <v>Customers Who Never Order</v>
      </c>
      <c r="C890" s="10">
        <f>Github!F$184</f>
        <v>940</v>
      </c>
      <c r="D890" s="10">
        <f>Github!G$184</f>
        <v>72</v>
      </c>
      <c r="E890" s="10">
        <f>Github!F$184+Github!G$184</f>
        <v>1012</v>
      </c>
      <c r="F890" s="12">
        <f t="shared" si="1"/>
        <v>13.06</v>
      </c>
      <c r="G890" s="10" t="str">
        <f>Github!H$184</f>
        <v>Database</v>
      </c>
      <c r="H890" s="13" t="str">
        <f>SUBSTITUTE(Github!L$184, ";", ", ")</f>
        <v>Database, </v>
      </c>
      <c r="I890" s="10" t="str">
        <f>Github!E$184</f>
        <v>Easy</v>
      </c>
      <c r="J890" s="10" t="str">
        <f>IF(TRIM(Github!D$184)="TRUE","FALSE","TRUE")</f>
        <v>TRUE</v>
      </c>
      <c r="K890" s="10" t="b">
        <f>Github!M$184</f>
        <v>1</v>
      </c>
      <c r="L890" s="10" t="b">
        <f>Github!N$184</f>
        <v>0</v>
      </c>
      <c r="M890" s="10" t="str">
        <f>ROUND(Github!O$184, 2)&amp;"%"</f>
        <v>63.2%</v>
      </c>
      <c r="N890" s="10">
        <f>Github!P$184</f>
        <v>340783</v>
      </c>
      <c r="O890" s="10">
        <f>Github!Q$184</f>
        <v>539213</v>
      </c>
    </row>
    <row r="891">
      <c r="A891" s="10">
        <f>Github!J$819</f>
        <v>818</v>
      </c>
      <c r="B891" s="11" t="str">
        <f>HYPERLINK(CONCAT("http://leetcode.com/problems/",Github!C$819), Github!B$819)</f>
        <v>Race Car</v>
      </c>
      <c r="C891" s="10">
        <f>Github!F$819</f>
        <v>936</v>
      </c>
      <c r="D891" s="10">
        <f>Github!G$819</f>
        <v>100</v>
      </c>
      <c r="E891" s="10">
        <f>Github!F$819+Github!G$819</f>
        <v>1036</v>
      </c>
      <c r="F891" s="12">
        <f t="shared" si="1"/>
        <v>9.36</v>
      </c>
      <c r="G891" s="10" t="str">
        <f>Github!H$819</f>
        <v>Algorithms</v>
      </c>
      <c r="H891" s="13" t="str">
        <f>SUBSTITUTE(Github!L$819, ";", ", ")</f>
        <v>Dynamic Programming, </v>
      </c>
      <c r="I891" s="10" t="str">
        <f>Github!E$819</f>
        <v>Hard</v>
      </c>
      <c r="J891" s="10" t="str">
        <f>IF(TRIM(Github!D$819)="TRUE","FALSE","TRUE")</f>
        <v>TRUE</v>
      </c>
      <c r="K891" s="10" t="b">
        <f>Github!M$819</f>
        <v>0</v>
      </c>
      <c r="L891" s="10" t="b">
        <f>Github!N$819</f>
        <v>0</v>
      </c>
      <c r="M891" s="10" t="str">
        <f>ROUND(Github!O$819, 2)&amp;"%"</f>
        <v>42.76%</v>
      </c>
      <c r="N891" s="10">
        <f>Github!P$819</f>
        <v>38161</v>
      </c>
      <c r="O891" s="10">
        <f>Github!Q$819</f>
        <v>89252</v>
      </c>
    </row>
    <row r="892">
      <c r="A892" s="10">
        <f>Github!J$426</f>
        <v>425</v>
      </c>
      <c r="B892" s="11" t="str">
        <f>HYPERLINK(CONCAT("http://leetcode.com/problems/",Github!C$426), Github!B$426)</f>
        <v>Word Squares</v>
      </c>
      <c r="C892" s="10">
        <f>Github!F$426</f>
        <v>927</v>
      </c>
      <c r="D892" s="10">
        <f>Github!G$426</f>
        <v>60</v>
      </c>
      <c r="E892" s="10">
        <f>Github!F$426+Github!G$426</f>
        <v>987</v>
      </c>
      <c r="F892" s="12">
        <f t="shared" si="1"/>
        <v>15.45</v>
      </c>
      <c r="G892" s="10" t="str">
        <f>Github!H$426</f>
        <v>Algorithms</v>
      </c>
      <c r="H892" s="13" t="str">
        <f>SUBSTITUTE(Github!L$426, ";", ", ")</f>
        <v>Array, String, Backtracking, Trie, </v>
      </c>
      <c r="I892" s="10" t="str">
        <f>Github!E$426</f>
        <v>Hard</v>
      </c>
      <c r="J892" s="10" t="str">
        <f>IF(TRIM(Github!D$426)="TRUE","FALSE","TRUE")</f>
        <v>FALSE</v>
      </c>
      <c r="K892" s="10" t="b">
        <f>Github!M$426</f>
        <v>1</v>
      </c>
      <c r="L892" s="10" t="b">
        <f>Github!N$426</f>
        <v>0</v>
      </c>
      <c r="M892" s="10" t="str">
        <f>ROUND(Github!O$426, 2)&amp;"%"</f>
        <v>52.21%</v>
      </c>
      <c r="N892" s="10">
        <f>Github!P$426</f>
        <v>62083</v>
      </c>
      <c r="O892" s="10">
        <f>Github!Q$426</f>
        <v>118914</v>
      </c>
    </row>
    <row r="893">
      <c r="A893" s="10">
        <f>Github!J$727</f>
        <v>726</v>
      </c>
      <c r="B893" s="11" t="str">
        <f>HYPERLINK(CONCAT("http://leetcode.com/problems/",Github!C$727), Github!B$727)</f>
        <v>Number of Atoms</v>
      </c>
      <c r="C893" s="10">
        <f>Github!F$727</f>
        <v>922</v>
      </c>
      <c r="D893" s="10">
        <f>Github!G$727</f>
        <v>233</v>
      </c>
      <c r="E893" s="10">
        <f>Github!F$727+Github!G$727</f>
        <v>1155</v>
      </c>
      <c r="F893" s="12">
        <f t="shared" si="1"/>
        <v>3.96</v>
      </c>
      <c r="G893" s="10" t="str">
        <f>Github!H$727</f>
        <v>Algorithms</v>
      </c>
      <c r="H893" s="13" t="str">
        <f>SUBSTITUTE(Github!L$727, ";", ", ")</f>
        <v>Hash Table, String, Stack, Sorting, </v>
      </c>
      <c r="I893" s="10" t="str">
        <f>Github!E$727</f>
        <v>Hard</v>
      </c>
      <c r="J893" s="10" t="str">
        <f>IF(TRIM(Github!D$727)="TRUE","FALSE","TRUE")</f>
        <v>TRUE</v>
      </c>
      <c r="K893" s="10" t="b">
        <f>Github!M$727</f>
        <v>1</v>
      </c>
      <c r="L893" s="10" t="b">
        <f>Github!N$727</f>
        <v>0</v>
      </c>
      <c r="M893" s="10" t="str">
        <f>ROUND(Github!O$727, 2)&amp;"%"</f>
        <v>51.72%</v>
      </c>
      <c r="N893" s="10">
        <f>Github!P$727</f>
        <v>44771</v>
      </c>
      <c r="O893" s="10">
        <f>Github!Q$727</f>
        <v>86568</v>
      </c>
    </row>
    <row r="894">
      <c r="A894" s="10">
        <f>Github!J$1860</f>
        <v>1859</v>
      </c>
      <c r="B894" s="11" t="str">
        <f>HYPERLINK(CONCAT("http://leetcode.com/problems/",Github!C$1860), Github!B$1860)</f>
        <v>Sorting the Sentence</v>
      </c>
      <c r="C894" s="10">
        <f>Github!F$1860</f>
        <v>929</v>
      </c>
      <c r="D894" s="10">
        <f>Github!G$1860</f>
        <v>27</v>
      </c>
      <c r="E894" s="10">
        <f>Github!F$1860+Github!G$1860</f>
        <v>956</v>
      </c>
      <c r="F894" s="12">
        <f t="shared" si="1"/>
        <v>34.41</v>
      </c>
      <c r="G894" s="10" t="str">
        <f>Github!H$1860</f>
        <v>Algorithms</v>
      </c>
      <c r="H894" s="13" t="str">
        <f>SUBSTITUTE(Github!L$1860, ";", ", ")</f>
        <v>String, Sorting, </v>
      </c>
      <c r="I894" s="10" t="str">
        <f>Github!E$1860</f>
        <v>Easy</v>
      </c>
      <c r="J894" s="10" t="str">
        <f>IF(TRIM(Github!D$1860)="TRUE","FALSE","TRUE")</f>
        <v>TRUE</v>
      </c>
      <c r="K894" s="10" t="b">
        <f>Github!M$1860</f>
        <v>0</v>
      </c>
      <c r="L894" s="10" t="b">
        <f>Github!N$1860</f>
        <v>0</v>
      </c>
      <c r="M894" s="10" t="str">
        <f>ROUND(Github!O$1860, 2)&amp;"%"</f>
        <v>84.51%</v>
      </c>
      <c r="N894" s="10">
        <f>Github!P$1860</f>
        <v>62898</v>
      </c>
      <c r="O894" s="10">
        <f>Github!Q$1860</f>
        <v>74430</v>
      </c>
    </row>
    <row r="895">
      <c r="A895" s="10">
        <f>Github!J$256</f>
        <v>255</v>
      </c>
      <c r="B895" s="11" t="str">
        <f>HYPERLINK(CONCAT("http://leetcode.com/problems/",Github!C$256), Github!B$256)</f>
        <v>Verify Preorder Sequence in Binary Search Tree</v>
      </c>
      <c r="C895" s="10">
        <f>Github!F$256</f>
        <v>919</v>
      </c>
      <c r="D895" s="10">
        <f>Github!G$256</f>
        <v>69</v>
      </c>
      <c r="E895" s="10">
        <f>Github!F$256+Github!G$256</f>
        <v>988</v>
      </c>
      <c r="F895" s="12">
        <f t="shared" si="1"/>
        <v>13.32</v>
      </c>
      <c r="G895" s="10" t="str">
        <f>Github!H$256</f>
        <v>Algorithms</v>
      </c>
      <c r="H895" s="13" t="str">
        <f>SUBSTITUTE(Github!L$256, ";", ", ")</f>
        <v>Stack, Tree, Binary Search Tree, Recursion, Monotonic Stack, Binary Tree, </v>
      </c>
      <c r="I895" s="10" t="str">
        <f>Github!E$256</f>
        <v>Medium</v>
      </c>
      <c r="J895" s="10" t="str">
        <f>IF(TRIM(Github!D$256)="TRUE","FALSE","TRUE")</f>
        <v>FALSE</v>
      </c>
      <c r="K895" s="10" t="b">
        <f>Github!M$256</f>
        <v>0</v>
      </c>
      <c r="L895" s="10" t="b">
        <f>Github!N$256</f>
        <v>0</v>
      </c>
      <c r="M895" s="10" t="str">
        <f>ROUND(Github!O$256, 2)&amp;"%"</f>
        <v>47.52%</v>
      </c>
      <c r="N895" s="10">
        <f>Github!P$256</f>
        <v>64087</v>
      </c>
      <c r="O895" s="10">
        <f>Github!Q$256</f>
        <v>134858</v>
      </c>
    </row>
    <row r="896">
      <c r="A896" s="10">
        <f>Github!J$1345</f>
        <v>1344</v>
      </c>
      <c r="B896" s="11" t="str">
        <f>HYPERLINK(CONCAT("http://leetcode.com/problems/",Github!C$1345), Github!B$1345)</f>
        <v>Angle Between Hands of a Clock</v>
      </c>
      <c r="C896" s="10">
        <f>Github!F$1345</f>
        <v>922</v>
      </c>
      <c r="D896" s="10">
        <f>Github!G$1345</f>
        <v>195</v>
      </c>
      <c r="E896" s="10">
        <f>Github!F$1345+Github!G$1345</f>
        <v>1117</v>
      </c>
      <c r="F896" s="12">
        <f t="shared" si="1"/>
        <v>4.73</v>
      </c>
      <c r="G896" s="10" t="str">
        <f>Github!H$1345</f>
        <v>Algorithms</v>
      </c>
      <c r="H896" s="13" t="str">
        <f>SUBSTITUTE(Github!L$1345, ";", ", ")</f>
        <v>Math, </v>
      </c>
      <c r="I896" s="10" t="str">
        <f>Github!E$1345</f>
        <v>Medium</v>
      </c>
      <c r="J896" s="10" t="str">
        <f>IF(TRIM(Github!D$1345)="TRUE","FALSE","TRUE")</f>
        <v>TRUE</v>
      </c>
      <c r="K896" s="10" t="b">
        <f>Github!M$1345</f>
        <v>1</v>
      </c>
      <c r="L896" s="10" t="b">
        <f>Github!N$1345</f>
        <v>0</v>
      </c>
      <c r="M896" s="10" t="str">
        <f>ROUND(Github!O$1345, 2)&amp;"%"</f>
        <v>63.24%</v>
      </c>
      <c r="N896" s="10">
        <f>Github!P$1345</f>
        <v>89845</v>
      </c>
      <c r="O896" s="10">
        <f>Github!Q$1345</f>
        <v>142060</v>
      </c>
    </row>
    <row r="897">
      <c r="A897" s="10">
        <f>Github!J$1465</f>
        <v>1464</v>
      </c>
      <c r="B897" s="11" t="str">
        <f>HYPERLINK(CONCAT("http://leetcode.com/problems/",Github!C$1465), Github!B$1465)</f>
        <v>Maximum Product of Two Elements in an Array</v>
      </c>
      <c r="C897" s="10">
        <f>Github!F$1465</f>
        <v>930</v>
      </c>
      <c r="D897" s="10">
        <f>Github!G$1465</f>
        <v>157</v>
      </c>
      <c r="E897" s="10">
        <f>Github!F$1465+Github!G$1465</f>
        <v>1087</v>
      </c>
      <c r="F897" s="12">
        <f t="shared" si="1"/>
        <v>5.92</v>
      </c>
      <c r="G897" s="10" t="str">
        <f>Github!H$1465</f>
        <v>Algorithms</v>
      </c>
      <c r="H897" s="13" t="str">
        <f>SUBSTITUTE(Github!L$1465, ";", ", ")</f>
        <v>Array, Sorting, Heap (Priority Queue), </v>
      </c>
      <c r="I897" s="10" t="str">
        <f>Github!E$1465</f>
        <v>Easy</v>
      </c>
      <c r="J897" s="10" t="str">
        <f>IF(TRIM(Github!D$1465)="TRUE","FALSE","TRUE")</f>
        <v>TRUE</v>
      </c>
      <c r="K897" s="10" t="b">
        <f>Github!M$1465</f>
        <v>0</v>
      </c>
      <c r="L897" s="10" t="b">
        <f>Github!N$1465</f>
        <v>0</v>
      </c>
      <c r="M897" s="10" t="str">
        <f>ROUND(Github!O$1465, 2)&amp;"%"</f>
        <v>78.46%</v>
      </c>
      <c r="N897" s="10">
        <f>Github!P$1465</f>
        <v>129412</v>
      </c>
      <c r="O897" s="10">
        <f>Github!Q$1465</f>
        <v>164951</v>
      </c>
    </row>
    <row r="898">
      <c r="A898" s="10">
        <f>Github!J$716</f>
        <v>715</v>
      </c>
      <c r="B898" s="11" t="str">
        <f>HYPERLINK(CONCAT("http://leetcode.com/problems/",Github!C$716), Github!B$716)</f>
        <v>Range Module</v>
      </c>
      <c r="C898" s="10">
        <f>Github!F$716</f>
        <v>927</v>
      </c>
      <c r="D898" s="10">
        <f>Github!G$716</f>
        <v>72</v>
      </c>
      <c r="E898" s="10">
        <f>Github!F$716+Github!G$716</f>
        <v>999</v>
      </c>
      <c r="F898" s="12">
        <f t="shared" si="1"/>
        <v>12.88</v>
      </c>
      <c r="G898" s="10" t="str">
        <f>Github!H$716</f>
        <v>Algorithms</v>
      </c>
      <c r="H898" s="13" t="str">
        <f>SUBSTITUTE(Github!L$716, ";", ", ")</f>
        <v>Design, Segment Tree, Ordered Set, </v>
      </c>
      <c r="I898" s="10" t="str">
        <f>Github!E$716</f>
        <v>Hard</v>
      </c>
      <c r="J898" s="10" t="str">
        <f>IF(TRIM(Github!D$716)="TRUE","FALSE","TRUE")</f>
        <v>TRUE</v>
      </c>
      <c r="K898" s="10" t="b">
        <f>Github!M$716</f>
        <v>0</v>
      </c>
      <c r="L898" s="10" t="b">
        <f>Github!N$716</f>
        <v>0</v>
      </c>
      <c r="M898" s="10" t="str">
        <f>ROUND(Github!O$716, 2)&amp;"%"</f>
        <v>43.58%</v>
      </c>
      <c r="N898" s="10">
        <f>Github!P$716</f>
        <v>43318</v>
      </c>
      <c r="O898" s="10">
        <f>Github!Q$716</f>
        <v>99406</v>
      </c>
    </row>
    <row r="899">
      <c r="A899" s="10">
        <f>Github!J$327</f>
        <v>326</v>
      </c>
      <c r="B899" s="11" t="str">
        <f>HYPERLINK(CONCAT("http://leetcode.com/problems/",Github!C$327), Github!B$327)</f>
        <v>Power of Three</v>
      </c>
      <c r="C899" s="10">
        <f>Github!F$327</f>
        <v>924</v>
      </c>
      <c r="D899" s="10">
        <f>Github!G$327</f>
        <v>118</v>
      </c>
      <c r="E899" s="10">
        <f>Github!F$327+Github!G$327</f>
        <v>1042</v>
      </c>
      <c r="F899" s="12">
        <f t="shared" si="1"/>
        <v>7.83</v>
      </c>
      <c r="G899" s="10" t="str">
        <f>Github!H$327</f>
        <v>Algorithms</v>
      </c>
      <c r="H899" s="13" t="str">
        <f>SUBSTITUTE(Github!L$327, ";", ", ")</f>
        <v>Math, Recursion, </v>
      </c>
      <c r="I899" s="10" t="str">
        <f>Github!E$327</f>
        <v>Easy</v>
      </c>
      <c r="J899" s="10" t="str">
        <f>IF(TRIM(Github!D$327)="TRUE","FALSE","TRUE")</f>
        <v>TRUE</v>
      </c>
      <c r="K899" s="10" t="b">
        <f>Github!M$327</f>
        <v>1</v>
      </c>
      <c r="L899" s="10" t="b">
        <f>Github!N$327</f>
        <v>0</v>
      </c>
      <c r="M899" s="10" t="str">
        <f>ROUND(Github!O$327, 2)&amp;"%"</f>
        <v>43.45%</v>
      </c>
      <c r="N899" s="10">
        <f>Github!P$327</f>
        <v>458278</v>
      </c>
      <c r="O899" s="10">
        <f>Github!Q$327</f>
        <v>1054647</v>
      </c>
    </row>
    <row r="900">
      <c r="A900" s="10">
        <f>Github!J$709</f>
        <v>708</v>
      </c>
      <c r="B900" s="11" t="str">
        <f>HYPERLINK(CONCAT("http://leetcode.com/problems/",Github!C$709), Github!B$709)</f>
        <v>Insert into a Sorted Circular Linked List</v>
      </c>
      <c r="C900" s="10">
        <f>Github!F$709</f>
        <v>917</v>
      </c>
      <c r="D900" s="10">
        <f>Github!G$709</f>
        <v>603</v>
      </c>
      <c r="E900" s="10">
        <f>Github!F$709+Github!G$709</f>
        <v>1520</v>
      </c>
      <c r="F900" s="12">
        <f t="shared" si="1"/>
        <v>1.52</v>
      </c>
      <c r="G900" s="10" t="str">
        <f>Github!H$709</f>
        <v>Algorithms</v>
      </c>
      <c r="H900" s="13" t="str">
        <f>SUBSTITUTE(Github!L$709, ";", ", ")</f>
        <v>Linked List, </v>
      </c>
      <c r="I900" s="10" t="str">
        <f>Github!E$709</f>
        <v>Medium</v>
      </c>
      <c r="J900" s="10" t="str">
        <f>IF(TRIM(Github!D$709)="TRUE","FALSE","TRUE")</f>
        <v>FALSE</v>
      </c>
      <c r="K900" s="10" t="b">
        <f>Github!M$709</f>
        <v>1</v>
      </c>
      <c r="L900" s="10" t="b">
        <f>Github!N$709</f>
        <v>0</v>
      </c>
      <c r="M900" s="10" t="str">
        <f>ROUND(Github!O$709, 2)&amp;"%"</f>
        <v>34.41%</v>
      </c>
      <c r="N900" s="10">
        <f>Github!P$709</f>
        <v>111709</v>
      </c>
      <c r="O900" s="10">
        <f>Github!Q$709</f>
        <v>324599</v>
      </c>
    </row>
    <row r="901">
      <c r="A901" s="10">
        <f>Github!J$281</f>
        <v>280</v>
      </c>
      <c r="B901" s="11" t="str">
        <f>HYPERLINK(CONCAT("http://leetcode.com/problems/",Github!C$281), Github!B$281)</f>
        <v>Wiggle Sort</v>
      </c>
      <c r="C901" s="10">
        <f>Github!F$281</f>
        <v>912</v>
      </c>
      <c r="D901" s="10">
        <f>Github!G$281</f>
        <v>74</v>
      </c>
      <c r="E901" s="10">
        <f>Github!F$281+Github!G$281</f>
        <v>986</v>
      </c>
      <c r="F901" s="12">
        <f t="shared" si="1"/>
        <v>12.32</v>
      </c>
      <c r="G901" s="10" t="str">
        <f>Github!H$281</f>
        <v>Algorithms</v>
      </c>
      <c r="H901" s="13" t="str">
        <f>SUBSTITUTE(Github!L$281, ";", ", ")</f>
        <v>Array, Greedy, Sorting, </v>
      </c>
      <c r="I901" s="10" t="str">
        <f>Github!E$281</f>
        <v>Medium</v>
      </c>
      <c r="J901" s="10" t="str">
        <f>IF(TRIM(Github!D$281)="TRUE","FALSE","TRUE")</f>
        <v>FALSE</v>
      </c>
      <c r="K901" s="10" t="b">
        <f>Github!M$281</f>
        <v>1</v>
      </c>
      <c r="L901" s="10" t="b">
        <f>Github!N$281</f>
        <v>0</v>
      </c>
      <c r="M901" s="10" t="str">
        <f>ROUND(Github!O$281, 2)&amp;"%"</f>
        <v>66.01%</v>
      </c>
      <c r="N901" s="10">
        <f>Github!P$281</f>
        <v>113902</v>
      </c>
      <c r="O901" s="10">
        <f>Github!Q$281</f>
        <v>172558</v>
      </c>
    </row>
    <row r="902">
      <c r="A902" s="10">
        <f>Github!J$320</f>
        <v>319</v>
      </c>
      <c r="B902" s="11" t="str">
        <f>HYPERLINK(CONCAT("http://leetcode.com/problems/",Github!C$320), Github!B$320)</f>
        <v>Bulb Switcher</v>
      </c>
      <c r="C902" s="10">
        <f>Github!F$320</f>
        <v>917</v>
      </c>
      <c r="D902" s="10">
        <f>Github!G$320</f>
        <v>1649</v>
      </c>
      <c r="E902" s="10">
        <f>Github!F$320+Github!G$320</f>
        <v>2566</v>
      </c>
      <c r="F902" s="12">
        <f t="shared" si="1"/>
        <v>0.56</v>
      </c>
      <c r="G902" s="10" t="str">
        <f>Github!H$320</f>
        <v>Algorithms</v>
      </c>
      <c r="H902" s="13" t="str">
        <f>SUBSTITUTE(Github!L$320, ";", ", ")</f>
        <v>Math, Brainteaser, </v>
      </c>
      <c r="I902" s="10" t="str">
        <f>Github!E$320</f>
        <v>Medium</v>
      </c>
      <c r="J902" s="10" t="str">
        <f>IF(TRIM(Github!D$320)="TRUE","FALSE","TRUE")</f>
        <v>TRUE</v>
      </c>
      <c r="K902" s="10" t="b">
        <f>Github!M$320</f>
        <v>0</v>
      </c>
      <c r="L902" s="10" t="b">
        <f>Github!N$320</f>
        <v>0</v>
      </c>
      <c r="M902" s="10" t="str">
        <f>ROUND(Github!O$320, 2)&amp;"%"</f>
        <v>47.25%</v>
      </c>
      <c r="N902" s="10">
        <f>Github!P$320</f>
        <v>113927</v>
      </c>
      <c r="O902" s="10">
        <f>Github!Q$320</f>
        <v>241118</v>
      </c>
    </row>
    <row r="903">
      <c r="A903" s="10">
        <f>Github!J$617</f>
        <v>616</v>
      </c>
      <c r="B903" s="11" t="str">
        <f>HYPERLINK(CONCAT("http://leetcode.com/problems/",Github!C$617), Github!B$617)</f>
        <v>Add Bold Tag in String</v>
      </c>
      <c r="C903" s="10">
        <f>Github!F$617</f>
        <v>905</v>
      </c>
      <c r="D903" s="10">
        <f>Github!G$617</f>
        <v>155</v>
      </c>
      <c r="E903" s="10">
        <f>Github!F$617+Github!G$617</f>
        <v>1060</v>
      </c>
      <c r="F903" s="12">
        <f t="shared" si="1"/>
        <v>5.84</v>
      </c>
      <c r="G903" s="10" t="str">
        <f>Github!H$617</f>
        <v>Algorithms</v>
      </c>
      <c r="H903" s="13" t="str">
        <f>SUBSTITUTE(Github!L$617, ";", ", ")</f>
        <v>Array, Hash Table, String, Trie, String Matching, </v>
      </c>
      <c r="I903" s="10" t="str">
        <f>Github!E$617</f>
        <v>Medium</v>
      </c>
      <c r="J903" s="10" t="str">
        <f>IF(TRIM(Github!D$617)="TRUE","FALSE","TRUE")</f>
        <v>FALSE</v>
      </c>
      <c r="K903" s="10" t="b">
        <f>Github!M$617</f>
        <v>0</v>
      </c>
      <c r="L903" s="10" t="b">
        <f>Github!N$617</f>
        <v>0</v>
      </c>
      <c r="M903" s="10" t="str">
        <f>ROUND(Github!O$617, 2)&amp;"%"</f>
        <v>48.22%</v>
      </c>
      <c r="N903" s="10">
        <f>Github!P$617</f>
        <v>75161</v>
      </c>
      <c r="O903" s="10">
        <f>Github!Q$617</f>
        <v>155876</v>
      </c>
    </row>
    <row r="904">
      <c r="A904" s="10">
        <f>Github!J$694</f>
        <v>693</v>
      </c>
      <c r="B904" s="11" t="str">
        <f>HYPERLINK(CONCAT("http://leetcode.com/problems/",Github!C$694), Github!B$694)</f>
        <v>Binary Number with Alternating Bits</v>
      </c>
      <c r="C904" s="10">
        <f>Github!F$694</f>
        <v>912</v>
      </c>
      <c r="D904" s="10">
        <f>Github!G$694</f>
        <v>103</v>
      </c>
      <c r="E904" s="10">
        <f>Github!F$694+Github!G$694</f>
        <v>1015</v>
      </c>
      <c r="F904" s="12">
        <f t="shared" si="1"/>
        <v>8.85</v>
      </c>
      <c r="G904" s="10" t="str">
        <f>Github!H$694</f>
        <v>Algorithms</v>
      </c>
      <c r="H904" s="13" t="str">
        <f>SUBSTITUTE(Github!L$694, ";", ", ")</f>
        <v>Bit Manipulation, </v>
      </c>
      <c r="I904" s="10" t="str">
        <f>Github!E$694</f>
        <v>Easy</v>
      </c>
      <c r="J904" s="10" t="str">
        <f>IF(TRIM(Github!D$694)="TRUE","FALSE","TRUE")</f>
        <v>TRUE</v>
      </c>
      <c r="K904" s="10" t="b">
        <f>Github!M$694</f>
        <v>1</v>
      </c>
      <c r="L904" s="10" t="b">
        <f>Github!N$694</f>
        <v>0</v>
      </c>
      <c r="M904" s="10" t="str">
        <f>ROUND(Github!O$694, 2)&amp;"%"</f>
        <v>60.85%</v>
      </c>
      <c r="N904" s="10">
        <f>Github!P$694</f>
        <v>91931</v>
      </c>
      <c r="O904" s="10">
        <f>Github!Q$694</f>
        <v>151078</v>
      </c>
    </row>
    <row r="905">
      <c r="A905" s="10">
        <f>Github!J$739</f>
        <v>738</v>
      </c>
      <c r="B905" s="11" t="str">
        <f>HYPERLINK(CONCAT("http://leetcode.com/problems/",Github!C$739), Github!B$739)</f>
        <v>Monotone Increasing Digits</v>
      </c>
      <c r="C905" s="10">
        <f>Github!F$739</f>
        <v>909</v>
      </c>
      <c r="D905" s="10">
        <f>Github!G$739</f>
        <v>87</v>
      </c>
      <c r="E905" s="10">
        <f>Github!F$739+Github!G$739</f>
        <v>996</v>
      </c>
      <c r="F905" s="12">
        <f t="shared" si="1"/>
        <v>10.45</v>
      </c>
      <c r="G905" s="10" t="str">
        <f>Github!H$739</f>
        <v>Algorithms</v>
      </c>
      <c r="H905" s="13" t="str">
        <f>SUBSTITUTE(Github!L$739, ";", ", ")</f>
        <v>Math, Greedy, </v>
      </c>
      <c r="I905" s="10" t="str">
        <f>Github!E$739</f>
        <v>Medium</v>
      </c>
      <c r="J905" s="10" t="str">
        <f>IF(TRIM(Github!D$739)="TRUE","FALSE","TRUE")</f>
        <v>TRUE</v>
      </c>
      <c r="K905" s="10" t="b">
        <f>Github!M$739</f>
        <v>0</v>
      </c>
      <c r="L905" s="10" t="b">
        <f>Github!N$739</f>
        <v>0</v>
      </c>
      <c r="M905" s="10" t="str">
        <f>ROUND(Github!O$739, 2)&amp;"%"</f>
        <v>46.76%</v>
      </c>
      <c r="N905" s="10">
        <f>Github!P$739</f>
        <v>37585</v>
      </c>
      <c r="O905" s="10">
        <f>Github!Q$739</f>
        <v>80374</v>
      </c>
    </row>
    <row r="906">
      <c r="A906" s="10">
        <f>Github!J$550</f>
        <v>549</v>
      </c>
      <c r="B906" s="11" t="str">
        <f>HYPERLINK(CONCAT("http://leetcode.com/problems/",Github!C$550), Github!B$550)</f>
        <v>Binary Tree Longest Consecutive Sequence II</v>
      </c>
      <c r="C906" s="10">
        <f>Github!F$550</f>
        <v>903</v>
      </c>
      <c r="D906" s="10">
        <f>Github!G$550</f>
        <v>71</v>
      </c>
      <c r="E906" s="10">
        <f>Github!F$550+Github!G$550</f>
        <v>974</v>
      </c>
      <c r="F906" s="12">
        <f t="shared" si="1"/>
        <v>12.72</v>
      </c>
      <c r="G906" s="10" t="str">
        <f>Github!H$550</f>
        <v>Algorithms</v>
      </c>
      <c r="H906" s="13" t="str">
        <f>SUBSTITUTE(Github!L$550, ";", ", ")</f>
        <v>Tree, Depth-First Search, Binary Tree, </v>
      </c>
      <c r="I906" s="10" t="str">
        <f>Github!E$550</f>
        <v>Medium</v>
      </c>
      <c r="J906" s="10" t="str">
        <f>IF(TRIM(Github!D$550)="TRUE","FALSE","TRUE")</f>
        <v>FALSE</v>
      </c>
      <c r="K906" s="10" t="b">
        <f>Github!M$550</f>
        <v>1</v>
      </c>
      <c r="L906" s="10" t="b">
        <f>Github!N$550</f>
        <v>0</v>
      </c>
      <c r="M906" s="10" t="str">
        <f>ROUND(Github!O$550, 2)&amp;"%"</f>
        <v>48.57%</v>
      </c>
      <c r="N906" s="10">
        <f>Github!P$550</f>
        <v>42332</v>
      </c>
      <c r="O906" s="10">
        <f>Github!Q$550</f>
        <v>87149</v>
      </c>
    </row>
    <row r="907">
      <c r="A907" s="10">
        <f>Github!J$537</f>
        <v>536</v>
      </c>
      <c r="B907" s="11" t="str">
        <f>HYPERLINK(CONCAT("http://leetcode.com/problems/",Github!C$537), Github!B$537)</f>
        <v>Construct Binary Tree from String</v>
      </c>
      <c r="C907" s="10">
        <f>Github!F$537</f>
        <v>906</v>
      </c>
      <c r="D907" s="10">
        <f>Github!G$537</f>
        <v>147</v>
      </c>
      <c r="E907" s="10">
        <f>Github!F$537+Github!G$537</f>
        <v>1053</v>
      </c>
      <c r="F907" s="12">
        <f t="shared" si="1"/>
        <v>6.16</v>
      </c>
      <c r="G907" s="10" t="str">
        <f>Github!H$537</f>
        <v>Algorithms</v>
      </c>
      <c r="H907" s="13" t="str">
        <f>SUBSTITUTE(Github!L$537, ";", ", ")</f>
        <v>String, Tree, Depth-First Search, Binary Tree, </v>
      </c>
      <c r="I907" s="10" t="str">
        <f>Github!E$537</f>
        <v>Medium</v>
      </c>
      <c r="J907" s="10" t="str">
        <f>IF(TRIM(Github!D$537)="TRUE","FALSE","TRUE")</f>
        <v>FALSE</v>
      </c>
      <c r="K907" s="10" t="b">
        <f>Github!M$537</f>
        <v>1</v>
      </c>
      <c r="L907" s="10" t="b">
        <f>Github!N$537</f>
        <v>0</v>
      </c>
      <c r="M907" s="10" t="str">
        <f>ROUND(Github!O$537, 2)&amp;"%"</f>
        <v>55.81%</v>
      </c>
      <c r="N907" s="10">
        <f>Github!P$537</f>
        <v>76186</v>
      </c>
      <c r="O907" s="10">
        <f>Github!Q$537</f>
        <v>136504</v>
      </c>
    </row>
    <row r="908">
      <c r="A908" s="10">
        <f>Github!J$885</f>
        <v>884</v>
      </c>
      <c r="B908" s="11" t="str">
        <f>HYPERLINK(CONCAT("http://leetcode.com/problems/",Github!C$885), Github!B$885)</f>
        <v>Uncommon Words from Two Sentences</v>
      </c>
      <c r="C908" s="10">
        <f>Github!F$885</f>
        <v>907</v>
      </c>
      <c r="D908" s="10">
        <f>Github!G$885</f>
        <v>138</v>
      </c>
      <c r="E908" s="10">
        <f>Github!F$885+Github!G$885</f>
        <v>1045</v>
      </c>
      <c r="F908" s="12">
        <f t="shared" si="1"/>
        <v>6.57</v>
      </c>
      <c r="G908" s="10" t="str">
        <f>Github!H$885</f>
        <v>Algorithms</v>
      </c>
      <c r="H908" s="13" t="str">
        <f>SUBSTITUTE(Github!L$885, ";", ", ")</f>
        <v>Hash Table, String, </v>
      </c>
      <c r="I908" s="10" t="str">
        <f>Github!E$885</f>
        <v>Easy</v>
      </c>
      <c r="J908" s="10" t="str">
        <f>IF(TRIM(Github!D$885)="TRUE","FALSE","TRUE")</f>
        <v>TRUE</v>
      </c>
      <c r="K908" s="10" t="b">
        <f>Github!M$885</f>
        <v>1</v>
      </c>
      <c r="L908" s="10" t="b">
        <f>Github!N$885</f>
        <v>0</v>
      </c>
      <c r="M908" s="10" t="str">
        <f>ROUND(Github!O$885, 2)&amp;"%"</f>
        <v>65.55%</v>
      </c>
      <c r="N908" s="10">
        <f>Github!P$885</f>
        <v>96900</v>
      </c>
      <c r="O908" s="10">
        <f>Github!Q$885</f>
        <v>147824</v>
      </c>
    </row>
    <row r="909">
      <c r="A909" s="10">
        <f>Github!J$1972</f>
        <v>1971</v>
      </c>
      <c r="B909" s="11" t="str">
        <f>HYPERLINK(CONCAT("http://leetcode.com/problems/",Github!C$1972), Github!B$1972)</f>
        <v>Find if Path Exists in Graph</v>
      </c>
      <c r="C909" s="10">
        <f>Github!F$1972</f>
        <v>921</v>
      </c>
      <c r="D909" s="10">
        <f>Github!G$1972</f>
        <v>54</v>
      </c>
      <c r="E909" s="10">
        <f>Github!F$1972+Github!G$1972</f>
        <v>975</v>
      </c>
      <c r="F909" s="12">
        <f t="shared" si="1"/>
        <v>17.06</v>
      </c>
      <c r="G909" s="10" t="str">
        <f>Github!H$1972</f>
        <v>Algorithms</v>
      </c>
      <c r="H909" s="13" t="str">
        <f>SUBSTITUTE(Github!L$1972, ";", ", ")</f>
        <v>Depth-First Search, Breadth-First Search, Graph, </v>
      </c>
      <c r="I909" s="10" t="str">
        <f>Github!E$1972</f>
        <v>Easy</v>
      </c>
      <c r="J909" s="10" t="str">
        <f>IF(TRIM(Github!D$1972)="TRUE","FALSE","TRUE")</f>
        <v>TRUE</v>
      </c>
      <c r="K909" s="10" t="b">
        <f>Github!M$1972</f>
        <v>0</v>
      </c>
      <c r="L909" s="10" t="b">
        <f>Github!N$1972</f>
        <v>0</v>
      </c>
      <c r="M909" s="10" t="str">
        <f>ROUND(Github!O$1972, 2)&amp;"%"</f>
        <v>50.16%</v>
      </c>
      <c r="N909" s="10">
        <f>Github!P$1972</f>
        <v>85982</v>
      </c>
      <c r="O909" s="10">
        <f>Github!Q$1972</f>
        <v>171403</v>
      </c>
    </row>
    <row r="910">
      <c r="A910" s="10">
        <f>Github!J$1311</f>
        <v>1310</v>
      </c>
      <c r="B910" s="11" t="str">
        <f>HYPERLINK(CONCAT("http://leetcode.com/problems/",Github!C$1311), Github!B$1311)</f>
        <v>XOR Queries of a Subarray</v>
      </c>
      <c r="C910" s="10">
        <f>Github!F$1311</f>
        <v>906</v>
      </c>
      <c r="D910" s="10">
        <f>Github!G$1311</f>
        <v>31</v>
      </c>
      <c r="E910" s="10">
        <f>Github!F$1311+Github!G$1311</f>
        <v>937</v>
      </c>
      <c r="F910" s="12">
        <f t="shared" si="1"/>
        <v>29.23</v>
      </c>
      <c r="G910" s="10" t="str">
        <f>Github!H$1311</f>
        <v>Algorithms</v>
      </c>
      <c r="H910" s="13" t="str">
        <f>SUBSTITUTE(Github!L$1311, ";", ", ")</f>
        <v>Array, Bit Manipulation, Prefix Sum, </v>
      </c>
      <c r="I910" s="10" t="str">
        <f>Github!E$1311</f>
        <v>Medium</v>
      </c>
      <c r="J910" s="10" t="str">
        <f>IF(TRIM(Github!D$1311)="TRUE","FALSE","TRUE")</f>
        <v>TRUE</v>
      </c>
      <c r="K910" s="10" t="b">
        <f>Github!M$1311</f>
        <v>0</v>
      </c>
      <c r="L910" s="10" t="b">
        <f>Github!N$1311</f>
        <v>0</v>
      </c>
      <c r="M910" s="10" t="str">
        <f>ROUND(Github!O$1311, 2)&amp;"%"</f>
        <v>71.26%</v>
      </c>
      <c r="N910" s="10">
        <f>Github!P$1311</f>
        <v>35952</v>
      </c>
      <c r="O910" s="10">
        <f>Github!Q$1311</f>
        <v>50449</v>
      </c>
    </row>
    <row r="911">
      <c r="A911" s="10">
        <f>Github!J$255</f>
        <v>254</v>
      </c>
      <c r="B911" s="11" t="str">
        <f>HYPERLINK(CONCAT("http://leetcode.com/problems/",Github!C$255), Github!B$255)</f>
        <v>Factor Combinations</v>
      </c>
      <c r="C911" s="10">
        <f>Github!F$255</f>
        <v>900</v>
      </c>
      <c r="D911" s="10">
        <f>Github!G$255</f>
        <v>51</v>
      </c>
      <c r="E911" s="10">
        <f>Github!F$255+Github!G$255</f>
        <v>951</v>
      </c>
      <c r="F911" s="12">
        <f t="shared" si="1"/>
        <v>17.65</v>
      </c>
      <c r="G911" s="10" t="str">
        <f>Github!H$255</f>
        <v>Algorithms</v>
      </c>
      <c r="H911" s="13" t="str">
        <f>SUBSTITUTE(Github!L$255, ";", ", ")</f>
        <v>Array, Backtracking, </v>
      </c>
      <c r="I911" s="10" t="str">
        <f>Github!E$255</f>
        <v>Medium</v>
      </c>
      <c r="J911" s="10" t="str">
        <f>IF(TRIM(Github!D$255)="TRUE","FALSE","TRUE")</f>
        <v>FALSE</v>
      </c>
      <c r="K911" s="10" t="b">
        <f>Github!M$255</f>
        <v>0</v>
      </c>
      <c r="L911" s="10" t="b">
        <f>Github!N$255</f>
        <v>0</v>
      </c>
      <c r="M911" s="10" t="str">
        <f>ROUND(Github!O$255, 2)&amp;"%"</f>
        <v>48.67%</v>
      </c>
      <c r="N911" s="10">
        <f>Github!P$255</f>
        <v>106583</v>
      </c>
      <c r="O911" s="10">
        <f>Github!Q$255</f>
        <v>218978</v>
      </c>
    </row>
    <row r="912">
      <c r="A912" s="10">
        <f>Github!J$1332</f>
        <v>1331</v>
      </c>
      <c r="B912" s="11" t="str">
        <f>HYPERLINK(CONCAT("http://leetcode.com/problems/",Github!C$1332), Github!B$1332)</f>
        <v>Rank Transform of an Array</v>
      </c>
      <c r="C912" s="10">
        <f>Github!F$1332</f>
        <v>905</v>
      </c>
      <c r="D912" s="10">
        <f>Github!G$1332</f>
        <v>57</v>
      </c>
      <c r="E912" s="10">
        <f>Github!F$1332+Github!G$1332</f>
        <v>962</v>
      </c>
      <c r="F912" s="12">
        <f t="shared" si="1"/>
        <v>15.88</v>
      </c>
      <c r="G912" s="10" t="str">
        <f>Github!H$1332</f>
        <v>Algorithms</v>
      </c>
      <c r="H912" s="13" t="str">
        <f>SUBSTITUTE(Github!L$1332, ";", ", ")</f>
        <v>Array, Hash Table, Sorting, </v>
      </c>
      <c r="I912" s="10" t="str">
        <f>Github!E$1332</f>
        <v>Easy</v>
      </c>
      <c r="J912" s="10" t="str">
        <f>IF(TRIM(Github!D$1332)="TRUE","FALSE","TRUE")</f>
        <v>TRUE</v>
      </c>
      <c r="K912" s="10" t="b">
        <f>Github!M$1332</f>
        <v>0</v>
      </c>
      <c r="L912" s="10" t="b">
        <f>Github!N$1332</f>
        <v>0</v>
      </c>
      <c r="M912" s="10" t="str">
        <f>ROUND(Github!O$1332, 2)&amp;"%"</f>
        <v>58.54%</v>
      </c>
      <c r="N912" s="10">
        <f>Github!P$1332</f>
        <v>58418</v>
      </c>
      <c r="O912" s="10">
        <f>Github!Q$1332</f>
        <v>99794</v>
      </c>
    </row>
    <row r="913">
      <c r="A913" s="10">
        <f>Github!J$676</f>
        <v>675</v>
      </c>
      <c r="B913" s="11" t="str">
        <f>HYPERLINK(CONCAT("http://leetcode.com/problems/",Github!C$676), Github!B$676)</f>
        <v>Cut Off Trees for Golf Event</v>
      </c>
      <c r="C913" s="10">
        <f>Github!F$676</f>
        <v>895</v>
      </c>
      <c r="D913" s="10">
        <f>Github!G$676</f>
        <v>519</v>
      </c>
      <c r="E913" s="10">
        <f>Github!F$676+Github!G$676</f>
        <v>1414</v>
      </c>
      <c r="F913" s="12">
        <f t="shared" si="1"/>
        <v>1.72</v>
      </c>
      <c r="G913" s="10" t="str">
        <f>Github!H$676</f>
        <v>Algorithms</v>
      </c>
      <c r="H913" s="13" t="str">
        <f>SUBSTITUTE(Github!L$676, ";", ", ")</f>
        <v>Array, Breadth-First Search, Heap (Priority Queue), Matrix, </v>
      </c>
      <c r="I913" s="10" t="str">
        <f>Github!E$676</f>
        <v>Hard</v>
      </c>
      <c r="J913" s="10" t="str">
        <f>IF(TRIM(Github!D$676)="TRUE","FALSE","TRUE")</f>
        <v>TRUE</v>
      </c>
      <c r="K913" s="10" t="b">
        <f>Github!M$676</f>
        <v>0</v>
      </c>
      <c r="L913" s="10" t="b">
        <f>Github!N$676</f>
        <v>0</v>
      </c>
      <c r="M913" s="10" t="str">
        <f>ROUND(Github!O$676, 2)&amp;"%"</f>
        <v>35.36%</v>
      </c>
      <c r="N913" s="10">
        <f>Github!P$676</f>
        <v>54692</v>
      </c>
      <c r="O913" s="10">
        <f>Github!Q$676</f>
        <v>154653</v>
      </c>
    </row>
    <row r="914">
      <c r="A914" s="10">
        <f>Github!J$777</f>
        <v>776</v>
      </c>
      <c r="B914" s="11" t="str">
        <f>HYPERLINK(CONCAT("http://leetcode.com/problems/",Github!C$777), Github!B$777)</f>
        <v>Split BST</v>
      </c>
      <c r="C914" s="10">
        <f>Github!F$777</f>
        <v>893</v>
      </c>
      <c r="D914" s="10">
        <f>Github!G$777</f>
        <v>90</v>
      </c>
      <c r="E914" s="10">
        <f>Github!F$777+Github!G$777</f>
        <v>983</v>
      </c>
      <c r="F914" s="12">
        <f t="shared" si="1"/>
        <v>9.92</v>
      </c>
      <c r="G914" s="10" t="str">
        <f>Github!H$777</f>
        <v>Algorithms</v>
      </c>
      <c r="H914" s="13" t="str">
        <f>SUBSTITUTE(Github!L$777, ";", ", ")</f>
        <v>Tree, Binary Search Tree, Recursion, Binary Tree, </v>
      </c>
      <c r="I914" s="10" t="str">
        <f>Github!E$777</f>
        <v>Medium</v>
      </c>
      <c r="J914" s="10" t="str">
        <f>IF(TRIM(Github!D$777)="TRUE","FALSE","TRUE")</f>
        <v>FALSE</v>
      </c>
      <c r="K914" s="10" t="b">
        <f>Github!M$777</f>
        <v>1</v>
      </c>
      <c r="L914" s="10" t="b">
        <f>Github!N$777</f>
        <v>0</v>
      </c>
      <c r="M914" s="10" t="str">
        <f>ROUND(Github!O$777, 2)&amp;"%"</f>
        <v>58.35%</v>
      </c>
      <c r="N914" s="10">
        <f>Github!P$777</f>
        <v>26909</v>
      </c>
      <c r="O914" s="10">
        <f>Github!Q$777</f>
        <v>46120</v>
      </c>
    </row>
    <row r="915">
      <c r="A915" s="10">
        <f>Github!J$1192</f>
        <v>1191</v>
      </c>
      <c r="B915" s="11" t="str">
        <f>HYPERLINK(CONCAT("http://leetcode.com/problems/",Github!C$1192), Github!B$1192)</f>
        <v>K-Concatenation Maximum Sum</v>
      </c>
      <c r="C915" s="10">
        <f>Github!F$1192</f>
        <v>896</v>
      </c>
      <c r="D915" s="10">
        <f>Github!G$1192</f>
        <v>86</v>
      </c>
      <c r="E915" s="10">
        <f>Github!F$1192+Github!G$1192</f>
        <v>982</v>
      </c>
      <c r="F915" s="12">
        <f t="shared" si="1"/>
        <v>10.42</v>
      </c>
      <c r="G915" s="10" t="str">
        <f>Github!H$1192</f>
        <v>Algorithms</v>
      </c>
      <c r="H915" s="13" t="str">
        <f>SUBSTITUTE(Github!L$1192, ";", ", ")</f>
        <v>Array, Dynamic Programming, </v>
      </c>
      <c r="I915" s="10" t="str">
        <f>Github!E$1192</f>
        <v>Medium</v>
      </c>
      <c r="J915" s="10" t="str">
        <f>IF(TRIM(Github!D$1192)="TRUE","FALSE","TRUE")</f>
        <v>TRUE</v>
      </c>
      <c r="K915" s="10" t="b">
        <f>Github!M$1192</f>
        <v>0</v>
      </c>
      <c r="L915" s="10" t="b">
        <f>Github!N$1192</f>
        <v>0</v>
      </c>
      <c r="M915" s="10" t="str">
        <f>ROUND(Github!O$1192, 2)&amp;"%"</f>
        <v>24.12%</v>
      </c>
      <c r="N915" s="10">
        <f>Github!P$1192</f>
        <v>24245</v>
      </c>
      <c r="O915" s="10">
        <f>Github!Q$1192</f>
        <v>100515</v>
      </c>
    </row>
    <row r="916">
      <c r="A916" s="10">
        <f>Github!J$583</f>
        <v>582</v>
      </c>
      <c r="B916" s="11" t="str">
        <f>HYPERLINK(CONCAT("http://leetcode.com/problems/",Github!C$583), Github!B$583)</f>
        <v>Kill Process</v>
      </c>
      <c r="C916" s="10">
        <f>Github!F$583</f>
        <v>895</v>
      </c>
      <c r="D916" s="10">
        <f>Github!G$583</f>
        <v>18</v>
      </c>
      <c r="E916" s="10">
        <f>Github!F$583+Github!G$583</f>
        <v>913</v>
      </c>
      <c r="F916" s="12">
        <f t="shared" si="1"/>
        <v>49.72</v>
      </c>
      <c r="G916" s="10" t="str">
        <f>Github!H$583</f>
        <v>Algorithms</v>
      </c>
      <c r="H916" s="13" t="str">
        <f>SUBSTITUTE(Github!L$583, ";", ", ")</f>
        <v>Array, Hash Table, Tree, Depth-First Search, Breadth-First Search, </v>
      </c>
      <c r="I916" s="10" t="str">
        <f>Github!E$583</f>
        <v>Medium</v>
      </c>
      <c r="J916" s="10" t="str">
        <f>IF(TRIM(Github!D$583)="TRUE","FALSE","TRUE")</f>
        <v>FALSE</v>
      </c>
      <c r="K916" s="10" t="b">
        <f>Github!M$583</f>
        <v>1</v>
      </c>
      <c r="L916" s="10" t="b">
        <f>Github!N$583</f>
        <v>1</v>
      </c>
      <c r="M916" s="10" t="str">
        <f>ROUND(Github!O$583, 2)&amp;"%"</f>
        <v>66.98%</v>
      </c>
      <c r="N916" s="10">
        <f>Github!P$583</f>
        <v>66167</v>
      </c>
      <c r="O916" s="10">
        <f>Github!Q$583</f>
        <v>98780</v>
      </c>
    </row>
    <row r="917">
      <c r="A917" s="10">
        <f>Github!J$501</f>
        <v>500</v>
      </c>
      <c r="B917" s="11" t="str">
        <f>HYPERLINK(CONCAT("http://leetcode.com/problems/",Github!C$501), Github!B$501)</f>
        <v>Keyboard Row</v>
      </c>
      <c r="C917" s="10">
        <f>Github!F$501</f>
        <v>893</v>
      </c>
      <c r="D917" s="10">
        <f>Github!G$501</f>
        <v>905</v>
      </c>
      <c r="E917" s="10">
        <f>Github!F$501+Github!G$501</f>
        <v>1798</v>
      </c>
      <c r="F917" s="12">
        <f t="shared" si="1"/>
        <v>0.99</v>
      </c>
      <c r="G917" s="10" t="str">
        <f>Github!H$501</f>
        <v>Algorithms</v>
      </c>
      <c r="H917" s="13" t="str">
        <f>SUBSTITUTE(Github!L$501, ";", ", ")</f>
        <v>Array, Hash Table, String, </v>
      </c>
      <c r="I917" s="10" t="str">
        <f>Github!E$501</f>
        <v>Easy</v>
      </c>
      <c r="J917" s="10" t="str">
        <f>IF(TRIM(Github!D$501)="TRUE","FALSE","TRUE")</f>
        <v>TRUE</v>
      </c>
      <c r="K917" s="10" t="b">
        <f>Github!M$501</f>
        <v>0</v>
      </c>
      <c r="L917" s="10" t="b">
        <f>Github!N$501</f>
        <v>0</v>
      </c>
      <c r="M917" s="10" t="str">
        <f>ROUND(Github!O$501, 2)&amp;"%"</f>
        <v>67.98%</v>
      </c>
      <c r="N917" s="10">
        <f>Github!P$501</f>
        <v>150592</v>
      </c>
      <c r="O917" s="10">
        <f>Github!Q$501</f>
        <v>221519</v>
      </c>
    </row>
    <row r="918">
      <c r="A918" s="10">
        <f>Github!J$1906</f>
        <v>1905</v>
      </c>
      <c r="B918" s="11" t="str">
        <f>HYPERLINK(CONCAT("http://leetcode.com/problems/",Github!C$1906), Github!B$1906)</f>
        <v>Count Sub Islands</v>
      </c>
      <c r="C918" s="10">
        <f>Github!F$1906</f>
        <v>901</v>
      </c>
      <c r="D918" s="10">
        <f>Github!G$1906</f>
        <v>28</v>
      </c>
      <c r="E918" s="10">
        <f>Github!F$1906+Github!G$1906</f>
        <v>929</v>
      </c>
      <c r="F918" s="12">
        <f t="shared" si="1"/>
        <v>32.18</v>
      </c>
      <c r="G918" s="10" t="str">
        <f>Github!H$1906</f>
        <v>Algorithms</v>
      </c>
      <c r="H918" s="13" t="str">
        <f>SUBSTITUTE(Github!L$1906, ";", ", ")</f>
        <v>Array, Depth-First Search, Breadth-First Search, Union Find, Matrix, </v>
      </c>
      <c r="I918" s="10" t="str">
        <f>Github!E$1906</f>
        <v>Medium</v>
      </c>
      <c r="J918" s="10" t="str">
        <f>IF(TRIM(Github!D$1906)="TRUE","FALSE","TRUE")</f>
        <v>TRUE</v>
      </c>
      <c r="K918" s="10" t="b">
        <f>Github!M$1906</f>
        <v>0</v>
      </c>
      <c r="L918" s="10" t="b">
        <f>Github!N$1906</f>
        <v>0</v>
      </c>
      <c r="M918" s="10" t="str">
        <f>ROUND(Github!O$1906, 2)&amp;"%"</f>
        <v>65.86%</v>
      </c>
      <c r="N918" s="10">
        <f>Github!P$1906</f>
        <v>30897</v>
      </c>
      <c r="O918" s="10">
        <f>Github!Q$1906</f>
        <v>46916</v>
      </c>
    </row>
    <row r="919">
      <c r="A919" s="10">
        <f>Github!J$1606</f>
        <v>1605</v>
      </c>
      <c r="B919" s="11" t="str">
        <f>HYPERLINK(CONCAT("http://leetcode.com/problems/",Github!C$1606), Github!B$1606)</f>
        <v>Find Valid Matrix Given Row and Column Sums</v>
      </c>
      <c r="C919" s="10">
        <f>Github!F$1606</f>
        <v>889</v>
      </c>
      <c r="D919" s="10">
        <f>Github!G$1606</f>
        <v>26</v>
      </c>
      <c r="E919" s="10">
        <f>Github!F$1606+Github!G$1606</f>
        <v>915</v>
      </c>
      <c r="F919" s="12">
        <f t="shared" si="1"/>
        <v>34.19</v>
      </c>
      <c r="G919" s="10" t="str">
        <f>Github!H$1606</f>
        <v>Algorithms</v>
      </c>
      <c r="H919" s="13" t="str">
        <f>SUBSTITUTE(Github!L$1606, ";", ", ")</f>
        <v>Array, Greedy, Matrix, </v>
      </c>
      <c r="I919" s="10" t="str">
        <f>Github!E$1606</f>
        <v>Medium</v>
      </c>
      <c r="J919" s="10" t="str">
        <f>IF(TRIM(Github!D$1606)="TRUE","FALSE","TRUE")</f>
        <v>TRUE</v>
      </c>
      <c r="K919" s="10" t="b">
        <f>Github!M$1606</f>
        <v>0</v>
      </c>
      <c r="L919" s="10" t="b">
        <f>Github!N$1606</f>
        <v>0</v>
      </c>
      <c r="M919" s="10" t="str">
        <f>ROUND(Github!O$1606, 2)&amp;"%"</f>
        <v>78.26%</v>
      </c>
      <c r="N919" s="10">
        <f>Github!P$1606</f>
        <v>25215</v>
      </c>
      <c r="O919" s="10">
        <f>Github!Q$1606</f>
        <v>32220</v>
      </c>
    </row>
    <row r="920">
      <c r="A920" s="10">
        <f>Github!J$59</f>
        <v>58</v>
      </c>
      <c r="B920" s="11" t="str">
        <f>HYPERLINK(CONCAT("http://leetcode.com/problems/",Github!C$59), Github!B$59)</f>
        <v>Length of Last Word</v>
      </c>
      <c r="C920" s="10">
        <f>Github!F$59</f>
        <v>916</v>
      </c>
      <c r="D920" s="10">
        <f>Github!G$59</f>
        <v>74</v>
      </c>
      <c r="E920" s="10">
        <f>Github!F$59+Github!G$59</f>
        <v>990</v>
      </c>
      <c r="F920" s="12">
        <f t="shared" si="1"/>
        <v>12.38</v>
      </c>
      <c r="G920" s="10" t="str">
        <f>Github!H$59</f>
        <v>Algorithms</v>
      </c>
      <c r="H920" s="13" t="str">
        <f>SUBSTITUTE(Github!L$59, ";", ", ")</f>
        <v>String, </v>
      </c>
      <c r="I920" s="10" t="str">
        <f>Github!E$59</f>
        <v>Easy</v>
      </c>
      <c r="J920" s="10" t="str">
        <f>IF(TRIM(Github!D$59)="TRUE","FALSE","TRUE")</f>
        <v>TRUE</v>
      </c>
      <c r="K920" s="10" t="b">
        <f>Github!M$59</f>
        <v>1</v>
      </c>
      <c r="L920" s="10" t="b">
        <f>Github!N$59</f>
        <v>0</v>
      </c>
      <c r="M920" s="10" t="str">
        <f>ROUND(Github!O$59, 2)&amp;"%"</f>
        <v>37.58%</v>
      </c>
      <c r="N920" s="10">
        <f>Github!P$59</f>
        <v>725700</v>
      </c>
      <c r="O920" s="10">
        <f>Github!Q$59</f>
        <v>1931255</v>
      </c>
    </row>
    <row r="921">
      <c r="A921" s="10">
        <f>Github!J$299</f>
        <v>298</v>
      </c>
      <c r="B921" s="11" t="str">
        <f>HYPERLINK(CONCAT("http://leetcode.com/problems/",Github!C$299), Github!B$299)</f>
        <v>Binary Tree Longest Consecutive Sequence</v>
      </c>
      <c r="C921" s="10">
        <f>Github!F$299</f>
        <v>887</v>
      </c>
      <c r="D921" s="10">
        <f>Github!G$299</f>
        <v>211</v>
      </c>
      <c r="E921" s="10">
        <f>Github!F$299+Github!G$299</f>
        <v>1098</v>
      </c>
      <c r="F921" s="12">
        <f t="shared" si="1"/>
        <v>4.2</v>
      </c>
      <c r="G921" s="10" t="str">
        <f>Github!H$299</f>
        <v>Algorithms</v>
      </c>
      <c r="H921" s="13" t="str">
        <f>SUBSTITUTE(Github!L$299, ";", ", ")</f>
        <v>Tree, Depth-First Search, Binary Tree, </v>
      </c>
      <c r="I921" s="10" t="str">
        <f>Github!E$299</f>
        <v>Medium</v>
      </c>
      <c r="J921" s="10" t="str">
        <f>IF(TRIM(Github!D$299)="TRUE","FALSE","TRUE")</f>
        <v>FALSE</v>
      </c>
      <c r="K921" s="10" t="b">
        <f>Github!M$299</f>
        <v>1</v>
      </c>
      <c r="L921" s="10" t="b">
        <f>Github!N$299</f>
        <v>0</v>
      </c>
      <c r="M921" s="10" t="str">
        <f>ROUND(Github!O$299, 2)&amp;"%"</f>
        <v>51.16%</v>
      </c>
      <c r="N921" s="10">
        <f>Github!P$299</f>
        <v>120346</v>
      </c>
      <c r="O921" s="10">
        <f>Github!Q$299</f>
        <v>235223</v>
      </c>
    </row>
    <row r="922">
      <c r="A922" s="10">
        <f>Github!J$1136</f>
        <v>1135</v>
      </c>
      <c r="B922" s="11" t="str">
        <f>HYPERLINK(CONCAT("http://leetcode.com/problems/",Github!C$1136), Github!B$1136)</f>
        <v>Connecting Cities With Minimum Cost</v>
      </c>
      <c r="C922" s="10">
        <f>Github!F$1136</f>
        <v>885</v>
      </c>
      <c r="D922" s="10">
        <f>Github!G$1136</f>
        <v>47</v>
      </c>
      <c r="E922" s="10">
        <f>Github!F$1136+Github!G$1136</f>
        <v>932</v>
      </c>
      <c r="F922" s="12">
        <f t="shared" si="1"/>
        <v>18.83</v>
      </c>
      <c r="G922" s="10" t="str">
        <f>Github!H$1136</f>
        <v>Algorithms</v>
      </c>
      <c r="H922" s="13" t="str">
        <f>SUBSTITUTE(Github!L$1136, ";", ", ")</f>
        <v>Union Find, Graph, Heap (Priority Queue), Minimum Spanning Tree, </v>
      </c>
      <c r="I922" s="10" t="str">
        <f>Github!E$1136</f>
        <v>Medium</v>
      </c>
      <c r="J922" s="10" t="str">
        <f>IF(TRIM(Github!D$1136)="TRUE","FALSE","TRUE")</f>
        <v>FALSE</v>
      </c>
      <c r="K922" s="10" t="b">
        <f>Github!M$1136</f>
        <v>1</v>
      </c>
      <c r="L922" s="10" t="b">
        <f>Github!N$1136</f>
        <v>0</v>
      </c>
      <c r="M922" s="10" t="str">
        <f>ROUND(Github!O$1136, 2)&amp;"%"</f>
        <v>60.81%</v>
      </c>
      <c r="N922" s="10">
        <f>Github!P$1136</f>
        <v>55888</v>
      </c>
      <c r="O922" s="10">
        <f>Github!Q$1136</f>
        <v>91906</v>
      </c>
    </row>
    <row r="923">
      <c r="A923" s="10">
        <f>Github!J$1443</f>
        <v>1442</v>
      </c>
      <c r="B923" s="11" t="str">
        <f>HYPERLINK(CONCAT("http://leetcode.com/problems/",Github!C$1443), Github!B$1443)</f>
        <v>Count Triplets That Can Form Two Arrays of Equal XOR</v>
      </c>
      <c r="C923" s="10">
        <f>Github!F$1443</f>
        <v>890</v>
      </c>
      <c r="D923" s="10">
        <f>Github!G$1443</f>
        <v>44</v>
      </c>
      <c r="E923" s="10">
        <f>Github!F$1443+Github!G$1443</f>
        <v>934</v>
      </c>
      <c r="F923" s="12">
        <f t="shared" si="1"/>
        <v>20.23</v>
      </c>
      <c r="G923" s="10" t="str">
        <f>Github!H$1443</f>
        <v>Algorithms</v>
      </c>
      <c r="H923" s="13" t="str">
        <f>SUBSTITUTE(Github!L$1443, ";", ", ")</f>
        <v>Array, Hash Table, Math, Bit Manipulation, Prefix Sum, </v>
      </c>
      <c r="I923" s="10" t="str">
        <f>Github!E$1443</f>
        <v>Medium</v>
      </c>
      <c r="J923" s="10" t="str">
        <f>IF(TRIM(Github!D$1443)="TRUE","FALSE","TRUE")</f>
        <v>TRUE</v>
      </c>
      <c r="K923" s="10" t="b">
        <f>Github!M$1443</f>
        <v>0</v>
      </c>
      <c r="L923" s="10" t="b">
        <f>Github!N$1443</f>
        <v>0</v>
      </c>
      <c r="M923" s="10" t="str">
        <f>ROUND(Github!O$1443, 2)&amp;"%"</f>
        <v>74.74%</v>
      </c>
      <c r="N923" s="10">
        <f>Github!P$1443</f>
        <v>25489</v>
      </c>
      <c r="O923" s="10">
        <f>Github!Q$1443</f>
        <v>34103</v>
      </c>
    </row>
    <row r="924">
      <c r="A924" s="10">
        <f>Github!J$1591</f>
        <v>1590</v>
      </c>
      <c r="B924" s="11" t="str">
        <f>HYPERLINK(CONCAT("http://leetcode.com/problems/",Github!C$1591), Github!B$1591)</f>
        <v>Make Sum Divisible by P</v>
      </c>
      <c r="C924" s="10">
        <f>Github!F$1591</f>
        <v>885</v>
      </c>
      <c r="D924" s="10">
        <f>Github!G$1591</f>
        <v>38</v>
      </c>
      <c r="E924" s="10">
        <f>Github!F$1591+Github!G$1591</f>
        <v>923</v>
      </c>
      <c r="F924" s="12">
        <f t="shared" si="1"/>
        <v>23.29</v>
      </c>
      <c r="G924" s="10" t="str">
        <f>Github!H$1591</f>
        <v>Algorithms</v>
      </c>
      <c r="H924" s="13" t="str">
        <f>SUBSTITUTE(Github!L$1591, ";", ", ")</f>
        <v>Array, Hash Table, Prefix Sum, </v>
      </c>
      <c r="I924" s="10" t="str">
        <f>Github!E$1591</f>
        <v>Medium</v>
      </c>
      <c r="J924" s="10" t="str">
        <f>IF(TRIM(Github!D$1591)="TRUE","FALSE","TRUE")</f>
        <v>TRUE</v>
      </c>
      <c r="K924" s="10" t="b">
        <f>Github!M$1591</f>
        <v>0</v>
      </c>
      <c r="L924" s="10" t="b">
        <f>Github!N$1591</f>
        <v>0</v>
      </c>
      <c r="M924" s="10" t="str">
        <f>ROUND(Github!O$1591, 2)&amp;"%"</f>
        <v>28.15%</v>
      </c>
      <c r="N924" s="10">
        <f>Github!P$1591</f>
        <v>15873</v>
      </c>
      <c r="O924" s="10">
        <f>Github!Q$1591</f>
        <v>56381</v>
      </c>
    </row>
    <row r="925">
      <c r="A925" s="10">
        <f>Github!J$962</f>
        <v>961</v>
      </c>
      <c r="B925" s="11" t="str">
        <f>HYPERLINK(CONCAT("http://leetcode.com/problems/",Github!C$962), Github!B$962)</f>
        <v>N-Repeated Element in Size 2N Array</v>
      </c>
      <c r="C925" s="10">
        <f>Github!F$962</f>
        <v>887</v>
      </c>
      <c r="D925" s="10">
        <f>Github!G$962</f>
        <v>294</v>
      </c>
      <c r="E925" s="10">
        <f>Github!F$962+Github!G$962</f>
        <v>1181</v>
      </c>
      <c r="F925" s="12">
        <f t="shared" si="1"/>
        <v>3.02</v>
      </c>
      <c r="G925" s="10" t="str">
        <f>Github!H$962</f>
        <v>Algorithms</v>
      </c>
      <c r="H925" s="13" t="str">
        <f>SUBSTITUTE(Github!L$962, ";", ", ")</f>
        <v>Array, Hash Table, </v>
      </c>
      <c r="I925" s="10" t="str">
        <f>Github!E$962</f>
        <v>Easy</v>
      </c>
      <c r="J925" s="10" t="str">
        <f>IF(TRIM(Github!D$962)="TRUE","FALSE","TRUE")</f>
        <v>TRUE</v>
      </c>
      <c r="K925" s="10" t="b">
        <f>Github!M$962</f>
        <v>1</v>
      </c>
      <c r="L925" s="10" t="b">
        <f>Github!N$962</f>
        <v>0</v>
      </c>
      <c r="M925" s="10" t="str">
        <f>ROUND(Github!O$962, 2)&amp;"%"</f>
        <v>75.46%</v>
      </c>
      <c r="N925" s="10">
        <f>Github!P$962</f>
        <v>175807</v>
      </c>
      <c r="O925" s="10">
        <f>Github!Q$962</f>
        <v>232989</v>
      </c>
    </row>
    <row r="926">
      <c r="A926" s="10">
        <f>Github!J$1353</f>
        <v>1352</v>
      </c>
      <c r="B926" s="11" t="str">
        <f>HYPERLINK(CONCAT("http://leetcode.com/problems/",Github!C$1353), Github!B$1353)</f>
        <v>Product of the Last K Numbers</v>
      </c>
      <c r="C926" s="10">
        <f>Github!F$1353</f>
        <v>881</v>
      </c>
      <c r="D926" s="10">
        <f>Github!G$1353</f>
        <v>49</v>
      </c>
      <c r="E926" s="10">
        <f>Github!F$1353+Github!G$1353</f>
        <v>930</v>
      </c>
      <c r="F926" s="12">
        <f t="shared" si="1"/>
        <v>17.98</v>
      </c>
      <c r="G926" s="10" t="str">
        <f>Github!H$1353</f>
        <v>Algorithms</v>
      </c>
      <c r="H926" s="13" t="str">
        <f>SUBSTITUTE(Github!L$1353, ";", ", ")</f>
        <v>Array, Math, Design, Queue, Data Stream, </v>
      </c>
      <c r="I926" s="10" t="str">
        <f>Github!E$1353</f>
        <v>Medium</v>
      </c>
      <c r="J926" s="10" t="str">
        <f>IF(TRIM(Github!D$1353)="TRUE","FALSE","TRUE")</f>
        <v>TRUE</v>
      </c>
      <c r="K926" s="10" t="b">
        <f>Github!M$1353</f>
        <v>0</v>
      </c>
      <c r="L926" s="10" t="b">
        <f>Github!N$1353</f>
        <v>0</v>
      </c>
      <c r="M926" s="10" t="str">
        <f>ROUND(Github!O$1353, 2)&amp;"%"</f>
        <v>47.83%</v>
      </c>
      <c r="N926" s="10">
        <f>Github!P$1353</f>
        <v>47414</v>
      </c>
      <c r="O926" s="10">
        <f>Github!Q$1353</f>
        <v>99129</v>
      </c>
    </row>
    <row r="927">
      <c r="A927" s="10">
        <f>Github!J$419</f>
        <v>418</v>
      </c>
      <c r="B927" s="11" t="str">
        <f>HYPERLINK(CONCAT("http://leetcode.com/problems/",Github!C$419), Github!B$419)</f>
        <v>Sentence Screen Fitting</v>
      </c>
      <c r="C927" s="10">
        <f>Github!F$419</f>
        <v>885</v>
      </c>
      <c r="D927" s="10">
        <f>Github!G$419</f>
        <v>449</v>
      </c>
      <c r="E927" s="10">
        <f>Github!F$419+Github!G$419</f>
        <v>1334</v>
      </c>
      <c r="F927" s="12">
        <f t="shared" si="1"/>
        <v>1.97</v>
      </c>
      <c r="G927" s="10" t="str">
        <f>Github!H$419</f>
        <v>Algorithms</v>
      </c>
      <c r="H927" s="13" t="str">
        <f>SUBSTITUTE(Github!L$419, ";", ", ")</f>
        <v>String, Dynamic Programming, Simulation, </v>
      </c>
      <c r="I927" s="10" t="str">
        <f>Github!E$419</f>
        <v>Medium</v>
      </c>
      <c r="J927" s="10" t="str">
        <f>IF(TRIM(Github!D$419)="TRUE","FALSE","TRUE")</f>
        <v>FALSE</v>
      </c>
      <c r="K927" s="10" t="b">
        <f>Github!M$419</f>
        <v>0</v>
      </c>
      <c r="L927" s="10" t="b">
        <f>Github!N$419</f>
        <v>0</v>
      </c>
      <c r="M927" s="10" t="str">
        <f>ROUND(Github!O$419, 2)&amp;"%"</f>
        <v>35.38%</v>
      </c>
      <c r="N927" s="10">
        <f>Github!P$419</f>
        <v>80774</v>
      </c>
      <c r="O927" s="10">
        <f>Github!Q$419</f>
        <v>228324</v>
      </c>
    </row>
    <row r="928">
      <c r="A928" s="10">
        <f>Github!J$297</f>
        <v>296</v>
      </c>
      <c r="B928" s="11" t="str">
        <f>HYPERLINK(CONCAT("http://leetcode.com/problems/",Github!C$297), Github!B$297)</f>
        <v>Best Meeting Point</v>
      </c>
      <c r="C928" s="10">
        <f>Github!F$297</f>
        <v>878</v>
      </c>
      <c r="D928" s="10">
        <f>Github!G$297</f>
        <v>71</v>
      </c>
      <c r="E928" s="10">
        <f>Github!F$297+Github!G$297</f>
        <v>949</v>
      </c>
      <c r="F928" s="12">
        <f t="shared" si="1"/>
        <v>12.37</v>
      </c>
      <c r="G928" s="10" t="str">
        <f>Github!H$297</f>
        <v>Algorithms</v>
      </c>
      <c r="H928" s="13" t="str">
        <f>SUBSTITUTE(Github!L$297, ";", ", ")</f>
        <v>Array, Math, Sorting, Matrix, </v>
      </c>
      <c r="I928" s="10" t="str">
        <f>Github!E$297</f>
        <v>Hard</v>
      </c>
      <c r="J928" s="10" t="str">
        <f>IF(TRIM(Github!D$297)="TRUE","FALSE","TRUE")</f>
        <v>FALSE</v>
      </c>
      <c r="K928" s="10" t="b">
        <f>Github!M$297</f>
        <v>1</v>
      </c>
      <c r="L928" s="10" t="b">
        <f>Github!N$297</f>
        <v>0</v>
      </c>
      <c r="M928" s="10" t="str">
        <f>ROUND(Github!O$297, 2)&amp;"%"</f>
        <v>59.41%</v>
      </c>
      <c r="N928" s="10">
        <f>Github!P$297</f>
        <v>58116</v>
      </c>
      <c r="O928" s="10">
        <f>Github!Q$297</f>
        <v>97827</v>
      </c>
    </row>
    <row r="929">
      <c r="A929" s="10">
        <f>Github!J$1233</f>
        <v>1232</v>
      </c>
      <c r="B929" s="11" t="str">
        <f>HYPERLINK(CONCAT("http://leetcode.com/problems/",Github!C$1233), Github!B$1233)</f>
        <v>Check If It Is a Straight Line</v>
      </c>
      <c r="C929" s="10">
        <f>Github!F$1233</f>
        <v>881</v>
      </c>
      <c r="D929" s="10">
        <f>Github!G$1233</f>
        <v>135</v>
      </c>
      <c r="E929" s="10">
        <f>Github!F$1233+Github!G$1233</f>
        <v>1016</v>
      </c>
      <c r="F929" s="12">
        <f t="shared" si="1"/>
        <v>6.53</v>
      </c>
      <c r="G929" s="10" t="str">
        <f>Github!H$1233</f>
        <v>Algorithms</v>
      </c>
      <c r="H929" s="13" t="str">
        <f>SUBSTITUTE(Github!L$1233, ";", ", ")</f>
        <v>Array, Math, Geometry, </v>
      </c>
      <c r="I929" s="10" t="str">
        <f>Github!E$1233</f>
        <v>Easy</v>
      </c>
      <c r="J929" s="10" t="str">
        <f>IF(TRIM(Github!D$1233)="TRUE","FALSE","TRUE")</f>
        <v>TRUE</v>
      </c>
      <c r="K929" s="10" t="b">
        <f>Github!M$1233</f>
        <v>0</v>
      </c>
      <c r="L929" s="10" t="b">
        <f>Github!N$1233</f>
        <v>0</v>
      </c>
      <c r="M929" s="10" t="str">
        <f>ROUND(Github!O$1233, 2)&amp;"%"</f>
        <v>41.91%</v>
      </c>
      <c r="N929" s="10">
        <f>Github!P$1233</f>
        <v>113635</v>
      </c>
      <c r="O929" s="10">
        <f>Github!Q$1233</f>
        <v>271125</v>
      </c>
    </row>
    <row r="930">
      <c r="A930" s="10">
        <f>Github!J$1494</f>
        <v>1493</v>
      </c>
      <c r="B930" s="11" t="str">
        <f>HYPERLINK(CONCAT("http://leetcode.com/problems/",Github!C$1494), Github!B$1494)</f>
        <v>Longest Subarray of 1's After Deleting One Element</v>
      </c>
      <c r="C930" s="10">
        <f>Github!F$1494</f>
        <v>883</v>
      </c>
      <c r="D930" s="10">
        <f>Github!G$1494</f>
        <v>21</v>
      </c>
      <c r="E930" s="10">
        <f>Github!F$1494+Github!G$1494</f>
        <v>904</v>
      </c>
      <c r="F930" s="12">
        <f t="shared" si="1"/>
        <v>42.05</v>
      </c>
      <c r="G930" s="10" t="str">
        <f>Github!H$1494</f>
        <v>Algorithms</v>
      </c>
      <c r="H930" s="13" t="str">
        <f>SUBSTITUTE(Github!L$1494, ";", ", ")</f>
        <v>Math, Dynamic Programming, Sliding Window, </v>
      </c>
      <c r="I930" s="10" t="str">
        <f>Github!E$1494</f>
        <v>Medium</v>
      </c>
      <c r="J930" s="10" t="str">
        <f>IF(TRIM(Github!D$1494)="TRUE","FALSE","TRUE")</f>
        <v>TRUE</v>
      </c>
      <c r="K930" s="10" t="b">
        <f>Github!M$1494</f>
        <v>0</v>
      </c>
      <c r="L930" s="10" t="b">
        <f>Github!N$1494</f>
        <v>0</v>
      </c>
      <c r="M930" s="10" t="str">
        <f>ROUND(Github!O$1494, 2)&amp;"%"</f>
        <v>60.05%</v>
      </c>
      <c r="N930" s="10">
        <f>Github!P$1494</f>
        <v>39664</v>
      </c>
      <c r="O930" s="10">
        <f>Github!Q$1494</f>
        <v>66049</v>
      </c>
    </row>
    <row r="931">
      <c r="A931" s="10">
        <f>Github!J$358</f>
        <v>357</v>
      </c>
      <c r="B931" s="11" t="str">
        <f>HYPERLINK(CONCAT("http://leetcode.com/problems/",Github!C$358), Github!B$358)</f>
        <v>Count Numbers with Unique Digits</v>
      </c>
      <c r="C931" s="10">
        <f>Github!F$358</f>
        <v>877</v>
      </c>
      <c r="D931" s="10">
        <f>Github!G$358</f>
        <v>1228</v>
      </c>
      <c r="E931" s="10">
        <f>Github!F$358+Github!G$358</f>
        <v>2105</v>
      </c>
      <c r="F931" s="12">
        <f t="shared" si="1"/>
        <v>0.71</v>
      </c>
      <c r="G931" s="10" t="str">
        <f>Github!H$358</f>
        <v>Algorithms</v>
      </c>
      <c r="H931" s="13" t="str">
        <f>SUBSTITUTE(Github!L$358, ";", ", ")</f>
        <v>Math, Dynamic Programming, Backtracking, </v>
      </c>
      <c r="I931" s="10" t="str">
        <f>Github!E$358</f>
        <v>Medium</v>
      </c>
      <c r="J931" s="10" t="str">
        <f>IF(TRIM(Github!D$358)="TRUE","FALSE","TRUE")</f>
        <v>TRUE</v>
      </c>
      <c r="K931" s="10" t="b">
        <f>Github!M$358</f>
        <v>0</v>
      </c>
      <c r="L931" s="10" t="b">
        <f>Github!N$358</f>
        <v>0</v>
      </c>
      <c r="M931" s="10" t="str">
        <f>ROUND(Github!O$358, 2)&amp;"%"</f>
        <v>50.62%</v>
      </c>
      <c r="N931" s="10">
        <f>Github!P$358</f>
        <v>101854</v>
      </c>
      <c r="O931" s="10">
        <f>Github!Q$358</f>
        <v>201220</v>
      </c>
    </row>
    <row r="932">
      <c r="A932" s="10">
        <f>Github!J$1835</f>
        <v>1834</v>
      </c>
      <c r="B932" s="11" t="str">
        <f>HYPERLINK(CONCAT("http://leetcode.com/problems/",Github!C$1835), Github!B$1835)</f>
        <v>Single-Threaded CPU</v>
      </c>
      <c r="C932" s="10">
        <f>Github!F$1835</f>
        <v>880</v>
      </c>
      <c r="D932" s="10">
        <f>Github!G$1835</f>
        <v>110</v>
      </c>
      <c r="E932" s="10">
        <f>Github!F$1835+Github!G$1835</f>
        <v>990</v>
      </c>
      <c r="F932" s="12">
        <f t="shared" si="1"/>
        <v>8</v>
      </c>
      <c r="G932" s="10" t="str">
        <f>Github!H$1835</f>
        <v>Algorithms</v>
      </c>
      <c r="H932" s="13" t="str">
        <f>SUBSTITUTE(Github!L$1835, ";", ", ")</f>
        <v>Array, Sorting, Heap (Priority Queue), </v>
      </c>
      <c r="I932" s="10" t="str">
        <f>Github!E$1835</f>
        <v>Medium</v>
      </c>
      <c r="J932" s="10" t="str">
        <f>IF(TRIM(Github!D$1835)="TRUE","FALSE","TRUE")</f>
        <v>TRUE</v>
      </c>
      <c r="K932" s="10" t="b">
        <f>Github!M$1835</f>
        <v>0</v>
      </c>
      <c r="L932" s="10" t="b">
        <f>Github!N$1835</f>
        <v>0</v>
      </c>
      <c r="M932" s="10" t="str">
        <f>ROUND(Github!O$1835, 2)&amp;"%"</f>
        <v>41.01%</v>
      </c>
      <c r="N932" s="10">
        <f>Github!P$1835</f>
        <v>34528</v>
      </c>
      <c r="O932" s="10">
        <f>Github!Q$1835</f>
        <v>84188</v>
      </c>
    </row>
    <row r="933">
      <c r="A933" s="10">
        <f>Github!J$434</f>
        <v>433</v>
      </c>
      <c r="B933" s="11" t="str">
        <f>HYPERLINK(CONCAT("http://leetcode.com/problems/",Github!C$434), Github!B$434)</f>
        <v>Minimum Genetic Mutation</v>
      </c>
      <c r="C933" s="10">
        <f>Github!F$434</f>
        <v>882</v>
      </c>
      <c r="D933" s="10">
        <f>Github!G$434</f>
        <v>102</v>
      </c>
      <c r="E933" s="10">
        <f>Github!F$434+Github!G$434</f>
        <v>984</v>
      </c>
      <c r="F933" s="12">
        <f t="shared" si="1"/>
        <v>8.65</v>
      </c>
      <c r="G933" s="10" t="str">
        <f>Github!H$434</f>
        <v>Algorithms</v>
      </c>
      <c r="H933" s="13" t="str">
        <f>SUBSTITUTE(Github!L$434, ";", ", ")</f>
        <v>Hash Table, String, Breadth-First Search, </v>
      </c>
      <c r="I933" s="10" t="str">
        <f>Github!E$434</f>
        <v>Medium</v>
      </c>
      <c r="J933" s="10" t="str">
        <f>IF(TRIM(Github!D$434)="TRUE","FALSE","TRUE")</f>
        <v>TRUE</v>
      </c>
      <c r="K933" s="10" t="b">
        <f>Github!M$434</f>
        <v>0</v>
      </c>
      <c r="L933" s="10" t="b">
        <f>Github!N$434</f>
        <v>0</v>
      </c>
      <c r="M933" s="10" t="str">
        <f>ROUND(Github!O$434, 2)&amp;"%"</f>
        <v>46.72%</v>
      </c>
      <c r="N933" s="10">
        <f>Github!P$434</f>
        <v>53224</v>
      </c>
      <c r="O933" s="10">
        <f>Github!Q$434</f>
        <v>113913</v>
      </c>
    </row>
    <row r="934">
      <c r="A934" s="10">
        <f>Github!J$1347</f>
        <v>1346</v>
      </c>
      <c r="B934" s="11" t="str">
        <f>HYPERLINK(CONCAT("http://leetcode.com/problems/",Github!C$1347), Github!B$1347)</f>
        <v>Check If N and Its Double Exist</v>
      </c>
      <c r="C934" s="10">
        <f>Github!F$1347</f>
        <v>882</v>
      </c>
      <c r="D934" s="10">
        <f>Github!G$1347</f>
        <v>116</v>
      </c>
      <c r="E934" s="10">
        <f>Github!F$1347+Github!G$1347</f>
        <v>998</v>
      </c>
      <c r="F934" s="12">
        <f t="shared" si="1"/>
        <v>7.6</v>
      </c>
      <c r="G934" s="10" t="str">
        <f>Github!H$1347</f>
        <v>Algorithms</v>
      </c>
      <c r="H934" s="13" t="str">
        <f>SUBSTITUTE(Github!L$1347, ";", ", ")</f>
        <v>Array, Hash Table, Two Pointers, Binary Search, Sorting, </v>
      </c>
      <c r="I934" s="10" t="str">
        <f>Github!E$1347</f>
        <v>Easy</v>
      </c>
      <c r="J934" s="10" t="str">
        <f>IF(TRIM(Github!D$1347)="TRUE","FALSE","TRUE")</f>
        <v>TRUE</v>
      </c>
      <c r="K934" s="10" t="b">
        <f>Github!M$1347</f>
        <v>0</v>
      </c>
      <c r="L934" s="10" t="b">
        <f>Github!N$1347</f>
        <v>0</v>
      </c>
      <c r="M934" s="10" t="str">
        <f>ROUND(Github!O$1347, 2)&amp;"%"</f>
        <v>35.64%</v>
      </c>
      <c r="N934" s="10">
        <f>Github!P$1347</f>
        <v>190564</v>
      </c>
      <c r="O934" s="10">
        <f>Github!Q$1347</f>
        <v>534746</v>
      </c>
    </row>
    <row r="935">
      <c r="A935" s="10">
        <f>Github!J$1482</f>
        <v>1481</v>
      </c>
      <c r="B935" s="11" t="str">
        <f>HYPERLINK(CONCAT("http://leetcode.com/problems/",Github!C$1482), Github!B$1482)</f>
        <v>Least Number of Unique Integers after K Removals</v>
      </c>
      <c r="C935" s="10">
        <f>Github!F$1482</f>
        <v>880</v>
      </c>
      <c r="D935" s="10">
        <f>Github!G$1482</f>
        <v>64</v>
      </c>
      <c r="E935" s="10">
        <f>Github!F$1482+Github!G$1482</f>
        <v>944</v>
      </c>
      <c r="F935" s="12">
        <f t="shared" si="1"/>
        <v>13.75</v>
      </c>
      <c r="G935" s="10" t="str">
        <f>Github!H$1482</f>
        <v>Algorithms</v>
      </c>
      <c r="H935" s="13" t="str">
        <f>SUBSTITUTE(Github!L$1482, ";", ", ")</f>
        <v>Array, Hash Table, Greedy, Sorting, Counting, </v>
      </c>
      <c r="I935" s="10" t="str">
        <f>Github!E$1482</f>
        <v>Medium</v>
      </c>
      <c r="J935" s="10" t="str">
        <f>IF(TRIM(Github!D$1482)="TRUE","FALSE","TRUE")</f>
        <v>TRUE</v>
      </c>
      <c r="K935" s="10" t="b">
        <f>Github!M$1482</f>
        <v>0</v>
      </c>
      <c r="L935" s="10" t="b">
        <f>Github!N$1482</f>
        <v>0</v>
      </c>
      <c r="M935" s="10" t="str">
        <f>ROUND(Github!O$1482, 2)&amp;"%"</f>
        <v>60.25%</v>
      </c>
      <c r="N935" s="10">
        <f>Github!P$1482</f>
        <v>69675</v>
      </c>
      <c r="O935" s="10">
        <f>Github!Q$1482</f>
        <v>115634</v>
      </c>
    </row>
    <row r="936">
      <c r="A936" s="10">
        <f>Github!J$471</f>
        <v>470</v>
      </c>
      <c r="B936" s="11" t="str">
        <f>HYPERLINK(CONCAT("http://leetcode.com/problems/",Github!C$471), Github!B$471)</f>
        <v>Implement Rand10() Using Rand7()</v>
      </c>
      <c r="C936" s="10">
        <f>Github!F$471</f>
        <v>868</v>
      </c>
      <c r="D936" s="10">
        <f>Github!G$471</f>
        <v>285</v>
      </c>
      <c r="E936" s="10">
        <f>Github!F$471+Github!G$471</f>
        <v>1153</v>
      </c>
      <c r="F936" s="12">
        <f t="shared" si="1"/>
        <v>3.05</v>
      </c>
      <c r="G936" s="10" t="str">
        <f>Github!H$471</f>
        <v>Algorithms</v>
      </c>
      <c r="H936" s="13" t="str">
        <f>SUBSTITUTE(Github!L$471, ";", ", ")</f>
        <v>Math, Rejection Sampling, Randomized, Probability and Statistics, </v>
      </c>
      <c r="I936" s="10" t="str">
        <f>Github!E$471</f>
        <v>Medium</v>
      </c>
      <c r="J936" s="10" t="str">
        <f>IF(TRIM(Github!D$471)="TRUE","FALSE","TRUE")</f>
        <v>TRUE</v>
      </c>
      <c r="K936" s="10" t="b">
        <f>Github!M$471</f>
        <v>1</v>
      </c>
      <c r="L936" s="10" t="b">
        <f>Github!N$471</f>
        <v>0</v>
      </c>
      <c r="M936" s="10" t="str">
        <f>ROUND(Github!O$471, 2)&amp;"%"</f>
        <v>46.75%</v>
      </c>
      <c r="N936" s="10">
        <f>Github!P$471</f>
        <v>62233</v>
      </c>
      <c r="O936" s="10">
        <f>Github!Q$471</f>
        <v>133132</v>
      </c>
    </row>
    <row r="937">
      <c r="A937" s="10">
        <f>Github!J$406</f>
        <v>405</v>
      </c>
      <c r="B937" s="11" t="str">
        <f>HYPERLINK(CONCAT("http://leetcode.com/problems/",Github!C$406), Github!B$406)</f>
        <v>Convert a Number to Hexadecimal</v>
      </c>
      <c r="C937" s="10">
        <f>Github!F$406</f>
        <v>866</v>
      </c>
      <c r="D937" s="10">
        <f>Github!G$406</f>
        <v>171</v>
      </c>
      <c r="E937" s="10">
        <f>Github!F$406+Github!G$406</f>
        <v>1037</v>
      </c>
      <c r="F937" s="12">
        <f t="shared" si="1"/>
        <v>5.06</v>
      </c>
      <c r="G937" s="10" t="str">
        <f>Github!H$406</f>
        <v>Algorithms</v>
      </c>
      <c r="H937" s="13" t="str">
        <f>SUBSTITUTE(Github!L$406, ";", ", ")</f>
        <v>Math, Bit Manipulation, </v>
      </c>
      <c r="I937" s="10" t="str">
        <f>Github!E$406</f>
        <v>Easy</v>
      </c>
      <c r="J937" s="10" t="str">
        <f>IF(TRIM(Github!D$406)="TRUE","FALSE","TRUE")</f>
        <v>TRUE</v>
      </c>
      <c r="K937" s="10" t="b">
        <f>Github!M$406</f>
        <v>0</v>
      </c>
      <c r="L937" s="10" t="b">
        <f>Github!N$406</f>
        <v>0</v>
      </c>
      <c r="M937" s="10" t="str">
        <f>ROUND(Github!O$406, 2)&amp;"%"</f>
        <v>45.78%</v>
      </c>
      <c r="N937" s="10">
        <f>Github!P$406</f>
        <v>97962</v>
      </c>
      <c r="O937" s="10">
        <f>Github!Q$406</f>
        <v>213981</v>
      </c>
    </row>
    <row r="938">
      <c r="A938" s="10">
        <f>Github!J$628</f>
        <v>627</v>
      </c>
      <c r="B938" s="11" t="str">
        <f>HYPERLINK(CONCAT("http://leetcode.com/problems/",Github!C$628), Github!B$628)</f>
        <v>Swap Salary</v>
      </c>
      <c r="C938" s="10">
        <f>Github!F$628</f>
        <v>870</v>
      </c>
      <c r="D938" s="10">
        <f>Github!G$628</f>
        <v>497</v>
      </c>
      <c r="E938" s="10">
        <f>Github!F$628+Github!G$628</f>
        <v>1367</v>
      </c>
      <c r="F938" s="12">
        <f t="shared" si="1"/>
        <v>1.75</v>
      </c>
      <c r="G938" s="10" t="str">
        <f>Github!H$628</f>
        <v>Database</v>
      </c>
      <c r="H938" s="13" t="str">
        <f>SUBSTITUTE(Github!L$628, ";", ", ")</f>
        <v>Database, </v>
      </c>
      <c r="I938" s="10" t="str">
        <f>Github!E$628</f>
        <v>Easy</v>
      </c>
      <c r="J938" s="10" t="str">
        <f>IF(TRIM(Github!D$628)="TRUE","FALSE","TRUE")</f>
        <v>TRUE</v>
      </c>
      <c r="K938" s="10" t="b">
        <f>Github!M$628</f>
        <v>1</v>
      </c>
      <c r="L938" s="10" t="b">
        <f>Github!N$628</f>
        <v>0</v>
      </c>
      <c r="M938" s="10" t="str">
        <f>ROUND(Github!O$628, 2)&amp;"%"</f>
        <v>79.69%</v>
      </c>
      <c r="N938" s="10">
        <f>Github!P$628</f>
        <v>189207</v>
      </c>
      <c r="O938" s="10">
        <f>Github!Q$628</f>
        <v>237426</v>
      </c>
    </row>
    <row r="939">
      <c r="A939" s="10">
        <f>Github!J$375</f>
        <v>374</v>
      </c>
      <c r="B939" s="11" t="str">
        <f>HYPERLINK(CONCAT("http://leetcode.com/problems/",Github!C$375), Github!B$375)</f>
        <v>Guess Number Higher or Lower</v>
      </c>
      <c r="C939" s="10">
        <f>Github!F$375</f>
        <v>897</v>
      </c>
      <c r="D939" s="10">
        <f>Github!G$375</f>
        <v>151</v>
      </c>
      <c r="E939" s="10">
        <f>Github!F$375+Github!G$375</f>
        <v>1048</v>
      </c>
      <c r="F939" s="12">
        <f t="shared" si="1"/>
        <v>5.94</v>
      </c>
      <c r="G939" s="10" t="str">
        <f>Github!H$375</f>
        <v>Algorithms</v>
      </c>
      <c r="H939" s="13" t="str">
        <f>SUBSTITUTE(Github!L$375, ";", ", ")</f>
        <v>Binary Search, Interactive, </v>
      </c>
      <c r="I939" s="10" t="str">
        <f>Github!E$375</f>
        <v>Easy</v>
      </c>
      <c r="J939" s="10" t="str">
        <f>IF(TRIM(Github!D$375)="TRUE","FALSE","TRUE")</f>
        <v>TRUE</v>
      </c>
      <c r="K939" s="10" t="b">
        <f>Github!M$375</f>
        <v>1</v>
      </c>
      <c r="L939" s="10" t="b">
        <f>Github!N$375</f>
        <v>0</v>
      </c>
      <c r="M939" s="10" t="str">
        <f>ROUND(Github!O$375, 2)&amp;"%"</f>
        <v>49.09%</v>
      </c>
      <c r="N939" s="10">
        <f>Github!P$375</f>
        <v>309976</v>
      </c>
      <c r="O939" s="10">
        <f>Github!Q$375</f>
        <v>631446</v>
      </c>
    </row>
    <row r="940">
      <c r="A940" s="10">
        <f>Github!J$267</f>
        <v>266</v>
      </c>
      <c r="B940" s="11" t="str">
        <f>HYPERLINK(CONCAT("http://leetcode.com/problems/",Github!C$267), Github!B$267)</f>
        <v>Palindrome Permutation</v>
      </c>
      <c r="C940" s="10">
        <f>Github!F$267</f>
        <v>869</v>
      </c>
      <c r="D940" s="10">
        <f>Github!G$267</f>
        <v>63</v>
      </c>
      <c r="E940" s="10">
        <f>Github!F$267+Github!G$267</f>
        <v>932</v>
      </c>
      <c r="F940" s="12">
        <f t="shared" si="1"/>
        <v>13.79</v>
      </c>
      <c r="G940" s="10" t="str">
        <f>Github!H$267</f>
        <v>Algorithms</v>
      </c>
      <c r="H940" s="13" t="str">
        <f>SUBSTITUTE(Github!L$267, ";", ", ")</f>
        <v>Hash Table, String, Bit Manipulation, </v>
      </c>
      <c r="I940" s="10" t="str">
        <f>Github!E$267</f>
        <v>Easy</v>
      </c>
      <c r="J940" s="10" t="str">
        <f>IF(TRIM(Github!D$267)="TRUE","FALSE","TRUE")</f>
        <v>FALSE</v>
      </c>
      <c r="K940" s="10" t="b">
        <f>Github!M$267</f>
        <v>1</v>
      </c>
      <c r="L940" s="10" t="b">
        <f>Github!N$267</f>
        <v>0</v>
      </c>
      <c r="M940" s="10" t="str">
        <f>ROUND(Github!O$267, 2)&amp;"%"</f>
        <v>65.41%</v>
      </c>
      <c r="N940" s="10">
        <f>Github!P$267</f>
        <v>163650</v>
      </c>
      <c r="O940" s="10">
        <f>Github!Q$267</f>
        <v>250186</v>
      </c>
    </row>
    <row r="941">
      <c r="A941" s="10">
        <f>Github!J$968</f>
        <v>967</v>
      </c>
      <c r="B941" s="11" t="str">
        <f>HYPERLINK(CONCAT("http://leetcode.com/problems/",Github!C$968), Github!B$968)</f>
        <v>Numbers With Same Consecutive Differences</v>
      </c>
      <c r="C941" s="10">
        <f>Github!F$968</f>
        <v>864</v>
      </c>
      <c r="D941" s="10">
        <f>Github!G$968</f>
        <v>131</v>
      </c>
      <c r="E941" s="10">
        <f>Github!F$968+Github!G$968</f>
        <v>995</v>
      </c>
      <c r="F941" s="12">
        <f t="shared" si="1"/>
        <v>6.6</v>
      </c>
      <c r="G941" s="10" t="str">
        <f>Github!H$968</f>
        <v>Algorithms</v>
      </c>
      <c r="H941" s="13" t="str">
        <f>SUBSTITUTE(Github!L$968, ";", ", ")</f>
        <v>Backtracking, Breadth-First Search, </v>
      </c>
      <c r="I941" s="10" t="str">
        <f>Github!E$968</f>
        <v>Medium</v>
      </c>
      <c r="J941" s="10" t="str">
        <f>IF(TRIM(Github!D$968)="TRUE","FALSE","TRUE")</f>
        <v>TRUE</v>
      </c>
      <c r="K941" s="10" t="b">
        <f>Github!M$968</f>
        <v>1</v>
      </c>
      <c r="L941" s="10" t="b">
        <f>Github!N$968</f>
        <v>0</v>
      </c>
      <c r="M941" s="10" t="str">
        <f>ROUND(Github!O$968, 2)&amp;"%"</f>
        <v>47.29%</v>
      </c>
      <c r="N941" s="10">
        <f>Github!P$968</f>
        <v>49966</v>
      </c>
      <c r="O941" s="10">
        <f>Github!Q$968</f>
        <v>105666</v>
      </c>
    </row>
    <row r="942">
      <c r="A942" s="10">
        <f>Github!J$1651</f>
        <v>1650</v>
      </c>
      <c r="B942" s="11" t="str">
        <f>HYPERLINK(CONCAT("http://leetcode.com/problems/",Github!C$1651), Github!B$1651)</f>
        <v>Lowest Common Ancestor of a Binary Tree III</v>
      </c>
      <c r="C942" s="10">
        <f>Github!F$1651</f>
        <v>878</v>
      </c>
      <c r="D942" s="10">
        <f>Github!G$1651</f>
        <v>27</v>
      </c>
      <c r="E942" s="10">
        <f>Github!F$1651+Github!G$1651</f>
        <v>905</v>
      </c>
      <c r="F942" s="12">
        <f t="shared" si="1"/>
        <v>32.52</v>
      </c>
      <c r="G942" s="10" t="str">
        <f>Github!H$1651</f>
        <v>Algorithms</v>
      </c>
      <c r="H942" s="13" t="str">
        <f>SUBSTITUTE(Github!L$1651, ";", ", ")</f>
        <v>Hash Table, Tree, Binary Tree, </v>
      </c>
      <c r="I942" s="10" t="str">
        <f>Github!E$1651</f>
        <v>Medium</v>
      </c>
      <c r="J942" s="10" t="str">
        <f>IF(TRIM(Github!D$1651)="TRUE","FALSE","TRUE")</f>
        <v>FALSE</v>
      </c>
      <c r="K942" s="10" t="b">
        <f>Github!M$1651</f>
        <v>0</v>
      </c>
      <c r="L942" s="10" t="b">
        <f>Github!N$1651</f>
        <v>0</v>
      </c>
      <c r="M942" s="10" t="str">
        <f>ROUND(Github!O$1651, 2)&amp;"%"</f>
        <v>77.39%</v>
      </c>
      <c r="N942" s="10">
        <f>Github!P$1651</f>
        <v>119307</v>
      </c>
      <c r="O942" s="10">
        <f>Github!Q$1651</f>
        <v>154154</v>
      </c>
    </row>
    <row r="943">
      <c r="A943" s="10">
        <f>Github!J$198</f>
        <v>197</v>
      </c>
      <c r="B943" s="11" t="str">
        <f>HYPERLINK(CONCAT("http://leetcode.com/problems/",Github!C$198), Github!B$198)</f>
        <v>Rising Temperature</v>
      </c>
      <c r="C943" s="10">
        <f>Github!F$198</f>
        <v>865</v>
      </c>
      <c r="D943" s="10">
        <f>Github!G$198</f>
        <v>353</v>
      </c>
      <c r="E943" s="10">
        <f>Github!F$198+Github!G$198</f>
        <v>1218</v>
      </c>
      <c r="F943" s="12">
        <f t="shared" si="1"/>
        <v>2.45</v>
      </c>
      <c r="G943" s="10" t="str">
        <f>Github!H$198</f>
        <v>Database</v>
      </c>
      <c r="H943" s="13" t="str">
        <f>SUBSTITUTE(Github!L$198, ";", ", ")</f>
        <v>Database, </v>
      </c>
      <c r="I943" s="10" t="str">
        <f>Github!E$198</f>
        <v>Easy</v>
      </c>
      <c r="J943" s="10" t="str">
        <f>IF(TRIM(Github!D$198)="TRUE","FALSE","TRUE")</f>
        <v>TRUE</v>
      </c>
      <c r="K943" s="10" t="b">
        <f>Github!M$198</f>
        <v>1</v>
      </c>
      <c r="L943" s="10" t="b">
        <f>Github!N$198</f>
        <v>0</v>
      </c>
      <c r="M943" s="10" t="str">
        <f>ROUND(Github!O$198, 2)&amp;"%"</f>
        <v>42.51%</v>
      </c>
      <c r="N943" s="10">
        <f>Github!P$198</f>
        <v>219855</v>
      </c>
      <c r="O943" s="10">
        <f>Github!Q$198</f>
        <v>517176</v>
      </c>
    </row>
    <row r="944">
      <c r="A944" s="10">
        <f>Github!J$1248</f>
        <v>1247</v>
      </c>
      <c r="B944" s="11" t="str">
        <f>HYPERLINK(CONCAT("http://leetcode.com/problems/",Github!C$1248), Github!B$1248)</f>
        <v>Minimum Swaps to Make Strings Equal</v>
      </c>
      <c r="C944" s="10">
        <f>Github!F$1248</f>
        <v>862</v>
      </c>
      <c r="D944" s="10">
        <f>Github!G$1248</f>
        <v>207</v>
      </c>
      <c r="E944" s="10">
        <f>Github!F$1248+Github!G$1248</f>
        <v>1069</v>
      </c>
      <c r="F944" s="12">
        <f t="shared" si="1"/>
        <v>4.16</v>
      </c>
      <c r="G944" s="10" t="str">
        <f>Github!H$1248</f>
        <v>Algorithms</v>
      </c>
      <c r="H944" s="13" t="str">
        <f>SUBSTITUTE(Github!L$1248, ";", ", ")</f>
        <v>Math, String, Greedy, </v>
      </c>
      <c r="I944" s="10" t="str">
        <f>Github!E$1248</f>
        <v>Medium</v>
      </c>
      <c r="J944" s="10" t="str">
        <f>IF(TRIM(Github!D$1248)="TRUE","FALSE","TRUE")</f>
        <v>TRUE</v>
      </c>
      <c r="K944" s="10" t="b">
        <f>Github!M$1248</f>
        <v>0</v>
      </c>
      <c r="L944" s="10" t="b">
        <f>Github!N$1248</f>
        <v>0</v>
      </c>
      <c r="M944" s="10" t="str">
        <f>ROUND(Github!O$1248, 2)&amp;"%"</f>
        <v>63.77%</v>
      </c>
      <c r="N944" s="10">
        <f>Github!P$1248</f>
        <v>27634</v>
      </c>
      <c r="O944" s="10">
        <f>Github!Q$1248</f>
        <v>43334</v>
      </c>
    </row>
    <row r="945">
      <c r="A945" s="10">
        <f>Github!J$1058</f>
        <v>1057</v>
      </c>
      <c r="B945" s="11" t="str">
        <f>HYPERLINK(CONCAT("http://leetcode.com/problems/",Github!C$1058), Github!B$1058)</f>
        <v>Campus Bikes</v>
      </c>
      <c r="C945" s="10">
        <f>Github!F$1058</f>
        <v>856</v>
      </c>
      <c r="D945" s="10">
        <f>Github!G$1058</f>
        <v>158</v>
      </c>
      <c r="E945" s="10">
        <f>Github!F$1058+Github!G$1058</f>
        <v>1014</v>
      </c>
      <c r="F945" s="12">
        <f t="shared" si="1"/>
        <v>5.42</v>
      </c>
      <c r="G945" s="10" t="str">
        <f>Github!H$1058</f>
        <v>Algorithms</v>
      </c>
      <c r="H945" s="13" t="str">
        <f>SUBSTITUTE(Github!L$1058, ";", ", ")</f>
        <v>Array, Greedy, Sorting, </v>
      </c>
      <c r="I945" s="10" t="str">
        <f>Github!E$1058</f>
        <v>Medium</v>
      </c>
      <c r="J945" s="10" t="str">
        <f>IF(TRIM(Github!D$1058)="TRUE","FALSE","TRUE")</f>
        <v>FALSE</v>
      </c>
      <c r="K945" s="10" t="b">
        <f>Github!M$1058</f>
        <v>1</v>
      </c>
      <c r="L945" s="10" t="b">
        <f>Github!N$1058</f>
        <v>0</v>
      </c>
      <c r="M945" s="10" t="str">
        <f>ROUND(Github!O$1058, 2)&amp;"%"</f>
        <v>58.08%</v>
      </c>
      <c r="N945" s="10">
        <f>Github!P$1058</f>
        <v>60400</v>
      </c>
      <c r="O945" s="10">
        <f>Github!Q$1058</f>
        <v>103999</v>
      </c>
    </row>
    <row r="946">
      <c r="A946" s="10">
        <f>Github!J$773</f>
        <v>772</v>
      </c>
      <c r="B946" s="11" t="str">
        <f>HYPERLINK(CONCAT("http://leetcode.com/problems/",Github!C$773), Github!B$773)</f>
        <v>Basic Calculator III</v>
      </c>
      <c r="C946" s="10">
        <f>Github!F$773</f>
        <v>860</v>
      </c>
      <c r="D946" s="10">
        <f>Github!G$773</f>
        <v>248</v>
      </c>
      <c r="E946" s="10">
        <f>Github!F$773+Github!G$773</f>
        <v>1108</v>
      </c>
      <c r="F946" s="12">
        <f t="shared" si="1"/>
        <v>3.47</v>
      </c>
      <c r="G946" s="10" t="str">
        <f>Github!H$773</f>
        <v>Algorithms</v>
      </c>
      <c r="H946" s="13" t="str">
        <f>SUBSTITUTE(Github!L$773, ";", ", ")</f>
        <v>Math, String, Stack, Recursion, </v>
      </c>
      <c r="I946" s="10" t="str">
        <f>Github!E$773</f>
        <v>Hard</v>
      </c>
      <c r="J946" s="10" t="str">
        <f>IF(TRIM(Github!D$773)="TRUE","FALSE","TRUE")</f>
        <v>FALSE</v>
      </c>
      <c r="K946" s="10" t="b">
        <f>Github!M$773</f>
        <v>0</v>
      </c>
      <c r="L946" s="10" t="b">
        <f>Github!N$773</f>
        <v>0</v>
      </c>
      <c r="M946" s="10" t="str">
        <f>ROUND(Github!O$773, 2)&amp;"%"</f>
        <v>47.5%</v>
      </c>
      <c r="N946" s="10">
        <f>Github!P$773</f>
        <v>84318</v>
      </c>
      <c r="O946" s="10">
        <f>Github!Q$773</f>
        <v>177508</v>
      </c>
    </row>
    <row r="947">
      <c r="A947" s="10">
        <f>Github!J$827</f>
        <v>826</v>
      </c>
      <c r="B947" s="11" t="str">
        <f>HYPERLINK(CONCAT("http://leetcode.com/problems/",Github!C$827), Github!B$827)</f>
        <v>Most Profit Assigning Work</v>
      </c>
      <c r="C947" s="10">
        <f>Github!F$827</f>
        <v>868</v>
      </c>
      <c r="D947" s="10">
        <f>Github!G$827</f>
        <v>97</v>
      </c>
      <c r="E947" s="10">
        <f>Github!F$827+Github!G$827</f>
        <v>965</v>
      </c>
      <c r="F947" s="12">
        <f t="shared" si="1"/>
        <v>8.95</v>
      </c>
      <c r="G947" s="10" t="str">
        <f>Github!H$827</f>
        <v>Algorithms</v>
      </c>
      <c r="H947" s="13" t="str">
        <f>SUBSTITUTE(Github!L$827, ";", ", ")</f>
        <v>Array, Two Pointers, Binary Search, Greedy, Sorting, </v>
      </c>
      <c r="I947" s="10" t="str">
        <f>Github!E$827</f>
        <v>Medium</v>
      </c>
      <c r="J947" s="10" t="str">
        <f>IF(TRIM(Github!D$827)="TRUE","FALSE","TRUE")</f>
        <v>TRUE</v>
      </c>
      <c r="K947" s="10" t="b">
        <f>Github!M$827</f>
        <v>1</v>
      </c>
      <c r="L947" s="10" t="b">
        <f>Github!N$827</f>
        <v>0</v>
      </c>
      <c r="M947" s="10" t="str">
        <f>ROUND(Github!O$827, 2)&amp;"%"</f>
        <v>41.96%</v>
      </c>
      <c r="N947" s="10">
        <f>Github!P$827</f>
        <v>36332</v>
      </c>
      <c r="O947" s="10">
        <f>Github!Q$827</f>
        <v>86589</v>
      </c>
    </row>
    <row r="948">
      <c r="A948" s="10">
        <f>Github!J$1527</f>
        <v>1526</v>
      </c>
      <c r="B948" s="11" t="str">
        <f>HYPERLINK(CONCAT("http://leetcode.com/problems/",Github!C$1527), Github!B$1527)</f>
        <v>Minimum Number of Increments on Subarrays to Form a Target Array</v>
      </c>
      <c r="C948" s="10">
        <f>Github!F$1527</f>
        <v>864</v>
      </c>
      <c r="D948" s="10">
        <f>Github!G$1527</f>
        <v>53</v>
      </c>
      <c r="E948" s="10">
        <f>Github!F$1527+Github!G$1527</f>
        <v>917</v>
      </c>
      <c r="F948" s="12">
        <f t="shared" si="1"/>
        <v>16.3</v>
      </c>
      <c r="G948" s="10" t="str">
        <f>Github!H$1527</f>
        <v>Algorithms</v>
      </c>
      <c r="H948" s="13" t="str">
        <f>SUBSTITUTE(Github!L$1527, ";", ", ")</f>
        <v>Array, Dynamic Programming, Stack, Greedy, Monotonic Stack, </v>
      </c>
      <c r="I948" s="10" t="str">
        <f>Github!E$1527</f>
        <v>Hard</v>
      </c>
      <c r="J948" s="10" t="str">
        <f>IF(TRIM(Github!D$1527)="TRUE","FALSE","TRUE")</f>
        <v>TRUE</v>
      </c>
      <c r="K948" s="10" t="b">
        <f>Github!M$1527</f>
        <v>0</v>
      </c>
      <c r="L948" s="10" t="b">
        <f>Github!N$1527</f>
        <v>0</v>
      </c>
      <c r="M948" s="10" t="str">
        <f>ROUND(Github!O$1527, 2)&amp;"%"</f>
        <v>67.99%</v>
      </c>
      <c r="N948" s="10">
        <f>Github!P$1527</f>
        <v>24274</v>
      </c>
      <c r="O948" s="10">
        <f>Github!Q$1527</f>
        <v>35700</v>
      </c>
    </row>
    <row r="949">
      <c r="A949" s="10">
        <f>Github!J$1268</f>
        <v>1267</v>
      </c>
      <c r="B949" s="11" t="str">
        <f>HYPERLINK(CONCAT("http://leetcode.com/problems/",Github!C$1268), Github!B$1268)</f>
        <v>Count Servers that Communicate</v>
      </c>
      <c r="C949" s="10">
        <f>Github!F$1268</f>
        <v>861</v>
      </c>
      <c r="D949" s="10">
        <f>Github!G$1268</f>
        <v>73</v>
      </c>
      <c r="E949" s="10">
        <f>Github!F$1268+Github!G$1268</f>
        <v>934</v>
      </c>
      <c r="F949" s="12">
        <f t="shared" si="1"/>
        <v>11.79</v>
      </c>
      <c r="G949" s="10" t="str">
        <f>Github!H$1268</f>
        <v>Algorithms</v>
      </c>
      <c r="H949" s="13" t="str">
        <f>SUBSTITUTE(Github!L$1268, ";", ", ")</f>
        <v>Array, Depth-First Search, Breadth-First Search, Union Find, Matrix, Counting, </v>
      </c>
      <c r="I949" s="10" t="str">
        <f>Github!E$1268</f>
        <v>Medium</v>
      </c>
      <c r="J949" s="10" t="str">
        <f>IF(TRIM(Github!D$1268)="TRUE","FALSE","TRUE")</f>
        <v>TRUE</v>
      </c>
      <c r="K949" s="10" t="b">
        <f>Github!M$1268</f>
        <v>0</v>
      </c>
      <c r="L949" s="10" t="b">
        <f>Github!N$1268</f>
        <v>0</v>
      </c>
      <c r="M949" s="10" t="str">
        <f>ROUND(Github!O$1268, 2)&amp;"%"</f>
        <v>58.31%</v>
      </c>
      <c r="N949" s="10">
        <f>Github!P$1268</f>
        <v>40693</v>
      </c>
      <c r="O949" s="10">
        <f>Github!Q$1268</f>
        <v>69785</v>
      </c>
    </row>
    <row r="950">
      <c r="A950" s="10">
        <f>Github!J$312</f>
        <v>311</v>
      </c>
      <c r="B950" s="11" t="str">
        <f>HYPERLINK(CONCAT("http://leetcode.com/problems/",Github!C$312), Github!B$312)</f>
        <v>Sparse Matrix Multiplication</v>
      </c>
      <c r="C950" s="10">
        <f>Github!F$312</f>
        <v>853</v>
      </c>
      <c r="D950" s="10">
        <f>Github!G$312</f>
        <v>298</v>
      </c>
      <c r="E950" s="10">
        <f>Github!F$312+Github!G$312</f>
        <v>1151</v>
      </c>
      <c r="F950" s="12">
        <f t="shared" si="1"/>
        <v>2.86</v>
      </c>
      <c r="G950" s="10" t="str">
        <f>Github!H$312</f>
        <v>Algorithms</v>
      </c>
      <c r="H950" s="13" t="str">
        <f>SUBSTITUTE(Github!L$312, ";", ", ")</f>
        <v>Array, Hash Table, Matrix, </v>
      </c>
      <c r="I950" s="10" t="str">
        <f>Github!E$312</f>
        <v>Medium</v>
      </c>
      <c r="J950" s="10" t="str">
        <f>IF(TRIM(Github!D$312)="TRUE","FALSE","TRUE")</f>
        <v>FALSE</v>
      </c>
      <c r="K950" s="10" t="b">
        <f>Github!M$312</f>
        <v>1</v>
      </c>
      <c r="L950" s="10" t="b">
        <f>Github!N$312</f>
        <v>0</v>
      </c>
      <c r="M950" s="10" t="str">
        <f>ROUND(Github!O$312, 2)&amp;"%"</f>
        <v>66.31%</v>
      </c>
      <c r="N950" s="10">
        <f>Github!P$312</f>
        <v>153446</v>
      </c>
      <c r="O950" s="10">
        <f>Github!Q$312</f>
        <v>231402</v>
      </c>
    </row>
    <row r="951">
      <c r="A951" s="10">
        <f>Github!J$1670</f>
        <v>1669</v>
      </c>
      <c r="B951" s="11" t="str">
        <f>HYPERLINK(CONCAT("http://leetcode.com/problems/",Github!C$1670), Github!B$1670)</f>
        <v>Merge In Between Linked Lists</v>
      </c>
      <c r="C951" s="10">
        <f>Github!F$1670</f>
        <v>856</v>
      </c>
      <c r="D951" s="10">
        <f>Github!G$1670</f>
        <v>124</v>
      </c>
      <c r="E951" s="10">
        <f>Github!F$1670+Github!G$1670</f>
        <v>980</v>
      </c>
      <c r="F951" s="12">
        <f t="shared" si="1"/>
        <v>6.9</v>
      </c>
      <c r="G951" s="10" t="str">
        <f>Github!H$1670</f>
        <v>Algorithms</v>
      </c>
      <c r="H951" s="13" t="str">
        <f>SUBSTITUTE(Github!L$1670, ";", ", ")</f>
        <v>Linked List, </v>
      </c>
      <c r="I951" s="10" t="str">
        <f>Github!E$1670</f>
        <v>Medium</v>
      </c>
      <c r="J951" s="10" t="str">
        <f>IF(TRIM(Github!D$1670)="TRUE","FALSE","TRUE")</f>
        <v>TRUE</v>
      </c>
      <c r="K951" s="10" t="b">
        <f>Github!M$1670</f>
        <v>0</v>
      </c>
      <c r="L951" s="10" t="b">
        <f>Github!N$1670</f>
        <v>0</v>
      </c>
      <c r="M951" s="10" t="str">
        <f>ROUND(Github!O$1670, 2)&amp;"%"</f>
        <v>74.52%</v>
      </c>
      <c r="N951" s="10">
        <f>Github!P$1670</f>
        <v>48909</v>
      </c>
      <c r="O951" s="10">
        <f>Github!Q$1670</f>
        <v>65634</v>
      </c>
    </row>
    <row r="952">
      <c r="A952" s="10">
        <f>Github!J$849</f>
        <v>848</v>
      </c>
      <c r="B952" s="11" t="str">
        <f>HYPERLINK(CONCAT("http://leetcode.com/problems/",Github!C$849), Github!B$849)</f>
        <v>Shifting Letters</v>
      </c>
      <c r="C952" s="10">
        <f>Github!F$849</f>
        <v>854</v>
      </c>
      <c r="D952" s="10">
        <f>Github!G$849</f>
        <v>96</v>
      </c>
      <c r="E952" s="10">
        <f>Github!F$849+Github!G$849</f>
        <v>950</v>
      </c>
      <c r="F952" s="12">
        <f t="shared" si="1"/>
        <v>8.9</v>
      </c>
      <c r="G952" s="10" t="str">
        <f>Github!H$849</f>
        <v>Algorithms</v>
      </c>
      <c r="H952" s="13" t="str">
        <f>SUBSTITUTE(Github!L$849, ";", ", ")</f>
        <v>Array, String, </v>
      </c>
      <c r="I952" s="10" t="str">
        <f>Github!E$849</f>
        <v>Medium</v>
      </c>
      <c r="J952" s="10" t="str">
        <f>IF(TRIM(Github!D$849)="TRUE","FALSE","TRUE")</f>
        <v>TRUE</v>
      </c>
      <c r="K952" s="10" t="b">
        <f>Github!M$849</f>
        <v>1</v>
      </c>
      <c r="L952" s="10" t="b">
        <f>Github!N$849</f>
        <v>0</v>
      </c>
      <c r="M952" s="10" t="str">
        <f>ROUND(Github!O$849, 2)&amp;"%"</f>
        <v>45.43%</v>
      </c>
      <c r="N952" s="10">
        <f>Github!P$849</f>
        <v>71792</v>
      </c>
      <c r="O952" s="10">
        <f>Github!Q$849</f>
        <v>158023</v>
      </c>
    </row>
    <row r="953">
      <c r="A953" s="10">
        <f>Github!J$1276</f>
        <v>1275</v>
      </c>
      <c r="B953" s="11" t="str">
        <f>HYPERLINK(CONCAT("http://leetcode.com/problems/",Github!C$1276), Github!B$1276)</f>
        <v>Find Winner on a Tic Tac Toe Game</v>
      </c>
      <c r="C953" s="10">
        <f>Github!F$1276</f>
        <v>855</v>
      </c>
      <c r="D953" s="10">
        <f>Github!G$1276</f>
        <v>226</v>
      </c>
      <c r="E953" s="10">
        <f>Github!F$1276+Github!G$1276</f>
        <v>1081</v>
      </c>
      <c r="F953" s="12">
        <f t="shared" si="1"/>
        <v>3.78</v>
      </c>
      <c r="G953" s="10" t="str">
        <f>Github!H$1276</f>
        <v>Algorithms</v>
      </c>
      <c r="H953" s="13" t="str">
        <f>SUBSTITUTE(Github!L$1276, ";", ", ")</f>
        <v>Array, Hash Table, Matrix, Simulation, </v>
      </c>
      <c r="I953" s="10" t="str">
        <f>Github!E$1276</f>
        <v>Easy</v>
      </c>
      <c r="J953" s="10" t="str">
        <f>IF(TRIM(Github!D$1276)="TRUE","FALSE","TRUE")</f>
        <v>TRUE</v>
      </c>
      <c r="K953" s="10" t="b">
        <f>Github!M$1276</f>
        <v>1</v>
      </c>
      <c r="L953" s="10" t="b">
        <f>Github!N$1276</f>
        <v>0</v>
      </c>
      <c r="M953" s="10" t="str">
        <f>ROUND(Github!O$1276, 2)&amp;"%"</f>
        <v>54.79%</v>
      </c>
      <c r="N953" s="10">
        <f>Github!P$1276</f>
        <v>74558</v>
      </c>
      <c r="O953" s="10">
        <f>Github!Q$1276</f>
        <v>136070</v>
      </c>
    </row>
    <row r="954">
      <c r="A954" s="10">
        <f>Github!J$187</f>
        <v>186</v>
      </c>
      <c r="B954" s="11" t="str">
        <f>HYPERLINK(CONCAT("http://leetcode.com/problems/",Github!C$187), Github!B$187)</f>
        <v>Reverse Words in a String II</v>
      </c>
      <c r="C954" s="10">
        <f>Github!F$187</f>
        <v>844</v>
      </c>
      <c r="D954" s="10">
        <f>Github!G$187</f>
        <v>127</v>
      </c>
      <c r="E954" s="10">
        <f>Github!F$187+Github!G$187</f>
        <v>971</v>
      </c>
      <c r="F954" s="12">
        <f t="shared" si="1"/>
        <v>6.65</v>
      </c>
      <c r="G954" s="10" t="str">
        <f>Github!H$187</f>
        <v>Algorithms</v>
      </c>
      <c r="H954" s="13" t="str">
        <f>SUBSTITUTE(Github!L$187, ";", ", ")</f>
        <v>Two Pointers, String, </v>
      </c>
      <c r="I954" s="10" t="str">
        <f>Github!E$187</f>
        <v>Medium</v>
      </c>
      <c r="J954" s="10" t="str">
        <f>IF(TRIM(Github!D$187)="TRUE","FALSE","TRUE")</f>
        <v>FALSE</v>
      </c>
      <c r="K954" s="10" t="b">
        <f>Github!M$187</f>
        <v>1</v>
      </c>
      <c r="L954" s="10" t="b">
        <f>Github!N$187</f>
        <v>0</v>
      </c>
      <c r="M954" s="10" t="str">
        <f>ROUND(Github!O$187, 2)&amp;"%"</f>
        <v>50.97%</v>
      </c>
      <c r="N954" s="10">
        <f>Github!P$187</f>
        <v>132631</v>
      </c>
      <c r="O954" s="10">
        <f>Github!Q$187</f>
        <v>260236</v>
      </c>
    </row>
    <row r="955">
      <c r="A955" s="10">
        <f>Github!J$665</f>
        <v>664</v>
      </c>
      <c r="B955" s="11" t="str">
        <f>HYPERLINK(CONCAT("http://leetcode.com/problems/",Github!C$665), Github!B$665)</f>
        <v>Strange Printer</v>
      </c>
      <c r="C955" s="10">
        <f>Github!F$665</f>
        <v>849</v>
      </c>
      <c r="D955" s="10">
        <f>Github!G$665</f>
        <v>83</v>
      </c>
      <c r="E955" s="10">
        <f>Github!F$665+Github!G$665</f>
        <v>932</v>
      </c>
      <c r="F955" s="12">
        <f t="shared" si="1"/>
        <v>10.23</v>
      </c>
      <c r="G955" s="10" t="str">
        <f>Github!H$665</f>
        <v>Algorithms</v>
      </c>
      <c r="H955" s="13" t="str">
        <f>SUBSTITUTE(Github!L$665, ";", ", ")</f>
        <v>String, Dynamic Programming, </v>
      </c>
      <c r="I955" s="10" t="str">
        <f>Github!E$665</f>
        <v>Hard</v>
      </c>
      <c r="J955" s="10" t="str">
        <f>IF(TRIM(Github!D$665)="TRUE","FALSE","TRUE")</f>
        <v>TRUE</v>
      </c>
      <c r="K955" s="10" t="b">
        <f>Github!M$665</f>
        <v>0</v>
      </c>
      <c r="L955" s="10" t="b">
        <f>Github!N$665</f>
        <v>0</v>
      </c>
      <c r="M955" s="10" t="str">
        <f>ROUND(Github!O$665, 2)&amp;"%"</f>
        <v>46.19%</v>
      </c>
      <c r="N955" s="10">
        <f>Github!P$665</f>
        <v>27382</v>
      </c>
      <c r="O955" s="10">
        <f>Github!Q$665</f>
        <v>59286</v>
      </c>
    </row>
    <row r="956">
      <c r="A956" s="10">
        <f>Github!J$1774</f>
        <v>1773</v>
      </c>
      <c r="B956" s="11" t="str">
        <f>HYPERLINK(CONCAT("http://leetcode.com/problems/",Github!C$1774), Github!B$1774)</f>
        <v>Count Items Matching a Rule</v>
      </c>
      <c r="C956" s="10">
        <f>Github!F$1774</f>
        <v>848</v>
      </c>
      <c r="D956" s="10">
        <f>Github!G$1774</f>
        <v>107</v>
      </c>
      <c r="E956" s="10">
        <f>Github!F$1774+Github!G$1774</f>
        <v>955</v>
      </c>
      <c r="F956" s="12">
        <f t="shared" si="1"/>
        <v>7.93</v>
      </c>
      <c r="G956" s="10" t="str">
        <f>Github!H$1774</f>
        <v>Algorithms</v>
      </c>
      <c r="H956" s="13" t="str">
        <f>SUBSTITUTE(Github!L$1774, ";", ", ")</f>
        <v>Array, String, </v>
      </c>
      <c r="I956" s="10" t="str">
        <f>Github!E$1774</f>
        <v>Easy</v>
      </c>
      <c r="J956" s="10" t="str">
        <f>IF(TRIM(Github!D$1774)="TRUE","FALSE","TRUE")</f>
        <v>TRUE</v>
      </c>
      <c r="K956" s="10" t="b">
        <f>Github!M$1774</f>
        <v>0</v>
      </c>
      <c r="L956" s="10" t="b">
        <f>Github!N$1774</f>
        <v>0</v>
      </c>
      <c r="M956" s="10" t="str">
        <f>ROUND(Github!O$1774, 2)&amp;"%"</f>
        <v>84.41%</v>
      </c>
      <c r="N956" s="10">
        <f>Github!P$1774</f>
        <v>99274</v>
      </c>
      <c r="O956" s="10">
        <f>Github!Q$1774</f>
        <v>117615</v>
      </c>
    </row>
    <row r="957">
      <c r="A957" s="10">
        <f>Github!J$824</f>
        <v>823</v>
      </c>
      <c r="B957" s="11" t="str">
        <f>HYPERLINK(CONCAT("http://leetcode.com/problems/",Github!C$824), Github!B$824)</f>
        <v>Binary Trees With Factors</v>
      </c>
      <c r="C957" s="10">
        <f>Github!F$824</f>
        <v>835</v>
      </c>
      <c r="D957" s="10">
        <f>Github!G$824</f>
        <v>102</v>
      </c>
      <c r="E957" s="10">
        <f>Github!F$824+Github!G$824</f>
        <v>937</v>
      </c>
      <c r="F957" s="12">
        <f t="shared" si="1"/>
        <v>8.19</v>
      </c>
      <c r="G957" s="10" t="str">
        <f>Github!H$824</f>
        <v>Algorithms</v>
      </c>
      <c r="H957" s="13" t="str">
        <f>SUBSTITUTE(Github!L$824, ";", ", ")</f>
        <v>Array, Hash Table, Dynamic Programming, </v>
      </c>
      <c r="I957" s="10" t="str">
        <f>Github!E$824</f>
        <v>Medium</v>
      </c>
      <c r="J957" s="10" t="str">
        <f>IF(TRIM(Github!D$824)="TRUE","FALSE","TRUE")</f>
        <v>TRUE</v>
      </c>
      <c r="K957" s="10" t="b">
        <f>Github!M$824</f>
        <v>1</v>
      </c>
      <c r="L957" s="10" t="b">
        <f>Github!N$824</f>
        <v>0</v>
      </c>
      <c r="M957" s="10" t="str">
        <f>ROUND(Github!O$824, 2)&amp;"%"</f>
        <v>43.66%</v>
      </c>
      <c r="N957" s="10">
        <f>Github!P$824</f>
        <v>36619</v>
      </c>
      <c r="O957" s="10">
        <f>Github!Q$824</f>
        <v>83874</v>
      </c>
    </row>
    <row r="958">
      <c r="A958" s="10">
        <f>Github!J$1440</f>
        <v>1439</v>
      </c>
      <c r="B958" s="11" t="str">
        <f>HYPERLINK(CONCAT("http://leetcode.com/problems/",Github!C$1440), Github!B$1440)</f>
        <v>Find the Kth Smallest Sum of a Matrix With Sorted Rows</v>
      </c>
      <c r="C958" s="10">
        <f>Github!F$1440</f>
        <v>837</v>
      </c>
      <c r="D958" s="10">
        <f>Github!G$1440</f>
        <v>13</v>
      </c>
      <c r="E958" s="10">
        <f>Github!F$1440+Github!G$1440</f>
        <v>850</v>
      </c>
      <c r="F958" s="12">
        <f t="shared" si="1"/>
        <v>64.38</v>
      </c>
      <c r="G958" s="10" t="str">
        <f>Github!H$1440</f>
        <v>Algorithms</v>
      </c>
      <c r="H958" s="13" t="str">
        <f>SUBSTITUTE(Github!L$1440, ";", ", ")</f>
        <v>Array, Binary Search, Heap (Priority Queue), Matrix, </v>
      </c>
      <c r="I958" s="10" t="str">
        <f>Github!E$1440</f>
        <v>Hard</v>
      </c>
      <c r="J958" s="10" t="str">
        <f>IF(TRIM(Github!D$1440)="TRUE","FALSE","TRUE")</f>
        <v>TRUE</v>
      </c>
      <c r="K958" s="10" t="b">
        <f>Github!M$1440</f>
        <v>0</v>
      </c>
      <c r="L958" s="10" t="b">
        <f>Github!N$1440</f>
        <v>0</v>
      </c>
      <c r="M958" s="10" t="str">
        <f>ROUND(Github!O$1440, 2)&amp;"%"</f>
        <v>61.5%</v>
      </c>
      <c r="N958" s="10">
        <f>Github!P$1440</f>
        <v>24566</v>
      </c>
      <c r="O958" s="10">
        <f>Github!Q$1440</f>
        <v>39942</v>
      </c>
    </row>
    <row r="959">
      <c r="A959" s="10">
        <f>Github!J$1055</f>
        <v>1054</v>
      </c>
      <c r="B959" s="11" t="str">
        <f>HYPERLINK(CONCAT("http://leetcode.com/problems/",Github!C$1055), Github!B$1055)</f>
        <v>Distant Barcodes</v>
      </c>
      <c r="C959" s="10">
        <f>Github!F$1055</f>
        <v>835</v>
      </c>
      <c r="D959" s="10">
        <f>Github!G$1055</f>
        <v>36</v>
      </c>
      <c r="E959" s="10">
        <f>Github!F$1055+Github!G$1055</f>
        <v>871</v>
      </c>
      <c r="F959" s="12">
        <f t="shared" si="1"/>
        <v>23.19</v>
      </c>
      <c r="G959" s="10" t="str">
        <f>Github!H$1055</f>
        <v>Algorithms</v>
      </c>
      <c r="H959" s="13" t="str">
        <f>SUBSTITUTE(Github!L$1055, ";", ", ")</f>
        <v>Array, Hash Table, Greedy, Sorting, Heap (Priority Queue), Counting, </v>
      </c>
      <c r="I959" s="10" t="str">
        <f>Github!E$1055</f>
        <v>Medium</v>
      </c>
      <c r="J959" s="10" t="str">
        <f>IF(TRIM(Github!D$1055)="TRUE","FALSE","TRUE")</f>
        <v>TRUE</v>
      </c>
      <c r="K959" s="10" t="b">
        <f>Github!M$1055</f>
        <v>0</v>
      </c>
      <c r="L959" s="10" t="b">
        <f>Github!N$1055</f>
        <v>0</v>
      </c>
      <c r="M959" s="10" t="str">
        <f>ROUND(Github!O$1055, 2)&amp;"%"</f>
        <v>45.25%</v>
      </c>
      <c r="N959" s="10">
        <f>Github!P$1055</f>
        <v>29819</v>
      </c>
      <c r="O959" s="10">
        <f>Github!Q$1055</f>
        <v>65896</v>
      </c>
    </row>
    <row r="960">
      <c r="A960" s="10">
        <f>Github!J$1388</f>
        <v>1387</v>
      </c>
      <c r="B960" s="11" t="str">
        <f>HYPERLINK(CONCAT("http://leetcode.com/problems/",Github!C$1388), Github!B$1388)</f>
        <v>Sort Integers by The Power Value</v>
      </c>
      <c r="C960" s="10">
        <f>Github!F$1388</f>
        <v>834</v>
      </c>
      <c r="D960" s="10">
        <f>Github!G$1388</f>
        <v>90</v>
      </c>
      <c r="E960" s="10">
        <f>Github!F$1388+Github!G$1388</f>
        <v>924</v>
      </c>
      <c r="F960" s="12">
        <f t="shared" si="1"/>
        <v>9.27</v>
      </c>
      <c r="G960" s="10" t="str">
        <f>Github!H$1388</f>
        <v>Algorithms</v>
      </c>
      <c r="H960" s="13" t="str">
        <f>SUBSTITUTE(Github!L$1388, ";", ", ")</f>
        <v>Dynamic Programming, Memoization, Sorting, </v>
      </c>
      <c r="I960" s="10" t="str">
        <f>Github!E$1388</f>
        <v>Medium</v>
      </c>
      <c r="J960" s="10" t="str">
        <f>IF(TRIM(Github!D$1388)="TRUE","FALSE","TRUE")</f>
        <v>TRUE</v>
      </c>
      <c r="K960" s="10" t="b">
        <f>Github!M$1388</f>
        <v>0</v>
      </c>
      <c r="L960" s="10" t="b">
        <f>Github!N$1388</f>
        <v>0</v>
      </c>
      <c r="M960" s="10" t="str">
        <f>ROUND(Github!O$1388, 2)&amp;"%"</f>
        <v>69.98%</v>
      </c>
      <c r="N960" s="10">
        <f>Github!P$1388</f>
        <v>52085</v>
      </c>
      <c r="O960" s="10">
        <f>Github!Q$1388</f>
        <v>74433</v>
      </c>
    </row>
    <row r="961">
      <c r="A961" s="10">
        <f>Github!J$1872</f>
        <v>1871</v>
      </c>
      <c r="B961" s="11" t="str">
        <f>HYPERLINK(CONCAT("http://leetcode.com/problems/",Github!C$1872), Github!B$1872)</f>
        <v>Jump Game VII</v>
      </c>
      <c r="C961" s="10">
        <f>Github!F$1872</f>
        <v>837</v>
      </c>
      <c r="D961" s="10">
        <f>Github!G$1872</f>
        <v>51</v>
      </c>
      <c r="E961" s="10">
        <f>Github!F$1872+Github!G$1872</f>
        <v>888</v>
      </c>
      <c r="F961" s="12">
        <f t="shared" si="1"/>
        <v>16.41</v>
      </c>
      <c r="G961" s="10" t="str">
        <f>Github!H$1872</f>
        <v>Algorithms</v>
      </c>
      <c r="H961" s="13" t="str">
        <f>SUBSTITUTE(Github!L$1872, ";", ", ")</f>
        <v>Two Pointers, String, Prefix Sum, </v>
      </c>
      <c r="I961" s="10" t="str">
        <f>Github!E$1872</f>
        <v>Medium</v>
      </c>
      <c r="J961" s="10" t="str">
        <f>IF(TRIM(Github!D$1872)="TRUE","FALSE","TRUE")</f>
        <v>TRUE</v>
      </c>
      <c r="K961" s="10" t="b">
        <f>Github!M$1872</f>
        <v>0</v>
      </c>
      <c r="L961" s="10" t="b">
        <f>Github!N$1872</f>
        <v>0</v>
      </c>
      <c r="M961" s="10" t="str">
        <f>ROUND(Github!O$1872, 2)&amp;"%"</f>
        <v>24.84%</v>
      </c>
      <c r="N961" s="10">
        <f>Github!P$1872</f>
        <v>22370</v>
      </c>
      <c r="O961" s="10">
        <f>Github!Q$1872</f>
        <v>90066</v>
      </c>
    </row>
    <row r="962">
      <c r="A962" s="10">
        <f>Github!J$245</f>
        <v>244</v>
      </c>
      <c r="B962" s="11" t="str">
        <f>HYPERLINK(CONCAT("http://leetcode.com/problems/",Github!C$245), Github!B$245)</f>
        <v>Shortest Word Distance II</v>
      </c>
      <c r="C962" s="10">
        <f>Github!F$245</f>
        <v>836</v>
      </c>
      <c r="D962" s="10">
        <f>Github!G$245</f>
        <v>255</v>
      </c>
      <c r="E962" s="10">
        <f>Github!F$245+Github!G$245</f>
        <v>1091</v>
      </c>
      <c r="F962" s="12">
        <f t="shared" si="1"/>
        <v>3.28</v>
      </c>
      <c r="G962" s="10" t="str">
        <f>Github!H$245</f>
        <v>Algorithms</v>
      </c>
      <c r="H962" s="13" t="str">
        <f>SUBSTITUTE(Github!L$245, ";", ", ")</f>
        <v>Array, Hash Table, Two Pointers, String, Design, </v>
      </c>
      <c r="I962" s="10" t="str">
        <f>Github!E$245</f>
        <v>Medium</v>
      </c>
      <c r="J962" s="10" t="str">
        <f>IF(TRIM(Github!D$245)="TRUE","FALSE","TRUE")</f>
        <v>FALSE</v>
      </c>
      <c r="K962" s="10" t="b">
        <f>Github!M$245</f>
        <v>1</v>
      </c>
      <c r="L962" s="10" t="b">
        <f>Github!N$245</f>
        <v>0</v>
      </c>
      <c r="M962" s="10" t="str">
        <f>ROUND(Github!O$245, 2)&amp;"%"</f>
        <v>59.5%</v>
      </c>
      <c r="N962" s="10">
        <f>Github!P$245</f>
        <v>125616</v>
      </c>
      <c r="O962" s="10">
        <f>Github!Q$245</f>
        <v>211109</v>
      </c>
    </row>
    <row r="963">
      <c r="A963" s="10">
        <f>Github!J$843</f>
        <v>842</v>
      </c>
      <c r="B963" s="11" t="str">
        <f>HYPERLINK(CONCAT("http://leetcode.com/problems/",Github!C$843), Github!B$843)</f>
        <v>Split Array into Fibonacci Sequence</v>
      </c>
      <c r="C963" s="10">
        <f>Github!F$843</f>
        <v>829</v>
      </c>
      <c r="D963" s="10">
        <f>Github!G$843</f>
        <v>251</v>
      </c>
      <c r="E963" s="10">
        <f>Github!F$843+Github!G$843</f>
        <v>1080</v>
      </c>
      <c r="F963" s="12">
        <f t="shared" si="1"/>
        <v>3.3</v>
      </c>
      <c r="G963" s="10" t="str">
        <f>Github!H$843</f>
        <v>Algorithms</v>
      </c>
      <c r="H963" s="13" t="str">
        <f>SUBSTITUTE(Github!L$843, ";", ", ")</f>
        <v>String, Backtracking, </v>
      </c>
      <c r="I963" s="10" t="str">
        <f>Github!E$843</f>
        <v>Medium</v>
      </c>
      <c r="J963" s="10" t="str">
        <f>IF(TRIM(Github!D$843)="TRUE","FALSE","TRUE")</f>
        <v>TRUE</v>
      </c>
      <c r="K963" s="10" t="b">
        <f>Github!M$843</f>
        <v>1</v>
      </c>
      <c r="L963" s="10" t="b">
        <f>Github!N$843</f>
        <v>0</v>
      </c>
      <c r="M963" s="10" t="str">
        <f>ROUND(Github!O$843, 2)&amp;"%"</f>
        <v>37.78%</v>
      </c>
      <c r="N963" s="10">
        <f>Github!P$843</f>
        <v>30489</v>
      </c>
      <c r="O963" s="10">
        <f>Github!Q$843</f>
        <v>80701</v>
      </c>
    </row>
    <row r="964">
      <c r="A964" s="10">
        <f>Github!J$1696</f>
        <v>1695</v>
      </c>
      <c r="B964" s="11" t="str">
        <f>HYPERLINK(CONCAT("http://leetcode.com/problems/",Github!C$1696), Github!B$1696)</f>
        <v>Maximum Erasure Value</v>
      </c>
      <c r="C964" s="10">
        <f>Github!F$1696</f>
        <v>829</v>
      </c>
      <c r="D964" s="10">
        <f>Github!G$1696</f>
        <v>14</v>
      </c>
      <c r="E964" s="10">
        <f>Github!F$1696+Github!G$1696</f>
        <v>843</v>
      </c>
      <c r="F964" s="12">
        <f t="shared" si="1"/>
        <v>59.21</v>
      </c>
      <c r="G964" s="10" t="str">
        <f>Github!H$1696</f>
        <v>Algorithms</v>
      </c>
      <c r="H964" s="13" t="str">
        <f>SUBSTITUTE(Github!L$1696, ";", ", ")</f>
        <v>Array, Hash Table, Sliding Window, </v>
      </c>
      <c r="I964" s="10" t="str">
        <f>Github!E$1696</f>
        <v>Medium</v>
      </c>
      <c r="J964" s="10" t="str">
        <f>IF(TRIM(Github!D$1696)="TRUE","FALSE","TRUE")</f>
        <v>TRUE</v>
      </c>
      <c r="K964" s="10" t="b">
        <f>Github!M$1696</f>
        <v>1</v>
      </c>
      <c r="L964" s="10" t="b">
        <f>Github!N$1696</f>
        <v>0</v>
      </c>
      <c r="M964" s="10" t="str">
        <f>ROUND(Github!O$1696, 2)&amp;"%"</f>
        <v>52.43%</v>
      </c>
      <c r="N964" s="10">
        <f>Github!P$1696</f>
        <v>41446</v>
      </c>
      <c r="O964" s="10">
        <f>Github!Q$1696</f>
        <v>79047</v>
      </c>
    </row>
    <row r="965">
      <c r="A965" s="10">
        <f>Github!J$1685</f>
        <v>1684</v>
      </c>
      <c r="B965" s="11" t="str">
        <f>HYPERLINK(CONCAT("http://leetcode.com/problems/",Github!C$1685), Github!B$1685)</f>
        <v>Count the Number of Consistent Strings</v>
      </c>
      <c r="C965" s="10">
        <f>Github!F$1685</f>
        <v>835</v>
      </c>
      <c r="D965" s="10">
        <f>Github!G$1685</f>
        <v>40</v>
      </c>
      <c r="E965" s="10">
        <f>Github!F$1685+Github!G$1685</f>
        <v>875</v>
      </c>
      <c r="F965" s="12">
        <f t="shared" si="1"/>
        <v>20.88</v>
      </c>
      <c r="G965" s="10" t="str">
        <f>Github!H$1685</f>
        <v>Algorithms</v>
      </c>
      <c r="H965" s="13" t="str">
        <f>SUBSTITUTE(Github!L$1685, ";", ", ")</f>
        <v>Array, Hash Table, String, Bit Manipulation, </v>
      </c>
      <c r="I965" s="10" t="str">
        <f>Github!E$1685</f>
        <v>Easy</v>
      </c>
      <c r="J965" s="10" t="str">
        <f>IF(TRIM(Github!D$1685)="TRUE","FALSE","TRUE")</f>
        <v>TRUE</v>
      </c>
      <c r="K965" s="10" t="b">
        <f>Github!M$1685</f>
        <v>0</v>
      </c>
      <c r="L965" s="10" t="b">
        <f>Github!N$1685</f>
        <v>0</v>
      </c>
      <c r="M965" s="10" t="str">
        <f>ROUND(Github!O$1685, 2)&amp;"%"</f>
        <v>81.83%</v>
      </c>
      <c r="N965" s="10">
        <f>Github!P$1685</f>
        <v>85409</v>
      </c>
      <c r="O965" s="10">
        <f>Github!Q$1685</f>
        <v>104373</v>
      </c>
    </row>
    <row r="966">
      <c r="A966" s="10">
        <f>Github!J$1043</f>
        <v>1042</v>
      </c>
      <c r="B966" s="11" t="str">
        <f>HYPERLINK(CONCAT("http://leetcode.com/problems/",Github!C$1043), Github!B$1043)</f>
        <v>Flower Planting With No Adjacent</v>
      </c>
      <c r="C966" s="10">
        <f>Github!F$1043</f>
        <v>826</v>
      </c>
      <c r="D966" s="10">
        <f>Github!G$1043</f>
        <v>651</v>
      </c>
      <c r="E966" s="10">
        <f>Github!F$1043+Github!G$1043</f>
        <v>1477</v>
      </c>
      <c r="F966" s="12">
        <f t="shared" si="1"/>
        <v>1.27</v>
      </c>
      <c r="G966" s="10" t="str">
        <f>Github!H$1043</f>
        <v>Algorithms</v>
      </c>
      <c r="H966" s="13" t="str">
        <f>SUBSTITUTE(Github!L$1043, ";", ", ")</f>
        <v>Depth-First Search, Breadth-First Search, Graph, </v>
      </c>
      <c r="I966" s="10" t="str">
        <f>Github!E$1043</f>
        <v>Medium</v>
      </c>
      <c r="J966" s="10" t="str">
        <f>IF(TRIM(Github!D$1043)="TRUE","FALSE","TRUE")</f>
        <v>TRUE</v>
      </c>
      <c r="K966" s="10" t="b">
        <f>Github!M$1043</f>
        <v>0</v>
      </c>
      <c r="L966" s="10" t="b">
        <f>Github!N$1043</f>
        <v>0</v>
      </c>
      <c r="M966" s="10" t="str">
        <f>ROUND(Github!O$1043, 2)&amp;"%"</f>
        <v>49.89%</v>
      </c>
      <c r="N966" s="10">
        <f>Github!P$1043</f>
        <v>54847</v>
      </c>
      <c r="O966" s="10">
        <f>Github!Q$1043</f>
        <v>109937</v>
      </c>
    </row>
    <row r="967">
      <c r="A967" s="10">
        <f>Github!J$272</f>
        <v>271</v>
      </c>
      <c r="B967" s="11" t="str">
        <f>HYPERLINK(CONCAT("http://leetcode.com/problems/",Github!C$272), Github!B$272)</f>
        <v>Encode and Decode Strings</v>
      </c>
      <c r="C967" s="10">
        <f>Github!F$272</f>
        <v>828</v>
      </c>
      <c r="D967" s="10">
        <f>Github!G$272</f>
        <v>230</v>
      </c>
      <c r="E967" s="10">
        <f>Github!F$272+Github!G$272</f>
        <v>1058</v>
      </c>
      <c r="F967" s="12">
        <f t="shared" si="1"/>
        <v>3.6</v>
      </c>
      <c r="G967" s="10" t="str">
        <f>Github!H$272</f>
        <v>Algorithms</v>
      </c>
      <c r="H967" s="13" t="str">
        <f>SUBSTITUTE(Github!L$272, ";", ", ")</f>
        <v>Array, String, Design, </v>
      </c>
      <c r="I967" s="10" t="str">
        <f>Github!E$272</f>
        <v>Medium</v>
      </c>
      <c r="J967" s="10" t="str">
        <f>IF(TRIM(Github!D$272)="TRUE","FALSE","TRUE")</f>
        <v>FALSE</v>
      </c>
      <c r="K967" s="10" t="b">
        <f>Github!M$272</f>
        <v>1</v>
      </c>
      <c r="L967" s="10" t="b">
        <f>Github!N$272</f>
        <v>0</v>
      </c>
      <c r="M967" s="10" t="str">
        <f>ROUND(Github!O$272, 2)&amp;"%"</f>
        <v>37.91%</v>
      </c>
      <c r="N967" s="10">
        <f>Github!P$272</f>
        <v>94604</v>
      </c>
      <c r="O967" s="10">
        <f>Github!Q$272</f>
        <v>249539</v>
      </c>
    </row>
    <row r="968">
      <c r="A968" s="10">
        <f>Github!J$429</f>
        <v>428</v>
      </c>
      <c r="B968" s="11" t="str">
        <f>HYPERLINK(CONCAT("http://leetcode.com/problems/",Github!C$429), Github!B$429)</f>
        <v>Serialize and Deserialize N-ary Tree</v>
      </c>
      <c r="C968" s="10">
        <f>Github!F$429</f>
        <v>825</v>
      </c>
      <c r="D968" s="10">
        <f>Github!G$429</f>
        <v>49</v>
      </c>
      <c r="E968" s="10">
        <f>Github!F$429+Github!G$429</f>
        <v>874</v>
      </c>
      <c r="F968" s="12">
        <f t="shared" si="1"/>
        <v>16.84</v>
      </c>
      <c r="G968" s="10" t="str">
        <f>Github!H$429</f>
        <v>Algorithms</v>
      </c>
      <c r="H968" s="13" t="str">
        <f>SUBSTITUTE(Github!L$429, ";", ", ")</f>
        <v>String, Tree, Depth-First Search, Breadth-First Search, </v>
      </c>
      <c r="I968" s="10" t="str">
        <f>Github!E$429</f>
        <v>Hard</v>
      </c>
      <c r="J968" s="10" t="str">
        <f>IF(TRIM(Github!D$429)="TRUE","FALSE","TRUE")</f>
        <v>FALSE</v>
      </c>
      <c r="K968" s="10" t="b">
        <f>Github!M$429</f>
        <v>1</v>
      </c>
      <c r="L968" s="10" t="b">
        <f>Github!N$429</f>
        <v>0</v>
      </c>
      <c r="M968" s="10" t="str">
        <f>ROUND(Github!O$429, 2)&amp;"%"</f>
        <v>64.3%</v>
      </c>
      <c r="N968" s="10">
        <f>Github!P$429</f>
        <v>64914</v>
      </c>
      <c r="O968" s="10">
        <f>Github!Q$429</f>
        <v>100955</v>
      </c>
    </row>
    <row r="969">
      <c r="A969" s="10">
        <f>Github!J$397</f>
        <v>396</v>
      </c>
      <c r="B969" s="11" t="str">
        <f>HYPERLINK(CONCAT("http://leetcode.com/problems/",Github!C$397), Github!B$397)</f>
        <v>Rotate Function</v>
      </c>
      <c r="C969" s="10">
        <f>Github!F$397</f>
        <v>824</v>
      </c>
      <c r="D969" s="10">
        <f>Github!G$397</f>
        <v>210</v>
      </c>
      <c r="E969" s="10">
        <f>Github!F$397+Github!G$397</f>
        <v>1034</v>
      </c>
      <c r="F969" s="12">
        <f t="shared" si="1"/>
        <v>3.92</v>
      </c>
      <c r="G969" s="10" t="str">
        <f>Github!H$397</f>
        <v>Algorithms</v>
      </c>
      <c r="H969" s="13" t="str">
        <f>SUBSTITUTE(Github!L$397, ";", ", ")</f>
        <v>Array, Math, Dynamic Programming, </v>
      </c>
      <c r="I969" s="10" t="str">
        <f>Github!E$397</f>
        <v>Medium</v>
      </c>
      <c r="J969" s="10" t="str">
        <f>IF(TRIM(Github!D$397)="TRUE","FALSE","TRUE")</f>
        <v>TRUE</v>
      </c>
      <c r="K969" s="10" t="b">
        <f>Github!M$397</f>
        <v>0</v>
      </c>
      <c r="L969" s="10" t="b">
        <f>Github!N$397</f>
        <v>0</v>
      </c>
      <c r="M969" s="10" t="str">
        <f>ROUND(Github!O$397, 2)&amp;"%"</f>
        <v>39.25%</v>
      </c>
      <c r="N969" s="10">
        <f>Github!P$397</f>
        <v>60751</v>
      </c>
      <c r="O969" s="10">
        <f>Github!Q$397</f>
        <v>154791</v>
      </c>
    </row>
    <row r="970">
      <c r="A970" s="10">
        <f>Github!J$834</f>
        <v>833</v>
      </c>
      <c r="B970" s="11" t="str">
        <f>HYPERLINK(CONCAT("http://leetcode.com/problems/",Github!C$834), Github!B$834)</f>
        <v>Find And Replace in String</v>
      </c>
      <c r="C970" s="10">
        <f>Github!F$834</f>
        <v>821</v>
      </c>
      <c r="D970" s="10">
        <f>Github!G$834</f>
        <v>789</v>
      </c>
      <c r="E970" s="10">
        <f>Github!F$834+Github!G$834</f>
        <v>1610</v>
      </c>
      <c r="F970" s="12">
        <f t="shared" si="1"/>
        <v>1.04</v>
      </c>
      <c r="G970" s="10" t="str">
        <f>Github!H$834</f>
        <v>Algorithms</v>
      </c>
      <c r="H970" s="13" t="str">
        <f>SUBSTITUTE(Github!L$834, ";", ", ")</f>
        <v>Array, String, Sorting, </v>
      </c>
      <c r="I970" s="10" t="str">
        <f>Github!E$834</f>
        <v>Medium</v>
      </c>
      <c r="J970" s="10" t="str">
        <f>IF(TRIM(Github!D$834)="TRUE","FALSE","TRUE")</f>
        <v>TRUE</v>
      </c>
      <c r="K970" s="10" t="b">
        <f>Github!M$834</f>
        <v>0</v>
      </c>
      <c r="L970" s="10" t="b">
        <f>Github!N$834</f>
        <v>0</v>
      </c>
      <c r="M970" s="10" t="str">
        <f>ROUND(Github!O$834, 2)&amp;"%"</f>
        <v>54.31%</v>
      </c>
      <c r="N970" s="10">
        <f>Github!P$834</f>
        <v>107902</v>
      </c>
      <c r="O970" s="10">
        <f>Github!Q$834</f>
        <v>198688</v>
      </c>
    </row>
    <row r="971">
      <c r="A971" s="10">
        <f>Github!J$1615</f>
        <v>1614</v>
      </c>
      <c r="B971" s="11" t="str">
        <f>HYPERLINK(CONCAT("http://leetcode.com/problems/",Github!C$1615), Github!B$1615)</f>
        <v>Maximum Nesting Depth of the Parentheses</v>
      </c>
      <c r="C971" s="10">
        <f>Github!F$1615</f>
        <v>820</v>
      </c>
      <c r="D971" s="10">
        <f>Github!G$1615</f>
        <v>171</v>
      </c>
      <c r="E971" s="10">
        <f>Github!F$1615+Github!G$1615</f>
        <v>991</v>
      </c>
      <c r="F971" s="12">
        <f t="shared" si="1"/>
        <v>4.8</v>
      </c>
      <c r="G971" s="10" t="str">
        <f>Github!H$1615</f>
        <v>Algorithms</v>
      </c>
      <c r="H971" s="13" t="str">
        <f>SUBSTITUTE(Github!L$1615, ";", ", ")</f>
        <v>String, Stack, </v>
      </c>
      <c r="I971" s="10" t="str">
        <f>Github!E$1615</f>
        <v>Easy</v>
      </c>
      <c r="J971" s="10" t="str">
        <f>IF(TRIM(Github!D$1615)="TRUE","FALSE","TRUE")</f>
        <v>TRUE</v>
      </c>
      <c r="K971" s="10" t="b">
        <f>Github!M$1615</f>
        <v>0</v>
      </c>
      <c r="L971" s="10" t="b">
        <f>Github!N$1615</f>
        <v>0</v>
      </c>
      <c r="M971" s="10" t="str">
        <f>ROUND(Github!O$1615, 2)&amp;"%"</f>
        <v>82.92%</v>
      </c>
      <c r="N971" s="10">
        <f>Github!P$1615</f>
        <v>84097</v>
      </c>
      <c r="O971" s="10">
        <f>Github!Q$1615</f>
        <v>101420</v>
      </c>
    </row>
    <row r="972">
      <c r="A972" s="10">
        <f>Github!J$1056</f>
        <v>1055</v>
      </c>
      <c r="B972" s="11" t="str">
        <f>HYPERLINK(CONCAT("http://leetcode.com/problems/",Github!C$1056), Github!B$1056)</f>
        <v>Shortest Way to Form String</v>
      </c>
      <c r="C972" s="10">
        <f>Github!F$1056</f>
        <v>818</v>
      </c>
      <c r="D972" s="10">
        <f>Github!G$1056</f>
        <v>49</v>
      </c>
      <c r="E972" s="10">
        <f>Github!F$1056+Github!G$1056</f>
        <v>867</v>
      </c>
      <c r="F972" s="12">
        <f t="shared" si="1"/>
        <v>16.69</v>
      </c>
      <c r="G972" s="10" t="str">
        <f>Github!H$1056</f>
        <v>Algorithms</v>
      </c>
      <c r="H972" s="13" t="str">
        <f>SUBSTITUTE(Github!L$1056, ";", ", ")</f>
        <v>String, Dynamic Programming, Greedy, </v>
      </c>
      <c r="I972" s="10" t="str">
        <f>Github!E$1056</f>
        <v>Medium</v>
      </c>
      <c r="J972" s="10" t="str">
        <f>IF(TRIM(Github!D$1056)="TRUE","FALSE","TRUE")</f>
        <v>FALSE</v>
      </c>
      <c r="K972" s="10" t="b">
        <f>Github!M$1056</f>
        <v>0</v>
      </c>
      <c r="L972" s="10" t="b">
        <f>Github!N$1056</f>
        <v>0</v>
      </c>
      <c r="M972" s="10" t="str">
        <f>ROUND(Github!O$1056, 2)&amp;"%"</f>
        <v>58.26%</v>
      </c>
      <c r="N972" s="10">
        <f>Github!P$1056</f>
        <v>57230</v>
      </c>
      <c r="O972" s="10">
        <f>Github!Q$1056</f>
        <v>98228</v>
      </c>
    </row>
    <row r="973">
      <c r="A973" s="10">
        <f>Github!J$1425</f>
        <v>1424</v>
      </c>
      <c r="B973" s="11" t="str">
        <f>HYPERLINK(CONCAT("http://leetcode.com/problems/",Github!C$1425), Github!B$1425)</f>
        <v>Diagonal Traverse II</v>
      </c>
      <c r="C973" s="10">
        <f>Github!F$1425</f>
        <v>817</v>
      </c>
      <c r="D973" s="10">
        <f>Github!G$1425</f>
        <v>76</v>
      </c>
      <c r="E973" s="10">
        <f>Github!F$1425+Github!G$1425</f>
        <v>893</v>
      </c>
      <c r="F973" s="12">
        <f t="shared" si="1"/>
        <v>10.75</v>
      </c>
      <c r="G973" s="10" t="str">
        <f>Github!H$1425</f>
        <v>Algorithms</v>
      </c>
      <c r="H973" s="13" t="str">
        <f>SUBSTITUTE(Github!L$1425, ";", ", ")</f>
        <v>Array, Sorting, Heap (Priority Queue), </v>
      </c>
      <c r="I973" s="10" t="str">
        <f>Github!E$1425</f>
        <v>Medium</v>
      </c>
      <c r="J973" s="10" t="str">
        <f>IF(TRIM(Github!D$1425)="TRUE","FALSE","TRUE")</f>
        <v>TRUE</v>
      </c>
      <c r="K973" s="10" t="b">
        <f>Github!M$1425</f>
        <v>0</v>
      </c>
      <c r="L973" s="10" t="b">
        <f>Github!N$1425</f>
        <v>0</v>
      </c>
      <c r="M973" s="10" t="str">
        <f>ROUND(Github!O$1425, 2)&amp;"%"</f>
        <v>50.01%</v>
      </c>
      <c r="N973" s="10">
        <f>Github!P$1425</f>
        <v>40696</v>
      </c>
      <c r="O973" s="10">
        <f>Github!Q$1425</f>
        <v>81373</v>
      </c>
    </row>
    <row r="974">
      <c r="A974" s="10">
        <f>Github!J$1665</f>
        <v>1664</v>
      </c>
      <c r="B974" s="11" t="str">
        <f>HYPERLINK(CONCAT("http://leetcode.com/problems/",Github!C$1665), Github!B$1665)</f>
        <v>Ways to Make a Fair Array</v>
      </c>
      <c r="C974" s="10">
        <f>Github!F$1665</f>
        <v>820</v>
      </c>
      <c r="D974" s="10">
        <f>Github!G$1665</f>
        <v>20</v>
      </c>
      <c r="E974" s="10">
        <f>Github!F$1665+Github!G$1665</f>
        <v>840</v>
      </c>
      <c r="F974" s="12">
        <f t="shared" si="1"/>
        <v>41</v>
      </c>
      <c r="G974" s="10" t="str">
        <f>Github!H$1665</f>
        <v>Algorithms</v>
      </c>
      <c r="H974" s="13" t="str">
        <f>SUBSTITUTE(Github!L$1665, ";", ", ")</f>
        <v>Array, Dynamic Programming, </v>
      </c>
      <c r="I974" s="10" t="str">
        <f>Github!E$1665</f>
        <v>Medium</v>
      </c>
      <c r="J974" s="10" t="str">
        <f>IF(TRIM(Github!D$1665)="TRUE","FALSE","TRUE")</f>
        <v>TRUE</v>
      </c>
      <c r="K974" s="10" t="b">
        <f>Github!M$1665</f>
        <v>0</v>
      </c>
      <c r="L974" s="10" t="b">
        <f>Github!N$1665</f>
        <v>0</v>
      </c>
      <c r="M974" s="10" t="str">
        <f>ROUND(Github!O$1665, 2)&amp;"%"</f>
        <v>63.19%</v>
      </c>
      <c r="N974" s="10">
        <f>Github!P$1665</f>
        <v>23620</v>
      </c>
      <c r="O974" s="10">
        <f>Github!Q$1665</f>
        <v>37379</v>
      </c>
    </row>
    <row r="975">
      <c r="A975" s="10">
        <f>Github!J$610</f>
        <v>609</v>
      </c>
      <c r="B975" s="11" t="str">
        <f>HYPERLINK(CONCAT("http://leetcode.com/problems/",Github!C$610), Github!B$610)</f>
        <v>Find Duplicate File in System</v>
      </c>
      <c r="C975" s="10">
        <f>Github!F$610</f>
        <v>813</v>
      </c>
      <c r="D975" s="10">
        <f>Github!G$610</f>
        <v>917</v>
      </c>
      <c r="E975" s="10">
        <f>Github!F$610+Github!G$610</f>
        <v>1730</v>
      </c>
      <c r="F975" s="12">
        <f t="shared" si="1"/>
        <v>0.89</v>
      </c>
      <c r="G975" s="10" t="str">
        <f>Github!H$610</f>
        <v>Algorithms</v>
      </c>
      <c r="H975" s="13" t="str">
        <f>SUBSTITUTE(Github!L$610, ";", ", ")</f>
        <v>Array, Hash Table, String, </v>
      </c>
      <c r="I975" s="10" t="str">
        <f>Github!E$610</f>
        <v>Medium</v>
      </c>
      <c r="J975" s="10" t="str">
        <f>IF(TRIM(Github!D$610)="TRUE","FALSE","TRUE")</f>
        <v>TRUE</v>
      </c>
      <c r="K975" s="10" t="b">
        <f>Github!M$610</f>
        <v>1</v>
      </c>
      <c r="L975" s="10" t="b">
        <f>Github!N$610</f>
        <v>0</v>
      </c>
      <c r="M975" s="10" t="str">
        <f>ROUND(Github!O$610, 2)&amp;"%"</f>
        <v>63.78%</v>
      </c>
      <c r="N975" s="10">
        <f>Github!P$610</f>
        <v>95249</v>
      </c>
      <c r="O975" s="10">
        <f>Github!Q$610</f>
        <v>149348</v>
      </c>
    </row>
    <row r="976">
      <c r="A976" s="10">
        <f>Github!J$398</f>
        <v>397</v>
      </c>
      <c r="B976" s="11" t="str">
        <f>HYPERLINK(CONCAT("http://leetcode.com/problems/",Github!C$398), Github!B$398)</f>
        <v>Integer Replacement</v>
      </c>
      <c r="C976" s="10">
        <f>Github!F$398</f>
        <v>812</v>
      </c>
      <c r="D976" s="10">
        <f>Github!G$398</f>
        <v>423</v>
      </c>
      <c r="E976" s="10">
        <f>Github!F$398+Github!G$398</f>
        <v>1235</v>
      </c>
      <c r="F976" s="12">
        <f t="shared" si="1"/>
        <v>1.92</v>
      </c>
      <c r="G976" s="10" t="str">
        <f>Github!H$398</f>
        <v>Algorithms</v>
      </c>
      <c r="H976" s="13" t="str">
        <f>SUBSTITUTE(Github!L$398, ";", ", ")</f>
        <v>Dynamic Programming, Greedy, Bit Manipulation, Memoization, </v>
      </c>
      <c r="I976" s="10" t="str">
        <f>Github!E$398</f>
        <v>Medium</v>
      </c>
      <c r="J976" s="10" t="str">
        <f>IF(TRIM(Github!D$398)="TRUE","FALSE","TRUE")</f>
        <v>TRUE</v>
      </c>
      <c r="K976" s="10" t="b">
        <f>Github!M$398</f>
        <v>0</v>
      </c>
      <c r="L976" s="10" t="b">
        <f>Github!N$398</f>
        <v>0</v>
      </c>
      <c r="M976" s="10" t="str">
        <f>ROUND(Github!O$398, 2)&amp;"%"</f>
        <v>34.69%</v>
      </c>
      <c r="N976" s="10">
        <f>Github!P$398</f>
        <v>81157</v>
      </c>
      <c r="O976" s="10">
        <f>Github!Q$398</f>
        <v>233955</v>
      </c>
    </row>
    <row r="977">
      <c r="A977" s="10">
        <f>Github!J$1571</f>
        <v>1570</v>
      </c>
      <c r="B977" s="11" t="str">
        <f>HYPERLINK(CONCAT("http://leetcode.com/problems/",Github!C$1571), Github!B$1571)</f>
        <v>Dot Product of Two Sparse Vectors</v>
      </c>
      <c r="C977" s="10">
        <f>Github!F$1571</f>
        <v>817</v>
      </c>
      <c r="D977" s="10">
        <f>Github!G$1571</f>
        <v>99</v>
      </c>
      <c r="E977" s="10">
        <f>Github!F$1571+Github!G$1571</f>
        <v>916</v>
      </c>
      <c r="F977" s="12">
        <f t="shared" si="1"/>
        <v>8.25</v>
      </c>
      <c r="G977" s="10" t="str">
        <f>Github!H$1571</f>
        <v>Algorithms</v>
      </c>
      <c r="H977" s="13" t="str">
        <f>SUBSTITUTE(Github!L$1571, ";", ", ")</f>
        <v>Array, Hash Table, Two Pointers, Design, </v>
      </c>
      <c r="I977" s="10" t="str">
        <f>Github!E$1571</f>
        <v>Medium</v>
      </c>
      <c r="J977" s="10" t="str">
        <f>IF(TRIM(Github!D$1571)="TRUE","FALSE","TRUE")</f>
        <v>FALSE</v>
      </c>
      <c r="K977" s="10" t="b">
        <f>Github!M$1571</f>
        <v>1</v>
      </c>
      <c r="L977" s="10" t="b">
        <f>Github!N$1571</f>
        <v>0</v>
      </c>
      <c r="M977" s="10" t="str">
        <f>ROUND(Github!O$1571, 2)&amp;"%"</f>
        <v>90.31%</v>
      </c>
      <c r="N977" s="10">
        <f>Github!P$1571</f>
        <v>144372</v>
      </c>
      <c r="O977" s="10">
        <f>Github!Q$1571</f>
        <v>159858</v>
      </c>
    </row>
    <row r="978">
      <c r="A978" s="10">
        <f>Github!J$2097</f>
        <v>2096</v>
      </c>
      <c r="B978" s="11" t="str">
        <f>HYPERLINK(CONCAT("http://leetcode.com/problems/",Github!C$2097), Github!B$2097)</f>
        <v>Step-By-Step Directions From a Binary Tree Node to Another</v>
      </c>
      <c r="C978" s="10">
        <f>Github!F$2097</f>
        <v>840</v>
      </c>
      <c r="D978" s="10">
        <f>Github!G$2097</f>
        <v>58</v>
      </c>
      <c r="E978" s="10">
        <f>Github!F$2097+Github!G$2097</f>
        <v>898</v>
      </c>
      <c r="F978" s="12">
        <f t="shared" si="1"/>
        <v>14.48</v>
      </c>
      <c r="G978" s="10" t="str">
        <f>Github!H$2097</f>
        <v>Algorithms</v>
      </c>
      <c r="H978" s="13" t="str">
        <f>SUBSTITUTE(Github!L$2097, ";", ", ")</f>
        <v>String, Tree, Depth-First Search, Binary Tree, </v>
      </c>
      <c r="I978" s="10" t="str">
        <f>Github!E$2097</f>
        <v>Medium</v>
      </c>
      <c r="J978" s="10" t="str">
        <f>IF(TRIM(Github!D$2097)="TRUE","FALSE","TRUE")</f>
        <v>TRUE</v>
      </c>
      <c r="K978" s="10" t="b">
        <f>Github!M$2097</f>
        <v>0</v>
      </c>
      <c r="L978" s="10" t="b">
        <f>Github!N$2097</f>
        <v>0</v>
      </c>
      <c r="M978" s="10" t="str">
        <f>ROUND(Github!O$2097, 2)&amp;"%"</f>
        <v>48.49%</v>
      </c>
      <c r="N978" s="10">
        <f>Github!P$2097</f>
        <v>32004</v>
      </c>
      <c r="O978" s="10">
        <f>Github!Q$2097</f>
        <v>65999</v>
      </c>
    </row>
    <row r="979">
      <c r="A979" s="10">
        <f>Github!J$1169</f>
        <v>1168</v>
      </c>
      <c r="B979" s="11" t="str">
        <f>HYPERLINK(CONCAT("http://leetcode.com/problems/",Github!C$1169), Github!B$1169)</f>
        <v>Optimize Water Distribution in a Village</v>
      </c>
      <c r="C979" s="10">
        <f>Github!F$1169</f>
        <v>811</v>
      </c>
      <c r="D979" s="10">
        <f>Github!G$1169</f>
        <v>33</v>
      </c>
      <c r="E979" s="10">
        <f>Github!F$1169+Github!G$1169</f>
        <v>844</v>
      </c>
      <c r="F979" s="12">
        <f t="shared" si="1"/>
        <v>24.58</v>
      </c>
      <c r="G979" s="10" t="str">
        <f>Github!H$1169</f>
        <v>Algorithms</v>
      </c>
      <c r="H979" s="13" t="str">
        <f>SUBSTITUTE(Github!L$1169, ";", ", ")</f>
        <v>Union Find, Graph, Minimum Spanning Tree, </v>
      </c>
      <c r="I979" s="10" t="str">
        <f>Github!E$1169</f>
        <v>Hard</v>
      </c>
      <c r="J979" s="10" t="str">
        <f>IF(TRIM(Github!D$1169)="TRUE","FALSE","TRUE")</f>
        <v>FALSE</v>
      </c>
      <c r="K979" s="10" t="b">
        <f>Github!M$1169</f>
        <v>1</v>
      </c>
      <c r="L979" s="10" t="b">
        <f>Github!N$1169</f>
        <v>0</v>
      </c>
      <c r="M979" s="10" t="str">
        <f>ROUND(Github!O$1169, 2)&amp;"%"</f>
        <v>63.81%</v>
      </c>
      <c r="N979" s="10">
        <f>Github!P$1169</f>
        <v>30082</v>
      </c>
      <c r="O979" s="10">
        <f>Github!Q$1169</f>
        <v>47142</v>
      </c>
    </row>
    <row r="980">
      <c r="A980" s="10">
        <f>Github!J$806</f>
        <v>805</v>
      </c>
      <c r="B980" s="11" t="str">
        <f>HYPERLINK(CONCAT("http://leetcode.com/problems/",Github!C$806), Github!B$806)</f>
        <v>Split Array With Same Average</v>
      </c>
      <c r="C980" s="10">
        <f>Github!F$806</f>
        <v>810</v>
      </c>
      <c r="D980" s="10">
        <f>Github!G$806</f>
        <v>116</v>
      </c>
      <c r="E980" s="10">
        <f>Github!F$806+Github!G$806</f>
        <v>926</v>
      </c>
      <c r="F980" s="12">
        <f t="shared" si="1"/>
        <v>6.98</v>
      </c>
      <c r="G980" s="10" t="str">
        <f>Github!H$806</f>
        <v>Algorithms</v>
      </c>
      <c r="H980" s="13" t="str">
        <f>SUBSTITUTE(Github!L$806, ";", ", ")</f>
        <v>Array, Math, Dynamic Programming, Bit Manipulation, Bitmask, </v>
      </c>
      <c r="I980" s="10" t="str">
        <f>Github!E$806</f>
        <v>Hard</v>
      </c>
      <c r="J980" s="10" t="str">
        <f>IF(TRIM(Github!D$806)="TRUE","FALSE","TRUE")</f>
        <v>TRUE</v>
      </c>
      <c r="K980" s="10" t="b">
        <f>Github!M$806</f>
        <v>0</v>
      </c>
      <c r="L980" s="10" t="b">
        <f>Github!N$806</f>
        <v>0</v>
      </c>
      <c r="M980" s="10" t="str">
        <f>ROUND(Github!O$806, 2)&amp;"%"</f>
        <v>26.49%</v>
      </c>
      <c r="N980" s="10">
        <f>Github!P$806</f>
        <v>25396</v>
      </c>
      <c r="O980" s="10">
        <f>Github!Q$806</f>
        <v>95855</v>
      </c>
    </row>
    <row r="981">
      <c r="A981" s="10">
        <f>Github!J$933</f>
        <v>932</v>
      </c>
      <c r="B981" s="11" t="str">
        <f>HYPERLINK(CONCAT("http://leetcode.com/problems/",Github!C$933), Github!B$933)</f>
        <v>Beautiful Array</v>
      </c>
      <c r="C981" s="10">
        <f>Github!F$933</f>
        <v>808</v>
      </c>
      <c r="D981" s="10">
        <f>Github!G$933</f>
        <v>1206</v>
      </c>
      <c r="E981" s="10">
        <f>Github!F$933+Github!G$933</f>
        <v>2014</v>
      </c>
      <c r="F981" s="12">
        <f t="shared" si="1"/>
        <v>0.67</v>
      </c>
      <c r="G981" s="10" t="str">
        <f>Github!H$933</f>
        <v>Algorithms</v>
      </c>
      <c r="H981" s="13" t="str">
        <f>SUBSTITUTE(Github!L$933, ";", ", ")</f>
        <v>Array, Math, Divide and Conquer, </v>
      </c>
      <c r="I981" s="10" t="str">
        <f>Github!E$933</f>
        <v>Medium</v>
      </c>
      <c r="J981" s="10" t="str">
        <f>IF(TRIM(Github!D$933)="TRUE","FALSE","TRUE")</f>
        <v>TRUE</v>
      </c>
      <c r="K981" s="10" t="b">
        <f>Github!M$933</f>
        <v>1</v>
      </c>
      <c r="L981" s="10" t="b">
        <f>Github!N$933</f>
        <v>0</v>
      </c>
      <c r="M981" s="10" t="str">
        <f>ROUND(Github!O$933, 2)&amp;"%"</f>
        <v>64.74%</v>
      </c>
      <c r="N981" s="10">
        <f>Github!P$933</f>
        <v>35851</v>
      </c>
      <c r="O981" s="10">
        <f>Github!Q$933</f>
        <v>55377</v>
      </c>
    </row>
    <row r="982">
      <c r="A982" s="10">
        <f>Github!J$855</f>
        <v>854</v>
      </c>
      <c r="B982" s="11" t="str">
        <f>HYPERLINK(CONCAT("http://leetcode.com/problems/",Github!C$855), Github!B$855)</f>
        <v>K-Similar Strings</v>
      </c>
      <c r="C982" s="10">
        <f>Github!F$855</f>
        <v>808</v>
      </c>
      <c r="D982" s="10">
        <f>Github!G$855</f>
        <v>48</v>
      </c>
      <c r="E982" s="10">
        <f>Github!F$855+Github!G$855</f>
        <v>856</v>
      </c>
      <c r="F982" s="12">
        <f t="shared" si="1"/>
        <v>16.83</v>
      </c>
      <c r="G982" s="10" t="str">
        <f>Github!H$855</f>
        <v>Algorithms</v>
      </c>
      <c r="H982" s="13" t="str">
        <f>SUBSTITUTE(Github!L$855, ";", ", ")</f>
        <v>String, Breadth-First Search, </v>
      </c>
      <c r="I982" s="10" t="str">
        <f>Github!E$855</f>
        <v>Hard</v>
      </c>
      <c r="J982" s="10" t="str">
        <f>IF(TRIM(Github!D$855)="TRUE","FALSE","TRUE")</f>
        <v>TRUE</v>
      </c>
      <c r="K982" s="10" t="b">
        <f>Github!M$855</f>
        <v>0</v>
      </c>
      <c r="L982" s="10" t="b">
        <f>Github!N$855</f>
        <v>0</v>
      </c>
      <c r="M982" s="10" t="str">
        <f>ROUND(Github!O$855, 2)&amp;"%"</f>
        <v>39.25%</v>
      </c>
      <c r="N982" s="10">
        <f>Github!P$855</f>
        <v>32366</v>
      </c>
      <c r="O982" s="10">
        <f>Github!Q$855</f>
        <v>82467</v>
      </c>
    </row>
    <row r="983">
      <c r="A983" s="10">
        <f>Github!J$159</f>
        <v>158</v>
      </c>
      <c r="B983" s="11" t="str">
        <f>HYPERLINK(CONCAT("http://leetcode.com/problems/",Github!C$159), Github!B$159)</f>
        <v>Read N Characters Given read4 II - Call Multiple Times</v>
      </c>
      <c r="C983" s="10">
        <f>Github!F$159</f>
        <v>801</v>
      </c>
      <c r="D983" s="10">
        <f>Github!G$159</f>
        <v>1657</v>
      </c>
      <c r="E983" s="10">
        <f>Github!F$159+Github!G$159</f>
        <v>2458</v>
      </c>
      <c r="F983" s="12">
        <f t="shared" si="1"/>
        <v>0.48</v>
      </c>
      <c r="G983" s="10" t="str">
        <f>Github!H$159</f>
        <v>Algorithms</v>
      </c>
      <c r="H983" s="13" t="str">
        <f>SUBSTITUTE(Github!L$159, ";", ", ")</f>
        <v>String, Simulation, Interactive, </v>
      </c>
      <c r="I983" s="10" t="str">
        <f>Github!E$159</f>
        <v>Hard</v>
      </c>
      <c r="J983" s="10" t="str">
        <f>IF(TRIM(Github!D$159)="TRUE","FALSE","TRUE")</f>
        <v>FALSE</v>
      </c>
      <c r="K983" s="10" t="b">
        <f>Github!M$159</f>
        <v>0</v>
      </c>
      <c r="L983" s="10" t="b">
        <f>Github!N$159</f>
        <v>0</v>
      </c>
      <c r="M983" s="10" t="str">
        <f>ROUND(Github!O$159, 2)&amp;"%"</f>
        <v>40.85%</v>
      </c>
      <c r="N983" s="10">
        <f>Github!P$159</f>
        <v>165324</v>
      </c>
      <c r="O983" s="10">
        <f>Github!Q$159</f>
        <v>404689</v>
      </c>
    </row>
    <row r="984">
      <c r="A984" s="10">
        <f>Github!J$1487</f>
        <v>1486</v>
      </c>
      <c r="B984" s="11" t="str">
        <f>HYPERLINK(CONCAT("http://leetcode.com/problems/",Github!C$1487), Github!B$1487)</f>
        <v>XOR Operation in an Array</v>
      </c>
      <c r="C984" s="10">
        <f>Github!F$1487</f>
        <v>806</v>
      </c>
      <c r="D984" s="10">
        <f>Github!G$1487</f>
        <v>282</v>
      </c>
      <c r="E984" s="10">
        <f>Github!F$1487+Github!G$1487</f>
        <v>1088</v>
      </c>
      <c r="F984" s="12">
        <f t="shared" si="1"/>
        <v>2.86</v>
      </c>
      <c r="G984" s="10" t="str">
        <f>Github!H$1487</f>
        <v>Algorithms</v>
      </c>
      <c r="H984" s="13" t="str">
        <f>SUBSTITUTE(Github!L$1487, ";", ", ")</f>
        <v>Math, Bit Manipulation, </v>
      </c>
      <c r="I984" s="10" t="str">
        <f>Github!E$1487</f>
        <v>Easy</v>
      </c>
      <c r="J984" s="10" t="str">
        <f>IF(TRIM(Github!D$1487)="TRUE","FALSE","TRUE")</f>
        <v>TRUE</v>
      </c>
      <c r="K984" s="10" t="b">
        <f>Github!M$1487</f>
        <v>0</v>
      </c>
      <c r="L984" s="10" t="b">
        <f>Github!N$1487</f>
        <v>0</v>
      </c>
      <c r="M984" s="10" t="str">
        <f>ROUND(Github!O$1487, 2)&amp;"%"</f>
        <v>84.22%</v>
      </c>
      <c r="N984" s="10">
        <f>Github!P$1487</f>
        <v>119847</v>
      </c>
      <c r="O984" s="10">
        <f>Github!Q$1487</f>
        <v>142296</v>
      </c>
    </row>
    <row r="985">
      <c r="A985" s="10">
        <f>Github!J$1977</f>
        <v>1976</v>
      </c>
      <c r="B985" s="11" t="str">
        <f>HYPERLINK(CONCAT("http://leetcode.com/problems/",Github!C$1977), Github!B$1977)</f>
        <v>Number of Ways to Arrive at Destination</v>
      </c>
      <c r="C985" s="10">
        <f>Github!F$1977</f>
        <v>811</v>
      </c>
      <c r="D985" s="10">
        <f>Github!G$1977</f>
        <v>23</v>
      </c>
      <c r="E985" s="10">
        <f>Github!F$1977+Github!G$1977</f>
        <v>834</v>
      </c>
      <c r="F985" s="12">
        <f t="shared" si="1"/>
        <v>35.26</v>
      </c>
      <c r="G985" s="10" t="str">
        <f>Github!H$1977</f>
        <v>Algorithms</v>
      </c>
      <c r="H985" s="13" t="str">
        <f>SUBSTITUTE(Github!L$1977, ";", ", ")</f>
        <v>Dynamic Programming, Graph, Topological Sort, Shortest Path, </v>
      </c>
      <c r="I985" s="10" t="str">
        <f>Github!E$1977</f>
        <v>Medium</v>
      </c>
      <c r="J985" s="10" t="str">
        <f>IF(TRIM(Github!D$1977)="TRUE","FALSE","TRUE")</f>
        <v>TRUE</v>
      </c>
      <c r="K985" s="10" t="b">
        <f>Github!M$1977</f>
        <v>0</v>
      </c>
      <c r="L985" s="10" t="b">
        <f>Github!N$1977</f>
        <v>0</v>
      </c>
      <c r="M985" s="10" t="str">
        <f>ROUND(Github!O$1977, 2)&amp;"%"</f>
        <v>32.94%</v>
      </c>
      <c r="N985" s="10">
        <f>Github!P$1977</f>
        <v>14080</v>
      </c>
      <c r="O985" s="10">
        <f>Github!Q$1977</f>
        <v>42750</v>
      </c>
    </row>
    <row r="986">
      <c r="A986" s="10">
        <f>Github!J$1154</f>
        <v>1153</v>
      </c>
      <c r="B986" s="11" t="str">
        <f>HYPERLINK(CONCAT("http://leetcode.com/problems/",Github!C$1154), Github!B$1154)</f>
        <v>String Transforms Into Another String</v>
      </c>
      <c r="C986" s="10">
        <f>Github!F$1154</f>
        <v>798</v>
      </c>
      <c r="D986" s="10">
        <f>Github!G$1154</f>
        <v>305</v>
      </c>
      <c r="E986" s="10">
        <f>Github!F$1154+Github!G$1154</f>
        <v>1103</v>
      </c>
      <c r="F986" s="12">
        <f t="shared" si="1"/>
        <v>2.62</v>
      </c>
      <c r="G986" s="10" t="str">
        <f>Github!H$1154</f>
        <v>Algorithms</v>
      </c>
      <c r="H986" s="13" t="str">
        <f>SUBSTITUTE(Github!L$1154, ";", ", ")</f>
        <v>Hash Table, String, </v>
      </c>
      <c r="I986" s="10" t="str">
        <f>Github!E$1154</f>
        <v>Hard</v>
      </c>
      <c r="J986" s="10" t="str">
        <f>IF(TRIM(Github!D$1154)="TRUE","FALSE","TRUE")</f>
        <v>FALSE</v>
      </c>
      <c r="K986" s="10" t="b">
        <f>Github!M$1154</f>
        <v>1</v>
      </c>
      <c r="L986" s="10" t="b">
        <f>Github!N$1154</f>
        <v>0</v>
      </c>
      <c r="M986" s="10" t="str">
        <f>ROUND(Github!O$1154, 2)&amp;"%"</f>
        <v>35.48%</v>
      </c>
      <c r="N986" s="10">
        <f>Github!P$1154</f>
        <v>47376</v>
      </c>
      <c r="O986" s="10">
        <f>Github!Q$1154</f>
        <v>133538</v>
      </c>
    </row>
    <row r="987">
      <c r="A987" s="10">
        <f>Github!J$996</f>
        <v>995</v>
      </c>
      <c r="B987" s="11" t="str">
        <f>HYPERLINK(CONCAT("http://leetcode.com/problems/",Github!C$996), Github!B$996)</f>
        <v>Minimum Number of K Consecutive Bit Flips</v>
      </c>
      <c r="C987" s="10">
        <f>Github!F$996</f>
        <v>799</v>
      </c>
      <c r="D987" s="10">
        <f>Github!G$996</f>
        <v>49</v>
      </c>
      <c r="E987" s="10">
        <f>Github!F$996+Github!G$996</f>
        <v>848</v>
      </c>
      <c r="F987" s="12">
        <f t="shared" si="1"/>
        <v>16.31</v>
      </c>
      <c r="G987" s="10" t="str">
        <f>Github!H$996</f>
        <v>Algorithms</v>
      </c>
      <c r="H987" s="13" t="str">
        <f>SUBSTITUTE(Github!L$996, ";", ", ")</f>
        <v>Array, Bit Manipulation, Sliding Window, Prefix Sum, </v>
      </c>
      <c r="I987" s="10" t="str">
        <f>Github!E$996</f>
        <v>Hard</v>
      </c>
      <c r="J987" s="10" t="str">
        <f>IF(TRIM(Github!D$996)="TRUE","FALSE","TRUE")</f>
        <v>TRUE</v>
      </c>
      <c r="K987" s="10" t="b">
        <f>Github!M$996</f>
        <v>0</v>
      </c>
      <c r="L987" s="10" t="b">
        <f>Github!N$996</f>
        <v>0</v>
      </c>
      <c r="M987" s="10" t="str">
        <f>ROUND(Github!O$996, 2)&amp;"%"</f>
        <v>50.76%</v>
      </c>
      <c r="N987" s="10">
        <f>Github!P$996</f>
        <v>25516</v>
      </c>
      <c r="O987" s="10">
        <f>Github!Q$996</f>
        <v>50269</v>
      </c>
    </row>
    <row r="988">
      <c r="A988" s="10">
        <f>Github!J$596</f>
        <v>595</v>
      </c>
      <c r="B988" s="11" t="str">
        <f>HYPERLINK(CONCAT("http://leetcode.com/problems/",Github!C$596), Github!B$596)</f>
        <v>Big Countries</v>
      </c>
      <c r="C988" s="10">
        <f>Github!F$596</f>
        <v>805</v>
      </c>
      <c r="D988" s="10">
        <f>Github!G$596</f>
        <v>907</v>
      </c>
      <c r="E988" s="10">
        <f>Github!F$596+Github!G$596</f>
        <v>1712</v>
      </c>
      <c r="F988" s="12">
        <f t="shared" si="1"/>
        <v>0.89</v>
      </c>
      <c r="G988" s="10" t="str">
        <f>Github!H$596</f>
        <v>Database</v>
      </c>
      <c r="H988" s="13" t="str">
        <f>SUBSTITUTE(Github!L$596, ";", ", ")</f>
        <v>Database, </v>
      </c>
      <c r="I988" s="10" t="str">
        <f>Github!E$596</f>
        <v>Easy</v>
      </c>
      <c r="J988" s="10" t="str">
        <f>IF(TRIM(Github!D$596)="TRUE","FALSE","TRUE")</f>
        <v>TRUE</v>
      </c>
      <c r="K988" s="10" t="b">
        <f>Github!M$596</f>
        <v>1</v>
      </c>
      <c r="L988" s="10" t="b">
        <f>Github!N$596</f>
        <v>0</v>
      </c>
      <c r="M988" s="10" t="str">
        <f>ROUND(Github!O$596, 2)&amp;"%"</f>
        <v>76.97%</v>
      </c>
      <c r="N988" s="10">
        <f>Github!P$596</f>
        <v>284612</v>
      </c>
      <c r="O988" s="10">
        <f>Github!Q$596</f>
        <v>369777</v>
      </c>
    </row>
    <row r="989">
      <c r="A989" s="10">
        <f>Github!J$1627</f>
        <v>1626</v>
      </c>
      <c r="B989" s="11" t="str">
        <f>HYPERLINK(CONCAT("http://leetcode.com/problems/",Github!C$1627), Github!B$1627)</f>
        <v>Best Team With No Conflicts</v>
      </c>
      <c r="C989" s="10">
        <f>Github!F$1627</f>
        <v>799</v>
      </c>
      <c r="D989" s="10">
        <f>Github!G$1627</f>
        <v>28</v>
      </c>
      <c r="E989" s="10">
        <f>Github!F$1627+Github!G$1627</f>
        <v>827</v>
      </c>
      <c r="F989" s="12">
        <f t="shared" si="1"/>
        <v>28.54</v>
      </c>
      <c r="G989" s="10" t="str">
        <f>Github!H$1627</f>
        <v>Algorithms</v>
      </c>
      <c r="H989" s="13" t="str">
        <f>SUBSTITUTE(Github!L$1627, ";", ", ")</f>
        <v>Array, Dynamic Programming, Sorting, </v>
      </c>
      <c r="I989" s="10" t="str">
        <f>Github!E$1627</f>
        <v>Medium</v>
      </c>
      <c r="J989" s="10" t="str">
        <f>IF(TRIM(Github!D$1627)="TRUE","FALSE","TRUE")</f>
        <v>TRUE</v>
      </c>
      <c r="K989" s="10" t="b">
        <f>Github!M$1627</f>
        <v>0</v>
      </c>
      <c r="L989" s="10" t="b">
        <f>Github!N$1627</f>
        <v>0</v>
      </c>
      <c r="M989" s="10" t="str">
        <f>ROUND(Github!O$1627, 2)&amp;"%"</f>
        <v>40.69%</v>
      </c>
      <c r="N989" s="10">
        <f>Github!P$1627</f>
        <v>18262</v>
      </c>
      <c r="O989" s="10">
        <f>Github!Q$1627</f>
        <v>44877</v>
      </c>
    </row>
    <row r="990">
      <c r="A990" s="10">
        <f>Github!J$1690</f>
        <v>1689</v>
      </c>
      <c r="B990" s="11" t="str">
        <f>HYPERLINK(CONCAT("http://leetcode.com/problems/",Github!C$1690), Github!B$1690)</f>
        <v>Partitioning Into Minimum Number Of Deci-Binary Numbers</v>
      </c>
      <c r="C990" s="10">
        <f>Github!F$1690</f>
        <v>803</v>
      </c>
      <c r="D990" s="10">
        <f>Github!G$1690</f>
        <v>568</v>
      </c>
      <c r="E990" s="10">
        <f>Github!F$1690+Github!G$1690</f>
        <v>1371</v>
      </c>
      <c r="F990" s="12">
        <f t="shared" si="1"/>
        <v>1.41</v>
      </c>
      <c r="G990" s="10" t="str">
        <f>Github!H$1690</f>
        <v>Algorithms</v>
      </c>
      <c r="H990" s="13" t="str">
        <f>SUBSTITUTE(Github!L$1690, ";", ", ")</f>
        <v>String, Greedy, </v>
      </c>
      <c r="I990" s="10" t="str">
        <f>Github!E$1690</f>
        <v>Medium</v>
      </c>
      <c r="J990" s="10" t="str">
        <f>IF(TRIM(Github!D$1690)="TRUE","FALSE","TRUE")</f>
        <v>TRUE</v>
      </c>
      <c r="K990" s="10" t="b">
        <f>Github!M$1690</f>
        <v>1</v>
      </c>
      <c r="L990" s="10" t="b">
        <f>Github!N$1690</f>
        <v>0</v>
      </c>
      <c r="M990" s="10" t="str">
        <f>ROUND(Github!O$1690, 2)&amp;"%"</f>
        <v>87.82%</v>
      </c>
      <c r="N990" s="10">
        <f>Github!P$1690</f>
        <v>77137</v>
      </c>
      <c r="O990" s="10">
        <f>Github!Q$1690</f>
        <v>87839</v>
      </c>
    </row>
    <row r="991">
      <c r="A991" s="10">
        <f>Github!J$1552</f>
        <v>1551</v>
      </c>
      <c r="B991" s="11" t="str">
        <f>HYPERLINK(CONCAT("http://leetcode.com/problems/",Github!C$1552), Github!B$1552)</f>
        <v>Minimum Operations to Make Array Equal</v>
      </c>
      <c r="C991" s="10">
        <f>Github!F$1552</f>
        <v>794</v>
      </c>
      <c r="D991" s="10">
        <f>Github!G$1552</f>
        <v>135</v>
      </c>
      <c r="E991" s="10">
        <f>Github!F$1552+Github!G$1552</f>
        <v>929</v>
      </c>
      <c r="F991" s="12">
        <f t="shared" si="1"/>
        <v>5.88</v>
      </c>
      <c r="G991" s="10" t="str">
        <f>Github!H$1552</f>
        <v>Algorithms</v>
      </c>
      <c r="H991" s="13" t="str">
        <f>SUBSTITUTE(Github!L$1552, ";", ", ")</f>
        <v>Math, </v>
      </c>
      <c r="I991" s="10" t="str">
        <f>Github!E$1552</f>
        <v>Medium</v>
      </c>
      <c r="J991" s="10" t="str">
        <f>IF(TRIM(Github!D$1552)="TRUE","FALSE","TRUE")</f>
        <v>TRUE</v>
      </c>
      <c r="K991" s="10" t="b">
        <f>Github!M$1552</f>
        <v>1</v>
      </c>
      <c r="L991" s="10" t="b">
        <f>Github!N$1552</f>
        <v>0</v>
      </c>
      <c r="M991" s="10" t="str">
        <f>ROUND(Github!O$1552, 2)&amp;"%"</f>
        <v>80.85%</v>
      </c>
      <c r="N991" s="10">
        <f>Github!P$1552</f>
        <v>65196</v>
      </c>
      <c r="O991" s="10">
        <f>Github!Q$1552</f>
        <v>80638</v>
      </c>
    </row>
    <row r="992">
      <c r="A992" s="10">
        <f>Github!J$804</f>
        <v>803</v>
      </c>
      <c r="B992" s="11" t="str">
        <f>HYPERLINK(CONCAT("http://leetcode.com/problems/",Github!C$804), Github!B$804)</f>
        <v>Bricks Falling When Hit</v>
      </c>
      <c r="C992" s="10">
        <f>Github!F$804</f>
        <v>793</v>
      </c>
      <c r="D992" s="10">
        <f>Github!G$804</f>
        <v>171</v>
      </c>
      <c r="E992" s="10">
        <f>Github!F$804+Github!G$804</f>
        <v>964</v>
      </c>
      <c r="F992" s="12">
        <f t="shared" si="1"/>
        <v>4.64</v>
      </c>
      <c r="G992" s="10" t="str">
        <f>Github!H$804</f>
        <v>Algorithms</v>
      </c>
      <c r="H992" s="13" t="str">
        <f>SUBSTITUTE(Github!L$804, ";", ", ")</f>
        <v>Array, Union Find, Matrix, </v>
      </c>
      <c r="I992" s="10" t="str">
        <f>Github!E$804</f>
        <v>Hard</v>
      </c>
      <c r="J992" s="10" t="str">
        <f>IF(TRIM(Github!D$804)="TRUE","FALSE","TRUE")</f>
        <v>TRUE</v>
      </c>
      <c r="K992" s="10" t="b">
        <f>Github!M$804</f>
        <v>1</v>
      </c>
      <c r="L992" s="10" t="b">
        <f>Github!N$804</f>
        <v>0</v>
      </c>
      <c r="M992" s="10" t="str">
        <f>ROUND(Github!O$804, 2)&amp;"%"</f>
        <v>33.85%</v>
      </c>
      <c r="N992" s="10">
        <f>Github!P$804</f>
        <v>24675</v>
      </c>
      <c r="O992" s="10">
        <f>Github!Q$804</f>
        <v>72893</v>
      </c>
    </row>
    <row r="993">
      <c r="A993" s="10">
        <f>Github!J$1367</f>
        <v>1366</v>
      </c>
      <c r="B993" s="11" t="str">
        <f>HYPERLINK(CONCAT("http://leetcode.com/problems/",Github!C$1367), Github!B$1367)</f>
        <v>Rank Teams by Votes</v>
      </c>
      <c r="C993" s="10">
        <f>Github!F$1367</f>
        <v>792</v>
      </c>
      <c r="D993" s="10">
        <f>Github!G$1367</f>
        <v>82</v>
      </c>
      <c r="E993" s="10">
        <f>Github!F$1367+Github!G$1367</f>
        <v>874</v>
      </c>
      <c r="F993" s="12">
        <f t="shared" si="1"/>
        <v>9.66</v>
      </c>
      <c r="G993" s="10" t="str">
        <f>Github!H$1367</f>
        <v>Algorithms</v>
      </c>
      <c r="H993" s="13" t="str">
        <f>SUBSTITUTE(Github!L$1367, ";", ", ")</f>
        <v>Array, Hash Table, String, Sorting, Counting, </v>
      </c>
      <c r="I993" s="10" t="str">
        <f>Github!E$1367</f>
        <v>Medium</v>
      </c>
      <c r="J993" s="10" t="str">
        <f>IF(TRIM(Github!D$1367)="TRUE","FALSE","TRUE")</f>
        <v>TRUE</v>
      </c>
      <c r="K993" s="10" t="b">
        <f>Github!M$1367</f>
        <v>0</v>
      </c>
      <c r="L993" s="10" t="b">
        <f>Github!N$1367</f>
        <v>0</v>
      </c>
      <c r="M993" s="10" t="str">
        <f>ROUND(Github!O$1367, 2)&amp;"%"</f>
        <v>58.64%</v>
      </c>
      <c r="N993" s="10">
        <f>Github!P$1367</f>
        <v>37066</v>
      </c>
      <c r="O993" s="10">
        <f>Github!Q$1367</f>
        <v>63213</v>
      </c>
    </row>
    <row r="994">
      <c r="A994" s="10">
        <f>Github!J$1152</f>
        <v>1151</v>
      </c>
      <c r="B994" s="11" t="str">
        <f>HYPERLINK(CONCAT("http://leetcode.com/problems/",Github!C$1152), Github!B$1152)</f>
        <v>Minimum Swaps to Group All 1's Together</v>
      </c>
      <c r="C994" s="10">
        <f>Github!F$1152</f>
        <v>790</v>
      </c>
      <c r="D994" s="10">
        <f>Github!G$1152</f>
        <v>11</v>
      </c>
      <c r="E994" s="10">
        <f>Github!F$1152+Github!G$1152</f>
        <v>801</v>
      </c>
      <c r="F994" s="12">
        <f t="shared" si="1"/>
        <v>71.82</v>
      </c>
      <c r="G994" s="10" t="str">
        <f>Github!H$1152</f>
        <v>Algorithms</v>
      </c>
      <c r="H994" s="13" t="str">
        <f>SUBSTITUTE(Github!L$1152, ";", ", ")</f>
        <v>Array, Sliding Window, </v>
      </c>
      <c r="I994" s="10" t="str">
        <f>Github!E$1152</f>
        <v>Medium</v>
      </c>
      <c r="J994" s="10" t="str">
        <f>IF(TRIM(Github!D$1152)="TRUE","FALSE","TRUE")</f>
        <v>FALSE</v>
      </c>
      <c r="K994" s="10" t="b">
        <f>Github!M$1152</f>
        <v>1</v>
      </c>
      <c r="L994" s="10" t="b">
        <f>Github!N$1152</f>
        <v>1</v>
      </c>
      <c r="M994" s="10" t="str">
        <f>ROUND(Github!O$1152, 2)&amp;"%"</f>
        <v>59.28%</v>
      </c>
      <c r="N994" s="10">
        <f>Github!P$1152</f>
        <v>37740</v>
      </c>
      <c r="O994" s="10">
        <f>Github!Q$1152</f>
        <v>63665</v>
      </c>
    </row>
    <row r="995">
      <c r="A995" s="10">
        <f>Github!J$778</f>
        <v>777</v>
      </c>
      <c r="B995" s="11" t="str">
        <f>HYPERLINK(CONCAT("http://leetcode.com/problems/",Github!C$778), Github!B$778)</f>
        <v>Swap Adjacent in LR String</v>
      </c>
      <c r="C995" s="10">
        <f>Github!F$778</f>
        <v>793</v>
      </c>
      <c r="D995" s="10">
        <f>Github!G$778</f>
        <v>686</v>
      </c>
      <c r="E995" s="10">
        <f>Github!F$778+Github!G$778</f>
        <v>1479</v>
      </c>
      <c r="F995" s="12">
        <f t="shared" si="1"/>
        <v>1.16</v>
      </c>
      <c r="G995" s="10" t="str">
        <f>Github!H$778</f>
        <v>Algorithms</v>
      </c>
      <c r="H995" s="13" t="str">
        <f>SUBSTITUTE(Github!L$778, ";", ", ")</f>
        <v>Two Pointers, String, </v>
      </c>
      <c r="I995" s="10" t="str">
        <f>Github!E$778</f>
        <v>Medium</v>
      </c>
      <c r="J995" s="10" t="str">
        <f>IF(TRIM(Github!D$778)="TRUE","FALSE","TRUE")</f>
        <v>TRUE</v>
      </c>
      <c r="K995" s="10" t="b">
        <f>Github!M$778</f>
        <v>0</v>
      </c>
      <c r="L995" s="10" t="b">
        <f>Github!N$778</f>
        <v>0</v>
      </c>
      <c r="M995" s="10" t="str">
        <f>ROUND(Github!O$778, 2)&amp;"%"</f>
        <v>36.36%</v>
      </c>
      <c r="N995" s="10">
        <f>Github!P$778</f>
        <v>53477</v>
      </c>
      <c r="O995" s="10">
        <f>Github!Q$778</f>
        <v>147073</v>
      </c>
    </row>
    <row r="996">
      <c r="A996" s="10">
        <f>Github!J$562</f>
        <v>561</v>
      </c>
      <c r="B996" s="11" t="str">
        <f>HYPERLINK(CONCAT("http://leetcode.com/problems/",Github!C$562), Github!B$562)</f>
        <v>Array Partition I</v>
      </c>
      <c r="C996" s="10">
        <f>Github!F$562</f>
        <v>795</v>
      </c>
      <c r="D996" s="10">
        <f>Github!G$562</f>
        <v>132</v>
      </c>
      <c r="E996" s="10">
        <f>Github!F$562+Github!G$562</f>
        <v>927</v>
      </c>
      <c r="F996" s="12">
        <f t="shared" si="1"/>
        <v>6.02</v>
      </c>
      <c r="G996" s="10" t="str">
        <f>Github!H$562</f>
        <v>Algorithms</v>
      </c>
      <c r="H996" s="13" t="str">
        <f>SUBSTITUTE(Github!L$562, ";", ", ")</f>
        <v>Array, Greedy, Sorting, Counting Sort, </v>
      </c>
      <c r="I996" s="10" t="str">
        <f>Github!E$562</f>
        <v>Easy</v>
      </c>
      <c r="J996" s="10" t="str">
        <f>IF(TRIM(Github!D$562)="TRUE","FALSE","TRUE")</f>
        <v>TRUE</v>
      </c>
      <c r="K996" s="10" t="b">
        <f>Github!M$562</f>
        <v>0</v>
      </c>
      <c r="L996" s="10" t="b">
        <f>Github!N$562</f>
        <v>0</v>
      </c>
      <c r="M996" s="10" t="str">
        <f>ROUND(Github!O$562, 2)&amp;"%"</f>
        <v>75.62%</v>
      </c>
      <c r="N996" s="10">
        <f>Github!P$562</f>
        <v>324685</v>
      </c>
      <c r="O996" s="10">
        <f>Github!Q$562</f>
        <v>429370</v>
      </c>
    </row>
    <row r="997">
      <c r="A997" s="10">
        <f>Github!J$1713</f>
        <v>1712</v>
      </c>
      <c r="B997" s="11" t="str">
        <f>HYPERLINK(CONCAT("http://leetcode.com/problems/",Github!C$1713), Github!B$1713)</f>
        <v>Ways to Split Array Into Three Subarrays</v>
      </c>
      <c r="C997" s="10">
        <f>Github!F$1713</f>
        <v>798</v>
      </c>
      <c r="D997" s="10">
        <f>Github!G$1713</f>
        <v>76</v>
      </c>
      <c r="E997" s="10">
        <f>Github!F$1713+Github!G$1713</f>
        <v>874</v>
      </c>
      <c r="F997" s="12">
        <f t="shared" si="1"/>
        <v>10.5</v>
      </c>
      <c r="G997" s="10" t="str">
        <f>Github!H$1713</f>
        <v>Algorithms</v>
      </c>
      <c r="H997" s="13" t="str">
        <f>SUBSTITUTE(Github!L$1713, ";", ", ")</f>
        <v>Array, Two Pointers, Binary Search, Prefix Sum, </v>
      </c>
      <c r="I997" s="10" t="str">
        <f>Github!E$1713</f>
        <v>Medium</v>
      </c>
      <c r="J997" s="10" t="str">
        <f>IF(TRIM(Github!D$1713)="TRUE","FALSE","TRUE")</f>
        <v>TRUE</v>
      </c>
      <c r="K997" s="10" t="b">
        <f>Github!M$1713</f>
        <v>0</v>
      </c>
      <c r="L997" s="10" t="b">
        <f>Github!N$1713</f>
        <v>0</v>
      </c>
      <c r="M997" s="10" t="str">
        <f>ROUND(Github!O$1713, 2)&amp;"%"</f>
        <v>31.47%</v>
      </c>
      <c r="N997" s="10">
        <f>Github!P$1713</f>
        <v>19441</v>
      </c>
      <c r="O997" s="10">
        <f>Github!Q$1713</f>
        <v>61768</v>
      </c>
    </row>
    <row r="998">
      <c r="A998" s="10">
        <f>Github!J$1500</f>
        <v>1499</v>
      </c>
      <c r="B998" s="11" t="str">
        <f>HYPERLINK(CONCAT("http://leetcode.com/problems/",Github!C$1500), Github!B$1500)</f>
        <v>Max Value of Equation</v>
      </c>
      <c r="C998" s="10">
        <f>Github!F$1500</f>
        <v>790</v>
      </c>
      <c r="D998" s="10">
        <f>Github!G$1500</f>
        <v>30</v>
      </c>
      <c r="E998" s="10">
        <f>Github!F$1500+Github!G$1500</f>
        <v>820</v>
      </c>
      <c r="F998" s="12">
        <f t="shared" si="1"/>
        <v>26.33</v>
      </c>
      <c r="G998" s="10" t="str">
        <f>Github!H$1500</f>
        <v>Algorithms</v>
      </c>
      <c r="H998" s="13" t="str">
        <f>SUBSTITUTE(Github!L$1500, ";", ", ")</f>
        <v>Array, Queue, Sliding Window, Heap (Priority Queue), Monotonic Queue, </v>
      </c>
      <c r="I998" s="10" t="str">
        <f>Github!E$1500</f>
        <v>Hard</v>
      </c>
      <c r="J998" s="10" t="str">
        <f>IF(TRIM(Github!D$1500)="TRUE","FALSE","TRUE")</f>
        <v>TRUE</v>
      </c>
      <c r="K998" s="10" t="b">
        <f>Github!M$1500</f>
        <v>0</v>
      </c>
      <c r="L998" s="10" t="b">
        <f>Github!N$1500</f>
        <v>0</v>
      </c>
      <c r="M998" s="10" t="str">
        <f>ROUND(Github!O$1500, 2)&amp;"%"</f>
        <v>46.89%</v>
      </c>
      <c r="N998" s="10">
        <f>Github!P$1500</f>
        <v>29880</v>
      </c>
      <c r="O998" s="10">
        <f>Github!Q$1500</f>
        <v>63721</v>
      </c>
    </row>
    <row r="999">
      <c r="A999" s="10">
        <f>Github!J$503</f>
        <v>502</v>
      </c>
      <c r="B999" s="11" t="str">
        <f>HYPERLINK(CONCAT("http://leetcode.com/problems/",Github!C$503), Github!B$503)</f>
        <v>IPO</v>
      </c>
      <c r="C999" s="10">
        <f>Github!F$503</f>
        <v>783</v>
      </c>
      <c r="D999" s="10">
        <f>Github!G$503</f>
        <v>70</v>
      </c>
      <c r="E999" s="10">
        <f>Github!F$503+Github!G$503</f>
        <v>853</v>
      </c>
      <c r="F999" s="12">
        <f t="shared" si="1"/>
        <v>11.19</v>
      </c>
      <c r="G999" s="10" t="str">
        <f>Github!H$503</f>
        <v>Algorithms</v>
      </c>
      <c r="H999" s="13" t="str">
        <f>SUBSTITUTE(Github!L$503, ";", ", ")</f>
        <v>Array, Greedy, Sorting, Heap (Priority Queue), </v>
      </c>
      <c r="I999" s="10" t="str">
        <f>Github!E$503</f>
        <v>Hard</v>
      </c>
      <c r="J999" s="10" t="str">
        <f>IF(TRIM(Github!D$503)="TRUE","FALSE","TRUE")</f>
        <v>TRUE</v>
      </c>
      <c r="K999" s="10" t="b">
        <f>Github!M$503</f>
        <v>1</v>
      </c>
      <c r="L999" s="10" t="b">
        <f>Github!N$503</f>
        <v>0</v>
      </c>
      <c r="M999" s="10" t="str">
        <f>ROUND(Github!O$503, 2)&amp;"%"</f>
        <v>44.05%</v>
      </c>
      <c r="N999" s="10">
        <f>Github!P$503</f>
        <v>32401</v>
      </c>
      <c r="O999" s="10">
        <f>Github!Q$503</f>
        <v>73555</v>
      </c>
    </row>
    <row r="1000">
      <c r="A1000" s="10">
        <f>Github!J$1655</f>
        <v>1654</v>
      </c>
      <c r="B1000" s="11" t="str">
        <f>HYPERLINK(CONCAT("http://leetcode.com/problems/",Github!C$1655), Github!B$1655)</f>
        <v>Minimum Jumps to Reach Home</v>
      </c>
      <c r="C1000" s="10">
        <f>Github!F$1655</f>
        <v>787</v>
      </c>
      <c r="D1000" s="10">
        <f>Github!G$1655</f>
        <v>163</v>
      </c>
      <c r="E1000" s="10">
        <f>Github!F$1655+Github!G$1655</f>
        <v>950</v>
      </c>
      <c r="F1000" s="12">
        <f t="shared" si="1"/>
        <v>4.83</v>
      </c>
      <c r="G1000" s="10" t="str">
        <f>Github!H$1655</f>
        <v>Algorithms</v>
      </c>
      <c r="H1000" s="13" t="str">
        <f>SUBSTITUTE(Github!L$1655, ";", ", ")</f>
        <v>Array, Dynamic Programming, Breadth-First Search, </v>
      </c>
      <c r="I1000" s="10" t="str">
        <f>Github!E$1655</f>
        <v>Medium</v>
      </c>
      <c r="J1000" s="10" t="str">
        <f>IF(TRIM(Github!D$1655)="TRUE","FALSE","TRUE")</f>
        <v>TRUE</v>
      </c>
      <c r="K1000" s="10" t="b">
        <f>Github!M$1655</f>
        <v>0</v>
      </c>
      <c r="L1000" s="10" t="b">
        <f>Github!N$1655</f>
        <v>0</v>
      </c>
      <c r="M1000" s="10" t="str">
        <f>ROUND(Github!O$1655, 2)&amp;"%"</f>
        <v>27.12%</v>
      </c>
      <c r="N1000" s="10">
        <f>Github!P$1655</f>
        <v>21101</v>
      </c>
      <c r="O1000" s="10">
        <f>Github!Q$1655</f>
        <v>77805</v>
      </c>
    </row>
    <row r="1001">
      <c r="A1001" s="10">
        <f>Github!J$1463</f>
        <v>1462</v>
      </c>
      <c r="B1001" s="11" t="str">
        <f>HYPERLINK(CONCAT("http://leetcode.com/problems/",Github!C$1463), Github!B$1463)</f>
        <v>Course Schedule IV</v>
      </c>
      <c r="C1001" s="10">
        <f>Github!F$1463</f>
        <v>780</v>
      </c>
      <c r="D1001" s="10">
        <f>Github!G$1463</f>
        <v>46</v>
      </c>
      <c r="E1001" s="10">
        <f>Github!F$1463+Github!G$1463</f>
        <v>826</v>
      </c>
      <c r="F1001" s="12">
        <f t="shared" si="1"/>
        <v>16.96</v>
      </c>
      <c r="G1001" s="10" t="str">
        <f>Github!H$1463</f>
        <v>Algorithms</v>
      </c>
      <c r="H1001" s="13" t="str">
        <f>SUBSTITUTE(Github!L$1463, ";", ", ")</f>
        <v>Depth-First Search, Breadth-First Search, Graph, Topological Sort, </v>
      </c>
      <c r="I1001" s="10" t="str">
        <f>Github!E$1463</f>
        <v>Medium</v>
      </c>
      <c r="J1001" s="10" t="str">
        <f>IF(TRIM(Github!D$1463)="TRUE","FALSE","TRUE")</f>
        <v>TRUE</v>
      </c>
      <c r="K1001" s="10" t="b">
        <f>Github!M$1463</f>
        <v>0</v>
      </c>
      <c r="L1001" s="10" t="b">
        <f>Github!N$1463</f>
        <v>0</v>
      </c>
      <c r="M1001" s="10" t="str">
        <f>ROUND(Github!O$1463, 2)&amp;"%"</f>
        <v>47.9%</v>
      </c>
      <c r="N1001" s="10">
        <f>Github!P$1463</f>
        <v>30974</v>
      </c>
      <c r="O1001" s="10">
        <f>Github!Q$1463</f>
        <v>64660</v>
      </c>
    </row>
    <row r="1002">
      <c r="A1002" s="10">
        <f>Github!J$840</f>
        <v>839</v>
      </c>
      <c r="B1002" s="11" t="str">
        <f>HYPERLINK(CONCAT("http://leetcode.com/problems/",Github!C$840), Github!B$840)</f>
        <v>Similar String Groups</v>
      </c>
      <c r="C1002" s="10">
        <f>Github!F$840</f>
        <v>779</v>
      </c>
      <c r="D1002" s="10">
        <f>Github!G$840</f>
        <v>167</v>
      </c>
      <c r="E1002" s="10">
        <f>Github!F$840+Github!G$840</f>
        <v>946</v>
      </c>
      <c r="F1002" s="12">
        <f t="shared" si="1"/>
        <v>4.66</v>
      </c>
      <c r="G1002" s="10" t="str">
        <f>Github!H$840</f>
        <v>Algorithms</v>
      </c>
      <c r="H1002" s="13" t="str">
        <f>SUBSTITUTE(Github!L$840, ";", ", ")</f>
        <v>Array, String, Depth-First Search, Breadth-First Search, Union Find, </v>
      </c>
      <c r="I1002" s="10" t="str">
        <f>Github!E$840</f>
        <v>Hard</v>
      </c>
      <c r="J1002" s="10" t="str">
        <f>IF(TRIM(Github!D$840)="TRUE","FALSE","TRUE")</f>
        <v>TRUE</v>
      </c>
      <c r="K1002" s="10" t="b">
        <f>Github!M$840</f>
        <v>0</v>
      </c>
      <c r="L1002" s="10" t="b">
        <f>Github!N$840</f>
        <v>0</v>
      </c>
      <c r="M1002" s="10" t="str">
        <f>ROUND(Github!O$840, 2)&amp;"%"</f>
        <v>45.47%</v>
      </c>
      <c r="N1002" s="10">
        <f>Github!P$840</f>
        <v>50589</v>
      </c>
      <c r="O1002" s="10">
        <f>Github!Q$840</f>
        <v>111248</v>
      </c>
    </row>
    <row r="1003">
      <c r="A1003" s="10">
        <f>Github!J$851</f>
        <v>850</v>
      </c>
      <c r="B1003" s="11" t="str">
        <f>HYPERLINK(CONCAT("http://leetcode.com/problems/",Github!C$851), Github!B$851)</f>
        <v>Rectangle Area II</v>
      </c>
      <c r="C1003" s="10">
        <f>Github!F$851</f>
        <v>775</v>
      </c>
      <c r="D1003" s="10">
        <f>Github!G$851</f>
        <v>52</v>
      </c>
      <c r="E1003" s="10">
        <f>Github!F$851+Github!G$851</f>
        <v>827</v>
      </c>
      <c r="F1003" s="12">
        <f t="shared" si="1"/>
        <v>14.9</v>
      </c>
      <c r="G1003" s="10" t="str">
        <f>Github!H$851</f>
        <v>Algorithms</v>
      </c>
      <c r="H1003" s="13" t="str">
        <f>SUBSTITUTE(Github!L$851, ";", ", ")</f>
        <v>Array, Segment Tree, Line Sweep, Ordered Set, </v>
      </c>
      <c r="I1003" s="10" t="str">
        <f>Github!E$851</f>
        <v>Hard</v>
      </c>
      <c r="J1003" s="10" t="str">
        <f>IF(TRIM(Github!D$851)="TRUE","FALSE","TRUE")</f>
        <v>TRUE</v>
      </c>
      <c r="K1003" s="10" t="b">
        <f>Github!M$851</f>
        <v>1</v>
      </c>
      <c r="L1003" s="10" t="b">
        <f>Github!N$851</f>
        <v>0</v>
      </c>
      <c r="M1003" s="10" t="str">
        <f>ROUND(Github!O$851, 2)&amp;"%"</f>
        <v>53.27%</v>
      </c>
      <c r="N1003" s="10">
        <f>Github!P$851</f>
        <v>29259</v>
      </c>
      <c r="O1003" s="10">
        <f>Github!Q$851</f>
        <v>54925</v>
      </c>
    </row>
    <row r="1004">
      <c r="A1004" s="10">
        <f>Github!J$1100</f>
        <v>1099</v>
      </c>
      <c r="B1004" s="11" t="str">
        <f>HYPERLINK(CONCAT("http://leetcode.com/problems/",Github!C$1100), Github!B$1100)</f>
        <v>Two Sum Less Than K</v>
      </c>
      <c r="C1004" s="10">
        <f>Github!F$1100</f>
        <v>776</v>
      </c>
      <c r="D1004" s="10">
        <f>Github!G$1100</f>
        <v>87</v>
      </c>
      <c r="E1004" s="10">
        <f>Github!F$1100+Github!G$1100</f>
        <v>863</v>
      </c>
      <c r="F1004" s="12">
        <f t="shared" si="1"/>
        <v>8.92</v>
      </c>
      <c r="G1004" s="10" t="str">
        <f>Github!H$1100</f>
        <v>Algorithms</v>
      </c>
      <c r="H1004" s="13" t="str">
        <f>SUBSTITUTE(Github!L$1100, ";", ", ")</f>
        <v>Array, Two Pointers, Binary Search, Sorting, </v>
      </c>
      <c r="I1004" s="10" t="str">
        <f>Github!E$1100</f>
        <v>Easy</v>
      </c>
      <c r="J1004" s="10" t="str">
        <f>IF(TRIM(Github!D$1100)="TRUE","FALSE","TRUE")</f>
        <v>FALSE</v>
      </c>
      <c r="K1004" s="10" t="b">
        <f>Github!M$1100</f>
        <v>1</v>
      </c>
      <c r="L1004" s="10" t="b">
        <f>Github!N$1100</f>
        <v>1</v>
      </c>
      <c r="M1004" s="10" t="str">
        <f>ROUND(Github!O$1100, 2)&amp;"%"</f>
        <v>60.56%</v>
      </c>
      <c r="N1004" s="10">
        <f>Github!P$1100</f>
        <v>89198</v>
      </c>
      <c r="O1004" s="10">
        <f>Github!Q$1100</f>
        <v>147284</v>
      </c>
    </row>
    <row r="1005">
      <c r="A1005" s="10">
        <f>Github!J$370</f>
        <v>369</v>
      </c>
      <c r="B1005" s="11" t="str">
        <f>HYPERLINK(CONCAT("http://leetcode.com/problems/",Github!C$370), Github!B$370)</f>
        <v>Plus One Linked List</v>
      </c>
      <c r="C1005" s="10">
        <f>Github!F$370</f>
        <v>774</v>
      </c>
      <c r="D1005" s="10">
        <f>Github!G$370</f>
        <v>40</v>
      </c>
      <c r="E1005" s="10">
        <f>Github!F$370+Github!G$370</f>
        <v>814</v>
      </c>
      <c r="F1005" s="12">
        <f t="shared" si="1"/>
        <v>19.35</v>
      </c>
      <c r="G1005" s="10" t="str">
        <f>Github!H$370</f>
        <v>Algorithms</v>
      </c>
      <c r="H1005" s="13" t="str">
        <f>SUBSTITUTE(Github!L$370, ";", ", ")</f>
        <v>Linked List, Math, </v>
      </c>
      <c r="I1005" s="10" t="str">
        <f>Github!E$370</f>
        <v>Medium</v>
      </c>
      <c r="J1005" s="10" t="str">
        <f>IF(TRIM(Github!D$370)="TRUE","FALSE","TRUE")</f>
        <v>FALSE</v>
      </c>
      <c r="K1005" s="10" t="b">
        <f>Github!M$370</f>
        <v>1</v>
      </c>
      <c r="L1005" s="10" t="b">
        <f>Github!N$370</f>
        <v>1</v>
      </c>
      <c r="M1005" s="10" t="str">
        <f>ROUND(Github!O$370, 2)&amp;"%"</f>
        <v>60.47%</v>
      </c>
      <c r="N1005" s="10">
        <f>Github!P$370</f>
        <v>67353</v>
      </c>
      <c r="O1005" s="10">
        <f>Github!Q$370</f>
        <v>111379</v>
      </c>
    </row>
    <row r="1006">
      <c r="A1006" s="10">
        <f>Github!J$1426</f>
        <v>1425</v>
      </c>
      <c r="B1006" s="11" t="str">
        <f>HYPERLINK(CONCAT("http://leetcode.com/problems/",Github!C$1426), Github!B$1426)</f>
        <v>Constrained Subsequence Sum</v>
      </c>
      <c r="C1006" s="10">
        <f>Github!F$1426</f>
        <v>782</v>
      </c>
      <c r="D1006" s="10">
        <f>Github!G$1426</f>
        <v>31</v>
      </c>
      <c r="E1006" s="10">
        <f>Github!F$1426+Github!G$1426</f>
        <v>813</v>
      </c>
      <c r="F1006" s="12">
        <f t="shared" si="1"/>
        <v>25.23</v>
      </c>
      <c r="G1006" s="10" t="str">
        <f>Github!H$1426</f>
        <v>Algorithms</v>
      </c>
      <c r="H1006" s="13" t="str">
        <f>SUBSTITUTE(Github!L$1426, ";", ", ")</f>
        <v>Array, Dynamic Programming, Queue, Sliding Window, Heap (Priority Queue), Monotonic Queue, </v>
      </c>
      <c r="I1006" s="10" t="str">
        <f>Github!E$1426</f>
        <v>Hard</v>
      </c>
      <c r="J1006" s="10" t="str">
        <f>IF(TRIM(Github!D$1426)="TRUE","FALSE","TRUE")</f>
        <v>TRUE</v>
      </c>
      <c r="K1006" s="10" t="b">
        <f>Github!M$1426</f>
        <v>0</v>
      </c>
      <c r="L1006" s="10" t="b">
        <f>Github!N$1426</f>
        <v>0</v>
      </c>
      <c r="M1006" s="10" t="str">
        <f>ROUND(Github!O$1426, 2)&amp;"%"</f>
        <v>46.64%</v>
      </c>
      <c r="N1006" s="10">
        <f>Github!P$1426</f>
        <v>18161</v>
      </c>
      <c r="O1006" s="10">
        <f>Github!Q$1426</f>
        <v>38935</v>
      </c>
    </row>
    <row r="1007">
      <c r="A1007" s="10">
        <f>Github!J$248</f>
        <v>247</v>
      </c>
      <c r="B1007" s="11" t="str">
        <f>HYPERLINK(CONCAT("http://leetcode.com/problems/",Github!C$248), Github!B$248)</f>
        <v>Strobogrammatic Number II</v>
      </c>
      <c r="C1007" s="10">
        <f>Github!F$248</f>
        <v>774</v>
      </c>
      <c r="D1007" s="10">
        <f>Github!G$248</f>
        <v>204</v>
      </c>
      <c r="E1007" s="10">
        <f>Github!F$248+Github!G$248</f>
        <v>978</v>
      </c>
      <c r="F1007" s="12">
        <f t="shared" si="1"/>
        <v>3.79</v>
      </c>
      <c r="G1007" s="10" t="str">
        <f>Github!H$248</f>
        <v>Algorithms</v>
      </c>
      <c r="H1007" s="13" t="str">
        <f>SUBSTITUTE(Github!L$248, ";", ", ")</f>
        <v>Array, String, Recursion, </v>
      </c>
      <c r="I1007" s="10" t="str">
        <f>Github!E$248</f>
        <v>Medium</v>
      </c>
      <c r="J1007" s="10" t="str">
        <f>IF(TRIM(Github!D$248)="TRUE","FALSE","TRUE")</f>
        <v>FALSE</v>
      </c>
      <c r="K1007" s="10" t="b">
        <f>Github!M$248</f>
        <v>1</v>
      </c>
      <c r="L1007" s="10" t="b">
        <f>Github!N$248</f>
        <v>0</v>
      </c>
      <c r="M1007" s="10" t="str">
        <f>ROUND(Github!O$248, 2)&amp;"%"</f>
        <v>50.98%</v>
      </c>
      <c r="N1007" s="10">
        <f>Github!P$248</f>
        <v>118296</v>
      </c>
      <c r="O1007" s="10">
        <f>Github!Q$248</f>
        <v>232050</v>
      </c>
    </row>
    <row r="1008">
      <c r="A1008" s="10">
        <f>Github!J$362</f>
        <v>361</v>
      </c>
      <c r="B1008" s="11" t="str">
        <f>HYPERLINK(CONCAT("http://leetcode.com/problems/",Github!C$362), Github!B$362)</f>
        <v>Bomb Enemy</v>
      </c>
      <c r="C1008" s="10">
        <f>Github!F$362</f>
        <v>773</v>
      </c>
      <c r="D1008" s="10">
        <f>Github!G$362</f>
        <v>93</v>
      </c>
      <c r="E1008" s="10">
        <f>Github!F$362+Github!G$362</f>
        <v>866</v>
      </c>
      <c r="F1008" s="12">
        <f t="shared" si="1"/>
        <v>8.31</v>
      </c>
      <c r="G1008" s="10" t="str">
        <f>Github!H$362</f>
        <v>Algorithms</v>
      </c>
      <c r="H1008" s="13" t="str">
        <f>SUBSTITUTE(Github!L$362, ";", ", ")</f>
        <v>Array, Dynamic Programming, Matrix, </v>
      </c>
      <c r="I1008" s="10" t="str">
        <f>Github!E$362</f>
        <v>Medium</v>
      </c>
      <c r="J1008" s="10" t="str">
        <f>IF(TRIM(Github!D$362)="TRUE","FALSE","TRUE")</f>
        <v>FALSE</v>
      </c>
      <c r="K1008" s="10" t="b">
        <f>Github!M$362</f>
        <v>1</v>
      </c>
      <c r="L1008" s="10" t="b">
        <f>Github!N$362</f>
        <v>0</v>
      </c>
      <c r="M1008" s="10" t="str">
        <f>ROUND(Github!O$362, 2)&amp;"%"</f>
        <v>50.03%</v>
      </c>
      <c r="N1008" s="10">
        <f>Github!P$362</f>
        <v>65019</v>
      </c>
      <c r="O1008" s="10">
        <f>Github!Q$362</f>
        <v>129952</v>
      </c>
    </row>
    <row r="1009">
      <c r="A1009" s="10">
        <f>Github!J$1293</f>
        <v>1292</v>
      </c>
      <c r="B1009" s="11" t="str">
        <f>HYPERLINK(CONCAT("http://leetcode.com/problems/",Github!C$1293), Github!B$1293)</f>
        <v>Maximum Side Length of a Square with Sum Less than or Equal to Threshold</v>
      </c>
      <c r="C1009" s="10">
        <f>Github!F$1293</f>
        <v>777</v>
      </c>
      <c r="D1009" s="10">
        <f>Github!G$1293</f>
        <v>61</v>
      </c>
      <c r="E1009" s="10">
        <f>Github!F$1293+Github!G$1293</f>
        <v>838</v>
      </c>
      <c r="F1009" s="12">
        <f t="shared" si="1"/>
        <v>12.74</v>
      </c>
      <c r="G1009" s="10" t="str">
        <f>Github!H$1293</f>
        <v>Algorithms</v>
      </c>
      <c r="H1009" s="13" t="str">
        <f>SUBSTITUTE(Github!L$1293, ";", ", ")</f>
        <v>Array, Binary Search, Matrix, Prefix Sum, </v>
      </c>
      <c r="I1009" s="10" t="str">
        <f>Github!E$1293</f>
        <v>Medium</v>
      </c>
      <c r="J1009" s="10" t="str">
        <f>IF(TRIM(Github!D$1293)="TRUE","FALSE","TRUE")</f>
        <v>TRUE</v>
      </c>
      <c r="K1009" s="10" t="b">
        <f>Github!M$1293</f>
        <v>0</v>
      </c>
      <c r="L1009" s="10" t="b">
        <f>Github!N$1293</f>
        <v>0</v>
      </c>
      <c r="M1009" s="10" t="str">
        <f>ROUND(Github!O$1293, 2)&amp;"%"</f>
        <v>52.49%</v>
      </c>
      <c r="N1009" s="10">
        <f>Github!P$1293</f>
        <v>24190</v>
      </c>
      <c r="O1009" s="10">
        <f>Github!Q$1293</f>
        <v>46082</v>
      </c>
    </row>
    <row r="1010">
      <c r="A1010" s="10">
        <f>Github!J$1663</f>
        <v>1662</v>
      </c>
      <c r="B1010" s="11" t="str">
        <f>HYPERLINK(CONCAT("http://leetcode.com/problems/",Github!C$1663), Github!B$1663)</f>
        <v>Check If Two String Arrays are Equivalent</v>
      </c>
      <c r="C1010" s="10">
        <f>Github!F$1663</f>
        <v>783</v>
      </c>
      <c r="D1010" s="10">
        <f>Github!G$1663</f>
        <v>111</v>
      </c>
      <c r="E1010" s="10">
        <f>Github!F$1663+Github!G$1663</f>
        <v>894</v>
      </c>
      <c r="F1010" s="12">
        <f t="shared" si="1"/>
        <v>7.05</v>
      </c>
      <c r="G1010" s="10" t="str">
        <f>Github!H$1663</f>
        <v>Algorithms</v>
      </c>
      <c r="H1010" s="13" t="str">
        <f>SUBSTITUTE(Github!L$1663, ";", ", ")</f>
        <v>Array, String, </v>
      </c>
      <c r="I1010" s="10" t="str">
        <f>Github!E$1663</f>
        <v>Easy</v>
      </c>
      <c r="J1010" s="10" t="str">
        <f>IF(TRIM(Github!D$1663)="TRUE","FALSE","TRUE")</f>
        <v>TRUE</v>
      </c>
      <c r="K1010" s="10" t="b">
        <f>Github!M$1663</f>
        <v>0</v>
      </c>
      <c r="L1010" s="10" t="b">
        <f>Github!N$1663</f>
        <v>0</v>
      </c>
      <c r="M1010" s="10" t="str">
        <f>ROUND(Github!O$1663, 2)&amp;"%"</f>
        <v>81.97%</v>
      </c>
      <c r="N1010" s="10">
        <f>Github!P$1663</f>
        <v>140768</v>
      </c>
      <c r="O1010" s="10">
        <f>Github!Q$1663</f>
        <v>171738</v>
      </c>
    </row>
    <row r="1011">
      <c r="A1011" s="10">
        <f>Github!J$1701</f>
        <v>1700</v>
      </c>
      <c r="B1011" s="11" t="str">
        <f>HYPERLINK(CONCAT("http://leetcode.com/problems/",Github!C$1701), Github!B$1701)</f>
        <v>Number of Students Unable to Eat Lunch</v>
      </c>
      <c r="C1011" s="10">
        <f>Github!F$1701</f>
        <v>773</v>
      </c>
      <c r="D1011" s="10">
        <f>Github!G$1701</f>
        <v>41</v>
      </c>
      <c r="E1011" s="10">
        <f>Github!F$1701+Github!G$1701</f>
        <v>814</v>
      </c>
      <c r="F1011" s="12">
        <f t="shared" si="1"/>
        <v>18.85</v>
      </c>
      <c r="G1011" s="10" t="str">
        <f>Github!H$1701</f>
        <v>Algorithms</v>
      </c>
      <c r="H1011" s="13" t="str">
        <f>SUBSTITUTE(Github!L$1701, ";", ", ")</f>
        <v>Array, Stack, Queue, Simulation, </v>
      </c>
      <c r="I1011" s="10" t="str">
        <f>Github!E$1701</f>
        <v>Easy</v>
      </c>
      <c r="J1011" s="10" t="str">
        <f>IF(TRIM(Github!D$1701)="TRUE","FALSE","TRUE")</f>
        <v>TRUE</v>
      </c>
      <c r="K1011" s="10" t="b">
        <f>Github!M$1701</f>
        <v>0</v>
      </c>
      <c r="L1011" s="10" t="b">
        <f>Github!N$1701</f>
        <v>0</v>
      </c>
      <c r="M1011" s="10" t="str">
        <f>ROUND(Github!O$1701, 2)&amp;"%"</f>
        <v>67.76%</v>
      </c>
      <c r="N1011" s="10">
        <f>Github!P$1701</f>
        <v>38195</v>
      </c>
      <c r="O1011" s="10">
        <f>Github!Q$1701</f>
        <v>56372</v>
      </c>
    </row>
    <row r="1012">
      <c r="A1012" s="10">
        <f>Github!J$1733</f>
        <v>1732</v>
      </c>
      <c r="B1012" s="11" t="str">
        <f>HYPERLINK(CONCAT("http://leetcode.com/problems/",Github!C$1733), Github!B$1733)</f>
        <v>Find the Highest Altitude</v>
      </c>
      <c r="C1012" s="10">
        <f>Github!F$1733</f>
        <v>774</v>
      </c>
      <c r="D1012" s="10">
        <f>Github!G$1733</f>
        <v>81</v>
      </c>
      <c r="E1012" s="10">
        <f>Github!F$1733+Github!G$1733</f>
        <v>855</v>
      </c>
      <c r="F1012" s="12">
        <f t="shared" si="1"/>
        <v>9.56</v>
      </c>
      <c r="G1012" s="10" t="str">
        <f>Github!H$1733</f>
        <v>Algorithms</v>
      </c>
      <c r="H1012" s="13" t="str">
        <f>SUBSTITUTE(Github!L$1733, ";", ", ")</f>
        <v>Array, Prefix Sum, </v>
      </c>
      <c r="I1012" s="10" t="str">
        <f>Github!E$1733</f>
        <v>Easy</v>
      </c>
      <c r="J1012" s="10" t="str">
        <f>IF(TRIM(Github!D$1733)="TRUE","FALSE","TRUE")</f>
        <v>TRUE</v>
      </c>
      <c r="K1012" s="10" t="b">
        <f>Github!M$1733</f>
        <v>0</v>
      </c>
      <c r="L1012" s="10" t="b">
        <f>Github!N$1733</f>
        <v>0</v>
      </c>
      <c r="M1012" s="10" t="str">
        <f>ROUND(Github!O$1733, 2)&amp;"%"</f>
        <v>78.91%</v>
      </c>
      <c r="N1012" s="10">
        <f>Github!P$1733</f>
        <v>70510</v>
      </c>
      <c r="O1012" s="10">
        <f>Github!Q$1733</f>
        <v>89359</v>
      </c>
    </row>
    <row r="1013">
      <c r="A1013" s="10">
        <f>Github!J$366</f>
        <v>365</v>
      </c>
      <c r="B1013" s="11" t="str">
        <f>HYPERLINK(CONCAT("http://leetcode.com/problems/",Github!C$366), Github!B$366)</f>
        <v>Water and Jug Problem</v>
      </c>
      <c r="C1013" s="10">
        <f>Github!F$366</f>
        <v>772</v>
      </c>
      <c r="D1013" s="10">
        <f>Github!G$366</f>
        <v>1126</v>
      </c>
      <c r="E1013" s="10">
        <f>Github!F$366+Github!G$366</f>
        <v>1898</v>
      </c>
      <c r="F1013" s="12">
        <f t="shared" si="1"/>
        <v>0.69</v>
      </c>
      <c r="G1013" s="10" t="str">
        <f>Github!H$366</f>
        <v>Algorithms</v>
      </c>
      <c r="H1013" s="13" t="str">
        <f>SUBSTITUTE(Github!L$366, ";", ", ")</f>
        <v>Math, Depth-First Search, Breadth-First Search, </v>
      </c>
      <c r="I1013" s="10" t="str">
        <f>Github!E$366</f>
        <v>Medium</v>
      </c>
      <c r="J1013" s="10" t="str">
        <f>IF(TRIM(Github!D$366)="TRUE","FALSE","TRUE")</f>
        <v>TRUE</v>
      </c>
      <c r="K1013" s="10" t="b">
        <f>Github!M$366</f>
        <v>0</v>
      </c>
      <c r="L1013" s="10" t="b">
        <f>Github!N$366</f>
        <v>0</v>
      </c>
      <c r="M1013" s="10" t="str">
        <f>ROUND(Github!O$366, 2)&amp;"%"</f>
        <v>34.56%</v>
      </c>
      <c r="N1013" s="10">
        <f>Github!P$366</f>
        <v>62365</v>
      </c>
      <c r="O1013" s="10">
        <f>Github!Q$366</f>
        <v>180468</v>
      </c>
    </row>
    <row r="1014">
      <c r="A1014" s="10">
        <f>Github!J$1290</f>
        <v>1289</v>
      </c>
      <c r="B1014" s="11" t="str">
        <f>HYPERLINK(CONCAT("http://leetcode.com/problems/",Github!C$1290), Github!B$1290)</f>
        <v>Minimum Falling Path Sum II</v>
      </c>
      <c r="C1014" s="10">
        <f>Github!F$1290</f>
        <v>769</v>
      </c>
      <c r="D1014" s="10">
        <f>Github!G$1290</f>
        <v>65</v>
      </c>
      <c r="E1014" s="10">
        <f>Github!F$1290+Github!G$1290</f>
        <v>834</v>
      </c>
      <c r="F1014" s="12">
        <f t="shared" si="1"/>
        <v>11.83</v>
      </c>
      <c r="G1014" s="10" t="str">
        <f>Github!H$1290</f>
        <v>Algorithms</v>
      </c>
      <c r="H1014" s="13" t="str">
        <f>SUBSTITUTE(Github!L$1290, ";", ", ")</f>
        <v>Array, Dynamic Programming, Matrix, </v>
      </c>
      <c r="I1014" s="10" t="str">
        <f>Github!E$1290</f>
        <v>Hard</v>
      </c>
      <c r="J1014" s="10" t="str">
        <f>IF(TRIM(Github!D$1290)="TRUE","FALSE","TRUE")</f>
        <v>TRUE</v>
      </c>
      <c r="K1014" s="10" t="b">
        <f>Github!M$1290</f>
        <v>0</v>
      </c>
      <c r="L1014" s="10" t="b">
        <f>Github!N$1290</f>
        <v>0</v>
      </c>
      <c r="M1014" s="10" t="str">
        <f>ROUND(Github!O$1290, 2)&amp;"%"</f>
        <v>61.11%</v>
      </c>
      <c r="N1014" s="10">
        <f>Github!P$1290</f>
        <v>27729</v>
      </c>
      <c r="O1014" s="10">
        <f>Github!Q$1290</f>
        <v>45374</v>
      </c>
    </row>
    <row r="1015">
      <c r="A1015" s="10">
        <f>Github!J$865</f>
        <v>864</v>
      </c>
      <c r="B1015" s="11" t="str">
        <f>HYPERLINK(CONCAT("http://leetcode.com/problems/",Github!C$865), Github!B$865)</f>
        <v>Shortest Path to Get All Keys</v>
      </c>
      <c r="C1015" s="10">
        <f>Github!F$865</f>
        <v>764</v>
      </c>
      <c r="D1015" s="10">
        <f>Github!G$865</f>
        <v>25</v>
      </c>
      <c r="E1015" s="10">
        <f>Github!F$865+Github!G$865</f>
        <v>789</v>
      </c>
      <c r="F1015" s="12">
        <f t="shared" si="1"/>
        <v>30.56</v>
      </c>
      <c r="G1015" s="10" t="str">
        <f>Github!H$865</f>
        <v>Algorithms</v>
      </c>
      <c r="H1015" s="13" t="str">
        <f>SUBSTITUTE(Github!L$865, ";", ", ")</f>
        <v>Bit Manipulation, Breadth-First Search, </v>
      </c>
      <c r="I1015" s="10" t="str">
        <f>Github!E$865</f>
        <v>Hard</v>
      </c>
      <c r="J1015" s="10" t="str">
        <f>IF(TRIM(Github!D$865)="TRUE","FALSE","TRUE")</f>
        <v>TRUE</v>
      </c>
      <c r="K1015" s="10" t="b">
        <f>Github!M$865</f>
        <v>0</v>
      </c>
      <c r="L1015" s="10" t="b">
        <f>Github!N$865</f>
        <v>0</v>
      </c>
      <c r="M1015" s="10" t="str">
        <f>ROUND(Github!O$865, 2)&amp;"%"</f>
        <v>44.55%</v>
      </c>
      <c r="N1015" s="10">
        <f>Github!P$865</f>
        <v>23147</v>
      </c>
      <c r="O1015" s="10">
        <f>Github!Q$865</f>
        <v>51954</v>
      </c>
    </row>
    <row r="1016">
      <c r="A1016" s="10">
        <f>Github!J$164</f>
        <v>163</v>
      </c>
      <c r="B1016" s="11" t="str">
        <f>HYPERLINK(CONCAT("http://leetcode.com/problems/",Github!C$164), Github!B$164)</f>
        <v>Missing Ranges</v>
      </c>
      <c r="C1016" s="10">
        <f>Github!F$164</f>
        <v>767</v>
      </c>
      <c r="D1016" s="10">
        <f>Github!G$164</f>
        <v>2511</v>
      </c>
      <c r="E1016" s="10">
        <f>Github!F$164+Github!G$164</f>
        <v>3278</v>
      </c>
      <c r="F1016" s="12">
        <f t="shared" si="1"/>
        <v>0.31</v>
      </c>
      <c r="G1016" s="10" t="str">
        <f>Github!H$164</f>
        <v>Algorithms</v>
      </c>
      <c r="H1016" s="13" t="str">
        <f>SUBSTITUTE(Github!L$164, ";", ", ")</f>
        <v>Array, </v>
      </c>
      <c r="I1016" s="10" t="str">
        <f>Github!E$164</f>
        <v>Easy</v>
      </c>
      <c r="J1016" s="10" t="str">
        <f>IF(TRIM(Github!D$164)="TRUE","FALSE","TRUE")</f>
        <v>FALSE</v>
      </c>
      <c r="K1016" s="10" t="b">
        <f>Github!M$164</f>
        <v>1</v>
      </c>
      <c r="L1016" s="10" t="b">
        <f>Github!N$164</f>
        <v>1</v>
      </c>
      <c r="M1016" s="10" t="str">
        <f>ROUND(Github!O$164, 2)&amp;"%"</f>
        <v>31.25%</v>
      </c>
      <c r="N1016" s="10">
        <f>Github!P$164</f>
        <v>167971</v>
      </c>
      <c r="O1016" s="10">
        <f>Github!Q$164</f>
        <v>537591</v>
      </c>
    </row>
    <row r="1017">
      <c r="A1017" s="10">
        <f>Github!J$1321</f>
        <v>1320</v>
      </c>
      <c r="B1017" s="11" t="str">
        <f>HYPERLINK(CONCAT("http://leetcode.com/problems/",Github!C$1321), Github!B$1321)</f>
        <v>Minimum Distance to Type a Word Using Two Fingers</v>
      </c>
      <c r="C1017" s="10">
        <f>Github!F$1321</f>
        <v>761</v>
      </c>
      <c r="D1017" s="10">
        <f>Github!G$1321</f>
        <v>30</v>
      </c>
      <c r="E1017" s="10">
        <f>Github!F$1321+Github!G$1321</f>
        <v>791</v>
      </c>
      <c r="F1017" s="12">
        <f t="shared" si="1"/>
        <v>25.37</v>
      </c>
      <c r="G1017" s="10" t="str">
        <f>Github!H$1321</f>
        <v>Algorithms</v>
      </c>
      <c r="H1017" s="13" t="str">
        <f>SUBSTITUTE(Github!L$1321, ";", ", ")</f>
        <v>String, Dynamic Programming, </v>
      </c>
      <c r="I1017" s="10" t="str">
        <f>Github!E$1321</f>
        <v>Hard</v>
      </c>
      <c r="J1017" s="10" t="str">
        <f>IF(TRIM(Github!D$1321)="TRUE","FALSE","TRUE")</f>
        <v>TRUE</v>
      </c>
      <c r="K1017" s="10" t="b">
        <f>Github!M$1321</f>
        <v>0</v>
      </c>
      <c r="L1017" s="10" t="b">
        <f>Github!N$1321</f>
        <v>0</v>
      </c>
      <c r="M1017" s="10" t="str">
        <f>ROUND(Github!O$1321, 2)&amp;"%"</f>
        <v>60.25%</v>
      </c>
      <c r="N1017" s="10">
        <f>Github!P$1321</f>
        <v>23884</v>
      </c>
      <c r="O1017" s="10">
        <f>Github!Q$1321</f>
        <v>39644</v>
      </c>
    </row>
    <row r="1018">
      <c r="A1018" s="10">
        <f>Github!J$724</f>
        <v>723</v>
      </c>
      <c r="B1018" s="11" t="str">
        <f>HYPERLINK(CONCAT("http://leetcode.com/problems/",Github!C$724), Github!B$724)</f>
        <v>Candy Crush</v>
      </c>
      <c r="C1018" s="10">
        <f>Github!F$724</f>
        <v>763</v>
      </c>
      <c r="D1018" s="10">
        <f>Github!G$724</f>
        <v>344</v>
      </c>
      <c r="E1018" s="10">
        <f>Github!F$724+Github!G$724</f>
        <v>1107</v>
      </c>
      <c r="F1018" s="12">
        <f t="shared" si="1"/>
        <v>2.22</v>
      </c>
      <c r="G1018" s="10" t="str">
        <f>Github!H$724</f>
        <v>Algorithms</v>
      </c>
      <c r="H1018" s="13" t="str">
        <f>SUBSTITUTE(Github!L$724, ";", ", ")</f>
        <v>Array, Two Pointers, Matrix, Simulation, </v>
      </c>
      <c r="I1018" s="10" t="str">
        <f>Github!E$724</f>
        <v>Medium</v>
      </c>
      <c r="J1018" s="10" t="str">
        <f>IF(TRIM(Github!D$724)="TRUE","FALSE","TRUE")</f>
        <v>FALSE</v>
      </c>
      <c r="K1018" s="10" t="b">
        <f>Github!M$724</f>
        <v>1</v>
      </c>
      <c r="L1018" s="10" t="b">
        <f>Github!N$724</f>
        <v>0</v>
      </c>
      <c r="M1018" s="10" t="str">
        <f>ROUND(Github!O$724, 2)&amp;"%"</f>
        <v>75.17%</v>
      </c>
      <c r="N1018" s="10">
        <f>Github!P$724</f>
        <v>50046</v>
      </c>
      <c r="O1018" s="10">
        <f>Github!Q$724</f>
        <v>66575</v>
      </c>
    </row>
    <row r="1019">
      <c r="A1019" s="10">
        <f>Github!J$920</f>
        <v>919</v>
      </c>
      <c r="B1019" s="11" t="str">
        <f>HYPERLINK(CONCAT("http://leetcode.com/problems/",Github!C$920), Github!B$920)</f>
        <v>Complete Binary Tree Inserter</v>
      </c>
      <c r="C1019" s="10">
        <f>Github!F$920</f>
        <v>764</v>
      </c>
      <c r="D1019" s="10">
        <f>Github!G$920</f>
        <v>82</v>
      </c>
      <c r="E1019" s="10">
        <f>Github!F$920+Github!G$920</f>
        <v>846</v>
      </c>
      <c r="F1019" s="12">
        <f t="shared" si="1"/>
        <v>9.32</v>
      </c>
      <c r="G1019" s="10" t="str">
        <f>Github!H$920</f>
        <v>Algorithms</v>
      </c>
      <c r="H1019" s="13" t="str">
        <f>SUBSTITUTE(Github!L$920, ";", ", ")</f>
        <v>Tree, Breadth-First Search, Design, Binary Tree, </v>
      </c>
      <c r="I1019" s="10" t="str">
        <f>Github!E$920</f>
        <v>Medium</v>
      </c>
      <c r="J1019" s="10" t="str">
        <f>IF(TRIM(Github!D$920)="TRUE","FALSE","TRUE")</f>
        <v>TRUE</v>
      </c>
      <c r="K1019" s="10" t="b">
        <f>Github!M$920</f>
        <v>1</v>
      </c>
      <c r="L1019" s="10" t="b">
        <f>Github!N$920</f>
        <v>0</v>
      </c>
      <c r="M1019" s="10" t="str">
        <f>ROUND(Github!O$920, 2)&amp;"%"</f>
        <v>64.06%</v>
      </c>
      <c r="N1019" s="10">
        <f>Github!P$920</f>
        <v>38559</v>
      </c>
      <c r="O1019" s="10">
        <f>Github!Q$920</f>
        <v>60195</v>
      </c>
    </row>
    <row r="1020">
      <c r="A1020" s="10">
        <f>Github!J$1525</f>
        <v>1524</v>
      </c>
      <c r="B1020" s="11" t="str">
        <f>HYPERLINK(CONCAT("http://leetcode.com/problems/",Github!C$1525), Github!B$1525)</f>
        <v>Number of Sub-arrays With Odd Sum</v>
      </c>
      <c r="C1020" s="10">
        <f>Github!F$1525</f>
        <v>761</v>
      </c>
      <c r="D1020" s="10">
        <f>Github!G$1525</f>
        <v>33</v>
      </c>
      <c r="E1020" s="10">
        <f>Github!F$1525+Github!G$1525</f>
        <v>794</v>
      </c>
      <c r="F1020" s="12">
        <f t="shared" si="1"/>
        <v>23.06</v>
      </c>
      <c r="G1020" s="10" t="str">
        <f>Github!H$1525</f>
        <v>Algorithms</v>
      </c>
      <c r="H1020" s="13" t="str">
        <f>SUBSTITUTE(Github!L$1525, ";", ", ")</f>
        <v>Array, Math, Dynamic Programming, Prefix Sum, </v>
      </c>
      <c r="I1020" s="10" t="str">
        <f>Github!E$1525</f>
        <v>Medium</v>
      </c>
      <c r="J1020" s="10" t="str">
        <f>IF(TRIM(Github!D$1525)="TRUE","FALSE","TRUE")</f>
        <v>TRUE</v>
      </c>
      <c r="K1020" s="10" t="b">
        <f>Github!M$1525</f>
        <v>0</v>
      </c>
      <c r="L1020" s="10" t="b">
        <f>Github!N$1525</f>
        <v>0</v>
      </c>
      <c r="M1020" s="10" t="str">
        <f>ROUND(Github!O$1525, 2)&amp;"%"</f>
        <v>43.52%</v>
      </c>
      <c r="N1020" s="10">
        <f>Github!P$1525</f>
        <v>23110</v>
      </c>
      <c r="O1020" s="10">
        <f>Github!Q$1525</f>
        <v>53102</v>
      </c>
    </row>
    <row r="1021">
      <c r="A1021" s="10">
        <f>Github!J$743</f>
        <v>742</v>
      </c>
      <c r="B1021" s="11" t="str">
        <f>HYPERLINK(CONCAT("http://leetcode.com/problems/",Github!C$743), Github!B$743)</f>
        <v>Closest Leaf in a Binary Tree</v>
      </c>
      <c r="C1021" s="10">
        <f>Github!F$743</f>
        <v>757</v>
      </c>
      <c r="D1021" s="10">
        <f>Github!G$743</f>
        <v>147</v>
      </c>
      <c r="E1021" s="10">
        <f>Github!F$743+Github!G$743</f>
        <v>904</v>
      </c>
      <c r="F1021" s="12">
        <f t="shared" si="1"/>
        <v>5.15</v>
      </c>
      <c r="G1021" s="10" t="str">
        <f>Github!H$743</f>
        <v>Algorithms</v>
      </c>
      <c r="H1021" s="13" t="str">
        <f>SUBSTITUTE(Github!L$743, ";", ", ")</f>
        <v>Tree, Depth-First Search, Breadth-First Search, Binary Tree, </v>
      </c>
      <c r="I1021" s="10" t="str">
        <f>Github!E$743</f>
        <v>Medium</v>
      </c>
      <c r="J1021" s="10" t="str">
        <f>IF(TRIM(Github!D$743)="TRUE","FALSE","TRUE")</f>
        <v>FALSE</v>
      </c>
      <c r="K1021" s="10" t="b">
        <f>Github!M$743</f>
        <v>1</v>
      </c>
      <c r="L1021" s="10" t="b">
        <f>Github!N$743</f>
        <v>0</v>
      </c>
      <c r="M1021" s="10" t="str">
        <f>ROUND(Github!O$743, 2)&amp;"%"</f>
        <v>45.67%</v>
      </c>
      <c r="N1021" s="10">
        <f>Github!P$743</f>
        <v>38131</v>
      </c>
      <c r="O1021" s="10">
        <f>Github!Q$743</f>
        <v>83493</v>
      </c>
    </row>
    <row r="1022">
      <c r="A1022" s="10">
        <f>Github!J$1202</f>
        <v>1201</v>
      </c>
      <c r="B1022" s="11" t="str">
        <f>HYPERLINK(CONCAT("http://leetcode.com/problems/",Github!C$1202), Github!B$1202)</f>
        <v>Ugly Number III</v>
      </c>
      <c r="C1022" s="10">
        <f>Github!F$1202</f>
        <v>759</v>
      </c>
      <c r="D1022" s="10">
        <f>Github!G$1202</f>
        <v>397</v>
      </c>
      <c r="E1022" s="10">
        <f>Github!F$1202+Github!G$1202</f>
        <v>1156</v>
      </c>
      <c r="F1022" s="12">
        <f t="shared" si="1"/>
        <v>1.91</v>
      </c>
      <c r="G1022" s="10" t="str">
        <f>Github!H$1202</f>
        <v>Algorithms</v>
      </c>
      <c r="H1022" s="13" t="str">
        <f>SUBSTITUTE(Github!L$1202, ";", ", ")</f>
        <v>Math, Binary Search, Number Theory, </v>
      </c>
      <c r="I1022" s="10" t="str">
        <f>Github!E$1202</f>
        <v>Medium</v>
      </c>
      <c r="J1022" s="10" t="str">
        <f>IF(TRIM(Github!D$1202)="TRUE","FALSE","TRUE")</f>
        <v>TRUE</v>
      </c>
      <c r="K1022" s="10" t="b">
        <f>Github!M$1202</f>
        <v>0</v>
      </c>
      <c r="L1022" s="10" t="b">
        <f>Github!N$1202</f>
        <v>0</v>
      </c>
      <c r="M1022" s="10" t="str">
        <f>ROUND(Github!O$1202, 2)&amp;"%"</f>
        <v>27.96%</v>
      </c>
      <c r="N1022" s="10">
        <f>Github!P$1202</f>
        <v>19763</v>
      </c>
      <c r="O1022" s="10">
        <f>Github!Q$1202</f>
        <v>70688</v>
      </c>
    </row>
    <row r="1023">
      <c r="A1023" s="10">
        <f>Github!J$1945</f>
        <v>1944</v>
      </c>
      <c r="B1023" s="11" t="str">
        <f>HYPERLINK(CONCAT("http://leetcode.com/problems/",Github!C$1945), Github!B$1945)</f>
        <v>Number of Visible People in a Queue</v>
      </c>
      <c r="C1023" s="10">
        <f>Github!F$1945</f>
        <v>770</v>
      </c>
      <c r="D1023" s="10">
        <f>Github!G$1945</f>
        <v>16</v>
      </c>
      <c r="E1023" s="10">
        <f>Github!F$1945+Github!G$1945</f>
        <v>786</v>
      </c>
      <c r="F1023" s="12">
        <f t="shared" si="1"/>
        <v>48.13</v>
      </c>
      <c r="G1023" s="10" t="str">
        <f>Github!H$1945</f>
        <v>Algorithms</v>
      </c>
      <c r="H1023" s="13" t="str">
        <f>SUBSTITUTE(Github!L$1945, ";", ", ")</f>
        <v>Array, Stack, Monotonic Stack, </v>
      </c>
      <c r="I1023" s="10" t="str">
        <f>Github!E$1945</f>
        <v>Hard</v>
      </c>
      <c r="J1023" s="10" t="str">
        <f>IF(TRIM(Github!D$1945)="TRUE","FALSE","TRUE")</f>
        <v>TRUE</v>
      </c>
      <c r="K1023" s="10" t="b">
        <f>Github!M$1945</f>
        <v>0</v>
      </c>
      <c r="L1023" s="10" t="b">
        <f>Github!N$1945</f>
        <v>0</v>
      </c>
      <c r="M1023" s="10" t="str">
        <f>ROUND(Github!O$1945, 2)&amp;"%"</f>
        <v>70.13%</v>
      </c>
      <c r="N1023" s="10">
        <f>Github!P$1945</f>
        <v>18332</v>
      </c>
      <c r="O1023" s="10">
        <f>Github!Q$1945</f>
        <v>26141</v>
      </c>
    </row>
    <row r="1024">
      <c r="A1024" s="10">
        <f>Github!J$1763</f>
        <v>1762</v>
      </c>
      <c r="B1024" s="11" t="str">
        <f>HYPERLINK(CONCAT("http://leetcode.com/problems/",Github!C$1763), Github!B$1763)</f>
        <v>Buildings With an Ocean View</v>
      </c>
      <c r="C1024" s="10">
        <f>Github!F$1763</f>
        <v>767</v>
      </c>
      <c r="D1024" s="10">
        <f>Github!G$1763</f>
        <v>104</v>
      </c>
      <c r="E1024" s="10">
        <f>Github!F$1763+Github!G$1763</f>
        <v>871</v>
      </c>
      <c r="F1024" s="12">
        <f t="shared" si="1"/>
        <v>7.38</v>
      </c>
      <c r="G1024" s="10" t="str">
        <f>Github!H$1763</f>
        <v>Algorithms</v>
      </c>
      <c r="H1024" s="13" t="str">
        <f>SUBSTITUTE(Github!L$1763, ";", ", ")</f>
        <v>Array, Stack, Monotonic Stack, </v>
      </c>
      <c r="I1024" s="10" t="str">
        <f>Github!E$1763</f>
        <v>Medium</v>
      </c>
      <c r="J1024" s="10" t="str">
        <f>IF(TRIM(Github!D$1763)="TRUE","FALSE","TRUE")</f>
        <v>FALSE</v>
      </c>
      <c r="K1024" s="10" t="b">
        <f>Github!M$1763</f>
        <v>1</v>
      </c>
      <c r="L1024" s="10" t="b">
        <f>Github!N$1763</f>
        <v>0</v>
      </c>
      <c r="M1024" s="10" t="str">
        <f>ROUND(Github!O$1763, 2)&amp;"%"</f>
        <v>79.91%</v>
      </c>
      <c r="N1024" s="10">
        <f>Github!P$1763</f>
        <v>105478</v>
      </c>
      <c r="O1024" s="10">
        <f>Github!Q$1763</f>
        <v>131997</v>
      </c>
    </row>
    <row r="1025">
      <c r="A1025" s="10">
        <f>Github!J$630</f>
        <v>629</v>
      </c>
      <c r="B1025" s="11" t="str">
        <f>HYPERLINK(CONCAT("http://leetcode.com/problems/",Github!C$630), Github!B$630)</f>
        <v>K Inverse Pairs Array</v>
      </c>
      <c r="C1025" s="10">
        <f>Github!F$630</f>
        <v>753</v>
      </c>
      <c r="D1025" s="10">
        <f>Github!G$630</f>
        <v>110</v>
      </c>
      <c r="E1025" s="10">
        <f>Github!F$630+Github!G$630</f>
        <v>863</v>
      </c>
      <c r="F1025" s="12">
        <f t="shared" si="1"/>
        <v>6.85</v>
      </c>
      <c r="G1025" s="10" t="str">
        <f>Github!H$630</f>
        <v>Algorithms</v>
      </c>
      <c r="H1025" s="13" t="str">
        <f>SUBSTITUTE(Github!L$630, ";", ", ")</f>
        <v>Dynamic Programming, </v>
      </c>
      <c r="I1025" s="10" t="str">
        <f>Github!E$630</f>
        <v>Hard</v>
      </c>
      <c r="J1025" s="10" t="str">
        <f>IF(TRIM(Github!D$630)="TRUE","FALSE","TRUE")</f>
        <v>TRUE</v>
      </c>
      <c r="K1025" s="10" t="b">
        <f>Github!M$630</f>
        <v>1</v>
      </c>
      <c r="L1025" s="10" t="b">
        <f>Github!N$630</f>
        <v>0</v>
      </c>
      <c r="M1025" s="10" t="str">
        <f>ROUND(Github!O$630, 2)&amp;"%"</f>
        <v>37.27%</v>
      </c>
      <c r="N1025" s="10">
        <f>Github!P$630</f>
        <v>24841</v>
      </c>
      <c r="O1025" s="10">
        <f>Github!Q$630</f>
        <v>66642</v>
      </c>
    </row>
    <row r="1026">
      <c r="A1026" s="10">
        <f>Github!J$385</f>
        <v>384</v>
      </c>
      <c r="B1026" s="11" t="str">
        <f>HYPERLINK(CONCAT("http://leetcode.com/problems/",Github!C$385), Github!B$385)</f>
        <v>Shuffle an Array</v>
      </c>
      <c r="C1026" s="10">
        <f>Github!F$385</f>
        <v>761</v>
      </c>
      <c r="D1026" s="10">
        <f>Github!G$385</f>
        <v>652</v>
      </c>
      <c r="E1026" s="10">
        <f>Github!F$385+Github!G$385</f>
        <v>1413</v>
      </c>
      <c r="F1026" s="12">
        <f t="shared" si="1"/>
        <v>1.17</v>
      </c>
      <c r="G1026" s="10" t="str">
        <f>Github!H$385</f>
        <v>Algorithms</v>
      </c>
      <c r="H1026" s="13" t="str">
        <f>SUBSTITUTE(Github!L$385, ";", ", ")</f>
        <v>Array, Math, Randomized, </v>
      </c>
      <c r="I1026" s="10" t="str">
        <f>Github!E$385</f>
        <v>Medium</v>
      </c>
      <c r="J1026" s="10" t="str">
        <f>IF(TRIM(Github!D$385)="TRUE","FALSE","TRUE")</f>
        <v>TRUE</v>
      </c>
      <c r="K1026" s="10" t="b">
        <f>Github!M$385</f>
        <v>1</v>
      </c>
      <c r="L1026" s="10" t="b">
        <f>Github!N$385</f>
        <v>0</v>
      </c>
      <c r="M1026" s="10" t="str">
        <f>ROUND(Github!O$385, 2)&amp;"%"</f>
        <v>57.01%</v>
      </c>
      <c r="N1026" s="10">
        <f>Github!P$385</f>
        <v>259312</v>
      </c>
      <c r="O1026" s="10">
        <f>Github!Q$385</f>
        <v>454856</v>
      </c>
    </row>
    <row r="1027">
      <c r="A1027" s="10">
        <f>Github!J$391</f>
        <v>390</v>
      </c>
      <c r="B1027" s="11" t="str">
        <f>HYPERLINK(CONCAT("http://leetcode.com/problems/",Github!C$391), Github!B$391)</f>
        <v>Elimination Game</v>
      </c>
      <c r="C1027" s="10">
        <f>Github!F$391</f>
        <v>753</v>
      </c>
      <c r="D1027" s="10">
        <f>Github!G$391</f>
        <v>503</v>
      </c>
      <c r="E1027" s="10">
        <f>Github!F$391+Github!G$391</f>
        <v>1256</v>
      </c>
      <c r="F1027" s="12">
        <f t="shared" si="1"/>
        <v>1.5</v>
      </c>
      <c r="G1027" s="10" t="str">
        <f>Github!H$391</f>
        <v>Algorithms</v>
      </c>
      <c r="H1027" s="13" t="str">
        <f>SUBSTITUTE(Github!L$391, ";", ", ")</f>
        <v>Math, </v>
      </c>
      <c r="I1027" s="10" t="str">
        <f>Github!E$391</f>
        <v>Medium</v>
      </c>
      <c r="J1027" s="10" t="str">
        <f>IF(TRIM(Github!D$391)="TRUE","FALSE","TRUE")</f>
        <v>TRUE</v>
      </c>
      <c r="K1027" s="10" t="b">
        <f>Github!M$391</f>
        <v>0</v>
      </c>
      <c r="L1027" s="10" t="b">
        <f>Github!N$391</f>
        <v>0</v>
      </c>
      <c r="M1027" s="10" t="str">
        <f>ROUND(Github!O$391, 2)&amp;"%"</f>
        <v>46.38%</v>
      </c>
      <c r="N1027" s="10">
        <f>Github!P$391</f>
        <v>44874</v>
      </c>
      <c r="O1027" s="10">
        <f>Github!Q$391</f>
        <v>96761</v>
      </c>
    </row>
    <row r="1028">
      <c r="A1028" s="10">
        <f>Github!J$483</f>
        <v>482</v>
      </c>
      <c r="B1028" s="11" t="str">
        <f>HYPERLINK(CONCAT("http://leetcode.com/problems/",Github!C$483), Github!B$483)</f>
        <v>License Key Formatting</v>
      </c>
      <c r="C1028" s="10">
        <f>Github!F$483</f>
        <v>754</v>
      </c>
      <c r="D1028" s="10">
        <f>Github!G$483</f>
        <v>1085</v>
      </c>
      <c r="E1028" s="10">
        <f>Github!F$483+Github!G$483</f>
        <v>1839</v>
      </c>
      <c r="F1028" s="12">
        <f t="shared" si="1"/>
        <v>0.69</v>
      </c>
      <c r="G1028" s="10" t="str">
        <f>Github!H$483</f>
        <v>Algorithms</v>
      </c>
      <c r="H1028" s="13" t="str">
        <f>SUBSTITUTE(Github!L$483, ";", ", ")</f>
        <v>String, </v>
      </c>
      <c r="I1028" s="10" t="str">
        <f>Github!E$483</f>
        <v>Easy</v>
      </c>
      <c r="J1028" s="10" t="str">
        <f>IF(TRIM(Github!D$483)="TRUE","FALSE","TRUE")</f>
        <v>TRUE</v>
      </c>
      <c r="K1028" s="10" t="b">
        <f>Github!M$483</f>
        <v>0</v>
      </c>
      <c r="L1028" s="10" t="b">
        <f>Github!N$483</f>
        <v>0</v>
      </c>
      <c r="M1028" s="10" t="str">
        <f>ROUND(Github!O$483, 2)&amp;"%"</f>
        <v>43.09%</v>
      </c>
      <c r="N1028" s="10">
        <f>Github!P$483</f>
        <v>211380</v>
      </c>
      <c r="O1028" s="10">
        <f>Github!Q$483</f>
        <v>490544</v>
      </c>
    </row>
    <row r="1029">
      <c r="A1029" s="10">
        <f>Github!J$1412</f>
        <v>1411</v>
      </c>
      <c r="B1029" s="11" t="str">
        <f>HYPERLINK(CONCAT("http://leetcode.com/problems/",Github!C$1412), Github!B$1412)</f>
        <v>Number of Ways to Paint N × 3 Grid</v>
      </c>
      <c r="C1029" s="10">
        <f>Github!F$1412</f>
        <v>754</v>
      </c>
      <c r="D1029" s="10">
        <f>Github!G$1412</f>
        <v>36</v>
      </c>
      <c r="E1029" s="10">
        <f>Github!F$1412+Github!G$1412</f>
        <v>790</v>
      </c>
      <c r="F1029" s="12">
        <f t="shared" si="1"/>
        <v>20.94</v>
      </c>
      <c r="G1029" s="10" t="str">
        <f>Github!H$1412</f>
        <v>Algorithms</v>
      </c>
      <c r="H1029" s="13" t="str">
        <f>SUBSTITUTE(Github!L$1412, ";", ", ")</f>
        <v>Dynamic Programming, </v>
      </c>
      <c r="I1029" s="10" t="str">
        <f>Github!E$1412</f>
        <v>Hard</v>
      </c>
      <c r="J1029" s="10" t="str">
        <f>IF(TRIM(Github!D$1412)="TRUE","FALSE","TRUE")</f>
        <v>TRUE</v>
      </c>
      <c r="K1029" s="10" t="b">
        <f>Github!M$1412</f>
        <v>0</v>
      </c>
      <c r="L1029" s="10" t="b">
        <f>Github!N$1412</f>
        <v>0</v>
      </c>
      <c r="M1029" s="10" t="str">
        <f>ROUND(Github!O$1412, 2)&amp;"%"</f>
        <v>61.8%</v>
      </c>
      <c r="N1029" s="10">
        <f>Github!P$1412</f>
        <v>24556</v>
      </c>
      <c r="O1029" s="10">
        <f>Github!Q$1412</f>
        <v>39737</v>
      </c>
    </row>
    <row r="1030">
      <c r="A1030" s="10">
        <f>Github!J$1857</f>
        <v>1856</v>
      </c>
      <c r="B1030" s="11" t="str">
        <f>HYPERLINK(CONCAT("http://leetcode.com/problems/",Github!C$1857), Github!B$1857)</f>
        <v>Maximum Subarray Min-Product</v>
      </c>
      <c r="C1030" s="10">
        <f>Github!F$1857</f>
        <v>759</v>
      </c>
      <c r="D1030" s="10">
        <f>Github!G$1857</f>
        <v>44</v>
      </c>
      <c r="E1030" s="10">
        <f>Github!F$1857+Github!G$1857</f>
        <v>803</v>
      </c>
      <c r="F1030" s="12">
        <f t="shared" si="1"/>
        <v>17.25</v>
      </c>
      <c r="G1030" s="10" t="str">
        <f>Github!H$1857</f>
        <v>Algorithms</v>
      </c>
      <c r="H1030" s="13" t="str">
        <f>SUBSTITUTE(Github!L$1857, ";", ", ")</f>
        <v>Array, Stack, Monotonic Stack, Prefix Sum, </v>
      </c>
      <c r="I1030" s="10" t="str">
        <f>Github!E$1857</f>
        <v>Medium</v>
      </c>
      <c r="J1030" s="10" t="str">
        <f>IF(TRIM(Github!D$1857)="TRUE","FALSE","TRUE")</f>
        <v>TRUE</v>
      </c>
      <c r="K1030" s="10" t="b">
        <f>Github!M$1857</f>
        <v>0</v>
      </c>
      <c r="L1030" s="10" t="b">
        <f>Github!N$1857</f>
        <v>0</v>
      </c>
      <c r="M1030" s="10" t="str">
        <f>ROUND(Github!O$1857, 2)&amp;"%"</f>
        <v>35.38%</v>
      </c>
      <c r="N1030" s="10">
        <f>Github!P$1857</f>
        <v>12021</v>
      </c>
      <c r="O1030" s="10">
        <f>Github!Q$1857</f>
        <v>33981</v>
      </c>
    </row>
    <row r="1031">
      <c r="A1031" s="10">
        <f>Github!J$1707</f>
        <v>1706</v>
      </c>
      <c r="B1031" s="11" t="str">
        <f>HYPERLINK(CONCAT("http://leetcode.com/problems/",Github!C$1707), Github!B$1707)</f>
        <v>Where Will the Ball Fall</v>
      </c>
      <c r="C1031" s="10">
        <f>Github!F$1707</f>
        <v>753</v>
      </c>
      <c r="D1031" s="10">
        <f>Github!G$1707</f>
        <v>54</v>
      </c>
      <c r="E1031" s="10">
        <f>Github!F$1707+Github!G$1707</f>
        <v>807</v>
      </c>
      <c r="F1031" s="12">
        <f t="shared" si="1"/>
        <v>13.94</v>
      </c>
      <c r="G1031" s="10" t="str">
        <f>Github!H$1707</f>
        <v>Algorithms</v>
      </c>
      <c r="H1031" s="13" t="str">
        <f>SUBSTITUTE(Github!L$1707, ";", ", ")</f>
        <v>Array, Dynamic Programming, Depth-First Search, Matrix, Simulation, </v>
      </c>
      <c r="I1031" s="10" t="str">
        <f>Github!E$1707</f>
        <v>Medium</v>
      </c>
      <c r="J1031" s="10" t="str">
        <f>IF(TRIM(Github!D$1707)="TRUE","FALSE","TRUE")</f>
        <v>TRUE</v>
      </c>
      <c r="K1031" s="10" t="b">
        <f>Github!M$1707</f>
        <v>0</v>
      </c>
      <c r="L1031" s="10" t="b">
        <f>Github!N$1707</f>
        <v>0</v>
      </c>
      <c r="M1031" s="10" t="str">
        <f>ROUND(Github!O$1707, 2)&amp;"%"</f>
        <v>66.57%</v>
      </c>
      <c r="N1031" s="10">
        <f>Github!P$1707</f>
        <v>26974</v>
      </c>
      <c r="O1031" s="10">
        <f>Github!Q$1707</f>
        <v>40522</v>
      </c>
    </row>
    <row r="1032">
      <c r="A1032" s="10">
        <f>Github!J$224</f>
        <v>223</v>
      </c>
      <c r="B1032" s="11" t="str">
        <f>HYPERLINK(CONCAT("http://leetcode.com/problems/",Github!C$224), Github!B$224)</f>
        <v>Rectangle Area</v>
      </c>
      <c r="C1032" s="10">
        <f>Github!F$224</f>
        <v>755</v>
      </c>
      <c r="D1032" s="10">
        <f>Github!G$224</f>
        <v>1009</v>
      </c>
      <c r="E1032" s="10">
        <f>Github!F$224+Github!G$224</f>
        <v>1764</v>
      </c>
      <c r="F1032" s="12">
        <f t="shared" si="1"/>
        <v>0.75</v>
      </c>
      <c r="G1032" s="10" t="str">
        <f>Github!H$224</f>
        <v>Algorithms</v>
      </c>
      <c r="H1032" s="13" t="str">
        <f>SUBSTITUTE(Github!L$224, ";", ", ")</f>
        <v>Math, Geometry, </v>
      </c>
      <c r="I1032" s="10" t="str">
        <f>Github!E$224</f>
        <v>Medium</v>
      </c>
      <c r="J1032" s="10" t="str">
        <f>IF(TRIM(Github!D$224)="TRUE","FALSE","TRUE")</f>
        <v>TRUE</v>
      </c>
      <c r="K1032" s="10" t="b">
        <f>Github!M$224</f>
        <v>0</v>
      </c>
      <c r="L1032" s="10" t="b">
        <f>Github!N$224</f>
        <v>0</v>
      </c>
      <c r="M1032" s="10" t="str">
        <f>ROUND(Github!O$224, 2)&amp;"%"</f>
        <v>40.09%</v>
      </c>
      <c r="N1032" s="10">
        <f>Github!P$224</f>
        <v>135687</v>
      </c>
      <c r="O1032" s="10">
        <f>Github!Q$224</f>
        <v>338454</v>
      </c>
    </row>
    <row r="1033">
      <c r="A1033" s="10">
        <f>Github!J$1362</f>
        <v>1361</v>
      </c>
      <c r="B1033" s="11" t="str">
        <f>HYPERLINK(CONCAT("http://leetcode.com/problems/",Github!C$1362), Github!B$1362)</f>
        <v>Validate Binary Tree Nodes</v>
      </c>
      <c r="C1033" s="10">
        <f>Github!F$1362</f>
        <v>750</v>
      </c>
      <c r="D1033" s="10">
        <f>Github!G$1362</f>
        <v>249</v>
      </c>
      <c r="E1033" s="10">
        <f>Github!F$1362+Github!G$1362</f>
        <v>999</v>
      </c>
      <c r="F1033" s="12">
        <f t="shared" si="1"/>
        <v>3.01</v>
      </c>
      <c r="G1033" s="10" t="str">
        <f>Github!H$1362</f>
        <v>Algorithms</v>
      </c>
      <c r="H1033" s="13" t="str">
        <f>SUBSTITUTE(Github!L$1362, ";", ", ")</f>
        <v>Tree, Depth-First Search, Breadth-First Search, Union Find, Graph, Binary Tree, </v>
      </c>
      <c r="I1033" s="10" t="str">
        <f>Github!E$1362</f>
        <v>Medium</v>
      </c>
      <c r="J1033" s="10" t="str">
        <f>IF(TRIM(Github!D$1362)="TRUE","FALSE","TRUE")</f>
        <v>TRUE</v>
      </c>
      <c r="K1033" s="10" t="b">
        <f>Github!M$1362</f>
        <v>0</v>
      </c>
      <c r="L1033" s="10" t="b">
        <f>Github!N$1362</f>
        <v>0</v>
      </c>
      <c r="M1033" s="10" t="str">
        <f>ROUND(Github!O$1362, 2)&amp;"%"</f>
        <v>41.43%</v>
      </c>
      <c r="N1033" s="10">
        <f>Github!P$1362</f>
        <v>34563</v>
      </c>
      <c r="O1033" s="10">
        <f>Github!Q$1362</f>
        <v>83434</v>
      </c>
    </row>
    <row r="1034">
      <c r="A1034" s="10">
        <f>Github!J$1609</f>
        <v>1608</v>
      </c>
      <c r="B1034" s="11" t="str">
        <f>HYPERLINK(CONCAT("http://leetcode.com/problems/",Github!C$1609), Github!B$1609)</f>
        <v>Special Array With X Elements Greater Than or Equal X</v>
      </c>
      <c r="C1034" s="10">
        <f>Github!F$1609</f>
        <v>755</v>
      </c>
      <c r="D1034" s="10">
        <f>Github!G$1609</f>
        <v>119</v>
      </c>
      <c r="E1034" s="10">
        <f>Github!F$1609+Github!G$1609</f>
        <v>874</v>
      </c>
      <c r="F1034" s="12">
        <f t="shared" si="1"/>
        <v>6.34</v>
      </c>
      <c r="G1034" s="10" t="str">
        <f>Github!H$1609</f>
        <v>Algorithms</v>
      </c>
      <c r="H1034" s="13" t="str">
        <f>SUBSTITUTE(Github!L$1609, ";", ", ")</f>
        <v>Array, Binary Search, Sorting, </v>
      </c>
      <c r="I1034" s="10" t="str">
        <f>Github!E$1609</f>
        <v>Easy</v>
      </c>
      <c r="J1034" s="10" t="str">
        <f>IF(TRIM(Github!D$1609)="TRUE","FALSE","TRUE")</f>
        <v>TRUE</v>
      </c>
      <c r="K1034" s="10" t="b">
        <f>Github!M$1609</f>
        <v>0</v>
      </c>
      <c r="L1034" s="10" t="b">
        <f>Github!N$1609</f>
        <v>0</v>
      </c>
      <c r="M1034" s="10" t="str">
        <f>ROUND(Github!O$1609, 2)&amp;"%"</f>
        <v>60.48%</v>
      </c>
      <c r="N1034" s="10">
        <f>Github!P$1609</f>
        <v>37509</v>
      </c>
      <c r="O1034" s="10">
        <f>Github!Q$1609</f>
        <v>62018</v>
      </c>
    </row>
    <row r="1035">
      <c r="A1035" s="10">
        <f>Github!J$787</f>
        <v>786</v>
      </c>
      <c r="B1035" s="11" t="str">
        <f>HYPERLINK(CONCAT("http://leetcode.com/problems/",Github!C$787), Github!B$787)</f>
        <v>K-th Smallest Prime Fraction</v>
      </c>
      <c r="C1035" s="10">
        <f>Github!F$787</f>
        <v>743</v>
      </c>
      <c r="D1035" s="10">
        <f>Github!G$787</f>
        <v>37</v>
      </c>
      <c r="E1035" s="10">
        <f>Github!F$787+Github!G$787</f>
        <v>780</v>
      </c>
      <c r="F1035" s="12">
        <f t="shared" si="1"/>
        <v>20.08</v>
      </c>
      <c r="G1035" s="10" t="str">
        <f>Github!H$787</f>
        <v>Algorithms</v>
      </c>
      <c r="H1035" s="13" t="str">
        <f>SUBSTITUTE(Github!L$787, ";", ", ")</f>
        <v>Array, Binary Search, Heap (Priority Queue), </v>
      </c>
      <c r="I1035" s="10" t="str">
        <f>Github!E$787</f>
        <v>Hard</v>
      </c>
      <c r="J1035" s="10" t="str">
        <f>IF(TRIM(Github!D$787)="TRUE","FALSE","TRUE")</f>
        <v>TRUE</v>
      </c>
      <c r="K1035" s="10" t="b">
        <f>Github!M$787</f>
        <v>1</v>
      </c>
      <c r="L1035" s="10" t="b">
        <f>Github!N$787</f>
        <v>0</v>
      </c>
      <c r="M1035" s="10" t="str">
        <f>ROUND(Github!O$787, 2)&amp;"%"</f>
        <v>48.52%</v>
      </c>
      <c r="N1035" s="10">
        <f>Github!P$787</f>
        <v>25994</v>
      </c>
      <c r="O1035" s="10">
        <f>Github!Q$787</f>
        <v>53573</v>
      </c>
    </row>
    <row r="1036">
      <c r="A1036" s="10">
        <f>Github!J$1301</f>
        <v>1300</v>
      </c>
      <c r="B1036" s="11" t="str">
        <f>HYPERLINK(CONCAT("http://leetcode.com/problems/",Github!C$1301), Github!B$1301)</f>
        <v>Sum of Mutated Array Closest to Target</v>
      </c>
      <c r="C1036" s="10">
        <f>Github!F$1301</f>
        <v>744</v>
      </c>
      <c r="D1036" s="10">
        <f>Github!G$1301</f>
        <v>91</v>
      </c>
      <c r="E1036" s="10">
        <f>Github!F$1301+Github!G$1301</f>
        <v>835</v>
      </c>
      <c r="F1036" s="12">
        <f t="shared" si="1"/>
        <v>8.18</v>
      </c>
      <c r="G1036" s="10" t="str">
        <f>Github!H$1301</f>
        <v>Algorithms</v>
      </c>
      <c r="H1036" s="13" t="str">
        <f>SUBSTITUTE(Github!L$1301, ";", ", ")</f>
        <v>Array, Binary Search, Sorting, </v>
      </c>
      <c r="I1036" s="10" t="str">
        <f>Github!E$1301</f>
        <v>Medium</v>
      </c>
      <c r="J1036" s="10" t="str">
        <f>IF(TRIM(Github!D$1301)="TRUE","FALSE","TRUE")</f>
        <v>TRUE</v>
      </c>
      <c r="K1036" s="10" t="b">
        <f>Github!M$1301</f>
        <v>0</v>
      </c>
      <c r="L1036" s="10" t="b">
        <f>Github!N$1301</f>
        <v>0</v>
      </c>
      <c r="M1036" s="10" t="str">
        <f>ROUND(Github!O$1301, 2)&amp;"%"</f>
        <v>42.76%</v>
      </c>
      <c r="N1036" s="10">
        <f>Github!P$1301</f>
        <v>24863</v>
      </c>
      <c r="O1036" s="10">
        <f>Github!Q$1301</f>
        <v>58146</v>
      </c>
    </row>
    <row r="1037">
      <c r="A1037" s="10">
        <f>Github!J$1964</f>
        <v>1963</v>
      </c>
      <c r="B1037" s="11" t="str">
        <f>HYPERLINK(CONCAT("http://leetcode.com/problems/",Github!C$1964), Github!B$1964)</f>
        <v>Minimum Number of Swaps to Make the String Balanced</v>
      </c>
      <c r="C1037" s="10">
        <f>Github!F$1964</f>
        <v>752</v>
      </c>
      <c r="D1037" s="10">
        <f>Github!G$1964</f>
        <v>30</v>
      </c>
      <c r="E1037" s="10">
        <f>Github!F$1964+Github!G$1964</f>
        <v>782</v>
      </c>
      <c r="F1037" s="12">
        <f t="shared" si="1"/>
        <v>25.07</v>
      </c>
      <c r="G1037" s="10" t="str">
        <f>Github!H$1964</f>
        <v>Algorithms</v>
      </c>
      <c r="H1037" s="13" t="str">
        <f>SUBSTITUTE(Github!L$1964, ";", ", ")</f>
        <v>Two Pointers, String, Stack, Greedy, </v>
      </c>
      <c r="I1037" s="10" t="str">
        <f>Github!E$1964</f>
        <v>Medium</v>
      </c>
      <c r="J1037" s="10" t="str">
        <f>IF(TRIM(Github!D$1964)="TRUE","FALSE","TRUE")</f>
        <v>TRUE</v>
      </c>
      <c r="K1037" s="10" t="b">
        <f>Github!M$1964</f>
        <v>0</v>
      </c>
      <c r="L1037" s="10" t="b">
        <f>Github!N$1964</f>
        <v>0</v>
      </c>
      <c r="M1037" s="10" t="str">
        <f>ROUND(Github!O$1964, 2)&amp;"%"</f>
        <v>67.38%</v>
      </c>
      <c r="N1037" s="10">
        <f>Github!P$1964</f>
        <v>26330</v>
      </c>
      <c r="O1037" s="10">
        <f>Github!Q$1964</f>
        <v>39078</v>
      </c>
    </row>
    <row r="1038">
      <c r="A1038" s="10">
        <f>Github!J$359</f>
        <v>358</v>
      </c>
      <c r="B1038" s="11" t="str">
        <f>HYPERLINK(CONCAT("http://leetcode.com/problems/",Github!C$359), Github!B$359)</f>
        <v>Rearrange String k Distance Apart</v>
      </c>
      <c r="C1038" s="10">
        <f>Github!F$359</f>
        <v>745</v>
      </c>
      <c r="D1038" s="10">
        <f>Github!G$359</f>
        <v>34</v>
      </c>
      <c r="E1038" s="10">
        <f>Github!F$359+Github!G$359</f>
        <v>779</v>
      </c>
      <c r="F1038" s="12">
        <f t="shared" si="1"/>
        <v>21.91</v>
      </c>
      <c r="G1038" s="10" t="str">
        <f>Github!H$359</f>
        <v>Algorithms</v>
      </c>
      <c r="H1038" s="13" t="str">
        <f>SUBSTITUTE(Github!L$359, ";", ", ")</f>
        <v>Hash Table, String, Greedy, Sorting, Heap (Priority Queue), Counting, </v>
      </c>
      <c r="I1038" s="10" t="str">
        <f>Github!E$359</f>
        <v>Hard</v>
      </c>
      <c r="J1038" s="10" t="str">
        <f>IF(TRIM(Github!D$359)="TRUE","FALSE","TRUE")</f>
        <v>FALSE</v>
      </c>
      <c r="K1038" s="10" t="b">
        <f>Github!M$359</f>
        <v>0</v>
      </c>
      <c r="L1038" s="10" t="b">
        <f>Github!N$359</f>
        <v>0</v>
      </c>
      <c r="M1038" s="10" t="str">
        <f>ROUND(Github!O$359, 2)&amp;"%"</f>
        <v>37.05%</v>
      </c>
      <c r="N1038" s="10">
        <f>Github!P$359</f>
        <v>51842</v>
      </c>
      <c r="O1038" s="10">
        <f>Github!Q$359</f>
        <v>139933</v>
      </c>
    </row>
    <row r="1039">
      <c r="A1039" s="10">
        <f>Github!J$1235</f>
        <v>1234</v>
      </c>
      <c r="B1039" s="11" t="str">
        <f>HYPERLINK(CONCAT("http://leetcode.com/problems/",Github!C$1235), Github!B$1235)</f>
        <v>Replace the Substring for Balanced String</v>
      </c>
      <c r="C1039" s="10">
        <f>Github!F$1235</f>
        <v>744</v>
      </c>
      <c r="D1039" s="10">
        <f>Github!G$1235</f>
        <v>155</v>
      </c>
      <c r="E1039" s="10">
        <f>Github!F$1235+Github!G$1235</f>
        <v>899</v>
      </c>
      <c r="F1039" s="12">
        <f t="shared" si="1"/>
        <v>4.8</v>
      </c>
      <c r="G1039" s="10" t="str">
        <f>Github!H$1235</f>
        <v>Algorithms</v>
      </c>
      <c r="H1039" s="13" t="str">
        <f>SUBSTITUTE(Github!L$1235, ";", ", ")</f>
        <v>String, Sliding Window, </v>
      </c>
      <c r="I1039" s="10" t="str">
        <f>Github!E$1235</f>
        <v>Medium</v>
      </c>
      <c r="J1039" s="10" t="str">
        <f>IF(TRIM(Github!D$1235)="TRUE","FALSE","TRUE")</f>
        <v>TRUE</v>
      </c>
      <c r="K1039" s="10" t="b">
        <f>Github!M$1235</f>
        <v>0</v>
      </c>
      <c r="L1039" s="10" t="b">
        <f>Github!N$1235</f>
        <v>0</v>
      </c>
      <c r="M1039" s="10" t="str">
        <f>ROUND(Github!O$1235, 2)&amp;"%"</f>
        <v>36.2%</v>
      </c>
      <c r="N1039" s="10">
        <f>Github!P$1235</f>
        <v>22575</v>
      </c>
      <c r="O1039" s="10">
        <f>Github!Q$1235</f>
        <v>62356</v>
      </c>
    </row>
    <row r="1040">
      <c r="A1040" s="10">
        <f>Github!J$934</f>
        <v>933</v>
      </c>
      <c r="B1040" s="11" t="str">
        <f>HYPERLINK(CONCAT("http://leetcode.com/problems/",Github!C$934), Github!B$934)</f>
        <v>Number of Recent Calls</v>
      </c>
      <c r="C1040" s="10">
        <f>Github!F$934</f>
        <v>737</v>
      </c>
      <c r="D1040" s="10">
        <f>Github!G$934</f>
        <v>2431</v>
      </c>
      <c r="E1040" s="10">
        <f>Github!F$934+Github!G$934</f>
        <v>3168</v>
      </c>
      <c r="F1040" s="12">
        <f t="shared" si="1"/>
        <v>0.3</v>
      </c>
      <c r="G1040" s="10" t="str">
        <f>Github!H$934</f>
        <v>Algorithms</v>
      </c>
      <c r="H1040" s="13" t="str">
        <f>SUBSTITUTE(Github!L$934, ";", ", ")</f>
        <v>Design, Queue, Data Stream, </v>
      </c>
      <c r="I1040" s="10" t="str">
        <f>Github!E$934</f>
        <v>Easy</v>
      </c>
      <c r="J1040" s="10" t="str">
        <f>IF(TRIM(Github!D$934)="TRUE","FALSE","TRUE")</f>
        <v>TRUE</v>
      </c>
      <c r="K1040" s="10" t="b">
        <f>Github!M$934</f>
        <v>1</v>
      </c>
      <c r="L1040" s="10" t="b">
        <f>Github!N$934</f>
        <v>0</v>
      </c>
      <c r="M1040" s="10" t="str">
        <f>ROUND(Github!O$934, 2)&amp;"%"</f>
        <v>73.09%</v>
      </c>
      <c r="N1040" s="10">
        <f>Github!P$934</f>
        <v>120826</v>
      </c>
      <c r="O1040" s="10">
        <f>Github!Q$934</f>
        <v>165317</v>
      </c>
    </row>
    <row r="1041">
      <c r="A1041" s="10">
        <f>Github!J$1864</f>
        <v>1863</v>
      </c>
      <c r="B1041" s="11" t="str">
        <f>HYPERLINK(CONCAT("http://leetcode.com/problems/",Github!C$1864), Github!B$1864)</f>
        <v>Sum of All Subset XOR Totals</v>
      </c>
      <c r="C1041" s="10">
        <f>Github!F$1864</f>
        <v>740</v>
      </c>
      <c r="D1041" s="10">
        <f>Github!G$1864</f>
        <v>78</v>
      </c>
      <c r="E1041" s="10">
        <f>Github!F$1864+Github!G$1864</f>
        <v>818</v>
      </c>
      <c r="F1041" s="12">
        <f t="shared" si="1"/>
        <v>9.49</v>
      </c>
      <c r="G1041" s="10" t="str">
        <f>Github!H$1864</f>
        <v>Algorithms</v>
      </c>
      <c r="H1041" s="13" t="str">
        <f>SUBSTITUTE(Github!L$1864, ";", ", ")</f>
        <v>Array, Math, Backtracking, Bit Manipulation, Combinatorics, </v>
      </c>
      <c r="I1041" s="10" t="str">
        <f>Github!E$1864</f>
        <v>Easy</v>
      </c>
      <c r="J1041" s="10" t="str">
        <f>IF(TRIM(Github!D$1864)="TRUE","FALSE","TRUE")</f>
        <v>TRUE</v>
      </c>
      <c r="K1041" s="10" t="b">
        <f>Github!M$1864</f>
        <v>0</v>
      </c>
      <c r="L1041" s="10" t="b">
        <f>Github!N$1864</f>
        <v>0</v>
      </c>
      <c r="M1041" s="10" t="str">
        <f>ROUND(Github!O$1864, 2)&amp;"%"</f>
        <v>78.6%</v>
      </c>
      <c r="N1041" s="10">
        <f>Github!P$1864</f>
        <v>32520</v>
      </c>
      <c r="O1041" s="10">
        <f>Github!Q$1864</f>
        <v>41375</v>
      </c>
    </row>
    <row r="1042">
      <c r="A1042" s="10">
        <f>Github!J$1253</f>
        <v>1252</v>
      </c>
      <c r="B1042" s="11" t="str">
        <f>HYPERLINK(CONCAT("http://leetcode.com/problems/",Github!C$1253), Github!B$1253)</f>
        <v>Cells with Odd Values in a Matrix</v>
      </c>
      <c r="C1042" s="10">
        <f>Github!F$1253</f>
        <v>738</v>
      </c>
      <c r="D1042" s="10">
        <f>Github!G$1253</f>
        <v>1091</v>
      </c>
      <c r="E1042" s="10">
        <f>Github!F$1253+Github!G$1253</f>
        <v>1829</v>
      </c>
      <c r="F1042" s="12">
        <f t="shared" si="1"/>
        <v>0.68</v>
      </c>
      <c r="G1042" s="10" t="str">
        <f>Github!H$1253</f>
        <v>Algorithms</v>
      </c>
      <c r="H1042" s="13" t="str">
        <f>SUBSTITUTE(Github!L$1253, ";", ", ")</f>
        <v>Array, Math, Simulation, </v>
      </c>
      <c r="I1042" s="10" t="str">
        <f>Github!E$1253</f>
        <v>Easy</v>
      </c>
      <c r="J1042" s="10" t="str">
        <f>IF(TRIM(Github!D$1253)="TRUE","FALSE","TRUE")</f>
        <v>TRUE</v>
      </c>
      <c r="K1042" s="10" t="b">
        <f>Github!M$1253</f>
        <v>0</v>
      </c>
      <c r="L1042" s="10" t="b">
        <f>Github!N$1253</f>
        <v>0</v>
      </c>
      <c r="M1042" s="10" t="str">
        <f>ROUND(Github!O$1253, 2)&amp;"%"</f>
        <v>78.5%</v>
      </c>
      <c r="N1042" s="10">
        <f>Github!P$1253</f>
        <v>78944</v>
      </c>
      <c r="O1042" s="10">
        <f>Github!Q$1253</f>
        <v>100565</v>
      </c>
    </row>
    <row r="1043">
      <c r="A1043" s="10">
        <f>Github!J$1547</f>
        <v>1546</v>
      </c>
      <c r="B1043" s="11" t="str">
        <f>HYPERLINK(CONCAT("http://leetcode.com/problems/",Github!C$1547), Github!B$1547)</f>
        <v>Maximum Number of Non-Overlapping Subarrays With Sum Equals Target</v>
      </c>
      <c r="C1043" s="10">
        <f>Github!F$1547</f>
        <v>741</v>
      </c>
      <c r="D1043" s="10">
        <f>Github!G$1547</f>
        <v>15</v>
      </c>
      <c r="E1043" s="10">
        <f>Github!F$1547+Github!G$1547</f>
        <v>756</v>
      </c>
      <c r="F1043" s="12">
        <f t="shared" si="1"/>
        <v>49.4</v>
      </c>
      <c r="G1043" s="10" t="str">
        <f>Github!H$1547</f>
        <v>Algorithms</v>
      </c>
      <c r="H1043" s="13" t="str">
        <f>SUBSTITUTE(Github!L$1547, ";", ", ")</f>
        <v>Array, Hash Table, Greedy, Prefix Sum, </v>
      </c>
      <c r="I1043" s="10" t="str">
        <f>Github!E$1547</f>
        <v>Medium</v>
      </c>
      <c r="J1043" s="10" t="str">
        <f>IF(TRIM(Github!D$1547)="TRUE","FALSE","TRUE")</f>
        <v>TRUE</v>
      </c>
      <c r="K1043" s="10" t="b">
        <f>Github!M$1547</f>
        <v>0</v>
      </c>
      <c r="L1043" s="10" t="b">
        <f>Github!N$1547</f>
        <v>0</v>
      </c>
      <c r="M1043" s="10" t="str">
        <f>ROUND(Github!O$1547, 2)&amp;"%"</f>
        <v>46.43%</v>
      </c>
      <c r="N1043" s="10">
        <f>Github!P$1547</f>
        <v>19321</v>
      </c>
      <c r="O1043" s="10">
        <f>Github!Q$1547</f>
        <v>41616</v>
      </c>
    </row>
    <row r="1044">
      <c r="A1044" s="10">
        <f>Github!J$1329</f>
        <v>1328</v>
      </c>
      <c r="B1044" s="11" t="str">
        <f>HYPERLINK(CONCAT("http://leetcode.com/problems/",Github!C$1329), Github!B$1329)</f>
        <v>Break a Palindrome</v>
      </c>
      <c r="C1044" s="10">
        <f>Github!F$1329</f>
        <v>736</v>
      </c>
      <c r="D1044" s="10">
        <f>Github!G$1329</f>
        <v>434</v>
      </c>
      <c r="E1044" s="10">
        <f>Github!F$1329+Github!G$1329</f>
        <v>1170</v>
      </c>
      <c r="F1044" s="12">
        <f t="shared" si="1"/>
        <v>1.7</v>
      </c>
      <c r="G1044" s="10" t="str">
        <f>Github!H$1329</f>
        <v>Algorithms</v>
      </c>
      <c r="H1044" s="13" t="str">
        <f>SUBSTITUTE(Github!L$1329, ";", ", ")</f>
        <v>String, Greedy, </v>
      </c>
      <c r="I1044" s="10" t="str">
        <f>Github!E$1329</f>
        <v>Medium</v>
      </c>
      <c r="J1044" s="10" t="str">
        <f>IF(TRIM(Github!D$1329)="TRUE","FALSE","TRUE")</f>
        <v>TRUE</v>
      </c>
      <c r="K1044" s="10" t="b">
        <f>Github!M$1329</f>
        <v>1</v>
      </c>
      <c r="L1044" s="10" t="b">
        <f>Github!N$1329</f>
        <v>0</v>
      </c>
      <c r="M1044" s="10" t="str">
        <f>ROUND(Github!O$1329, 2)&amp;"%"</f>
        <v>52.3%</v>
      </c>
      <c r="N1044" s="10">
        <f>Github!P$1329</f>
        <v>68050</v>
      </c>
      <c r="O1044" s="10">
        <f>Github!Q$1329</f>
        <v>130117</v>
      </c>
    </row>
    <row r="1045">
      <c r="A1045" s="10">
        <f>Github!J$1314</f>
        <v>1313</v>
      </c>
      <c r="B1045" s="11" t="str">
        <f>HYPERLINK(CONCAT("http://leetcode.com/problems/",Github!C$1314), Github!B$1314)</f>
        <v>Decompress Run-Length Encoded List</v>
      </c>
      <c r="C1045" s="10">
        <f>Github!F$1314</f>
        <v>739</v>
      </c>
      <c r="D1045" s="10">
        <f>Github!G$1314</f>
        <v>1069</v>
      </c>
      <c r="E1045" s="10">
        <f>Github!F$1314+Github!G$1314</f>
        <v>1808</v>
      </c>
      <c r="F1045" s="12">
        <f t="shared" si="1"/>
        <v>0.69</v>
      </c>
      <c r="G1045" s="10" t="str">
        <f>Github!H$1314</f>
        <v>Algorithms</v>
      </c>
      <c r="H1045" s="13" t="str">
        <f>SUBSTITUTE(Github!L$1314, ";", ", ")</f>
        <v>Array, </v>
      </c>
      <c r="I1045" s="10" t="str">
        <f>Github!E$1314</f>
        <v>Easy</v>
      </c>
      <c r="J1045" s="10" t="str">
        <f>IF(TRIM(Github!D$1314)="TRUE","FALSE","TRUE")</f>
        <v>TRUE</v>
      </c>
      <c r="K1045" s="10" t="b">
        <f>Github!M$1314</f>
        <v>0</v>
      </c>
      <c r="L1045" s="10" t="b">
        <f>Github!N$1314</f>
        <v>0</v>
      </c>
      <c r="M1045" s="10" t="str">
        <f>ROUND(Github!O$1314, 2)&amp;"%"</f>
        <v>85.89%</v>
      </c>
      <c r="N1045" s="10">
        <f>Github!P$1314</f>
        <v>178214</v>
      </c>
      <c r="O1045" s="10">
        <f>Github!Q$1314</f>
        <v>207495</v>
      </c>
    </row>
    <row r="1046">
      <c r="A1046" s="10">
        <f>Github!J$307</f>
        <v>306</v>
      </c>
      <c r="B1046" s="11" t="str">
        <f>HYPERLINK(CONCAT("http://leetcode.com/problems/",Github!C$307), Github!B$307)</f>
        <v>Additive Number</v>
      </c>
      <c r="C1046" s="10">
        <f>Github!F$307</f>
        <v>729</v>
      </c>
      <c r="D1046" s="10">
        <f>Github!G$307</f>
        <v>626</v>
      </c>
      <c r="E1046" s="10">
        <f>Github!F$307+Github!G$307</f>
        <v>1355</v>
      </c>
      <c r="F1046" s="12">
        <f t="shared" si="1"/>
        <v>1.16</v>
      </c>
      <c r="G1046" s="10" t="str">
        <f>Github!H$307</f>
        <v>Algorithms</v>
      </c>
      <c r="H1046" s="13" t="str">
        <f>SUBSTITUTE(Github!L$307, ";", ", ")</f>
        <v>String, Backtracking, </v>
      </c>
      <c r="I1046" s="10" t="str">
        <f>Github!E$307</f>
        <v>Medium</v>
      </c>
      <c r="J1046" s="10" t="str">
        <f>IF(TRIM(Github!D$307)="TRUE","FALSE","TRUE")</f>
        <v>TRUE</v>
      </c>
      <c r="K1046" s="10" t="b">
        <f>Github!M$307</f>
        <v>0</v>
      </c>
      <c r="L1046" s="10" t="b">
        <f>Github!N$307</f>
        <v>0</v>
      </c>
      <c r="M1046" s="10" t="str">
        <f>ROUND(Github!O$307, 2)&amp;"%"</f>
        <v>30.56%</v>
      </c>
      <c r="N1046" s="10">
        <f>Github!P$307</f>
        <v>68970</v>
      </c>
      <c r="O1046" s="10">
        <f>Github!Q$307</f>
        <v>225676</v>
      </c>
    </row>
    <row r="1047">
      <c r="A1047" s="10">
        <f>Github!J$1721</f>
        <v>1720</v>
      </c>
      <c r="B1047" s="11" t="str">
        <f>HYPERLINK(CONCAT("http://leetcode.com/problems/",Github!C$1721), Github!B$1721)</f>
        <v>Decode XORed Array</v>
      </c>
      <c r="C1047" s="10">
        <f>Github!F$1721</f>
        <v>734</v>
      </c>
      <c r="D1047" s="10">
        <f>Github!G$1721</f>
        <v>139</v>
      </c>
      <c r="E1047" s="10">
        <f>Github!F$1721+Github!G$1721</f>
        <v>873</v>
      </c>
      <c r="F1047" s="12">
        <f t="shared" si="1"/>
        <v>5.28</v>
      </c>
      <c r="G1047" s="10" t="str">
        <f>Github!H$1721</f>
        <v>Algorithms</v>
      </c>
      <c r="H1047" s="13" t="str">
        <f>SUBSTITUTE(Github!L$1721, ";", ", ")</f>
        <v>Array, Bit Manipulation, </v>
      </c>
      <c r="I1047" s="10" t="str">
        <f>Github!E$1721</f>
        <v>Easy</v>
      </c>
      <c r="J1047" s="10" t="str">
        <f>IF(TRIM(Github!D$1721)="TRUE","FALSE","TRUE")</f>
        <v>TRUE</v>
      </c>
      <c r="K1047" s="10" t="b">
        <f>Github!M$1721</f>
        <v>0</v>
      </c>
      <c r="L1047" s="10" t="b">
        <f>Github!N$1721</f>
        <v>0</v>
      </c>
      <c r="M1047" s="10" t="str">
        <f>ROUND(Github!O$1721, 2)&amp;"%"</f>
        <v>85.9%</v>
      </c>
      <c r="N1047" s="10">
        <f>Github!P$1721</f>
        <v>69411</v>
      </c>
      <c r="O1047" s="10">
        <f>Github!Q$1721</f>
        <v>80801</v>
      </c>
    </row>
    <row r="1048">
      <c r="A1048" s="10">
        <f>Github!J$684</f>
        <v>683</v>
      </c>
      <c r="B1048" s="11" t="str">
        <f>HYPERLINK(CONCAT("http://leetcode.com/problems/",Github!C$684), Github!B$684)</f>
        <v>K Empty Slots</v>
      </c>
      <c r="C1048" s="10">
        <f>Github!F$684</f>
        <v>727</v>
      </c>
      <c r="D1048" s="10">
        <f>Github!G$684</f>
        <v>654</v>
      </c>
      <c r="E1048" s="10">
        <f>Github!F$684+Github!G$684</f>
        <v>1381</v>
      </c>
      <c r="F1048" s="12">
        <f t="shared" si="1"/>
        <v>1.11</v>
      </c>
      <c r="G1048" s="10" t="str">
        <f>Github!H$684</f>
        <v>Algorithms</v>
      </c>
      <c r="H1048" s="13" t="str">
        <f>SUBSTITUTE(Github!L$684, ";", ", ")</f>
        <v>Array, Binary Indexed Tree, Sliding Window, Ordered Set, </v>
      </c>
      <c r="I1048" s="10" t="str">
        <f>Github!E$684</f>
        <v>Hard</v>
      </c>
      <c r="J1048" s="10" t="str">
        <f>IF(TRIM(Github!D$684)="TRUE","FALSE","TRUE")</f>
        <v>FALSE</v>
      </c>
      <c r="K1048" s="10" t="b">
        <f>Github!M$684</f>
        <v>0</v>
      </c>
      <c r="L1048" s="10" t="b">
        <f>Github!N$684</f>
        <v>0</v>
      </c>
      <c r="M1048" s="10" t="str">
        <f>ROUND(Github!O$684, 2)&amp;"%"</f>
        <v>36.74%</v>
      </c>
      <c r="N1048" s="10">
        <f>Github!P$684</f>
        <v>56159</v>
      </c>
      <c r="O1048" s="10">
        <f>Github!Q$684</f>
        <v>152850</v>
      </c>
    </row>
    <row r="1049">
      <c r="A1049" s="10">
        <f>Github!J$1749</f>
        <v>1748</v>
      </c>
      <c r="B1049" s="11" t="str">
        <f>HYPERLINK(CONCAT("http://leetcode.com/problems/",Github!C$1749), Github!B$1749)</f>
        <v>Sum of Unique Elements</v>
      </c>
      <c r="C1049" s="10">
        <f>Github!F$1749</f>
        <v>736</v>
      </c>
      <c r="D1049" s="10">
        <f>Github!G$1749</f>
        <v>17</v>
      </c>
      <c r="E1049" s="10">
        <f>Github!F$1749+Github!G$1749</f>
        <v>753</v>
      </c>
      <c r="F1049" s="12">
        <f t="shared" si="1"/>
        <v>43.29</v>
      </c>
      <c r="G1049" s="10" t="str">
        <f>Github!H$1749</f>
        <v>Algorithms</v>
      </c>
      <c r="H1049" s="13" t="str">
        <f>SUBSTITUTE(Github!L$1749, ";", ", ")</f>
        <v>Array, Hash Table, Counting, </v>
      </c>
      <c r="I1049" s="10" t="str">
        <f>Github!E$1749</f>
        <v>Easy</v>
      </c>
      <c r="J1049" s="10" t="str">
        <f>IF(TRIM(Github!D$1749)="TRUE","FALSE","TRUE")</f>
        <v>TRUE</v>
      </c>
      <c r="K1049" s="10" t="b">
        <f>Github!M$1749</f>
        <v>0</v>
      </c>
      <c r="L1049" s="10" t="b">
        <f>Github!N$1749</f>
        <v>0</v>
      </c>
      <c r="M1049" s="10" t="str">
        <f>ROUND(Github!O$1749, 2)&amp;"%"</f>
        <v>75.6%</v>
      </c>
      <c r="N1049" s="10">
        <f>Github!P$1749</f>
        <v>74101</v>
      </c>
      <c r="O1049" s="10">
        <f>Github!Q$1749</f>
        <v>98021</v>
      </c>
    </row>
    <row r="1050">
      <c r="A1050" s="10">
        <f>Github!J$1380</f>
        <v>1379</v>
      </c>
      <c r="B1050" s="11" t="str">
        <f>HYPERLINK(CONCAT("http://leetcode.com/problems/",Github!C$1380), Github!B$1380)</f>
        <v>Find a Corresponding Node of a Binary Tree in a Clone of That Tree</v>
      </c>
      <c r="C1050" s="10">
        <f>Github!F$1380</f>
        <v>726</v>
      </c>
      <c r="D1050" s="10">
        <f>Github!G$1380</f>
        <v>936</v>
      </c>
      <c r="E1050" s="10">
        <f>Github!F$1380+Github!G$1380</f>
        <v>1662</v>
      </c>
      <c r="F1050" s="12">
        <f t="shared" si="1"/>
        <v>0.78</v>
      </c>
      <c r="G1050" s="10" t="str">
        <f>Github!H$1380</f>
        <v>Algorithms</v>
      </c>
      <c r="H1050" s="13" t="str">
        <f>SUBSTITUTE(Github!L$1380, ";", ", ")</f>
        <v>Tree, Depth-First Search, Breadth-First Search, Binary Tree, </v>
      </c>
      <c r="I1050" s="10" t="str">
        <f>Github!E$1380</f>
        <v>Medium</v>
      </c>
      <c r="J1050" s="10" t="str">
        <f>IF(TRIM(Github!D$1380)="TRUE","FALSE","TRUE")</f>
        <v>TRUE</v>
      </c>
      <c r="K1050" s="10" t="b">
        <f>Github!M$1380</f>
        <v>1</v>
      </c>
      <c r="L1050" s="10" t="b">
        <f>Github!N$1380</f>
        <v>0</v>
      </c>
      <c r="M1050" s="10" t="str">
        <f>ROUND(Github!O$1380, 2)&amp;"%"</f>
        <v>85.52%</v>
      </c>
      <c r="N1050" s="10">
        <f>Github!P$1380</f>
        <v>102514</v>
      </c>
      <c r="O1050" s="10">
        <f>Github!Q$1380</f>
        <v>119875</v>
      </c>
    </row>
    <row r="1051">
      <c r="A1051" s="10">
        <f>Github!J$1649</f>
        <v>1648</v>
      </c>
      <c r="B1051" s="11" t="str">
        <f>HYPERLINK(CONCAT("http://leetcode.com/problems/",Github!C$1649), Github!B$1649)</f>
        <v>Sell Diminishing-Valued Colored Balls</v>
      </c>
      <c r="C1051" s="10">
        <f>Github!F$1649</f>
        <v>736</v>
      </c>
      <c r="D1051" s="10">
        <f>Github!G$1649</f>
        <v>276</v>
      </c>
      <c r="E1051" s="10">
        <f>Github!F$1649+Github!G$1649</f>
        <v>1012</v>
      </c>
      <c r="F1051" s="12">
        <f t="shared" si="1"/>
        <v>2.67</v>
      </c>
      <c r="G1051" s="10" t="str">
        <f>Github!H$1649</f>
        <v>Algorithms</v>
      </c>
      <c r="H1051" s="13" t="str">
        <f>SUBSTITUTE(Github!L$1649, ";", ", ")</f>
        <v>Array, Math, Binary Search, Greedy, Sorting, Heap (Priority Queue), </v>
      </c>
      <c r="I1051" s="10" t="str">
        <f>Github!E$1649</f>
        <v>Medium</v>
      </c>
      <c r="J1051" s="10" t="str">
        <f>IF(TRIM(Github!D$1649)="TRUE","FALSE","TRUE")</f>
        <v>TRUE</v>
      </c>
      <c r="K1051" s="10" t="b">
        <f>Github!M$1649</f>
        <v>0</v>
      </c>
      <c r="L1051" s="10" t="b">
        <f>Github!N$1649</f>
        <v>0</v>
      </c>
      <c r="M1051" s="10" t="str">
        <f>ROUND(Github!O$1649, 2)&amp;"%"</f>
        <v>30.74%</v>
      </c>
      <c r="N1051" s="10">
        <f>Github!P$1649</f>
        <v>28568</v>
      </c>
      <c r="O1051" s="10">
        <f>Github!Q$1649</f>
        <v>92922</v>
      </c>
    </row>
    <row r="1052">
      <c r="A1052" s="10">
        <f>Github!J$1771</f>
        <v>1770</v>
      </c>
      <c r="B1052" s="11" t="str">
        <f>HYPERLINK(CONCAT("http://leetcode.com/problems/",Github!C$1771), Github!B$1771)</f>
        <v>Maximum Score from Performing Multiplication Operations</v>
      </c>
      <c r="C1052" s="10">
        <f>Github!F$1771</f>
        <v>731</v>
      </c>
      <c r="D1052" s="10">
        <f>Github!G$1771</f>
        <v>173</v>
      </c>
      <c r="E1052" s="10">
        <f>Github!F$1771+Github!G$1771</f>
        <v>904</v>
      </c>
      <c r="F1052" s="12">
        <f t="shared" si="1"/>
        <v>4.23</v>
      </c>
      <c r="G1052" s="10" t="str">
        <f>Github!H$1771</f>
        <v>Algorithms</v>
      </c>
      <c r="H1052" s="13" t="str">
        <f>SUBSTITUTE(Github!L$1771, ";", ", ")</f>
        <v>Array, Dynamic Programming, </v>
      </c>
      <c r="I1052" s="10" t="str">
        <f>Github!E$1771</f>
        <v>Medium</v>
      </c>
      <c r="J1052" s="10" t="str">
        <f>IF(TRIM(Github!D$1771)="TRUE","FALSE","TRUE")</f>
        <v>TRUE</v>
      </c>
      <c r="K1052" s="10" t="b">
        <f>Github!M$1771</f>
        <v>0</v>
      </c>
      <c r="L1052" s="10" t="b">
        <f>Github!N$1771</f>
        <v>0</v>
      </c>
      <c r="M1052" s="10" t="str">
        <f>ROUND(Github!O$1771, 2)&amp;"%"</f>
        <v>35.63%</v>
      </c>
      <c r="N1052" s="10">
        <f>Github!P$1771</f>
        <v>31693</v>
      </c>
      <c r="O1052" s="10">
        <f>Github!Q$1771</f>
        <v>88961</v>
      </c>
    </row>
    <row r="1053">
      <c r="A1053" s="10">
        <f>Github!J$292</f>
        <v>291</v>
      </c>
      <c r="B1053" s="11" t="str">
        <f>HYPERLINK(CONCAT("http://leetcode.com/problems/",Github!C$292), Github!B$292)</f>
        <v>Word Pattern II</v>
      </c>
      <c r="C1053" s="10">
        <f>Github!F$292</f>
        <v>724</v>
      </c>
      <c r="D1053" s="10">
        <f>Github!G$292</f>
        <v>56</v>
      </c>
      <c r="E1053" s="10">
        <f>Github!F$292+Github!G$292</f>
        <v>780</v>
      </c>
      <c r="F1053" s="12">
        <f t="shared" si="1"/>
        <v>12.93</v>
      </c>
      <c r="G1053" s="10" t="str">
        <f>Github!H$292</f>
        <v>Algorithms</v>
      </c>
      <c r="H1053" s="13" t="str">
        <f>SUBSTITUTE(Github!L$292, ";", ", ")</f>
        <v>Hash Table, String, Backtracking, </v>
      </c>
      <c r="I1053" s="10" t="str">
        <f>Github!E$292</f>
        <v>Medium</v>
      </c>
      <c r="J1053" s="10" t="str">
        <f>IF(TRIM(Github!D$292)="TRUE","FALSE","TRUE")</f>
        <v>FALSE</v>
      </c>
      <c r="K1053" s="10" t="b">
        <f>Github!M$292</f>
        <v>0</v>
      </c>
      <c r="L1053" s="10" t="b">
        <f>Github!N$292</f>
        <v>0</v>
      </c>
      <c r="M1053" s="10" t="str">
        <f>ROUND(Github!O$292, 2)&amp;"%"</f>
        <v>46.25%</v>
      </c>
      <c r="N1053" s="10">
        <f>Github!P$292</f>
        <v>60372</v>
      </c>
      <c r="O1053" s="10">
        <f>Github!Q$292</f>
        <v>130528</v>
      </c>
    </row>
    <row r="1054">
      <c r="A1054" s="10">
        <f>Github!J$1232</f>
        <v>1231</v>
      </c>
      <c r="B1054" s="11" t="str">
        <f>HYPERLINK(CONCAT("http://leetcode.com/problems/",Github!C$1232), Github!B$1232)</f>
        <v>Divide Chocolate</v>
      </c>
      <c r="C1054" s="10">
        <f>Github!F$1232</f>
        <v>723</v>
      </c>
      <c r="D1054" s="10">
        <f>Github!G$1232</f>
        <v>48</v>
      </c>
      <c r="E1054" s="10">
        <f>Github!F$1232+Github!G$1232</f>
        <v>771</v>
      </c>
      <c r="F1054" s="12">
        <f t="shared" si="1"/>
        <v>15.06</v>
      </c>
      <c r="G1054" s="10" t="str">
        <f>Github!H$1232</f>
        <v>Algorithms</v>
      </c>
      <c r="H1054" s="13" t="str">
        <f>SUBSTITUTE(Github!L$1232, ";", ", ")</f>
        <v>Array, Binary Search, </v>
      </c>
      <c r="I1054" s="10" t="str">
        <f>Github!E$1232</f>
        <v>Hard</v>
      </c>
      <c r="J1054" s="10" t="str">
        <f>IF(TRIM(Github!D$1232)="TRUE","FALSE","TRUE")</f>
        <v>FALSE</v>
      </c>
      <c r="K1054" s="10" t="b">
        <f>Github!M$1232</f>
        <v>1</v>
      </c>
      <c r="L1054" s="10" t="b">
        <f>Github!N$1232</f>
        <v>0</v>
      </c>
      <c r="M1054" s="10" t="str">
        <f>ROUND(Github!O$1232, 2)&amp;"%"</f>
        <v>56.35%</v>
      </c>
      <c r="N1054" s="10">
        <f>Github!P$1232</f>
        <v>36741</v>
      </c>
      <c r="O1054" s="10">
        <f>Github!Q$1232</f>
        <v>65203</v>
      </c>
    </row>
    <row r="1055">
      <c r="A1055" s="10">
        <f>Github!J$921</f>
        <v>920</v>
      </c>
      <c r="B1055" s="11" t="str">
        <f>HYPERLINK(CONCAT("http://leetcode.com/problems/",Github!C$921), Github!B$921)</f>
        <v>Number of Music Playlists</v>
      </c>
      <c r="C1055" s="10">
        <f>Github!F$921</f>
        <v>726</v>
      </c>
      <c r="D1055" s="10">
        <f>Github!G$921</f>
        <v>68</v>
      </c>
      <c r="E1055" s="10">
        <f>Github!F$921+Github!G$921</f>
        <v>794</v>
      </c>
      <c r="F1055" s="12">
        <f t="shared" si="1"/>
        <v>10.68</v>
      </c>
      <c r="G1055" s="10" t="str">
        <f>Github!H$921</f>
        <v>Algorithms</v>
      </c>
      <c r="H1055" s="13" t="str">
        <f>SUBSTITUTE(Github!L$921, ";", ", ")</f>
        <v>Math, Dynamic Programming, Combinatorics, </v>
      </c>
      <c r="I1055" s="10" t="str">
        <f>Github!E$921</f>
        <v>Hard</v>
      </c>
      <c r="J1055" s="10" t="str">
        <f>IF(TRIM(Github!D$921)="TRUE","FALSE","TRUE")</f>
        <v>TRUE</v>
      </c>
      <c r="K1055" s="10" t="b">
        <f>Github!M$921</f>
        <v>1</v>
      </c>
      <c r="L1055" s="10" t="b">
        <f>Github!N$921</f>
        <v>0</v>
      </c>
      <c r="M1055" s="10" t="str">
        <f>ROUND(Github!O$921, 2)&amp;"%"</f>
        <v>49.91%</v>
      </c>
      <c r="N1055" s="10">
        <f>Github!P$921</f>
        <v>18725</v>
      </c>
      <c r="O1055" s="10">
        <f>Github!Q$921</f>
        <v>37519</v>
      </c>
    </row>
    <row r="1056">
      <c r="A1056" s="10">
        <f>Github!J$1672</f>
        <v>1671</v>
      </c>
      <c r="B1056" s="11" t="str">
        <f>HYPERLINK(CONCAT("http://leetcode.com/problems/",Github!C$1672), Github!B$1672)</f>
        <v>Minimum Number of Removals to Make Mountain Array</v>
      </c>
      <c r="C1056" s="10">
        <f>Github!F$1672</f>
        <v>723</v>
      </c>
      <c r="D1056" s="10">
        <f>Github!G$1672</f>
        <v>11</v>
      </c>
      <c r="E1056" s="10">
        <f>Github!F$1672+Github!G$1672</f>
        <v>734</v>
      </c>
      <c r="F1056" s="12">
        <f t="shared" si="1"/>
        <v>65.73</v>
      </c>
      <c r="G1056" s="10" t="str">
        <f>Github!H$1672</f>
        <v>Algorithms</v>
      </c>
      <c r="H1056" s="13" t="str">
        <f>SUBSTITUTE(Github!L$1672, ";", ", ")</f>
        <v>Array, Binary Search, Dynamic Programming, Greedy, </v>
      </c>
      <c r="I1056" s="10" t="str">
        <f>Github!E$1672</f>
        <v>Hard</v>
      </c>
      <c r="J1056" s="10" t="str">
        <f>IF(TRIM(Github!D$1672)="TRUE","FALSE","TRUE")</f>
        <v>TRUE</v>
      </c>
      <c r="K1056" s="10" t="b">
        <f>Github!M$1672</f>
        <v>0</v>
      </c>
      <c r="L1056" s="10" t="b">
        <f>Github!N$1672</f>
        <v>0</v>
      </c>
      <c r="M1056" s="10" t="str">
        <f>ROUND(Github!O$1672, 2)&amp;"%"</f>
        <v>43.13%</v>
      </c>
      <c r="N1056" s="10">
        <f>Github!P$1672</f>
        <v>12785</v>
      </c>
      <c r="O1056" s="10">
        <f>Github!Q$1672</f>
        <v>29641</v>
      </c>
    </row>
    <row r="1057">
      <c r="A1057" s="10">
        <f>Github!J$782</f>
        <v>781</v>
      </c>
      <c r="B1057" s="11" t="str">
        <f>HYPERLINK(CONCAT("http://leetcode.com/problems/",Github!C$782), Github!B$782)</f>
        <v>Rabbits in Forest</v>
      </c>
      <c r="C1057" s="10">
        <f>Github!F$782</f>
        <v>718</v>
      </c>
      <c r="D1057" s="10">
        <f>Github!G$782</f>
        <v>485</v>
      </c>
      <c r="E1057" s="10">
        <f>Github!F$782+Github!G$782</f>
        <v>1203</v>
      </c>
      <c r="F1057" s="12">
        <f t="shared" si="1"/>
        <v>1.48</v>
      </c>
      <c r="G1057" s="10" t="str">
        <f>Github!H$782</f>
        <v>Algorithms</v>
      </c>
      <c r="H1057" s="13" t="str">
        <f>SUBSTITUTE(Github!L$782, ";", ", ")</f>
        <v>Array, Hash Table, Math, Greedy, </v>
      </c>
      <c r="I1057" s="10" t="str">
        <f>Github!E$782</f>
        <v>Medium</v>
      </c>
      <c r="J1057" s="10" t="str">
        <f>IF(TRIM(Github!D$782)="TRUE","FALSE","TRUE")</f>
        <v>TRUE</v>
      </c>
      <c r="K1057" s="10" t="b">
        <f>Github!M$782</f>
        <v>1</v>
      </c>
      <c r="L1057" s="10" t="b">
        <f>Github!N$782</f>
        <v>0</v>
      </c>
      <c r="M1057" s="10" t="str">
        <f>ROUND(Github!O$782, 2)&amp;"%"</f>
        <v>55.7%</v>
      </c>
      <c r="N1057" s="10">
        <f>Github!P$782</f>
        <v>36423</v>
      </c>
      <c r="O1057" s="10">
        <f>Github!Q$782</f>
        <v>65388</v>
      </c>
    </row>
    <row r="1058">
      <c r="A1058" s="10">
        <f>Github!J$1461</f>
        <v>1460</v>
      </c>
      <c r="B1058" s="11" t="str">
        <f>HYPERLINK(CONCAT("http://leetcode.com/problems/",Github!C$1461), Github!B$1461)</f>
        <v>Make Two Arrays Equal by Reversing Sub-arrays</v>
      </c>
      <c r="C1058" s="10">
        <f>Github!F$1461</f>
        <v>717</v>
      </c>
      <c r="D1058" s="10">
        <f>Github!G$1461</f>
        <v>108</v>
      </c>
      <c r="E1058" s="10">
        <f>Github!F$1461+Github!G$1461</f>
        <v>825</v>
      </c>
      <c r="F1058" s="12">
        <f t="shared" si="1"/>
        <v>6.64</v>
      </c>
      <c r="G1058" s="10" t="str">
        <f>Github!H$1461</f>
        <v>Algorithms</v>
      </c>
      <c r="H1058" s="13" t="str">
        <f>SUBSTITUTE(Github!L$1461, ";", ", ")</f>
        <v>Array, Hash Table, Sorting, </v>
      </c>
      <c r="I1058" s="10" t="str">
        <f>Github!E$1461</f>
        <v>Easy</v>
      </c>
      <c r="J1058" s="10" t="str">
        <f>IF(TRIM(Github!D$1461)="TRUE","FALSE","TRUE")</f>
        <v>TRUE</v>
      </c>
      <c r="K1058" s="10" t="b">
        <f>Github!M$1461</f>
        <v>0</v>
      </c>
      <c r="L1058" s="10" t="b">
        <f>Github!N$1461</f>
        <v>0</v>
      </c>
      <c r="M1058" s="10" t="str">
        <f>ROUND(Github!O$1461, 2)&amp;"%"</f>
        <v>72.5%</v>
      </c>
      <c r="N1058" s="10">
        <f>Github!P$1461</f>
        <v>85317</v>
      </c>
      <c r="O1058" s="10">
        <f>Github!Q$1461</f>
        <v>117671</v>
      </c>
    </row>
    <row r="1059">
      <c r="A1059" s="10">
        <f>Github!J$263</f>
        <v>262</v>
      </c>
      <c r="B1059" s="11" t="str">
        <f>HYPERLINK(CONCAT("http://leetcode.com/problems/",Github!C$263), Github!B$263)</f>
        <v>Trips and Users</v>
      </c>
      <c r="C1059" s="10">
        <f>Github!F$263</f>
        <v>717</v>
      </c>
      <c r="D1059" s="10">
        <f>Github!G$263</f>
        <v>463</v>
      </c>
      <c r="E1059" s="10">
        <f>Github!F$263+Github!G$263</f>
        <v>1180</v>
      </c>
      <c r="F1059" s="12">
        <f t="shared" si="1"/>
        <v>1.55</v>
      </c>
      <c r="G1059" s="10" t="str">
        <f>Github!H$263</f>
        <v>Database</v>
      </c>
      <c r="H1059" s="13" t="str">
        <f>SUBSTITUTE(Github!L$263, ";", ", ")</f>
        <v>Database, </v>
      </c>
      <c r="I1059" s="10" t="str">
        <f>Github!E$263</f>
        <v>Hard</v>
      </c>
      <c r="J1059" s="10" t="str">
        <f>IF(TRIM(Github!D$263)="TRUE","FALSE","TRUE")</f>
        <v>TRUE</v>
      </c>
      <c r="K1059" s="10" t="b">
        <f>Github!M$263</f>
        <v>0</v>
      </c>
      <c r="L1059" s="10" t="b">
        <f>Github!N$263</f>
        <v>0</v>
      </c>
      <c r="M1059" s="10" t="str">
        <f>ROUND(Github!O$263, 2)&amp;"%"</f>
        <v>37.78%</v>
      </c>
      <c r="N1059" s="10">
        <f>Github!P$263</f>
        <v>113945</v>
      </c>
      <c r="O1059" s="10">
        <f>Github!Q$263</f>
        <v>301598</v>
      </c>
    </row>
    <row r="1060">
      <c r="A1060" s="10">
        <f>Github!J$1833</f>
        <v>1832</v>
      </c>
      <c r="B1060" s="11" t="str">
        <f>HYPERLINK(CONCAT("http://leetcode.com/problems/",Github!C$1833), Github!B$1833)</f>
        <v>Check if the Sentence Is Pangram</v>
      </c>
      <c r="C1060" s="10">
        <f>Github!F$1833</f>
        <v>720</v>
      </c>
      <c r="D1060" s="10">
        <f>Github!G$1833</f>
        <v>18</v>
      </c>
      <c r="E1060" s="10">
        <f>Github!F$1833+Github!G$1833</f>
        <v>738</v>
      </c>
      <c r="F1060" s="12">
        <f t="shared" si="1"/>
        <v>40</v>
      </c>
      <c r="G1060" s="10" t="str">
        <f>Github!H$1833</f>
        <v>Algorithms</v>
      </c>
      <c r="H1060" s="13" t="str">
        <f>SUBSTITUTE(Github!L$1833, ";", ", ")</f>
        <v>Hash Table, String, </v>
      </c>
      <c r="I1060" s="10" t="str">
        <f>Github!E$1833</f>
        <v>Easy</v>
      </c>
      <c r="J1060" s="10" t="str">
        <f>IF(TRIM(Github!D$1833)="TRUE","FALSE","TRUE")</f>
        <v>TRUE</v>
      </c>
      <c r="K1060" s="10" t="b">
        <f>Github!M$1833</f>
        <v>0</v>
      </c>
      <c r="L1060" s="10" t="b">
        <f>Github!N$1833</f>
        <v>0</v>
      </c>
      <c r="M1060" s="10" t="str">
        <f>ROUND(Github!O$1833, 2)&amp;"%"</f>
        <v>81.43%</v>
      </c>
      <c r="N1060" s="10">
        <f>Github!P$1833</f>
        <v>81951</v>
      </c>
      <c r="O1060" s="10">
        <f>Github!Q$1833</f>
        <v>100645</v>
      </c>
    </row>
    <row r="1061">
      <c r="A1061" s="10">
        <f>Github!J$1279</f>
        <v>1278</v>
      </c>
      <c r="B1061" s="11" t="str">
        <f>HYPERLINK(CONCAT("http://leetcode.com/problems/",Github!C$1279), Github!B$1279)</f>
        <v>Palindrome Partitioning III</v>
      </c>
      <c r="C1061" s="10">
        <f>Github!F$1279</f>
        <v>713</v>
      </c>
      <c r="D1061" s="10">
        <f>Github!G$1279</f>
        <v>12</v>
      </c>
      <c r="E1061" s="10">
        <f>Github!F$1279+Github!G$1279</f>
        <v>725</v>
      </c>
      <c r="F1061" s="12">
        <f t="shared" si="1"/>
        <v>59.42</v>
      </c>
      <c r="G1061" s="10" t="str">
        <f>Github!H$1279</f>
        <v>Algorithms</v>
      </c>
      <c r="H1061" s="13" t="str">
        <f>SUBSTITUTE(Github!L$1279, ";", ", ")</f>
        <v>String, Dynamic Programming, </v>
      </c>
      <c r="I1061" s="10" t="str">
        <f>Github!E$1279</f>
        <v>Hard</v>
      </c>
      <c r="J1061" s="10" t="str">
        <f>IF(TRIM(Github!D$1279)="TRUE","FALSE","TRUE")</f>
        <v>TRUE</v>
      </c>
      <c r="K1061" s="10" t="b">
        <f>Github!M$1279</f>
        <v>0</v>
      </c>
      <c r="L1061" s="10" t="b">
        <f>Github!N$1279</f>
        <v>0</v>
      </c>
      <c r="M1061" s="10" t="str">
        <f>ROUND(Github!O$1279, 2)&amp;"%"</f>
        <v>60.85%</v>
      </c>
      <c r="N1061" s="10">
        <f>Github!P$1279</f>
        <v>18373</v>
      </c>
      <c r="O1061" s="10">
        <f>Github!Q$1279</f>
        <v>30193</v>
      </c>
    </row>
    <row r="1062">
      <c r="A1062" s="10">
        <f>Github!J$268</f>
        <v>267</v>
      </c>
      <c r="B1062" s="11" t="str">
        <f>HYPERLINK(CONCAT("http://leetcode.com/problems/",Github!C$268), Github!B$268)</f>
        <v>Palindrome Permutation II</v>
      </c>
      <c r="C1062" s="10">
        <f>Github!F$268</f>
        <v>710</v>
      </c>
      <c r="D1062" s="10">
        <f>Github!G$268</f>
        <v>85</v>
      </c>
      <c r="E1062" s="10">
        <f>Github!F$268+Github!G$268</f>
        <v>795</v>
      </c>
      <c r="F1062" s="12">
        <f t="shared" si="1"/>
        <v>8.35</v>
      </c>
      <c r="G1062" s="10" t="str">
        <f>Github!H$268</f>
        <v>Algorithms</v>
      </c>
      <c r="H1062" s="13" t="str">
        <f>SUBSTITUTE(Github!L$268, ";", ", ")</f>
        <v>Hash Table, String, Backtracking, </v>
      </c>
      <c r="I1062" s="10" t="str">
        <f>Github!E$268</f>
        <v>Medium</v>
      </c>
      <c r="J1062" s="10" t="str">
        <f>IF(TRIM(Github!D$268)="TRUE","FALSE","TRUE")</f>
        <v>FALSE</v>
      </c>
      <c r="K1062" s="10" t="b">
        <f>Github!M$268</f>
        <v>1</v>
      </c>
      <c r="L1062" s="10" t="b">
        <f>Github!N$268</f>
        <v>0</v>
      </c>
      <c r="M1062" s="10" t="str">
        <f>ROUND(Github!O$268, 2)&amp;"%"</f>
        <v>39.64%</v>
      </c>
      <c r="N1062" s="10">
        <f>Github!P$268</f>
        <v>54277</v>
      </c>
      <c r="O1062" s="10">
        <f>Github!Q$268</f>
        <v>136938</v>
      </c>
    </row>
    <row r="1063">
      <c r="A1063" s="10">
        <f>Github!J$692</f>
        <v>691</v>
      </c>
      <c r="B1063" s="11" t="str">
        <f>HYPERLINK(CONCAT("http://leetcode.com/problems/",Github!C$692), Github!B$692)</f>
        <v>Stickers to Spell Word</v>
      </c>
      <c r="C1063" s="10">
        <f>Github!F$692</f>
        <v>713</v>
      </c>
      <c r="D1063" s="10">
        <f>Github!G$692</f>
        <v>69</v>
      </c>
      <c r="E1063" s="10">
        <f>Github!F$692+Github!G$692</f>
        <v>782</v>
      </c>
      <c r="F1063" s="12">
        <f t="shared" si="1"/>
        <v>10.33</v>
      </c>
      <c r="G1063" s="10" t="str">
        <f>Github!H$692</f>
        <v>Algorithms</v>
      </c>
      <c r="H1063" s="13" t="str">
        <f>SUBSTITUTE(Github!L$692, ";", ", ")</f>
        <v>Dynamic Programming, Backtracking, Bit Manipulation, Bitmask, </v>
      </c>
      <c r="I1063" s="10" t="str">
        <f>Github!E$692</f>
        <v>Hard</v>
      </c>
      <c r="J1063" s="10" t="str">
        <f>IF(TRIM(Github!D$692)="TRUE","FALSE","TRUE")</f>
        <v>TRUE</v>
      </c>
      <c r="K1063" s="10" t="b">
        <f>Github!M$692</f>
        <v>0</v>
      </c>
      <c r="L1063" s="10" t="b">
        <f>Github!N$692</f>
        <v>0</v>
      </c>
      <c r="M1063" s="10" t="str">
        <f>ROUND(Github!O$692, 2)&amp;"%"</f>
        <v>46.68%</v>
      </c>
      <c r="N1063" s="10">
        <f>Github!P$692</f>
        <v>30154</v>
      </c>
      <c r="O1063" s="10">
        <f>Github!Q$692</f>
        <v>64597</v>
      </c>
    </row>
    <row r="1064">
      <c r="A1064" s="10">
        <f>Github!J$1493</f>
        <v>1492</v>
      </c>
      <c r="B1064" s="11" t="str">
        <f>HYPERLINK(CONCAT("http://leetcode.com/problems/",Github!C$1493), Github!B$1493)</f>
        <v>The kth Factor of n</v>
      </c>
      <c r="C1064" s="10">
        <f>Github!F$1493</f>
        <v>715</v>
      </c>
      <c r="D1064" s="10">
        <f>Github!G$1493</f>
        <v>207</v>
      </c>
      <c r="E1064" s="10">
        <f>Github!F$1493+Github!G$1493</f>
        <v>922</v>
      </c>
      <c r="F1064" s="12">
        <f t="shared" si="1"/>
        <v>3.45</v>
      </c>
      <c r="G1064" s="10" t="str">
        <f>Github!H$1493</f>
        <v>Algorithms</v>
      </c>
      <c r="H1064" s="13" t="str">
        <f>SUBSTITUTE(Github!L$1493, ";", ", ")</f>
        <v>Math, </v>
      </c>
      <c r="I1064" s="10" t="str">
        <f>Github!E$1493</f>
        <v>Medium</v>
      </c>
      <c r="J1064" s="10" t="str">
        <f>IF(TRIM(Github!D$1493)="TRUE","FALSE","TRUE")</f>
        <v>TRUE</v>
      </c>
      <c r="K1064" s="10" t="b">
        <f>Github!M$1493</f>
        <v>1</v>
      </c>
      <c r="L1064" s="10" t="b">
        <f>Github!N$1493</f>
        <v>0</v>
      </c>
      <c r="M1064" s="10" t="str">
        <f>ROUND(Github!O$1493, 2)&amp;"%"</f>
        <v>62.05%</v>
      </c>
      <c r="N1064" s="10">
        <f>Github!P$1493</f>
        <v>88918</v>
      </c>
      <c r="O1064" s="10">
        <f>Github!Q$1493</f>
        <v>143307</v>
      </c>
    </row>
    <row r="1065">
      <c r="A1065" s="10">
        <f>Github!J$276</f>
        <v>275</v>
      </c>
      <c r="B1065" s="11" t="str">
        <f>HYPERLINK(CONCAT("http://leetcode.com/problems/",Github!C$276), Github!B$276)</f>
        <v>H-Index II</v>
      </c>
      <c r="C1065" s="10">
        <f>Github!F$276</f>
        <v>713</v>
      </c>
      <c r="D1065" s="10">
        <f>Github!G$276</f>
        <v>1043</v>
      </c>
      <c r="E1065" s="10">
        <f>Github!F$276+Github!G$276</f>
        <v>1756</v>
      </c>
      <c r="F1065" s="12">
        <f t="shared" si="1"/>
        <v>0.68</v>
      </c>
      <c r="G1065" s="10" t="str">
        <f>Github!H$276</f>
        <v>Algorithms</v>
      </c>
      <c r="H1065" s="13" t="str">
        <f>SUBSTITUTE(Github!L$276, ";", ", ")</f>
        <v>Array, Binary Search, </v>
      </c>
      <c r="I1065" s="10" t="str">
        <f>Github!E$276</f>
        <v>Medium</v>
      </c>
      <c r="J1065" s="10" t="str">
        <f>IF(TRIM(Github!D$276)="TRUE","FALSE","TRUE")</f>
        <v>TRUE</v>
      </c>
      <c r="K1065" s="10" t="b">
        <f>Github!M$276</f>
        <v>1</v>
      </c>
      <c r="L1065" s="10" t="b">
        <f>Github!N$276</f>
        <v>0</v>
      </c>
      <c r="M1065" s="10" t="str">
        <f>ROUND(Github!O$276, 2)&amp;"%"</f>
        <v>37.01%</v>
      </c>
      <c r="N1065" s="10">
        <f>Github!P$276</f>
        <v>157887</v>
      </c>
      <c r="O1065" s="10">
        <f>Github!Q$276</f>
        <v>426608</v>
      </c>
    </row>
    <row r="1066">
      <c r="A1066" s="10">
        <f>Github!J$234</f>
        <v>233</v>
      </c>
      <c r="B1066" s="11" t="str">
        <f>HYPERLINK(CONCAT("http://leetcode.com/problems/",Github!C$234), Github!B$234)</f>
        <v>Number of Digit One</v>
      </c>
      <c r="C1066" s="10">
        <f>Github!F$234</f>
        <v>710</v>
      </c>
      <c r="D1066" s="10">
        <f>Github!G$234</f>
        <v>1037</v>
      </c>
      <c r="E1066" s="10">
        <f>Github!F$234+Github!G$234</f>
        <v>1747</v>
      </c>
      <c r="F1066" s="12">
        <f t="shared" si="1"/>
        <v>0.68</v>
      </c>
      <c r="G1066" s="10" t="str">
        <f>Github!H$234</f>
        <v>Algorithms</v>
      </c>
      <c r="H1066" s="13" t="str">
        <f>SUBSTITUTE(Github!L$234, ";", ", ")</f>
        <v>Math, Dynamic Programming, Recursion, </v>
      </c>
      <c r="I1066" s="10" t="str">
        <f>Github!E$234</f>
        <v>Hard</v>
      </c>
      <c r="J1066" s="10" t="str">
        <f>IF(TRIM(Github!D$234)="TRUE","FALSE","TRUE")</f>
        <v>TRUE</v>
      </c>
      <c r="K1066" s="10" t="b">
        <f>Github!M$234</f>
        <v>1</v>
      </c>
      <c r="L1066" s="10" t="b">
        <f>Github!N$234</f>
        <v>0</v>
      </c>
      <c r="M1066" s="10" t="str">
        <f>ROUND(Github!O$234, 2)&amp;"%"</f>
        <v>33.56%</v>
      </c>
      <c r="N1066" s="10">
        <f>Github!P$234</f>
        <v>64299</v>
      </c>
      <c r="O1066" s="10">
        <f>Github!Q$234</f>
        <v>191567</v>
      </c>
    </row>
    <row r="1067">
      <c r="A1067" s="10">
        <f>Github!J$972</f>
        <v>971</v>
      </c>
      <c r="B1067" s="11" t="str">
        <f>HYPERLINK(CONCAT("http://leetcode.com/problems/",Github!C$972), Github!B$972)</f>
        <v>Flip Binary Tree To Match Preorder Traversal</v>
      </c>
      <c r="C1067" s="10">
        <f>Github!F$972</f>
        <v>709</v>
      </c>
      <c r="D1067" s="10">
        <f>Github!G$972</f>
        <v>239</v>
      </c>
      <c r="E1067" s="10">
        <f>Github!F$972+Github!G$972</f>
        <v>948</v>
      </c>
      <c r="F1067" s="12">
        <f t="shared" si="1"/>
        <v>2.97</v>
      </c>
      <c r="G1067" s="10" t="str">
        <f>Github!H$972</f>
        <v>Algorithms</v>
      </c>
      <c r="H1067" s="13" t="str">
        <f>SUBSTITUTE(Github!L$972, ";", ", ")</f>
        <v>Tree, Depth-First Search, Binary Tree, </v>
      </c>
      <c r="I1067" s="10" t="str">
        <f>Github!E$972</f>
        <v>Medium</v>
      </c>
      <c r="J1067" s="10" t="str">
        <f>IF(TRIM(Github!D$972)="TRUE","FALSE","TRUE")</f>
        <v>TRUE</v>
      </c>
      <c r="K1067" s="10" t="b">
        <f>Github!M$972</f>
        <v>1</v>
      </c>
      <c r="L1067" s="10" t="b">
        <f>Github!N$972</f>
        <v>0</v>
      </c>
      <c r="M1067" s="10" t="str">
        <f>ROUND(Github!O$972, 2)&amp;"%"</f>
        <v>49.88%</v>
      </c>
      <c r="N1067" s="10">
        <f>Github!P$972</f>
        <v>34937</v>
      </c>
      <c r="O1067" s="10">
        <f>Github!Q$972</f>
        <v>70048</v>
      </c>
    </row>
    <row r="1068">
      <c r="A1068" s="10">
        <f>Github!J$733</f>
        <v>732</v>
      </c>
      <c r="B1068" s="11" t="str">
        <f>HYPERLINK(CONCAT("http://leetcode.com/problems/",Github!C$733), Github!B$733)</f>
        <v>My Calendar III</v>
      </c>
      <c r="C1068" s="10">
        <f>Github!F$733</f>
        <v>716</v>
      </c>
      <c r="D1068" s="10">
        <f>Github!G$733</f>
        <v>146</v>
      </c>
      <c r="E1068" s="10">
        <f>Github!F$733+Github!G$733</f>
        <v>862</v>
      </c>
      <c r="F1068" s="12">
        <f t="shared" si="1"/>
        <v>4.9</v>
      </c>
      <c r="G1068" s="10" t="str">
        <f>Github!H$733</f>
        <v>Algorithms</v>
      </c>
      <c r="H1068" s="13" t="str">
        <f>SUBSTITUTE(Github!L$733, ";", ", ")</f>
        <v>Design, Segment Tree, Ordered Set, </v>
      </c>
      <c r="I1068" s="10" t="str">
        <f>Github!E$733</f>
        <v>Hard</v>
      </c>
      <c r="J1068" s="10" t="str">
        <f>IF(TRIM(Github!D$733)="TRUE","FALSE","TRUE")</f>
        <v>TRUE</v>
      </c>
      <c r="K1068" s="10" t="b">
        <f>Github!M$733</f>
        <v>1</v>
      </c>
      <c r="L1068" s="10" t="b">
        <f>Github!N$733</f>
        <v>0</v>
      </c>
      <c r="M1068" s="10" t="str">
        <f>ROUND(Github!O$733, 2)&amp;"%"</f>
        <v>66.49%</v>
      </c>
      <c r="N1068" s="10">
        <f>Github!P$733</f>
        <v>40022</v>
      </c>
      <c r="O1068" s="10">
        <f>Github!Q$733</f>
        <v>60195</v>
      </c>
    </row>
    <row r="1069">
      <c r="A1069" s="10">
        <f>Github!J$738</f>
        <v>737</v>
      </c>
      <c r="B1069" s="11" t="str">
        <f>HYPERLINK(CONCAT("http://leetcode.com/problems/",Github!C$738), Github!B$738)</f>
        <v>Sentence Similarity II</v>
      </c>
      <c r="C1069" s="10">
        <f>Github!F$738</f>
        <v>707</v>
      </c>
      <c r="D1069" s="10">
        <f>Github!G$738</f>
        <v>42</v>
      </c>
      <c r="E1069" s="10">
        <f>Github!F$738+Github!G$738</f>
        <v>749</v>
      </c>
      <c r="F1069" s="12">
        <f t="shared" si="1"/>
        <v>16.83</v>
      </c>
      <c r="G1069" s="10" t="str">
        <f>Github!H$738</f>
        <v>Algorithms</v>
      </c>
      <c r="H1069" s="13" t="str">
        <f>SUBSTITUTE(Github!L$738, ";", ", ")</f>
        <v>Array, Hash Table, String, Depth-First Search, Breadth-First Search, Union Find, </v>
      </c>
      <c r="I1069" s="10" t="str">
        <f>Github!E$738</f>
        <v>Medium</v>
      </c>
      <c r="J1069" s="10" t="str">
        <f>IF(TRIM(Github!D$738)="TRUE","FALSE","TRUE")</f>
        <v>FALSE</v>
      </c>
      <c r="K1069" s="10" t="b">
        <f>Github!M$738</f>
        <v>1</v>
      </c>
      <c r="L1069" s="10" t="b">
        <f>Github!N$738</f>
        <v>0</v>
      </c>
      <c r="M1069" s="10" t="str">
        <f>ROUND(Github!O$738, 2)&amp;"%"</f>
        <v>48.14%</v>
      </c>
      <c r="N1069" s="10">
        <f>Github!P$738</f>
        <v>58849</v>
      </c>
      <c r="O1069" s="10">
        <f>Github!Q$738</f>
        <v>122257</v>
      </c>
    </row>
    <row r="1070">
      <c r="A1070" s="10">
        <f>Github!J$1479</f>
        <v>1478</v>
      </c>
      <c r="B1070" s="11" t="str">
        <f>HYPERLINK(CONCAT("http://leetcode.com/problems/",Github!C$1479), Github!B$1479)</f>
        <v>Allocate Mailboxes</v>
      </c>
      <c r="C1070" s="10">
        <f>Github!F$1479</f>
        <v>707</v>
      </c>
      <c r="D1070" s="10">
        <f>Github!G$1479</f>
        <v>12</v>
      </c>
      <c r="E1070" s="10">
        <f>Github!F$1479+Github!G$1479</f>
        <v>719</v>
      </c>
      <c r="F1070" s="12">
        <f t="shared" si="1"/>
        <v>58.92</v>
      </c>
      <c r="G1070" s="10" t="str">
        <f>Github!H$1479</f>
        <v>Algorithms</v>
      </c>
      <c r="H1070" s="13" t="str">
        <f>SUBSTITUTE(Github!L$1479, ";", ", ")</f>
        <v>Array, Math, Dynamic Programming, Sorting, </v>
      </c>
      <c r="I1070" s="10" t="str">
        <f>Github!E$1479</f>
        <v>Hard</v>
      </c>
      <c r="J1070" s="10" t="str">
        <f>IF(TRIM(Github!D$1479)="TRUE","FALSE","TRUE")</f>
        <v>TRUE</v>
      </c>
      <c r="K1070" s="10" t="b">
        <f>Github!M$1479</f>
        <v>0</v>
      </c>
      <c r="L1070" s="10" t="b">
        <f>Github!N$1479</f>
        <v>0</v>
      </c>
      <c r="M1070" s="10" t="str">
        <f>ROUND(Github!O$1479, 2)&amp;"%"</f>
        <v>55.42%</v>
      </c>
      <c r="N1070" s="10">
        <f>Github!P$1479</f>
        <v>15401</v>
      </c>
      <c r="O1070" s="10">
        <f>Github!Q$1479</f>
        <v>27792</v>
      </c>
    </row>
    <row r="1071">
      <c r="A1071" s="10">
        <f>Github!J$354</f>
        <v>353</v>
      </c>
      <c r="B1071" s="11" t="str">
        <f>HYPERLINK(CONCAT("http://leetcode.com/problems/",Github!C$354), Github!B$354)</f>
        <v>Design Snake Game</v>
      </c>
      <c r="C1071" s="10">
        <f>Github!F$354</f>
        <v>705</v>
      </c>
      <c r="D1071" s="10">
        <f>Github!G$354</f>
        <v>259</v>
      </c>
      <c r="E1071" s="10">
        <f>Github!F$354+Github!G$354</f>
        <v>964</v>
      </c>
      <c r="F1071" s="12">
        <f t="shared" si="1"/>
        <v>2.72</v>
      </c>
      <c r="G1071" s="10" t="str">
        <f>Github!H$354</f>
        <v>Algorithms</v>
      </c>
      <c r="H1071" s="13" t="str">
        <f>SUBSTITUTE(Github!L$354, ";", ", ")</f>
        <v>Array, Design, Queue, Matrix, </v>
      </c>
      <c r="I1071" s="10" t="str">
        <f>Github!E$354</f>
        <v>Medium</v>
      </c>
      <c r="J1071" s="10" t="str">
        <f>IF(TRIM(Github!D$354)="TRUE","FALSE","TRUE")</f>
        <v>FALSE</v>
      </c>
      <c r="K1071" s="10" t="b">
        <f>Github!M$354</f>
        <v>1</v>
      </c>
      <c r="L1071" s="10" t="b">
        <f>Github!N$354</f>
        <v>0</v>
      </c>
      <c r="M1071" s="10" t="str">
        <f>ROUND(Github!O$354, 2)&amp;"%"</f>
        <v>38.18%</v>
      </c>
      <c r="N1071" s="10">
        <f>Github!P$354</f>
        <v>59772</v>
      </c>
      <c r="O1071" s="10">
        <f>Github!Q$354</f>
        <v>156552</v>
      </c>
    </row>
    <row r="1072">
      <c r="A1072" s="10">
        <f>Github!J$1126</f>
        <v>1125</v>
      </c>
      <c r="B1072" s="11" t="str">
        <f>HYPERLINK(CONCAT("http://leetcode.com/problems/",Github!C$1126), Github!B$1126)</f>
        <v>Smallest Sufficient Team</v>
      </c>
      <c r="C1072" s="10">
        <f>Github!F$1126</f>
        <v>708</v>
      </c>
      <c r="D1072" s="10">
        <f>Github!G$1126</f>
        <v>15</v>
      </c>
      <c r="E1072" s="10">
        <f>Github!F$1126+Github!G$1126</f>
        <v>723</v>
      </c>
      <c r="F1072" s="12">
        <f t="shared" si="1"/>
        <v>47.2</v>
      </c>
      <c r="G1072" s="10" t="str">
        <f>Github!H$1126</f>
        <v>Algorithms</v>
      </c>
      <c r="H1072" s="13" t="str">
        <f>SUBSTITUTE(Github!L$1126, ";", ", ")</f>
        <v>Array, Dynamic Programming, Bit Manipulation, Bitmask, </v>
      </c>
      <c r="I1072" s="10" t="str">
        <f>Github!E$1126</f>
        <v>Hard</v>
      </c>
      <c r="J1072" s="10" t="str">
        <f>IF(TRIM(Github!D$1126)="TRUE","FALSE","TRUE")</f>
        <v>TRUE</v>
      </c>
      <c r="K1072" s="10" t="b">
        <f>Github!M$1126</f>
        <v>0</v>
      </c>
      <c r="L1072" s="10" t="b">
        <f>Github!N$1126</f>
        <v>0</v>
      </c>
      <c r="M1072" s="10" t="str">
        <f>ROUND(Github!O$1126, 2)&amp;"%"</f>
        <v>47.7%</v>
      </c>
      <c r="N1072" s="10">
        <f>Github!P$1126</f>
        <v>16019</v>
      </c>
      <c r="O1072" s="10">
        <f>Github!Q$1126</f>
        <v>33585</v>
      </c>
    </row>
    <row r="1073">
      <c r="A1073" s="10">
        <f>Github!J$1750</f>
        <v>1749</v>
      </c>
      <c r="B1073" s="11" t="str">
        <f>HYPERLINK(CONCAT("http://leetcode.com/problems/",Github!C$1750), Github!B$1750)</f>
        <v>Maximum Absolute Sum of Any Subarray</v>
      </c>
      <c r="C1073" s="10">
        <f>Github!F$1750</f>
        <v>711</v>
      </c>
      <c r="D1073" s="10">
        <f>Github!G$1750</f>
        <v>10</v>
      </c>
      <c r="E1073" s="10">
        <f>Github!F$1750+Github!G$1750</f>
        <v>721</v>
      </c>
      <c r="F1073" s="12">
        <f t="shared" si="1"/>
        <v>71.1</v>
      </c>
      <c r="G1073" s="10" t="str">
        <f>Github!H$1750</f>
        <v>Algorithms</v>
      </c>
      <c r="H1073" s="13" t="str">
        <f>SUBSTITUTE(Github!L$1750, ";", ", ")</f>
        <v>Array, Dynamic Programming, </v>
      </c>
      <c r="I1073" s="10" t="str">
        <f>Github!E$1750</f>
        <v>Medium</v>
      </c>
      <c r="J1073" s="10" t="str">
        <f>IF(TRIM(Github!D$1750)="TRUE","FALSE","TRUE")</f>
        <v>TRUE</v>
      </c>
      <c r="K1073" s="10" t="b">
        <f>Github!M$1750</f>
        <v>0</v>
      </c>
      <c r="L1073" s="10" t="b">
        <f>Github!N$1750</f>
        <v>0</v>
      </c>
      <c r="M1073" s="10" t="str">
        <f>ROUND(Github!O$1750, 2)&amp;"%"</f>
        <v>56.96%</v>
      </c>
      <c r="N1073" s="10">
        <f>Github!P$1750</f>
        <v>21385</v>
      </c>
      <c r="O1073" s="10">
        <f>Github!Q$1750</f>
        <v>37545</v>
      </c>
    </row>
    <row r="1074">
      <c r="A1074" s="10">
        <f>Github!J$2096</f>
        <v>2095</v>
      </c>
      <c r="B1074" s="11" t="str">
        <f>HYPERLINK(CONCAT("http://leetcode.com/problems/",Github!C$2096), Github!B$2096)</f>
        <v>Delete the Middle Node of a Linked List</v>
      </c>
      <c r="C1074" s="10">
        <f>Github!F$2096</f>
        <v>724</v>
      </c>
      <c r="D1074" s="10">
        <f>Github!G$2096</f>
        <v>24</v>
      </c>
      <c r="E1074" s="10">
        <f>Github!F$2096+Github!G$2096</f>
        <v>748</v>
      </c>
      <c r="F1074" s="12">
        <f t="shared" si="1"/>
        <v>30.17</v>
      </c>
      <c r="G1074" s="10" t="str">
        <f>Github!H$2096</f>
        <v>Algorithms</v>
      </c>
      <c r="H1074" s="13" t="str">
        <f>SUBSTITUTE(Github!L$2096, ";", ", ")</f>
        <v>Linked List, Two Pointers, </v>
      </c>
      <c r="I1074" s="10" t="str">
        <f>Github!E$2096</f>
        <v>Medium</v>
      </c>
      <c r="J1074" s="10" t="str">
        <f>IF(TRIM(Github!D$2096)="TRUE","FALSE","TRUE")</f>
        <v>TRUE</v>
      </c>
      <c r="K1074" s="10" t="b">
        <f>Github!M$2096</f>
        <v>0</v>
      </c>
      <c r="L1074" s="10" t="b">
        <f>Github!N$2096</f>
        <v>0</v>
      </c>
      <c r="M1074" s="10" t="str">
        <f>ROUND(Github!O$2096, 2)&amp;"%"</f>
        <v>57.05%</v>
      </c>
      <c r="N1074" s="10">
        <f>Github!P$2096</f>
        <v>43377</v>
      </c>
      <c r="O1074" s="10">
        <f>Github!Q$2096</f>
        <v>76036</v>
      </c>
    </row>
    <row r="1075">
      <c r="A1075" s="10">
        <f>Github!J$1376</f>
        <v>1375</v>
      </c>
      <c r="B1075" s="11" t="str">
        <f>HYPERLINK(CONCAT("http://leetcode.com/problems/",Github!C$1376), Github!B$1376)</f>
        <v>Number of Times Binary String Is Prefix-Aligned</v>
      </c>
      <c r="C1075" s="10">
        <f>Github!F$1376</f>
        <v>704</v>
      </c>
      <c r="D1075" s="10">
        <f>Github!G$1376</f>
        <v>112</v>
      </c>
      <c r="E1075" s="10">
        <f>Github!F$1376+Github!G$1376</f>
        <v>816</v>
      </c>
      <c r="F1075" s="12">
        <f t="shared" si="1"/>
        <v>6.29</v>
      </c>
      <c r="G1075" s="10" t="str">
        <f>Github!H$1376</f>
        <v>Algorithms</v>
      </c>
      <c r="H1075" s="13" t="str">
        <f>SUBSTITUTE(Github!L$1376, ";", ", ")</f>
        <v>Array, </v>
      </c>
      <c r="I1075" s="10" t="str">
        <f>Github!E$1376</f>
        <v>Medium</v>
      </c>
      <c r="J1075" s="10" t="str">
        <f>IF(TRIM(Github!D$1376)="TRUE","FALSE","TRUE")</f>
        <v>TRUE</v>
      </c>
      <c r="K1075" s="10" t="b">
        <f>Github!M$1376</f>
        <v>0</v>
      </c>
      <c r="L1075" s="10" t="b">
        <f>Github!N$1376</f>
        <v>0</v>
      </c>
      <c r="M1075" s="10" t="str">
        <f>ROUND(Github!O$1376, 2)&amp;"%"</f>
        <v>65.71%</v>
      </c>
      <c r="N1075" s="10">
        <f>Github!P$1376</f>
        <v>39397</v>
      </c>
      <c r="O1075" s="10">
        <f>Github!Q$1376</f>
        <v>59957</v>
      </c>
    </row>
    <row r="1076">
      <c r="A1076" s="10">
        <f>Github!J$703</f>
        <v>702</v>
      </c>
      <c r="B1076" s="11" t="str">
        <f>HYPERLINK(CONCAT("http://leetcode.com/problems/",Github!C$703), Github!B$703)</f>
        <v>Search in a Sorted Array of Unknown Size</v>
      </c>
      <c r="C1076" s="10">
        <f>Github!F$703</f>
        <v>703</v>
      </c>
      <c r="D1076" s="10">
        <f>Github!G$703</f>
        <v>34</v>
      </c>
      <c r="E1076" s="10">
        <f>Github!F$703+Github!G$703</f>
        <v>737</v>
      </c>
      <c r="F1076" s="12">
        <f t="shared" si="1"/>
        <v>20.68</v>
      </c>
      <c r="G1076" s="10" t="str">
        <f>Github!H$703</f>
        <v>Algorithms</v>
      </c>
      <c r="H1076" s="13" t="str">
        <f>SUBSTITUTE(Github!L$703, ";", ", ")</f>
        <v>Array, Binary Search, Interactive, </v>
      </c>
      <c r="I1076" s="10" t="str">
        <f>Github!E$703</f>
        <v>Medium</v>
      </c>
      <c r="J1076" s="10" t="str">
        <f>IF(TRIM(Github!D$703)="TRUE","FALSE","TRUE")</f>
        <v>FALSE</v>
      </c>
      <c r="K1076" s="10" t="b">
        <f>Github!M$703</f>
        <v>1</v>
      </c>
      <c r="L1076" s="10" t="b">
        <f>Github!N$703</f>
        <v>0</v>
      </c>
      <c r="M1076" s="10" t="str">
        <f>ROUND(Github!O$703, 2)&amp;"%"</f>
        <v>70.87%</v>
      </c>
      <c r="N1076" s="10">
        <f>Github!P$703</f>
        <v>69537</v>
      </c>
      <c r="O1076" s="10">
        <f>Github!Q$703</f>
        <v>98120</v>
      </c>
    </row>
    <row r="1077">
      <c r="A1077" s="10">
        <f>Github!J$563</f>
        <v>562</v>
      </c>
      <c r="B1077" s="11" t="str">
        <f>HYPERLINK(CONCAT("http://leetcode.com/problems/",Github!C$563), Github!B$563)</f>
        <v>Longest Line of Consecutive One in Matrix</v>
      </c>
      <c r="C1077" s="10">
        <f>Github!F$563</f>
        <v>704</v>
      </c>
      <c r="D1077" s="10">
        <f>Github!G$563</f>
        <v>97</v>
      </c>
      <c r="E1077" s="10">
        <f>Github!F$563+Github!G$563</f>
        <v>801</v>
      </c>
      <c r="F1077" s="12">
        <f t="shared" si="1"/>
        <v>7.26</v>
      </c>
      <c r="G1077" s="10" t="str">
        <f>Github!H$563</f>
        <v>Algorithms</v>
      </c>
      <c r="H1077" s="13" t="str">
        <f>SUBSTITUTE(Github!L$563, ";", ", ")</f>
        <v>Array, Dynamic Programming, Matrix, </v>
      </c>
      <c r="I1077" s="10" t="str">
        <f>Github!E$563</f>
        <v>Medium</v>
      </c>
      <c r="J1077" s="10" t="str">
        <f>IF(TRIM(Github!D$563)="TRUE","FALSE","TRUE")</f>
        <v>FALSE</v>
      </c>
      <c r="K1077" s="10" t="b">
        <f>Github!M$563</f>
        <v>1</v>
      </c>
      <c r="L1077" s="10" t="b">
        <f>Github!N$563</f>
        <v>0</v>
      </c>
      <c r="M1077" s="10" t="str">
        <f>ROUND(Github!O$563, 2)&amp;"%"</f>
        <v>49.1%</v>
      </c>
      <c r="N1077" s="10">
        <f>Github!P$563</f>
        <v>58263</v>
      </c>
      <c r="O1077" s="10">
        <f>Github!Q$563</f>
        <v>118650</v>
      </c>
    </row>
    <row r="1078">
      <c r="A1078" s="10">
        <f>Github!J$1104</f>
        <v>1103</v>
      </c>
      <c r="B1078" s="11" t="str">
        <f>HYPERLINK(CONCAT("http://leetcode.com/problems/",Github!C$1104), Github!B$1104)</f>
        <v>Distribute Candies to People</v>
      </c>
      <c r="C1078" s="10">
        <f>Github!F$1104</f>
        <v>698</v>
      </c>
      <c r="D1078" s="10">
        <f>Github!G$1104</f>
        <v>168</v>
      </c>
      <c r="E1078" s="10">
        <f>Github!F$1104+Github!G$1104</f>
        <v>866</v>
      </c>
      <c r="F1078" s="12">
        <f t="shared" si="1"/>
        <v>4.15</v>
      </c>
      <c r="G1078" s="10" t="str">
        <f>Github!H$1104</f>
        <v>Algorithms</v>
      </c>
      <c r="H1078" s="13" t="str">
        <f>SUBSTITUTE(Github!L$1104, ";", ", ")</f>
        <v>Math, Simulation, </v>
      </c>
      <c r="I1078" s="10" t="str">
        <f>Github!E$1104</f>
        <v>Easy</v>
      </c>
      <c r="J1078" s="10" t="str">
        <f>IF(TRIM(Github!D$1104)="TRUE","FALSE","TRUE")</f>
        <v>TRUE</v>
      </c>
      <c r="K1078" s="10" t="b">
        <f>Github!M$1104</f>
        <v>0</v>
      </c>
      <c r="L1078" s="10" t="b">
        <f>Github!N$1104</f>
        <v>0</v>
      </c>
      <c r="M1078" s="10" t="str">
        <f>ROUND(Github!O$1104, 2)&amp;"%"</f>
        <v>63.71%</v>
      </c>
      <c r="N1078" s="10">
        <f>Github!P$1104</f>
        <v>66912</v>
      </c>
      <c r="O1078" s="10">
        <f>Github!Q$1104</f>
        <v>105023</v>
      </c>
    </row>
    <row r="1079">
      <c r="A1079" s="10">
        <f>Github!J$818</f>
        <v>817</v>
      </c>
      <c r="B1079" s="11" t="str">
        <f>HYPERLINK(CONCAT("http://leetcode.com/problems/",Github!C$818), Github!B$818)</f>
        <v>Linked List Components</v>
      </c>
      <c r="C1079" s="10">
        <f>Github!F$818</f>
        <v>701</v>
      </c>
      <c r="D1079" s="10">
        <f>Github!G$818</f>
        <v>1756</v>
      </c>
      <c r="E1079" s="10">
        <f>Github!F$818+Github!G$818</f>
        <v>2457</v>
      </c>
      <c r="F1079" s="12">
        <f t="shared" si="1"/>
        <v>0.4</v>
      </c>
      <c r="G1079" s="10" t="str">
        <f>Github!H$818</f>
        <v>Algorithms</v>
      </c>
      <c r="H1079" s="13" t="str">
        <f>SUBSTITUTE(Github!L$818, ";", ", ")</f>
        <v>Hash Table, Linked List, </v>
      </c>
      <c r="I1079" s="10" t="str">
        <f>Github!E$818</f>
        <v>Medium</v>
      </c>
      <c r="J1079" s="10" t="str">
        <f>IF(TRIM(Github!D$818)="TRUE","FALSE","TRUE")</f>
        <v>TRUE</v>
      </c>
      <c r="K1079" s="10" t="b">
        <f>Github!M$818</f>
        <v>0</v>
      </c>
      <c r="L1079" s="10" t="b">
        <f>Github!N$818</f>
        <v>0</v>
      </c>
      <c r="M1079" s="10" t="str">
        <f>ROUND(Github!O$818, 2)&amp;"%"</f>
        <v>58.07%</v>
      </c>
      <c r="N1079" s="10">
        <f>Github!P$818</f>
        <v>68521</v>
      </c>
      <c r="O1079" s="10">
        <f>Github!Q$818</f>
        <v>118002</v>
      </c>
    </row>
    <row r="1080">
      <c r="A1080" s="10">
        <f>Github!J$1885</f>
        <v>1884</v>
      </c>
      <c r="B1080" s="11" t="str">
        <f>HYPERLINK(CONCAT("http://leetcode.com/problems/",Github!C$1885), Github!B$1885)</f>
        <v>Egg Drop With 2 Eggs and N Floors</v>
      </c>
      <c r="C1080" s="10">
        <f>Github!F$1885</f>
        <v>704</v>
      </c>
      <c r="D1080" s="10">
        <f>Github!G$1885</f>
        <v>61</v>
      </c>
      <c r="E1080" s="10">
        <f>Github!F$1885+Github!G$1885</f>
        <v>765</v>
      </c>
      <c r="F1080" s="12">
        <f t="shared" si="1"/>
        <v>11.54</v>
      </c>
      <c r="G1080" s="10" t="str">
        <f>Github!H$1885</f>
        <v>Algorithms</v>
      </c>
      <c r="H1080" s="13" t="str">
        <f>SUBSTITUTE(Github!L$1885, ";", ", ")</f>
        <v>Math, Dynamic Programming, </v>
      </c>
      <c r="I1080" s="10" t="str">
        <f>Github!E$1885</f>
        <v>Medium</v>
      </c>
      <c r="J1080" s="10" t="str">
        <f>IF(TRIM(Github!D$1885)="TRUE","FALSE","TRUE")</f>
        <v>TRUE</v>
      </c>
      <c r="K1080" s="10" t="b">
        <f>Github!M$1885</f>
        <v>0</v>
      </c>
      <c r="L1080" s="10" t="b">
        <f>Github!N$1885</f>
        <v>0</v>
      </c>
      <c r="M1080" s="10" t="str">
        <f>ROUND(Github!O$1885, 2)&amp;"%"</f>
        <v>70.04%</v>
      </c>
      <c r="N1080" s="10">
        <f>Github!P$1885</f>
        <v>20062</v>
      </c>
      <c r="O1080" s="10">
        <f>Github!Q$1885</f>
        <v>28643</v>
      </c>
    </row>
    <row r="1081">
      <c r="A1081" s="10">
        <f>Github!J$1157</f>
        <v>1156</v>
      </c>
      <c r="B1081" s="11" t="str">
        <f>HYPERLINK(CONCAT("http://leetcode.com/problems/",Github!C$1157), Github!B$1157)</f>
        <v>Swap For Longest Repeated Character Substring</v>
      </c>
      <c r="C1081" s="10">
        <f>Github!F$1157</f>
        <v>700</v>
      </c>
      <c r="D1081" s="10">
        <f>Github!G$1157</f>
        <v>63</v>
      </c>
      <c r="E1081" s="10">
        <f>Github!F$1157+Github!G$1157</f>
        <v>763</v>
      </c>
      <c r="F1081" s="12">
        <f t="shared" si="1"/>
        <v>11.11</v>
      </c>
      <c r="G1081" s="10" t="str">
        <f>Github!H$1157</f>
        <v>Algorithms</v>
      </c>
      <c r="H1081" s="13" t="str">
        <f>SUBSTITUTE(Github!L$1157, ";", ", ")</f>
        <v>String, Sliding Window, </v>
      </c>
      <c r="I1081" s="10" t="str">
        <f>Github!E$1157</f>
        <v>Medium</v>
      </c>
      <c r="J1081" s="10" t="str">
        <f>IF(TRIM(Github!D$1157)="TRUE","FALSE","TRUE")</f>
        <v>TRUE</v>
      </c>
      <c r="K1081" s="10" t="b">
        <f>Github!M$1157</f>
        <v>0</v>
      </c>
      <c r="L1081" s="10" t="b">
        <f>Github!N$1157</f>
        <v>0</v>
      </c>
      <c r="M1081" s="10" t="str">
        <f>ROUND(Github!O$1157, 2)&amp;"%"</f>
        <v>46.16%</v>
      </c>
      <c r="N1081" s="10">
        <f>Github!P$1157</f>
        <v>22690</v>
      </c>
      <c r="O1081" s="10">
        <f>Github!Q$1157</f>
        <v>49151</v>
      </c>
    </row>
    <row r="1082">
      <c r="A1082" s="10">
        <f>Github!J$1680</f>
        <v>1679</v>
      </c>
      <c r="B1082" s="11" t="str">
        <f>HYPERLINK(CONCAT("http://leetcode.com/problems/",Github!C$1680), Github!B$1680)</f>
        <v>Max Number of K-Sum Pairs</v>
      </c>
      <c r="C1082" s="10">
        <f>Github!F$1680</f>
        <v>703</v>
      </c>
      <c r="D1082" s="10">
        <f>Github!G$1680</f>
        <v>25</v>
      </c>
      <c r="E1082" s="10">
        <f>Github!F$1680+Github!G$1680</f>
        <v>728</v>
      </c>
      <c r="F1082" s="12">
        <f t="shared" si="1"/>
        <v>28.12</v>
      </c>
      <c r="G1082" s="10" t="str">
        <f>Github!H$1680</f>
        <v>Algorithms</v>
      </c>
      <c r="H1082" s="13" t="str">
        <f>SUBSTITUTE(Github!L$1680, ";", ", ")</f>
        <v>Array, Hash Table, Two Pointers, Sorting, </v>
      </c>
      <c r="I1082" s="10" t="str">
        <f>Github!E$1680</f>
        <v>Medium</v>
      </c>
      <c r="J1082" s="10" t="str">
        <f>IF(TRIM(Github!D$1680)="TRUE","FALSE","TRUE")</f>
        <v>TRUE</v>
      </c>
      <c r="K1082" s="10" t="b">
        <f>Github!M$1680</f>
        <v>1</v>
      </c>
      <c r="L1082" s="10" t="b">
        <f>Github!N$1680</f>
        <v>0</v>
      </c>
      <c r="M1082" s="10" t="str">
        <f>ROUND(Github!O$1680, 2)&amp;"%"</f>
        <v>53.59%</v>
      </c>
      <c r="N1082" s="10">
        <f>Github!P$1680</f>
        <v>51381</v>
      </c>
      <c r="O1082" s="10">
        <f>Github!Q$1680</f>
        <v>95883</v>
      </c>
    </row>
    <row r="1083">
      <c r="A1083" s="10">
        <f>Github!J$810</f>
        <v>809</v>
      </c>
      <c r="B1083" s="11" t="str">
        <f>HYPERLINK(CONCAT("http://leetcode.com/problems/",Github!C$810), Github!B$810)</f>
        <v>Expressive Words</v>
      </c>
      <c r="C1083" s="10">
        <f>Github!F$810</f>
        <v>699</v>
      </c>
      <c r="D1083" s="10">
        <f>Github!G$810</f>
        <v>1621</v>
      </c>
      <c r="E1083" s="10">
        <f>Github!F$810+Github!G$810</f>
        <v>2320</v>
      </c>
      <c r="F1083" s="12">
        <f t="shared" si="1"/>
        <v>0.43</v>
      </c>
      <c r="G1083" s="10" t="str">
        <f>Github!H$810</f>
        <v>Algorithms</v>
      </c>
      <c r="H1083" s="13" t="str">
        <f>SUBSTITUTE(Github!L$810, ";", ", ")</f>
        <v>Array, Two Pointers, String, </v>
      </c>
      <c r="I1083" s="10" t="str">
        <f>Github!E$810</f>
        <v>Medium</v>
      </c>
      <c r="J1083" s="10" t="str">
        <f>IF(TRIM(Github!D$810)="TRUE","FALSE","TRUE")</f>
        <v>TRUE</v>
      </c>
      <c r="K1083" s="10" t="b">
        <f>Github!M$810</f>
        <v>0</v>
      </c>
      <c r="L1083" s="10" t="b">
        <f>Github!N$810</f>
        <v>0</v>
      </c>
      <c r="M1083" s="10" t="str">
        <f>ROUND(Github!O$810, 2)&amp;"%"</f>
        <v>46.38%</v>
      </c>
      <c r="N1083" s="10">
        <f>Github!P$810</f>
        <v>95081</v>
      </c>
      <c r="O1083" s="10">
        <f>Github!Q$810</f>
        <v>204992</v>
      </c>
    </row>
    <row r="1084">
      <c r="A1084" s="10">
        <f>Github!J$1121</f>
        <v>1120</v>
      </c>
      <c r="B1084" s="11" t="str">
        <f>HYPERLINK(CONCAT("http://leetcode.com/problems/",Github!C$1121), Github!B$1121)</f>
        <v>Maximum Average Subtree</v>
      </c>
      <c r="C1084" s="10">
        <f>Github!F$1121</f>
        <v>699</v>
      </c>
      <c r="D1084" s="10">
        <f>Github!G$1121</f>
        <v>28</v>
      </c>
      <c r="E1084" s="10">
        <f>Github!F$1121+Github!G$1121</f>
        <v>727</v>
      </c>
      <c r="F1084" s="12">
        <f t="shared" si="1"/>
        <v>24.96</v>
      </c>
      <c r="G1084" s="10" t="str">
        <f>Github!H$1121</f>
        <v>Algorithms</v>
      </c>
      <c r="H1084" s="13" t="str">
        <f>SUBSTITUTE(Github!L$1121, ";", ", ")</f>
        <v>Tree, Depth-First Search, Binary Tree, </v>
      </c>
      <c r="I1084" s="10" t="str">
        <f>Github!E$1121</f>
        <v>Medium</v>
      </c>
      <c r="J1084" s="10" t="str">
        <f>IF(TRIM(Github!D$1121)="TRUE","FALSE","TRUE")</f>
        <v>FALSE</v>
      </c>
      <c r="K1084" s="10" t="b">
        <f>Github!M$1121</f>
        <v>1</v>
      </c>
      <c r="L1084" s="10" t="b">
        <f>Github!N$1121</f>
        <v>0</v>
      </c>
      <c r="M1084" s="10" t="str">
        <f>ROUND(Github!O$1121, 2)&amp;"%"</f>
        <v>65.2%</v>
      </c>
      <c r="N1084" s="10">
        <f>Github!P$1121</f>
        <v>54298</v>
      </c>
      <c r="O1084" s="10">
        <f>Github!Q$1121</f>
        <v>83277</v>
      </c>
    </row>
    <row r="1085">
      <c r="A1085" s="10">
        <f>Github!J$1401</f>
        <v>1400</v>
      </c>
      <c r="B1085" s="11" t="str">
        <f>HYPERLINK(CONCAT("http://leetcode.com/problems/",Github!C$1401), Github!B$1401)</f>
        <v>Construct K Palindrome Strings</v>
      </c>
      <c r="C1085" s="10">
        <f>Github!F$1401</f>
        <v>703</v>
      </c>
      <c r="D1085" s="10">
        <f>Github!G$1401</f>
        <v>71</v>
      </c>
      <c r="E1085" s="10">
        <f>Github!F$1401+Github!G$1401</f>
        <v>774</v>
      </c>
      <c r="F1085" s="12">
        <f t="shared" si="1"/>
        <v>9.9</v>
      </c>
      <c r="G1085" s="10" t="str">
        <f>Github!H$1401</f>
        <v>Algorithms</v>
      </c>
      <c r="H1085" s="13" t="str">
        <f>SUBSTITUTE(Github!L$1401, ";", ", ")</f>
        <v>Hash Table, String, Greedy, Counting, </v>
      </c>
      <c r="I1085" s="10" t="str">
        <f>Github!E$1401</f>
        <v>Medium</v>
      </c>
      <c r="J1085" s="10" t="str">
        <f>IF(TRIM(Github!D$1401)="TRUE","FALSE","TRUE")</f>
        <v>TRUE</v>
      </c>
      <c r="K1085" s="10" t="b">
        <f>Github!M$1401</f>
        <v>0</v>
      </c>
      <c r="L1085" s="10" t="b">
        <f>Github!N$1401</f>
        <v>0</v>
      </c>
      <c r="M1085" s="10" t="str">
        <f>ROUND(Github!O$1401, 2)&amp;"%"</f>
        <v>63.74%</v>
      </c>
      <c r="N1085" s="10">
        <f>Github!P$1401</f>
        <v>35988</v>
      </c>
      <c r="O1085" s="10">
        <f>Github!Q$1401</f>
        <v>56463</v>
      </c>
    </row>
    <row r="1086">
      <c r="A1086" s="10">
        <f>Github!J$1457</f>
        <v>1456</v>
      </c>
      <c r="B1086" s="11" t="str">
        <f>HYPERLINK(CONCAT("http://leetcode.com/problems/",Github!C$1457), Github!B$1457)</f>
        <v>Maximum Number of Vowels in a Substring of Given Length</v>
      </c>
      <c r="C1086" s="10">
        <f>Github!F$1457</f>
        <v>702</v>
      </c>
      <c r="D1086" s="10">
        <f>Github!G$1457</f>
        <v>37</v>
      </c>
      <c r="E1086" s="10">
        <f>Github!F$1457+Github!G$1457</f>
        <v>739</v>
      </c>
      <c r="F1086" s="12">
        <f t="shared" si="1"/>
        <v>18.97</v>
      </c>
      <c r="G1086" s="10" t="str">
        <f>Github!H$1457</f>
        <v>Algorithms</v>
      </c>
      <c r="H1086" s="13" t="str">
        <f>SUBSTITUTE(Github!L$1457, ";", ", ")</f>
        <v>String, Sliding Window, </v>
      </c>
      <c r="I1086" s="10" t="str">
        <f>Github!E$1457</f>
        <v>Medium</v>
      </c>
      <c r="J1086" s="10" t="str">
        <f>IF(TRIM(Github!D$1457)="TRUE","FALSE","TRUE")</f>
        <v>TRUE</v>
      </c>
      <c r="K1086" s="10" t="b">
        <f>Github!M$1457</f>
        <v>0</v>
      </c>
      <c r="L1086" s="10" t="b">
        <f>Github!N$1457</f>
        <v>0</v>
      </c>
      <c r="M1086" s="10" t="str">
        <f>ROUND(Github!O$1457, 2)&amp;"%"</f>
        <v>57.41%</v>
      </c>
      <c r="N1086" s="10">
        <f>Github!P$1457</f>
        <v>42768</v>
      </c>
      <c r="O1086" s="10">
        <f>Github!Q$1457</f>
        <v>74496</v>
      </c>
    </row>
    <row r="1087">
      <c r="A1087" s="10">
        <f>Github!J$821</f>
        <v>820</v>
      </c>
      <c r="B1087" s="11" t="str">
        <f>HYPERLINK(CONCAT("http://leetcode.com/problems/",Github!C$821), Github!B$821)</f>
        <v>Short Encoding of Words</v>
      </c>
      <c r="C1087" s="10">
        <f>Github!F$821</f>
        <v>695</v>
      </c>
      <c r="D1087" s="10">
        <f>Github!G$821</f>
        <v>263</v>
      </c>
      <c r="E1087" s="10">
        <f>Github!F$821+Github!G$821</f>
        <v>958</v>
      </c>
      <c r="F1087" s="12">
        <f t="shared" si="1"/>
        <v>2.64</v>
      </c>
      <c r="G1087" s="10" t="str">
        <f>Github!H$821</f>
        <v>Algorithms</v>
      </c>
      <c r="H1087" s="13" t="str">
        <f>SUBSTITUTE(Github!L$821, ";", ", ")</f>
        <v>Array, Hash Table, String, Trie, </v>
      </c>
      <c r="I1087" s="10" t="str">
        <f>Github!E$821</f>
        <v>Medium</v>
      </c>
      <c r="J1087" s="10" t="str">
        <f>IF(TRIM(Github!D$821)="TRUE","FALSE","TRUE")</f>
        <v>TRUE</v>
      </c>
      <c r="K1087" s="10" t="b">
        <f>Github!M$821</f>
        <v>1</v>
      </c>
      <c r="L1087" s="10" t="b">
        <f>Github!N$821</f>
        <v>0</v>
      </c>
      <c r="M1087" s="10" t="str">
        <f>ROUND(Github!O$821, 2)&amp;"%"</f>
        <v>55.24%</v>
      </c>
      <c r="N1087" s="10">
        <f>Github!P$821</f>
        <v>45084</v>
      </c>
      <c r="O1087" s="10">
        <f>Github!Q$821</f>
        <v>81620</v>
      </c>
    </row>
    <row r="1088">
      <c r="A1088" s="10">
        <f>Github!J$1545</f>
        <v>1544</v>
      </c>
      <c r="B1088" s="11" t="str">
        <f>HYPERLINK(CONCAT("http://leetcode.com/problems/",Github!C$1545), Github!B$1545)</f>
        <v>Make The String Great</v>
      </c>
      <c r="C1088" s="10">
        <f>Github!F$1545</f>
        <v>697</v>
      </c>
      <c r="D1088" s="10">
        <f>Github!G$1545</f>
        <v>51</v>
      </c>
      <c r="E1088" s="10">
        <f>Github!F$1545+Github!G$1545</f>
        <v>748</v>
      </c>
      <c r="F1088" s="12">
        <f t="shared" si="1"/>
        <v>13.67</v>
      </c>
      <c r="G1088" s="10" t="str">
        <f>Github!H$1545</f>
        <v>Algorithms</v>
      </c>
      <c r="H1088" s="13" t="str">
        <f>SUBSTITUTE(Github!L$1545, ";", ", ")</f>
        <v>String, Stack, </v>
      </c>
      <c r="I1088" s="10" t="str">
        <f>Github!E$1545</f>
        <v>Easy</v>
      </c>
      <c r="J1088" s="10" t="str">
        <f>IF(TRIM(Github!D$1545)="TRUE","FALSE","TRUE")</f>
        <v>TRUE</v>
      </c>
      <c r="K1088" s="10" t="b">
        <f>Github!M$1545</f>
        <v>0</v>
      </c>
      <c r="L1088" s="10" t="b">
        <f>Github!N$1545</f>
        <v>0</v>
      </c>
      <c r="M1088" s="10" t="str">
        <f>ROUND(Github!O$1545, 2)&amp;"%"</f>
        <v>56.44%</v>
      </c>
      <c r="N1088" s="10">
        <f>Github!P$1545</f>
        <v>48066</v>
      </c>
      <c r="O1088" s="10">
        <f>Github!Q$1545</f>
        <v>85157</v>
      </c>
    </row>
    <row r="1089">
      <c r="A1089" s="10">
        <f>Github!J$1902</f>
        <v>1901</v>
      </c>
      <c r="B1089" s="11" t="str">
        <f>HYPERLINK(CONCAT("http://leetcode.com/problems/",Github!C$1902), Github!B$1902)</f>
        <v>Find a Peak Element II</v>
      </c>
      <c r="C1089" s="10">
        <f>Github!F$1902</f>
        <v>698</v>
      </c>
      <c r="D1089" s="10">
        <f>Github!G$1902</f>
        <v>56</v>
      </c>
      <c r="E1089" s="10">
        <f>Github!F$1902+Github!G$1902</f>
        <v>754</v>
      </c>
      <c r="F1089" s="12">
        <f t="shared" si="1"/>
        <v>12.46</v>
      </c>
      <c r="G1089" s="10" t="str">
        <f>Github!H$1902</f>
        <v>Algorithms</v>
      </c>
      <c r="H1089" s="13" t="str">
        <f>SUBSTITUTE(Github!L$1902, ";", ", ")</f>
        <v>Array, Binary Search, Divide and Conquer, Matrix, </v>
      </c>
      <c r="I1089" s="10" t="str">
        <f>Github!E$1902</f>
        <v>Medium</v>
      </c>
      <c r="J1089" s="10" t="str">
        <f>IF(TRIM(Github!D$1902)="TRUE","FALSE","TRUE")</f>
        <v>TRUE</v>
      </c>
      <c r="K1089" s="10" t="b">
        <f>Github!M$1902</f>
        <v>0</v>
      </c>
      <c r="L1089" s="10" t="b">
        <f>Github!N$1902</f>
        <v>0</v>
      </c>
      <c r="M1089" s="10" t="str">
        <f>ROUND(Github!O$1902, 2)&amp;"%"</f>
        <v>53.58%</v>
      </c>
      <c r="N1089" s="10">
        <f>Github!P$1902</f>
        <v>19159</v>
      </c>
      <c r="O1089" s="10">
        <f>Github!Q$1902</f>
        <v>35756</v>
      </c>
    </row>
    <row r="1090">
      <c r="A1090" s="10">
        <f>Github!J$1654</f>
        <v>1653</v>
      </c>
      <c r="B1090" s="11" t="str">
        <f>HYPERLINK(CONCAT("http://leetcode.com/problems/",Github!C$1654), Github!B$1654)</f>
        <v>Minimum Deletions to Make String Balanced</v>
      </c>
      <c r="C1090" s="10">
        <f>Github!F$1654</f>
        <v>697</v>
      </c>
      <c r="D1090" s="10">
        <f>Github!G$1654</f>
        <v>20</v>
      </c>
      <c r="E1090" s="10">
        <f>Github!F$1654+Github!G$1654</f>
        <v>717</v>
      </c>
      <c r="F1090" s="12">
        <f t="shared" si="1"/>
        <v>34.85</v>
      </c>
      <c r="G1090" s="10" t="str">
        <f>Github!H$1654</f>
        <v>Algorithms</v>
      </c>
      <c r="H1090" s="13" t="str">
        <f>SUBSTITUTE(Github!L$1654, ";", ", ")</f>
        <v>String, Dynamic Programming, Stack, </v>
      </c>
      <c r="I1090" s="10" t="str">
        <f>Github!E$1654</f>
        <v>Medium</v>
      </c>
      <c r="J1090" s="10" t="str">
        <f>IF(TRIM(Github!D$1654)="TRUE","FALSE","TRUE")</f>
        <v>TRUE</v>
      </c>
      <c r="K1090" s="10" t="b">
        <f>Github!M$1654</f>
        <v>0</v>
      </c>
      <c r="L1090" s="10" t="b">
        <f>Github!N$1654</f>
        <v>0</v>
      </c>
      <c r="M1090" s="10" t="str">
        <f>ROUND(Github!O$1654, 2)&amp;"%"</f>
        <v>56.33%</v>
      </c>
      <c r="N1090" s="10">
        <f>Github!P$1654</f>
        <v>19695</v>
      </c>
      <c r="O1090" s="10">
        <f>Github!Q$1654</f>
        <v>34964</v>
      </c>
    </row>
    <row r="1091">
      <c r="A1091" s="10">
        <f>Github!J$529</f>
        <v>528</v>
      </c>
      <c r="B1091" s="11" t="str">
        <f>HYPERLINK(CONCAT("http://leetcode.com/problems/",Github!C$529), Github!B$529)</f>
        <v>Random Pick with Weight</v>
      </c>
      <c r="C1091" s="10">
        <f>Github!F$529</f>
        <v>706</v>
      </c>
      <c r="D1091" s="10">
        <f>Github!G$529</f>
        <v>267</v>
      </c>
      <c r="E1091" s="10">
        <f>Github!F$529+Github!G$529</f>
        <v>973</v>
      </c>
      <c r="F1091" s="12">
        <f t="shared" si="1"/>
        <v>2.64</v>
      </c>
      <c r="G1091" s="10" t="str">
        <f>Github!H$529</f>
        <v>Algorithms</v>
      </c>
      <c r="H1091" s="13" t="str">
        <f>SUBSTITUTE(Github!L$529, ";", ", ")</f>
        <v>Math, Binary Search, Prefix Sum, Randomized, </v>
      </c>
      <c r="I1091" s="10" t="str">
        <f>Github!E$529</f>
        <v>Medium</v>
      </c>
      <c r="J1091" s="10" t="str">
        <f>IF(TRIM(Github!D$529)="TRUE","FALSE","TRUE")</f>
        <v>TRUE</v>
      </c>
      <c r="K1091" s="10" t="b">
        <f>Github!M$529</f>
        <v>1</v>
      </c>
      <c r="L1091" s="10" t="b">
        <f>Github!N$529</f>
        <v>0</v>
      </c>
      <c r="M1091" s="10" t="str">
        <f>ROUND(Github!O$529, 2)&amp;"%"</f>
        <v>46.1%</v>
      </c>
      <c r="N1091" s="10">
        <f>Github!P$529</f>
        <v>293094</v>
      </c>
      <c r="O1091" s="10">
        <f>Github!Q$529</f>
        <v>635796</v>
      </c>
    </row>
    <row r="1092">
      <c r="A1092" s="10">
        <f>Github!J$1462</f>
        <v>1461</v>
      </c>
      <c r="B1092" s="11" t="str">
        <f>HYPERLINK(CONCAT("http://leetcode.com/problems/",Github!C$1462), Github!B$1462)</f>
        <v>Check If a String Contains All Binary Codes of Size K</v>
      </c>
      <c r="C1092" s="10">
        <f>Github!F$1462</f>
        <v>688</v>
      </c>
      <c r="D1092" s="10">
        <f>Github!G$1462</f>
        <v>66</v>
      </c>
      <c r="E1092" s="10">
        <f>Github!F$1462+Github!G$1462</f>
        <v>754</v>
      </c>
      <c r="F1092" s="12">
        <f t="shared" si="1"/>
        <v>10.42</v>
      </c>
      <c r="G1092" s="10" t="str">
        <f>Github!H$1462</f>
        <v>Algorithms</v>
      </c>
      <c r="H1092" s="13" t="str">
        <f>SUBSTITUTE(Github!L$1462, ";", ", ")</f>
        <v>Hash Table, String, Bit Manipulation, Rolling Hash, Hash Function, </v>
      </c>
      <c r="I1092" s="10" t="str">
        <f>Github!E$1462</f>
        <v>Medium</v>
      </c>
      <c r="J1092" s="10" t="str">
        <f>IF(TRIM(Github!D$1462)="TRUE","FALSE","TRUE")</f>
        <v>TRUE</v>
      </c>
      <c r="K1092" s="10" t="b">
        <f>Github!M$1462</f>
        <v>1</v>
      </c>
      <c r="L1092" s="10" t="b">
        <f>Github!N$1462</f>
        <v>0</v>
      </c>
      <c r="M1092" s="10" t="str">
        <f>ROUND(Github!O$1462, 2)&amp;"%"</f>
        <v>54.47%</v>
      </c>
      <c r="N1092" s="10">
        <f>Github!P$1462</f>
        <v>47746</v>
      </c>
      <c r="O1092" s="10">
        <f>Github!Q$1462</f>
        <v>87657</v>
      </c>
    </row>
    <row r="1093">
      <c r="A1093" s="10">
        <f>Github!J$1067</f>
        <v>1066</v>
      </c>
      <c r="B1093" s="11" t="str">
        <f>HYPERLINK(CONCAT("http://leetcode.com/problems/",Github!C$1067), Github!B$1067)</f>
        <v>Campus Bikes II</v>
      </c>
      <c r="C1093" s="10">
        <f>Github!F$1067</f>
        <v>687</v>
      </c>
      <c r="D1093" s="10">
        <f>Github!G$1067</f>
        <v>57</v>
      </c>
      <c r="E1093" s="10">
        <f>Github!F$1067+Github!G$1067</f>
        <v>744</v>
      </c>
      <c r="F1093" s="12">
        <f t="shared" si="1"/>
        <v>12.05</v>
      </c>
      <c r="G1093" s="10" t="str">
        <f>Github!H$1067</f>
        <v>Algorithms</v>
      </c>
      <c r="H1093" s="13" t="str">
        <f>SUBSTITUTE(Github!L$1067, ";", ", ")</f>
        <v>Array, Dynamic Programming, Backtracking, Bit Manipulation, Bitmask, </v>
      </c>
      <c r="I1093" s="10" t="str">
        <f>Github!E$1067</f>
        <v>Medium</v>
      </c>
      <c r="J1093" s="10" t="str">
        <f>IF(TRIM(Github!D$1067)="TRUE","FALSE","TRUE")</f>
        <v>FALSE</v>
      </c>
      <c r="K1093" s="10" t="b">
        <f>Github!M$1067</f>
        <v>1</v>
      </c>
      <c r="L1093" s="10" t="b">
        <f>Github!N$1067</f>
        <v>0</v>
      </c>
      <c r="M1093" s="10" t="str">
        <f>ROUND(Github!O$1067, 2)&amp;"%"</f>
        <v>54.71%</v>
      </c>
      <c r="N1093" s="10">
        <f>Github!P$1067</f>
        <v>38092</v>
      </c>
      <c r="O1093" s="10">
        <f>Github!Q$1067</f>
        <v>69621</v>
      </c>
    </row>
    <row r="1094">
      <c r="A1094" s="10">
        <f>Github!J$642</f>
        <v>641</v>
      </c>
      <c r="B1094" s="11" t="str">
        <f>HYPERLINK(CONCAT("http://leetcode.com/problems/",Github!C$642), Github!B$642)</f>
        <v>Design Circular Deque</v>
      </c>
      <c r="C1094" s="10">
        <f>Github!F$642</f>
        <v>687</v>
      </c>
      <c r="D1094" s="10">
        <f>Github!G$642</f>
        <v>56</v>
      </c>
      <c r="E1094" s="10">
        <f>Github!F$642+Github!G$642</f>
        <v>743</v>
      </c>
      <c r="F1094" s="12">
        <f t="shared" si="1"/>
        <v>12.27</v>
      </c>
      <c r="G1094" s="10" t="str">
        <f>Github!H$642</f>
        <v>Algorithms</v>
      </c>
      <c r="H1094" s="13" t="str">
        <f>SUBSTITUTE(Github!L$642, ";", ", ")</f>
        <v>Array, Linked List, Design, Queue, </v>
      </c>
      <c r="I1094" s="10" t="str">
        <f>Github!E$642</f>
        <v>Medium</v>
      </c>
      <c r="J1094" s="10" t="str">
        <f>IF(TRIM(Github!D$642)="TRUE","FALSE","TRUE")</f>
        <v>TRUE</v>
      </c>
      <c r="K1094" s="10" t="b">
        <f>Github!M$642</f>
        <v>0</v>
      </c>
      <c r="L1094" s="10" t="b">
        <f>Github!N$642</f>
        <v>0</v>
      </c>
      <c r="M1094" s="10" t="str">
        <f>ROUND(Github!O$642, 2)&amp;"%"</f>
        <v>57.21%</v>
      </c>
      <c r="N1094" s="10">
        <f>Github!P$642</f>
        <v>42740</v>
      </c>
      <c r="O1094" s="10">
        <f>Github!Q$642</f>
        <v>74702</v>
      </c>
    </row>
    <row r="1095">
      <c r="A1095" s="10">
        <f>Github!J$515</f>
        <v>514</v>
      </c>
      <c r="B1095" s="11" t="str">
        <f>HYPERLINK(CONCAT("http://leetcode.com/problems/",Github!C$515), Github!B$515)</f>
        <v>Freedom Trail</v>
      </c>
      <c r="C1095" s="10">
        <f>Github!F$515</f>
        <v>686</v>
      </c>
      <c r="D1095" s="10">
        <f>Github!G$515</f>
        <v>32</v>
      </c>
      <c r="E1095" s="10">
        <f>Github!F$515+Github!G$515</f>
        <v>718</v>
      </c>
      <c r="F1095" s="12">
        <f t="shared" si="1"/>
        <v>21.44</v>
      </c>
      <c r="G1095" s="10" t="str">
        <f>Github!H$515</f>
        <v>Algorithms</v>
      </c>
      <c r="H1095" s="13" t="str">
        <f>SUBSTITUTE(Github!L$515, ";", ", ")</f>
        <v>String, Dynamic Programming, Depth-First Search, Breadth-First Search, </v>
      </c>
      <c r="I1095" s="10" t="str">
        <f>Github!E$515</f>
        <v>Hard</v>
      </c>
      <c r="J1095" s="10" t="str">
        <f>IF(TRIM(Github!D$515)="TRUE","FALSE","TRUE")</f>
        <v>TRUE</v>
      </c>
      <c r="K1095" s="10" t="b">
        <f>Github!M$515</f>
        <v>0</v>
      </c>
      <c r="L1095" s="10" t="b">
        <f>Github!N$515</f>
        <v>0</v>
      </c>
      <c r="M1095" s="10" t="str">
        <f>ROUND(Github!O$515, 2)&amp;"%"</f>
        <v>46.22%</v>
      </c>
      <c r="N1095" s="10">
        <f>Github!P$515</f>
        <v>27223</v>
      </c>
      <c r="O1095" s="10">
        <f>Github!Q$515</f>
        <v>58904</v>
      </c>
    </row>
    <row r="1096">
      <c r="A1096" s="10">
        <f>Github!J$1679</f>
        <v>1678</v>
      </c>
      <c r="B1096" s="11" t="str">
        <f>HYPERLINK(CONCAT("http://leetcode.com/problems/",Github!C$1679), Github!B$1679)</f>
        <v>Goal Parser Interpretation</v>
      </c>
      <c r="C1096" s="10">
        <f>Github!F$1679</f>
        <v>696</v>
      </c>
      <c r="D1096" s="10">
        <f>Github!G$1679</f>
        <v>62</v>
      </c>
      <c r="E1096" s="10">
        <f>Github!F$1679+Github!G$1679</f>
        <v>758</v>
      </c>
      <c r="F1096" s="12">
        <f t="shared" si="1"/>
        <v>11.23</v>
      </c>
      <c r="G1096" s="10" t="str">
        <f>Github!H$1679</f>
        <v>Algorithms</v>
      </c>
      <c r="H1096" s="13" t="str">
        <f>SUBSTITUTE(Github!L$1679, ";", ", ")</f>
        <v>String, </v>
      </c>
      <c r="I1096" s="10" t="str">
        <f>Github!E$1679</f>
        <v>Easy</v>
      </c>
      <c r="J1096" s="10" t="str">
        <f>IF(TRIM(Github!D$1679)="TRUE","FALSE","TRUE")</f>
        <v>TRUE</v>
      </c>
      <c r="K1096" s="10" t="b">
        <f>Github!M$1679</f>
        <v>0</v>
      </c>
      <c r="L1096" s="10" t="b">
        <f>Github!N$1679</f>
        <v>0</v>
      </c>
      <c r="M1096" s="10" t="str">
        <f>ROUND(Github!O$1679, 2)&amp;"%"</f>
        <v>85.73%</v>
      </c>
      <c r="N1096" s="10">
        <f>Github!P$1679</f>
        <v>105128</v>
      </c>
      <c r="O1096" s="10">
        <f>Github!Q$1679</f>
        <v>122629</v>
      </c>
    </row>
    <row r="1097">
      <c r="A1097" s="10">
        <f>Github!J$1224</f>
        <v>1223</v>
      </c>
      <c r="B1097" s="11" t="str">
        <f>HYPERLINK(CONCAT("http://leetcode.com/problems/",Github!C$1224), Github!B$1224)</f>
        <v>Dice Roll Simulation</v>
      </c>
      <c r="C1097" s="10">
        <f>Github!F$1224</f>
        <v>685</v>
      </c>
      <c r="D1097" s="10">
        <f>Github!G$1224</f>
        <v>176</v>
      </c>
      <c r="E1097" s="10">
        <f>Github!F$1224+Github!G$1224</f>
        <v>861</v>
      </c>
      <c r="F1097" s="12">
        <f t="shared" si="1"/>
        <v>3.89</v>
      </c>
      <c r="G1097" s="10" t="str">
        <f>Github!H$1224</f>
        <v>Algorithms</v>
      </c>
      <c r="H1097" s="13" t="str">
        <f>SUBSTITUTE(Github!L$1224, ";", ", ")</f>
        <v>Array, Dynamic Programming, </v>
      </c>
      <c r="I1097" s="10" t="str">
        <f>Github!E$1224</f>
        <v>Hard</v>
      </c>
      <c r="J1097" s="10" t="str">
        <f>IF(TRIM(Github!D$1224)="TRUE","FALSE","TRUE")</f>
        <v>TRUE</v>
      </c>
      <c r="K1097" s="10" t="b">
        <f>Github!M$1224</f>
        <v>0</v>
      </c>
      <c r="L1097" s="10" t="b">
        <f>Github!N$1224</f>
        <v>0</v>
      </c>
      <c r="M1097" s="10" t="str">
        <f>ROUND(Github!O$1224, 2)&amp;"%"</f>
        <v>47.88%</v>
      </c>
      <c r="N1097" s="10">
        <f>Github!P$1224</f>
        <v>21751</v>
      </c>
      <c r="O1097" s="10">
        <f>Github!Q$1224</f>
        <v>45432</v>
      </c>
    </row>
    <row r="1098">
      <c r="A1098" s="10">
        <f>Github!J$1686</f>
        <v>1685</v>
      </c>
      <c r="B1098" s="11" t="str">
        <f>HYPERLINK(CONCAT("http://leetcode.com/problems/",Github!C$1686), Github!B$1686)</f>
        <v>Sum of Absolute Differences in a Sorted Array</v>
      </c>
      <c r="C1098" s="10">
        <f>Github!F$1686</f>
        <v>686</v>
      </c>
      <c r="D1098" s="10">
        <f>Github!G$1686</f>
        <v>22</v>
      </c>
      <c r="E1098" s="10">
        <f>Github!F$1686+Github!G$1686</f>
        <v>708</v>
      </c>
      <c r="F1098" s="12">
        <f t="shared" si="1"/>
        <v>31.18</v>
      </c>
      <c r="G1098" s="10" t="str">
        <f>Github!H$1686</f>
        <v>Algorithms</v>
      </c>
      <c r="H1098" s="13" t="str">
        <f>SUBSTITUTE(Github!L$1686, ";", ", ")</f>
        <v>Array, Math, Prefix Sum, </v>
      </c>
      <c r="I1098" s="10" t="str">
        <f>Github!E$1686</f>
        <v>Medium</v>
      </c>
      <c r="J1098" s="10" t="str">
        <f>IF(TRIM(Github!D$1686)="TRUE","FALSE","TRUE")</f>
        <v>TRUE</v>
      </c>
      <c r="K1098" s="10" t="b">
        <f>Github!M$1686</f>
        <v>0</v>
      </c>
      <c r="L1098" s="10" t="b">
        <f>Github!N$1686</f>
        <v>0</v>
      </c>
      <c r="M1098" s="10" t="str">
        <f>ROUND(Github!O$1686, 2)&amp;"%"</f>
        <v>65.63%</v>
      </c>
      <c r="N1098" s="10">
        <f>Github!P$1686</f>
        <v>19699</v>
      </c>
      <c r="O1098" s="10">
        <f>Github!Q$1686</f>
        <v>30013</v>
      </c>
    </row>
    <row r="1099">
      <c r="A1099" s="10">
        <f>Github!J$912</f>
        <v>911</v>
      </c>
      <c r="B1099" s="11" t="str">
        <f>HYPERLINK(CONCAT("http://leetcode.com/problems/",Github!C$912), Github!B$912)</f>
        <v>Online Election</v>
      </c>
      <c r="C1099" s="10">
        <f>Github!F$912</f>
        <v>680</v>
      </c>
      <c r="D1099" s="10">
        <f>Github!G$912</f>
        <v>508</v>
      </c>
      <c r="E1099" s="10">
        <f>Github!F$912+Github!G$912</f>
        <v>1188</v>
      </c>
      <c r="F1099" s="12">
        <f t="shared" si="1"/>
        <v>1.34</v>
      </c>
      <c r="G1099" s="10" t="str">
        <f>Github!H$912</f>
        <v>Algorithms</v>
      </c>
      <c r="H1099" s="13" t="str">
        <f>SUBSTITUTE(Github!L$912, ";", ", ")</f>
        <v>Array, Hash Table, Binary Search, Design, </v>
      </c>
      <c r="I1099" s="10" t="str">
        <f>Github!E$912</f>
        <v>Medium</v>
      </c>
      <c r="J1099" s="10" t="str">
        <f>IF(TRIM(Github!D$912)="TRUE","FALSE","TRUE")</f>
        <v>TRUE</v>
      </c>
      <c r="K1099" s="10" t="b">
        <f>Github!M$912</f>
        <v>1</v>
      </c>
      <c r="L1099" s="10" t="b">
        <f>Github!N$912</f>
        <v>0</v>
      </c>
      <c r="M1099" s="10" t="str">
        <f>ROUND(Github!O$912, 2)&amp;"%"</f>
        <v>51.54%</v>
      </c>
      <c r="N1099" s="10">
        <f>Github!P$912</f>
        <v>39121</v>
      </c>
      <c r="O1099" s="10">
        <f>Github!Q$912</f>
        <v>75904</v>
      </c>
    </row>
    <row r="1100">
      <c r="A1100" s="10">
        <f>Github!J$928</f>
        <v>927</v>
      </c>
      <c r="B1100" s="11" t="str">
        <f>HYPERLINK(CONCAT("http://leetcode.com/problems/",Github!C$928), Github!B$928)</f>
        <v>Three Equal Parts</v>
      </c>
      <c r="C1100" s="10">
        <f>Github!F$928</f>
        <v>678</v>
      </c>
      <c r="D1100" s="10">
        <f>Github!G$928</f>
        <v>105</v>
      </c>
      <c r="E1100" s="10">
        <f>Github!F$928+Github!G$928</f>
        <v>783</v>
      </c>
      <c r="F1100" s="12">
        <f t="shared" si="1"/>
        <v>6.46</v>
      </c>
      <c r="G1100" s="10" t="str">
        <f>Github!H$928</f>
        <v>Algorithms</v>
      </c>
      <c r="H1100" s="13" t="str">
        <f>SUBSTITUTE(Github!L$928, ";", ", ")</f>
        <v>Array, Math, </v>
      </c>
      <c r="I1100" s="10" t="str">
        <f>Github!E$928</f>
        <v>Hard</v>
      </c>
      <c r="J1100" s="10" t="str">
        <f>IF(TRIM(Github!D$928)="TRUE","FALSE","TRUE")</f>
        <v>TRUE</v>
      </c>
      <c r="K1100" s="10" t="b">
        <f>Github!M$928</f>
        <v>1</v>
      </c>
      <c r="L1100" s="10" t="b">
        <f>Github!N$928</f>
        <v>0</v>
      </c>
      <c r="M1100" s="10" t="str">
        <f>ROUND(Github!O$928, 2)&amp;"%"</f>
        <v>39.38%</v>
      </c>
      <c r="N1100" s="10">
        <f>Github!P$928</f>
        <v>25765</v>
      </c>
      <c r="O1100" s="10">
        <f>Github!Q$928</f>
        <v>65427</v>
      </c>
    </row>
    <row r="1101">
      <c r="A1101" s="10">
        <f>Github!J$949</f>
        <v>948</v>
      </c>
      <c r="B1101" s="11" t="str">
        <f>HYPERLINK(CONCAT("http://leetcode.com/problems/",Github!C$949), Github!B$949)</f>
        <v>Bag of Tokens</v>
      </c>
      <c r="C1101" s="10">
        <f>Github!F$949</f>
        <v>682</v>
      </c>
      <c r="D1101" s="10">
        <f>Github!G$949</f>
        <v>293</v>
      </c>
      <c r="E1101" s="10">
        <f>Github!F$949+Github!G$949</f>
        <v>975</v>
      </c>
      <c r="F1101" s="12">
        <f t="shared" si="1"/>
        <v>2.33</v>
      </c>
      <c r="G1101" s="10" t="str">
        <f>Github!H$949</f>
        <v>Algorithms</v>
      </c>
      <c r="H1101" s="13" t="str">
        <f>SUBSTITUTE(Github!L$949, ";", ", ")</f>
        <v>Array, Two Pointers, Greedy, Sorting, </v>
      </c>
      <c r="I1101" s="10" t="str">
        <f>Github!E$949</f>
        <v>Medium</v>
      </c>
      <c r="J1101" s="10" t="str">
        <f>IF(TRIM(Github!D$949)="TRUE","FALSE","TRUE")</f>
        <v>TRUE</v>
      </c>
      <c r="K1101" s="10" t="b">
        <f>Github!M$949</f>
        <v>1</v>
      </c>
      <c r="L1101" s="10" t="b">
        <f>Github!N$949</f>
        <v>0</v>
      </c>
      <c r="M1101" s="10" t="str">
        <f>ROUND(Github!O$949, 2)&amp;"%"</f>
        <v>46.24%</v>
      </c>
      <c r="N1101" s="10">
        <f>Github!P$949</f>
        <v>39083</v>
      </c>
      <c r="O1101" s="10">
        <f>Github!Q$949</f>
        <v>84518</v>
      </c>
    </row>
    <row r="1102">
      <c r="A1102" s="10">
        <f>Github!J$1223</f>
        <v>1222</v>
      </c>
      <c r="B1102" s="11" t="str">
        <f>HYPERLINK(CONCAT("http://leetcode.com/problems/",Github!C$1223), Github!B$1223)</f>
        <v>Queens That Can Attack the King</v>
      </c>
      <c r="C1102" s="10">
        <f>Github!F$1223</f>
        <v>680</v>
      </c>
      <c r="D1102" s="10">
        <f>Github!G$1223</f>
        <v>124</v>
      </c>
      <c r="E1102" s="10">
        <f>Github!F$1223+Github!G$1223</f>
        <v>804</v>
      </c>
      <c r="F1102" s="12">
        <f t="shared" si="1"/>
        <v>5.48</v>
      </c>
      <c r="G1102" s="10" t="str">
        <f>Github!H$1223</f>
        <v>Algorithms</v>
      </c>
      <c r="H1102" s="13" t="str">
        <f>SUBSTITUTE(Github!L$1223, ";", ", ")</f>
        <v>Array, Matrix, Simulation, </v>
      </c>
      <c r="I1102" s="10" t="str">
        <f>Github!E$1223</f>
        <v>Medium</v>
      </c>
      <c r="J1102" s="10" t="str">
        <f>IF(TRIM(Github!D$1223)="TRUE","FALSE","TRUE")</f>
        <v>TRUE</v>
      </c>
      <c r="K1102" s="10" t="b">
        <f>Github!M$1223</f>
        <v>0</v>
      </c>
      <c r="L1102" s="10" t="b">
        <f>Github!N$1223</f>
        <v>0</v>
      </c>
      <c r="M1102" s="10" t="str">
        <f>ROUND(Github!O$1223, 2)&amp;"%"</f>
        <v>71.15%</v>
      </c>
      <c r="N1102" s="10">
        <f>Github!P$1223</f>
        <v>32023</v>
      </c>
      <c r="O1102" s="10">
        <f>Github!Q$1223</f>
        <v>45006</v>
      </c>
    </row>
    <row r="1103">
      <c r="A1103" s="10">
        <f>Github!J$825</f>
        <v>824</v>
      </c>
      <c r="B1103" s="11" t="str">
        <f>HYPERLINK(CONCAT("http://leetcode.com/problems/",Github!C$825), Github!B$825)</f>
        <v>Goat Latin</v>
      </c>
      <c r="C1103" s="10">
        <f>Github!F$825</f>
        <v>678</v>
      </c>
      <c r="D1103" s="10">
        <f>Github!G$825</f>
        <v>1088</v>
      </c>
      <c r="E1103" s="10">
        <f>Github!F$825+Github!G$825</f>
        <v>1766</v>
      </c>
      <c r="F1103" s="12">
        <f t="shared" si="1"/>
        <v>0.62</v>
      </c>
      <c r="G1103" s="10" t="str">
        <f>Github!H$825</f>
        <v>Algorithms</v>
      </c>
      <c r="H1103" s="13" t="str">
        <f>SUBSTITUTE(Github!L$825, ";", ", ")</f>
        <v>String, </v>
      </c>
      <c r="I1103" s="10" t="str">
        <f>Github!E$825</f>
        <v>Easy</v>
      </c>
      <c r="J1103" s="10" t="str">
        <f>IF(TRIM(Github!D$825)="TRUE","FALSE","TRUE")</f>
        <v>TRUE</v>
      </c>
      <c r="K1103" s="10" t="b">
        <f>Github!M$825</f>
        <v>0</v>
      </c>
      <c r="L1103" s="10" t="b">
        <f>Github!N$825</f>
        <v>0</v>
      </c>
      <c r="M1103" s="10" t="str">
        <f>ROUND(Github!O$825, 2)&amp;"%"</f>
        <v>67.59%</v>
      </c>
      <c r="N1103" s="10">
        <f>Github!P$825</f>
        <v>142005</v>
      </c>
      <c r="O1103" s="10">
        <f>Github!Q$825</f>
        <v>210084</v>
      </c>
    </row>
    <row r="1104">
      <c r="A1104" s="10">
        <f>Github!J$1641</f>
        <v>1640</v>
      </c>
      <c r="B1104" s="11" t="str">
        <f>HYPERLINK(CONCAT("http://leetcode.com/problems/",Github!C$1641), Github!B$1641)</f>
        <v>Check Array Formation Through Concatenation</v>
      </c>
      <c r="C1104" s="10">
        <f>Github!F$1641</f>
        <v>677</v>
      </c>
      <c r="D1104" s="10">
        <f>Github!G$1641</f>
        <v>112</v>
      </c>
      <c r="E1104" s="10">
        <f>Github!F$1641+Github!G$1641</f>
        <v>789</v>
      </c>
      <c r="F1104" s="12">
        <f t="shared" si="1"/>
        <v>6.04</v>
      </c>
      <c r="G1104" s="10" t="str">
        <f>Github!H$1641</f>
        <v>Algorithms</v>
      </c>
      <c r="H1104" s="13" t="str">
        <f>SUBSTITUTE(Github!L$1641, ";", ", ")</f>
        <v>Array, Hash Table, </v>
      </c>
      <c r="I1104" s="10" t="str">
        <f>Github!E$1641</f>
        <v>Easy</v>
      </c>
      <c r="J1104" s="10" t="str">
        <f>IF(TRIM(Github!D$1641)="TRUE","FALSE","TRUE")</f>
        <v>TRUE</v>
      </c>
      <c r="K1104" s="10" t="b">
        <f>Github!M$1641</f>
        <v>1</v>
      </c>
      <c r="L1104" s="10" t="b">
        <f>Github!N$1641</f>
        <v>0</v>
      </c>
      <c r="M1104" s="10" t="str">
        <f>ROUND(Github!O$1641, 2)&amp;"%"</f>
        <v>55.83%</v>
      </c>
      <c r="N1104" s="10">
        <f>Github!P$1641</f>
        <v>67077</v>
      </c>
      <c r="O1104" s="10">
        <f>Github!Q$1641</f>
        <v>120143</v>
      </c>
    </row>
    <row r="1105">
      <c r="A1105" s="10">
        <f>Github!J$594</f>
        <v>593</v>
      </c>
      <c r="B1105" s="11" t="str">
        <f>HYPERLINK(CONCAT("http://leetcode.com/problems/",Github!C$594), Github!B$594)</f>
        <v>Valid Square</v>
      </c>
      <c r="C1105" s="10">
        <f>Github!F$594</f>
        <v>681</v>
      </c>
      <c r="D1105" s="10">
        <f>Github!G$594</f>
        <v>743</v>
      </c>
      <c r="E1105" s="10">
        <f>Github!F$594+Github!G$594</f>
        <v>1424</v>
      </c>
      <c r="F1105" s="12">
        <f t="shared" si="1"/>
        <v>0.92</v>
      </c>
      <c r="G1105" s="10" t="str">
        <f>Github!H$594</f>
        <v>Algorithms</v>
      </c>
      <c r="H1105" s="13" t="str">
        <f>SUBSTITUTE(Github!L$594, ";", ", ")</f>
        <v>Math, Geometry, </v>
      </c>
      <c r="I1105" s="10" t="str">
        <f>Github!E$594</f>
        <v>Medium</v>
      </c>
      <c r="J1105" s="10" t="str">
        <f>IF(TRIM(Github!D$594)="TRUE","FALSE","TRUE")</f>
        <v>TRUE</v>
      </c>
      <c r="K1105" s="10" t="b">
        <f>Github!M$594</f>
        <v>1</v>
      </c>
      <c r="L1105" s="10" t="b">
        <f>Github!N$594</f>
        <v>0</v>
      </c>
      <c r="M1105" s="10" t="str">
        <f>ROUND(Github!O$594, 2)&amp;"%"</f>
        <v>43.85%</v>
      </c>
      <c r="N1105" s="10">
        <f>Github!P$594</f>
        <v>82292</v>
      </c>
      <c r="O1105" s="10">
        <f>Github!Q$594</f>
        <v>187683</v>
      </c>
    </row>
    <row r="1106">
      <c r="A1106" s="10">
        <f>Github!J$1415</f>
        <v>1414</v>
      </c>
      <c r="B1106" s="11" t="str">
        <f>HYPERLINK(CONCAT("http://leetcode.com/problems/",Github!C$1415), Github!B$1415)</f>
        <v>Find the Minimum Number of Fibonacci Numbers Whose Sum Is K</v>
      </c>
      <c r="C1106" s="10">
        <f>Github!F$1415</f>
        <v>677</v>
      </c>
      <c r="D1106" s="10">
        <f>Github!G$1415</f>
        <v>51</v>
      </c>
      <c r="E1106" s="10">
        <f>Github!F$1415+Github!G$1415</f>
        <v>728</v>
      </c>
      <c r="F1106" s="12">
        <f t="shared" si="1"/>
        <v>13.27</v>
      </c>
      <c r="G1106" s="10" t="str">
        <f>Github!H$1415</f>
        <v>Algorithms</v>
      </c>
      <c r="H1106" s="13" t="str">
        <f>SUBSTITUTE(Github!L$1415, ";", ", ")</f>
        <v>Greedy, </v>
      </c>
      <c r="I1106" s="10" t="str">
        <f>Github!E$1415</f>
        <v>Medium</v>
      </c>
      <c r="J1106" s="10" t="str">
        <f>IF(TRIM(Github!D$1415)="TRUE","FALSE","TRUE")</f>
        <v>TRUE</v>
      </c>
      <c r="K1106" s="10" t="b">
        <f>Github!M$1415</f>
        <v>0</v>
      </c>
      <c r="L1106" s="10" t="b">
        <f>Github!N$1415</f>
        <v>0</v>
      </c>
      <c r="M1106" s="10" t="str">
        <f>ROUND(Github!O$1415, 2)&amp;"%"</f>
        <v>65.33%</v>
      </c>
      <c r="N1106" s="10">
        <f>Github!P$1415</f>
        <v>30551</v>
      </c>
      <c r="O1106" s="10">
        <f>Github!Q$1415</f>
        <v>46763</v>
      </c>
    </row>
    <row r="1107">
      <c r="A1107" s="10">
        <f>Github!J$1137</f>
        <v>1136</v>
      </c>
      <c r="B1107" s="11" t="str">
        <f>HYPERLINK(CONCAT("http://leetcode.com/problems/",Github!C$1137), Github!B$1137)</f>
        <v>Parallel Courses</v>
      </c>
      <c r="C1107" s="10">
        <f>Github!F$1137</f>
        <v>675</v>
      </c>
      <c r="D1107" s="10">
        <f>Github!G$1137</f>
        <v>20</v>
      </c>
      <c r="E1107" s="10">
        <f>Github!F$1137+Github!G$1137</f>
        <v>695</v>
      </c>
      <c r="F1107" s="12">
        <f t="shared" si="1"/>
        <v>33.75</v>
      </c>
      <c r="G1107" s="10" t="str">
        <f>Github!H$1137</f>
        <v>Algorithms</v>
      </c>
      <c r="H1107" s="13" t="str">
        <f>SUBSTITUTE(Github!L$1137, ";", ", ")</f>
        <v>Graph, Topological Sort, </v>
      </c>
      <c r="I1107" s="10" t="str">
        <f>Github!E$1137</f>
        <v>Medium</v>
      </c>
      <c r="J1107" s="10" t="str">
        <f>IF(TRIM(Github!D$1137)="TRUE","FALSE","TRUE")</f>
        <v>FALSE</v>
      </c>
      <c r="K1107" s="10" t="b">
        <f>Github!M$1137</f>
        <v>1</v>
      </c>
      <c r="L1107" s="10" t="b">
        <f>Github!N$1137</f>
        <v>0</v>
      </c>
      <c r="M1107" s="10" t="str">
        <f>ROUND(Github!O$1137, 2)&amp;"%"</f>
        <v>60.86%</v>
      </c>
      <c r="N1107" s="10">
        <f>Github!P$1137</f>
        <v>38422</v>
      </c>
      <c r="O1107" s="10">
        <f>Github!Q$1137</f>
        <v>63130</v>
      </c>
    </row>
    <row r="1108">
      <c r="A1108" s="10">
        <f>Github!J$1519</f>
        <v>1518</v>
      </c>
      <c r="B1108" s="11" t="str">
        <f>HYPERLINK(CONCAT("http://leetcode.com/problems/",Github!C$1519), Github!B$1519)</f>
        <v>Water Bottles</v>
      </c>
      <c r="C1108" s="10">
        <f>Github!F$1519</f>
        <v>669</v>
      </c>
      <c r="D1108" s="10">
        <f>Github!G$1519</f>
        <v>54</v>
      </c>
      <c r="E1108" s="10">
        <f>Github!F$1519+Github!G$1519</f>
        <v>723</v>
      </c>
      <c r="F1108" s="12">
        <f t="shared" si="1"/>
        <v>12.39</v>
      </c>
      <c r="G1108" s="10" t="str">
        <f>Github!H$1519</f>
        <v>Algorithms</v>
      </c>
      <c r="H1108" s="13" t="str">
        <f>SUBSTITUTE(Github!L$1519, ";", ", ")</f>
        <v>Math, Simulation, </v>
      </c>
      <c r="I1108" s="10" t="str">
        <f>Github!E$1519</f>
        <v>Easy</v>
      </c>
      <c r="J1108" s="10" t="str">
        <f>IF(TRIM(Github!D$1519)="TRUE","FALSE","TRUE")</f>
        <v>TRUE</v>
      </c>
      <c r="K1108" s="10" t="b">
        <f>Github!M$1519</f>
        <v>0</v>
      </c>
      <c r="L1108" s="10" t="b">
        <f>Github!N$1519</f>
        <v>0</v>
      </c>
      <c r="M1108" s="10" t="str">
        <f>ROUND(Github!O$1519, 2)&amp;"%"</f>
        <v>60.41%</v>
      </c>
      <c r="N1108" s="10">
        <f>Github!P$1519</f>
        <v>48885</v>
      </c>
      <c r="O1108" s="10">
        <f>Github!Q$1519</f>
        <v>80927</v>
      </c>
    </row>
    <row r="1109">
      <c r="A1109" s="10">
        <f>Github!J$986</f>
        <v>985</v>
      </c>
      <c r="B1109" s="11" t="str">
        <f>HYPERLINK(CONCAT("http://leetcode.com/problems/",Github!C$986), Github!B$986)</f>
        <v>Sum of Even Numbers After Queries</v>
      </c>
      <c r="C1109" s="10">
        <f>Github!F$986</f>
        <v>672</v>
      </c>
      <c r="D1109" s="10">
        <f>Github!G$986</f>
        <v>213</v>
      </c>
      <c r="E1109" s="10">
        <f>Github!F$986+Github!G$986</f>
        <v>885</v>
      </c>
      <c r="F1109" s="12">
        <f t="shared" si="1"/>
        <v>3.15</v>
      </c>
      <c r="G1109" s="10" t="str">
        <f>Github!H$986</f>
        <v>Algorithms</v>
      </c>
      <c r="H1109" s="13" t="str">
        <f>SUBSTITUTE(Github!L$986, ";", ", ")</f>
        <v>Array, Simulation, </v>
      </c>
      <c r="I1109" s="10" t="str">
        <f>Github!E$986</f>
        <v>Medium</v>
      </c>
      <c r="J1109" s="10" t="str">
        <f>IF(TRIM(Github!D$986)="TRUE","FALSE","TRUE")</f>
        <v>TRUE</v>
      </c>
      <c r="K1109" s="10" t="b">
        <f>Github!M$986</f>
        <v>1</v>
      </c>
      <c r="L1109" s="10" t="b">
        <f>Github!N$986</f>
        <v>0</v>
      </c>
      <c r="M1109" s="10" t="str">
        <f>ROUND(Github!O$986, 2)&amp;"%"</f>
        <v>60.96%</v>
      </c>
      <c r="N1109" s="10">
        <f>Github!P$986</f>
        <v>62815</v>
      </c>
      <c r="O1109" s="10">
        <f>Github!Q$986</f>
        <v>103040</v>
      </c>
    </row>
    <row r="1110">
      <c r="A1110" s="10">
        <f>Github!J$1658</f>
        <v>1657</v>
      </c>
      <c r="B1110" s="11" t="str">
        <f>HYPERLINK(CONCAT("http://leetcode.com/problems/",Github!C$1658), Github!B$1658)</f>
        <v>Determine if Two Strings Are Close</v>
      </c>
      <c r="C1110" s="10">
        <f>Github!F$1658</f>
        <v>671</v>
      </c>
      <c r="D1110" s="10">
        <f>Github!G$1658</f>
        <v>36</v>
      </c>
      <c r="E1110" s="10">
        <f>Github!F$1658+Github!G$1658</f>
        <v>707</v>
      </c>
      <c r="F1110" s="12">
        <f t="shared" si="1"/>
        <v>18.64</v>
      </c>
      <c r="G1110" s="10" t="str">
        <f>Github!H$1658</f>
        <v>Algorithms</v>
      </c>
      <c r="H1110" s="13" t="str">
        <f>SUBSTITUTE(Github!L$1658, ";", ", ")</f>
        <v>Hash Table, String, Sorting, </v>
      </c>
      <c r="I1110" s="10" t="str">
        <f>Github!E$1658</f>
        <v>Medium</v>
      </c>
      <c r="J1110" s="10" t="str">
        <f>IF(TRIM(Github!D$1658)="TRUE","FALSE","TRUE")</f>
        <v>TRUE</v>
      </c>
      <c r="K1110" s="10" t="b">
        <f>Github!M$1658</f>
        <v>1</v>
      </c>
      <c r="L1110" s="10" t="b">
        <f>Github!N$1658</f>
        <v>0</v>
      </c>
      <c r="M1110" s="10" t="str">
        <f>ROUND(Github!O$1658, 2)&amp;"%"</f>
        <v>54.51%</v>
      </c>
      <c r="N1110" s="10">
        <f>Github!P$1658</f>
        <v>39463</v>
      </c>
      <c r="O1110" s="10">
        <f>Github!Q$1658</f>
        <v>72401</v>
      </c>
    </row>
    <row r="1111">
      <c r="A1111" s="10">
        <f>Github!J$748</f>
        <v>747</v>
      </c>
      <c r="B1111" s="11" t="str">
        <f>HYPERLINK(CONCAT("http://leetcode.com/problems/",Github!C$748), Github!B$748)</f>
        <v>Largest Number At Least Twice of Others</v>
      </c>
      <c r="C1111" s="10">
        <f>Github!F$748</f>
        <v>670</v>
      </c>
      <c r="D1111" s="10">
        <f>Github!G$748</f>
        <v>753</v>
      </c>
      <c r="E1111" s="10">
        <f>Github!F$748+Github!G$748</f>
        <v>1423</v>
      </c>
      <c r="F1111" s="12">
        <f t="shared" si="1"/>
        <v>0.89</v>
      </c>
      <c r="G1111" s="10" t="str">
        <f>Github!H$748</f>
        <v>Algorithms</v>
      </c>
      <c r="H1111" s="13" t="str">
        <f>SUBSTITUTE(Github!L$748, ";", ", ")</f>
        <v>Array, Sorting, </v>
      </c>
      <c r="I1111" s="10" t="str">
        <f>Github!E$748</f>
        <v>Easy</v>
      </c>
      <c r="J1111" s="10" t="str">
        <f>IF(TRIM(Github!D$748)="TRUE","FALSE","TRUE")</f>
        <v>TRUE</v>
      </c>
      <c r="K1111" s="10" t="b">
        <f>Github!M$748</f>
        <v>0</v>
      </c>
      <c r="L1111" s="10" t="b">
        <f>Github!N$748</f>
        <v>0</v>
      </c>
      <c r="M1111" s="10" t="str">
        <f>ROUND(Github!O$748, 2)&amp;"%"</f>
        <v>45.22%</v>
      </c>
      <c r="N1111" s="10">
        <f>Github!P$748</f>
        <v>156338</v>
      </c>
      <c r="O1111" s="10">
        <f>Github!Q$748</f>
        <v>345711</v>
      </c>
    </row>
    <row r="1112">
      <c r="A1112" s="10">
        <f>Github!J$718</f>
        <v>717</v>
      </c>
      <c r="B1112" s="11" t="str">
        <f>HYPERLINK(CONCAT("http://leetcode.com/problems/",Github!C$718), Github!B$718)</f>
        <v>1-bit and 2-bit Characters</v>
      </c>
      <c r="C1112" s="10">
        <f>Github!F$718</f>
        <v>666</v>
      </c>
      <c r="D1112" s="10">
        <f>Github!G$718</f>
        <v>1717</v>
      </c>
      <c r="E1112" s="10">
        <f>Github!F$718+Github!G$718</f>
        <v>2383</v>
      </c>
      <c r="F1112" s="12">
        <f t="shared" si="1"/>
        <v>0.39</v>
      </c>
      <c r="G1112" s="10" t="str">
        <f>Github!H$718</f>
        <v>Algorithms</v>
      </c>
      <c r="H1112" s="13" t="str">
        <f>SUBSTITUTE(Github!L$718, ";", ", ")</f>
        <v>Array, </v>
      </c>
      <c r="I1112" s="10" t="str">
        <f>Github!E$718</f>
        <v>Easy</v>
      </c>
      <c r="J1112" s="10" t="str">
        <f>IF(TRIM(Github!D$718)="TRUE","FALSE","TRUE")</f>
        <v>TRUE</v>
      </c>
      <c r="K1112" s="10" t="b">
        <f>Github!M$718</f>
        <v>0</v>
      </c>
      <c r="L1112" s="10" t="b">
        <f>Github!N$718</f>
        <v>0</v>
      </c>
      <c r="M1112" s="10" t="str">
        <f>ROUND(Github!O$718, 2)&amp;"%"</f>
        <v>46.21%</v>
      </c>
      <c r="N1112" s="10">
        <f>Github!P$718</f>
        <v>103237</v>
      </c>
      <c r="O1112" s="10">
        <f>Github!Q$718</f>
        <v>223422</v>
      </c>
    </row>
    <row r="1113">
      <c r="A1113" s="10">
        <f>Github!J$469</f>
        <v>468</v>
      </c>
      <c r="B1113" s="11" t="str">
        <f>HYPERLINK(CONCAT("http://leetcode.com/problems/",Github!C$469), Github!B$469)</f>
        <v>Validate IP Address</v>
      </c>
      <c r="C1113" s="10">
        <f>Github!F$469</f>
        <v>666</v>
      </c>
      <c r="D1113" s="10">
        <f>Github!G$469</f>
        <v>2352</v>
      </c>
      <c r="E1113" s="10">
        <f>Github!F$469+Github!G$469</f>
        <v>3018</v>
      </c>
      <c r="F1113" s="12">
        <f t="shared" si="1"/>
        <v>0.28</v>
      </c>
      <c r="G1113" s="10" t="str">
        <f>Github!H$469</f>
        <v>Algorithms</v>
      </c>
      <c r="H1113" s="13" t="str">
        <f>SUBSTITUTE(Github!L$469, ";", ", ")</f>
        <v>String, </v>
      </c>
      <c r="I1113" s="10" t="str">
        <f>Github!E$469</f>
        <v>Medium</v>
      </c>
      <c r="J1113" s="10" t="str">
        <f>IF(TRIM(Github!D$469)="TRUE","FALSE","TRUE")</f>
        <v>TRUE</v>
      </c>
      <c r="K1113" s="10" t="b">
        <f>Github!M$469</f>
        <v>1</v>
      </c>
      <c r="L1113" s="10" t="b">
        <f>Github!N$469</f>
        <v>0</v>
      </c>
      <c r="M1113" s="10" t="str">
        <f>ROUND(Github!O$469, 2)&amp;"%"</f>
        <v>26.22%</v>
      </c>
      <c r="N1113" s="10">
        <f>Github!P$469</f>
        <v>125595</v>
      </c>
      <c r="O1113" s="10">
        <f>Github!Q$469</f>
        <v>478959</v>
      </c>
    </row>
    <row r="1114">
      <c r="A1114" s="10">
        <f>Github!J$682</f>
        <v>681</v>
      </c>
      <c r="B1114" s="11" t="str">
        <f>HYPERLINK(CONCAT("http://leetcode.com/problems/",Github!C$682), Github!B$682)</f>
        <v>Next Closest Time</v>
      </c>
      <c r="C1114" s="10">
        <f>Github!F$682</f>
        <v>664</v>
      </c>
      <c r="D1114" s="10">
        <f>Github!G$682</f>
        <v>962</v>
      </c>
      <c r="E1114" s="10">
        <f>Github!F$682+Github!G$682</f>
        <v>1626</v>
      </c>
      <c r="F1114" s="12">
        <f t="shared" si="1"/>
        <v>0.69</v>
      </c>
      <c r="G1114" s="10" t="str">
        <f>Github!H$682</f>
        <v>Algorithms</v>
      </c>
      <c r="H1114" s="13" t="str">
        <f>SUBSTITUTE(Github!L$682, ";", ", ")</f>
        <v>String, Enumeration, </v>
      </c>
      <c r="I1114" s="10" t="str">
        <f>Github!E$682</f>
        <v>Medium</v>
      </c>
      <c r="J1114" s="10" t="str">
        <f>IF(TRIM(Github!D$682)="TRUE","FALSE","TRUE")</f>
        <v>FALSE</v>
      </c>
      <c r="K1114" s="10" t="b">
        <f>Github!M$682</f>
        <v>0</v>
      </c>
      <c r="L1114" s="10" t="b">
        <f>Github!N$682</f>
        <v>0</v>
      </c>
      <c r="M1114" s="10" t="str">
        <f>ROUND(Github!O$682, 2)&amp;"%"</f>
        <v>46.45%</v>
      </c>
      <c r="N1114" s="10">
        <f>Github!P$682</f>
        <v>94269</v>
      </c>
      <c r="O1114" s="10">
        <f>Github!Q$682</f>
        <v>202930</v>
      </c>
    </row>
    <row r="1115">
      <c r="A1115" s="10">
        <f>Github!J$997</f>
        <v>996</v>
      </c>
      <c r="B1115" s="11" t="str">
        <f>HYPERLINK(CONCAT("http://leetcode.com/problems/",Github!C$997), Github!B$997)</f>
        <v>Number of Squareful Arrays</v>
      </c>
      <c r="C1115" s="10">
        <f>Github!F$997</f>
        <v>662</v>
      </c>
      <c r="D1115" s="10">
        <f>Github!G$997</f>
        <v>27</v>
      </c>
      <c r="E1115" s="10">
        <f>Github!F$997+Github!G$997</f>
        <v>689</v>
      </c>
      <c r="F1115" s="12">
        <f t="shared" si="1"/>
        <v>24.52</v>
      </c>
      <c r="G1115" s="10" t="str">
        <f>Github!H$997</f>
        <v>Algorithms</v>
      </c>
      <c r="H1115" s="13" t="str">
        <f>SUBSTITUTE(Github!L$997, ";", ", ")</f>
        <v>Array, Math, Dynamic Programming, Backtracking, Bit Manipulation, Bitmask, </v>
      </c>
      <c r="I1115" s="10" t="str">
        <f>Github!E$997</f>
        <v>Hard</v>
      </c>
      <c r="J1115" s="10" t="str">
        <f>IF(TRIM(Github!D$997)="TRUE","FALSE","TRUE")</f>
        <v>TRUE</v>
      </c>
      <c r="K1115" s="10" t="b">
        <f>Github!M$997</f>
        <v>0</v>
      </c>
      <c r="L1115" s="10" t="b">
        <f>Github!N$997</f>
        <v>0</v>
      </c>
      <c r="M1115" s="10" t="str">
        <f>ROUND(Github!O$997, 2)&amp;"%"</f>
        <v>49.1%</v>
      </c>
      <c r="N1115" s="10">
        <f>Github!P$997</f>
        <v>25259</v>
      </c>
      <c r="O1115" s="10">
        <f>Github!Q$997</f>
        <v>51445</v>
      </c>
    </row>
    <row r="1116">
      <c r="A1116" s="10">
        <f>Github!J$401</f>
        <v>400</v>
      </c>
      <c r="B1116" s="11" t="str">
        <f>HYPERLINK(CONCAT("http://leetcode.com/problems/",Github!C$401), Github!B$401)</f>
        <v>Nth Digit</v>
      </c>
      <c r="C1116" s="10">
        <f>Github!F$401</f>
        <v>661</v>
      </c>
      <c r="D1116" s="10">
        <f>Github!G$401</f>
        <v>1504</v>
      </c>
      <c r="E1116" s="10">
        <f>Github!F$401+Github!G$401</f>
        <v>2165</v>
      </c>
      <c r="F1116" s="12">
        <f t="shared" si="1"/>
        <v>0.44</v>
      </c>
      <c r="G1116" s="10" t="str">
        <f>Github!H$401</f>
        <v>Algorithms</v>
      </c>
      <c r="H1116" s="13" t="str">
        <f>SUBSTITUTE(Github!L$401, ";", ", ")</f>
        <v>Math, Binary Search, </v>
      </c>
      <c r="I1116" s="10" t="str">
        <f>Github!E$401</f>
        <v>Medium</v>
      </c>
      <c r="J1116" s="10" t="str">
        <f>IF(TRIM(Github!D$401)="TRUE","FALSE","TRUE")</f>
        <v>TRUE</v>
      </c>
      <c r="K1116" s="10" t="b">
        <f>Github!M$401</f>
        <v>0</v>
      </c>
      <c r="L1116" s="10" t="b">
        <f>Github!N$401</f>
        <v>0</v>
      </c>
      <c r="M1116" s="10" t="str">
        <f>ROUND(Github!O$401, 2)&amp;"%"</f>
        <v>33.5%</v>
      </c>
      <c r="N1116" s="10">
        <f>Github!P$401</f>
        <v>75173</v>
      </c>
      <c r="O1116" s="10">
        <f>Github!Q$401</f>
        <v>224424</v>
      </c>
    </row>
    <row r="1117">
      <c r="A1117" s="10">
        <f>Github!J$511</f>
        <v>510</v>
      </c>
      <c r="B1117" s="11" t="str">
        <f>HYPERLINK(CONCAT("http://leetcode.com/problems/",Github!C$511), Github!B$511)</f>
        <v>Inorder Successor in BST II</v>
      </c>
      <c r="C1117" s="10">
        <f>Github!F$511</f>
        <v>666</v>
      </c>
      <c r="D1117" s="10">
        <f>Github!G$511</f>
        <v>34</v>
      </c>
      <c r="E1117" s="10">
        <f>Github!F$511+Github!G$511</f>
        <v>700</v>
      </c>
      <c r="F1117" s="12">
        <f t="shared" si="1"/>
        <v>19.59</v>
      </c>
      <c r="G1117" s="10" t="str">
        <f>Github!H$511</f>
        <v>Algorithms</v>
      </c>
      <c r="H1117" s="13" t="str">
        <f>SUBSTITUTE(Github!L$511, ";", ", ")</f>
        <v>Tree, Binary Search Tree, Binary Tree, </v>
      </c>
      <c r="I1117" s="10" t="str">
        <f>Github!E$511</f>
        <v>Medium</v>
      </c>
      <c r="J1117" s="10" t="str">
        <f>IF(TRIM(Github!D$511)="TRUE","FALSE","TRUE")</f>
        <v>FALSE</v>
      </c>
      <c r="K1117" s="10" t="b">
        <f>Github!M$511</f>
        <v>1</v>
      </c>
      <c r="L1117" s="10" t="b">
        <f>Github!N$511</f>
        <v>0</v>
      </c>
      <c r="M1117" s="10" t="str">
        <f>ROUND(Github!O$511, 2)&amp;"%"</f>
        <v>61.35%</v>
      </c>
      <c r="N1117" s="10">
        <f>Github!P$511</f>
        <v>47926</v>
      </c>
      <c r="O1117" s="10">
        <f>Github!Q$511</f>
        <v>78120</v>
      </c>
    </row>
    <row r="1118">
      <c r="A1118" s="10">
        <f>Github!J$1087</f>
        <v>1086</v>
      </c>
      <c r="B1118" s="11" t="str">
        <f>HYPERLINK(CONCAT("http://leetcode.com/problems/",Github!C$1087), Github!B$1087)</f>
        <v>High Five</v>
      </c>
      <c r="C1118" s="10">
        <f>Github!F$1087</f>
        <v>663</v>
      </c>
      <c r="D1118" s="10">
        <f>Github!G$1087</f>
        <v>107</v>
      </c>
      <c r="E1118" s="10">
        <f>Github!F$1087+Github!G$1087</f>
        <v>770</v>
      </c>
      <c r="F1118" s="12">
        <f t="shared" si="1"/>
        <v>6.2</v>
      </c>
      <c r="G1118" s="10" t="str">
        <f>Github!H$1087</f>
        <v>Algorithms</v>
      </c>
      <c r="H1118" s="13" t="str">
        <f>SUBSTITUTE(Github!L$1087, ";", ", ")</f>
        <v>Array, Hash Table, Sorting, </v>
      </c>
      <c r="I1118" s="10" t="str">
        <f>Github!E$1087</f>
        <v>Easy</v>
      </c>
      <c r="J1118" s="10" t="str">
        <f>IF(TRIM(Github!D$1087)="TRUE","FALSE","TRUE")</f>
        <v>FALSE</v>
      </c>
      <c r="K1118" s="10" t="b">
        <f>Github!M$1087</f>
        <v>1</v>
      </c>
      <c r="L1118" s="10" t="b">
        <f>Github!N$1087</f>
        <v>0</v>
      </c>
      <c r="M1118" s="10" t="str">
        <f>ROUND(Github!O$1087, 2)&amp;"%"</f>
        <v>75.42%</v>
      </c>
      <c r="N1118" s="10">
        <f>Github!P$1087</f>
        <v>82303</v>
      </c>
      <c r="O1118" s="10">
        <f>Github!Q$1087</f>
        <v>109127</v>
      </c>
    </row>
    <row r="1119">
      <c r="A1119" s="10">
        <f>Github!J$668</f>
        <v>667</v>
      </c>
      <c r="B1119" s="11" t="str">
        <f>HYPERLINK(CONCAT("http://leetcode.com/problems/",Github!C$668), Github!B$668)</f>
        <v>Beautiful Arrangement II</v>
      </c>
      <c r="C1119" s="10">
        <f>Github!F$668</f>
        <v>657</v>
      </c>
      <c r="D1119" s="10">
        <f>Github!G$668</f>
        <v>957</v>
      </c>
      <c r="E1119" s="10">
        <f>Github!F$668+Github!G$668</f>
        <v>1614</v>
      </c>
      <c r="F1119" s="12">
        <f t="shared" si="1"/>
        <v>0.69</v>
      </c>
      <c r="G1119" s="10" t="str">
        <f>Github!H$668</f>
        <v>Algorithms</v>
      </c>
      <c r="H1119" s="13" t="str">
        <f>SUBSTITUTE(Github!L$668, ";", ", ")</f>
        <v>Array, Math, </v>
      </c>
      <c r="I1119" s="10" t="str">
        <f>Github!E$668</f>
        <v>Medium</v>
      </c>
      <c r="J1119" s="10" t="str">
        <f>IF(TRIM(Github!D$668)="TRUE","FALSE","TRUE")</f>
        <v>TRUE</v>
      </c>
      <c r="K1119" s="10" t="b">
        <f>Github!M$668</f>
        <v>1</v>
      </c>
      <c r="L1119" s="10" t="b">
        <f>Github!N$668</f>
        <v>0</v>
      </c>
      <c r="M1119" s="10" t="str">
        <f>ROUND(Github!O$668, 2)&amp;"%"</f>
        <v>59.4%</v>
      </c>
      <c r="N1119" s="10">
        <f>Github!P$668</f>
        <v>47183</v>
      </c>
      <c r="O1119" s="10">
        <f>Github!Q$668</f>
        <v>79431</v>
      </c>
    </row>
    <row r="1120">
      <c r="A1120" s="10">
        <f>Github!J$1639</f>
        <v>1638</v>
      </c>
      <c r="B1120" s="11" t="str">
        <f>HYPERLINK(CONCAT("http://leetcode.com/problems/",Github!C$1639), Github!B$1639)</f>
        <v>Count Substrings That Differ by One Character</v>
      </c>
      <c r="C1120" s="10">
        <f>Github!F$1639</f>
        <v>661</v>
      </c>
      <c r="D1120" s="10">
        <f>Github!G$1639</f>
        <v>248</v>
      </c>
      <c r="E1120" s="10">
        <f>Github!F$1639+Github!G$1639</f>
        <v>909</v>
      </c>
      <c r="F1120" s="12">
        <f t="shared" si="1"/>
        <v>2.67</v>
      </c>
      <c r="G1120" s="10" t="str">
        <f>Github!H$1639</f>
        <v>Algorithms</v>
      </c>
      <c r="H1120" s="13" t="str">
        <f>SUBSTITUTE(Github!L$1639, ";", ", ")</f>
        <v>Hash Table, String, Dynamic Programming, </v>
      </c>
      <c r="I1120" s="10" t="str">
        <f>Github!E$1639</f>
        <v>Medium</v>
      </c>
      <c r="J1120" s="10" t="str">
        <f>IF(TRIM(Github!D$1639)="TRUE","FALSE","TRUE")</f>
        <v>TRUE</v>
      </c>
      <c r="K1120" s="10" t="b">
        <f>Github!M$1639</f>
        <v>0</v>
      </c>
      <c r="L1120" s="10" t="b">
        <f>Github!N$1639</f>
        <v>0</v>
      </c>
      <c r="M1120" s="10" t="str">
        <f>ROUND(Github!O$1639, 2)&amp;"%"</f>
        <v>71.93%</v>
      </c>
      <c r="N1120" s="10">
        <f>Github!P$1639</f>
        <v>17291</v>
      </c>
      <c r="O1120" s="10">
        <f>Github!Q$1639</f>
        <v>24038</v>
      </c>
    </row>
    <row r="1121">
      <c r="A1121" s="10">
        <f>Github!J$627</f>
        <v>626</v>
      </c>
      <c r="B1121" s="11" t="str">
        <f>HYPERLINK(CONCAT("http://leetcode.com/problems/",Github!C$627), Github!B$627)</f>
        <v>Exchange Seats</v>
      </c>
      <c r="C1121" s="10">
        <f>Github!F$627</f>
        <v>657</v>
      </c>
      <c r="D1121" s="10">
        <f>Github!G$627</f>
        <v>354</v>
      </c>
      <c r="E1121" s="10">
        <f>Github!F$627+Github!G$627</f>
        <v>1011</v>
      </c>
      <c r="F1121" s="12">
        <f t="shared" si="1"/>
        <v>1.86</v>
      </c>
      <c r="G1121" s="10" t="str">
        <f>Github!H$627</f>
        <v>Database</v>
      </c>
      <c r="H1121" s="13" t="str">
        <f>SUBSTITUTE(Github!L$627, ";", ", ")</f>
        <v>Database, </v>
      </c>
      <c r="I1121" s="10" t="str">
        <f>Github!E$627</f>
        <v>Medium</v>
      </c>
      <c r="J1121" s="10" t="str">
        <f>IF(TRIM(Github!D$627)="TRUE","FALSE","TRUE")</f>
        <v>TRUE</v>
      </c>
      <c r="K1121" s="10" t="b">
        <f>Github!M$627</f>
        <v>1</v>
      </c>
      <c r="L1121" s="10" t="b">
        <f>Github!N$627</f>
        <v>0</v>
      </c>
      <c r="M1121" s="10" t="str">
        <f>ROUND(Github!O$627, 2)&amp;"%"</f>
        <v>69.28%</v>
      </c>
      <c r="N1121" s="10">
        <f>Github!P$627</f>
        <v>100891</v>
      </c>
      <c r="O1121" s="10">
        <f>Github!Q$627</f>
        <v>145638</v>
      </c>
    </row>
    <row r="1122">
      <c r="A1122" s="10">
        <f>Github!J$957</f>
        <v>956</v>
      </c>
      <c r="B1122" s="11" t="str">
        <f>HYPERLINK(CONCAT("http://leetcode.com/problems/",Github!C$957), Github!B$957)</f>
        <v>Tallest Billboard</v>
      </c>
      <c r="C1122" s="10">
        <f>Github!F$957</f>
        <v>657</v>
      </c>
      <c r="D1122" s="10">
        <f>Github!G$957</f>
        <v>24</v>
      </c>
      <c r="E1122" s="10">
        <f>Github!F$957+Github!G$957</f>
        <v>681</v>
      </c>
      <c r="F1122" s="12">
        <f t="shared" si="1"/>
        <v>27.38</v>
      </c>
      <c r="G1122" s="10" t="str">
        <f>Github!H$957</f>
        <v>Algorithms</v>
      </c>
      <c r="H1122" s="13" t="str">
        <f>SUBSTITUTE(Github!L$957, ";", ", ")</f>
        <v>Array, Dynamic Programming, </v>
      </c>
      <c r="I1122" s="10" t="str">
        <f>Github!E$957</f>
        <v>Hard</v>
      </c>
      <c r="J1122" s="10" t="str">
        <f>IF(TRIM(Github!D$957)="TRUE","FALSE","TRUE")</f>
        <v>TRUE</v>
      </c>
      <c r="K1122" s="10" t="b">
        <f>Github!M$957</f>
        <v>0</v>
      </c>
      <c r="L1122" s="10" t="b">
        <f>Github!N$957</f>
        <v>0</v>
      </c>
      <c r="M1122" s="10" t="str">
        <f>ROUND(Github!O$957, 2)&amp;"%"</f>
        <v>39.9%</v>
      </c>
      <c r="N1122" s="10">
        <f>Github!P$957</f>
        <v>13036</v>
      </c>
      <c r="O1122" s="10">
        <f>Github!Q$957</f>
        <v>32674</v>
      </c>
    </row>
    <row r="1123">
      <c r="A1123" s="10">
        <f>Github!J$1503</f>
        <v>1502</v>
      </c>
      <c r="B1123" s="11" t="str">
        <f>HYPERLINK(CONCAT("http://leetcode.com/problems/",Github!C$1503), Github!B$1503)</f>
        <v>Can Make Arithmetic Progression From Sequence</v>
      </c>
      <c r="C1123" s="10">
        <f>Github!F$1503</f>
        <v>658</v>
      </c>
      <c r="D1123" s="10">
        <f>Github!G$1503</f>
        <v>44</v>
      </c>
      <c r="E1123" s="10">
        <f>Github!F$1503+Github!G$1503</f>
        <v>702</v>
      </c>
      <c r="F1123" s="12">
        <f t="shared" si="1"/>
        <v>14.95</v>
      </c>
      <c r="G1123" s="10" t="str">
        <f>Github!H$1503</f>
        <v>Algorithms</v>
      </c>
      <c r="H1123" s="13" t="str">
        <f>SUBSTITUTE(Github!L$1503, ";", ", ")</f>
        <v>Array, Sorting, </v>
      </c>
      <c r="I1123" s="10" t="str">
        <f>Github!E$1503</f>
        <v>Easy</v>
      </c>
      <c r="J1123" s="10" t="str">
        <f>IF(TRIM(Github!D$1503)="TRUE","FALSE","TRUE")</f>
        <v>TRUE</v>
      </c>
      <c r="K1123" s="10" t="b">
        <f>Github!M$1503</f>
        <v>0</v>
      </c>
      <c r="L1123" s="10" t="b">
        <f>Github!N$1503</f>
        <v>0</v>
      </c>
      <c r="M1123" s="10" t="str">
        <f>ROUND(Github!O$1503, 2)&amp;"%"</f>
        <v>69.67%</v>
      </c>
      <c r="N1123" s="10">
        <f>Github!P$1503</f>
        <v>79490</v>
      </c>
      <c r="O1123" s="10">
        <f>Github!Q$1503</f>
        <v>114087</v>
      </c>
    </row>
    <row r="1124">
      <c r="A1124" s="10">
        <f>Github!J$1691</f>
        <v>1690</v>
      </c>
      <c r="B1124" s="11" t="str">
        <f>HYPERLINK(CONCAT("http://leetcode.com/problems/",Github!C$1691), Github!B$1691)</f>
        <v>Stone Game VII</v>
      </c>
      <c r="C1124" s="10">
        <f>Github!F$1691</f>
        <v>656</v>
      </c>
      <c r="D1124" s="10">
        <f>Github!G$1691</f>
        <v>124</v>
      </c>
      <c r="E1124" s="10">
        <f>Github!F$1691+Github!G$1691</f>
        <v>780</v>
      </c>
      <c r="F1124" s="12">
        <f t="shared" si="1"/>
        <v>5.29</v>
      </c>
      <c r="G1124" s="10" t="str">
        <f>Github!H$1691</f>
        <v>Algorithms</v>
      </c>
      <c r="H1124" s="13" t="str">
        <f>SUBSTITUTE(Github!L$1691, ";", ", ")</f>
        <v>Array, Math, Dynamic Programming, Game Theory, </v>
      </c>
      <c r="I1124" s="10" t="str">
        <f>Github!E$1691</f>
        <v>Medium</v>
      </c>
      <c r="J1124" s="10" t="str">
        <f>IF(TRIM(Github!D$1691)="TRUE","FALSE","TRUE")</f>
        <v>TRUE</v>
      </c>
      <c r="K1124" s="10" t="b">
        <f>Github!M$1691</f>
        <v>1</v>
      </c>
      <c r="L1124" s="10" t="b">
        <f>Github!N$1691</f>
        <v>0</v>
      </c>
      <c r="M1124" s="10" t="str">
        <f>ROUND(Github!O$1691, 2)&amp;"%"</f>
        <v>58.69%</v>
      </c>
      <c r="N1124" s="10">
        <f>Github!P$1691</f>
        <v>26149</v>
      </c>
      <c r="O1124" s="10">
        <f>Github!Q$1691</f>
        <v>44554</v>
      </c>
    </row>
    <row r="1125">
      <c r="A1125" s="10">
        <f>Github!J$1416</f>
        <v>1415</v>
      </c>
      <c r="B1125" s="11" t="str">
        <f>HYPERLINK(CONCAT("http://leetcode.com/problems/",Github!C$1416), Github!B$1416)</f>
        <v>The k-th Lexicographical String of All Happy Strings of Length n</v>
      </c>
      <c r="C1125" s="10">
        <f>Github!F$1416</f>
        <v>653</v>
      </c>
      <c r="D1125" s="10">
        <f>Github!G$1416</f>
        <v>16</v>
      </c>
      <c r="E1125" s="10">
        <f>Github!F$1416+Github!G$1416</f>
        <v>669</v>
      </c>
      <c r="F1125" s="12">
        <f t="shared" si="1"/>
        <v>40.81</v>
      </c>
      <c r="G1125" s="10" t="str">
        <f>Github!H$1416</f>
        <v>Algorithms</v>
      </c>
      <c r="H1125" s="13" t="str">
        <f>SUBSTITUTE(Github!L$1416, ";", ", ")</f>
        <v>String, Backtracking, </v>
      </c>
      <c r="I1125" s="10" t="str">
        <f>Github!E$1416</f>
        <v>Medium</v>
      </c>
      <c r="J1125" s="10" t="str">
        <f>IF(TRIM(Github!D$1416)="TRUE","FALSE","TRUE")</f>
        <v>TRUE</v>
      </c>
      <c r="K1125" s="10" t="b">
        <f>Github!M$1416</f>
        <v>0</v>
      </c>
      <c r="L1125" s="10" t="b">
        <f>Github!N$1416</f>
        <v>0</v>
      </c>
      <c r="M1125" s="10" t="str">
        <f>ROUND(Github!O$1416, 2)&amp;"%"</f>
        <v>71.35%</v>
      </c>
      <c r="N1125" s="10">
        <f>Github!P$1416</f>
        <v>25373</v>
      </c>
      <c r="O1125" s="10">
        <f>Github!Q$1416</f>
        <v>35562</v>
      </c>
    </row>
    <row r="1126">
      <c r="A1126" s="10">
        <f>Github!J$309</f>
        <v>308</v>
      </c>
      <c r="B1126" s="11" t="str">
        <f>HYPERLINK(CONCAT("http://leetcode.com/problems/",Github!C$309), Github!B$309)</f>
        <v>Range Sum Query 2D - Mutable</v>
      </c>
      <c r="C1126" s="10">
        <f>Github!F$309</f>
        <v>652</v>
      </c>
      <c r="D1126" s="10">
        <f>Github!G$309</f>
        <v>75</v>
      </c>
      <c r="E1126" s="10">
        <f>Github!F$309+Github!G$309</f>
        <v>727</v>
      </c>
      <c r="F1126" s="12">
        <f t="shared" si="1"/>
        <v>8.69</v>
      </c>
      <c r="G1126" s="10" t="str">
        <f>Github!H$309</f>
        <v>Algorithms</v>
      </c>
      <c r="H1126" s="13" t="str">
        <f>SUBSTITUTE(Github!L$309, ";", ", ")</f>
        <v>Array, Design, Binary Indexed Tree, Segment Tree, Matrix, </v>
      </c>
      <c r="I1126" s="10" t="str">
        <f>Github!E$309</f>
        <v>Hard</v>
      </c>
      <c r="J1126" s="10" t="str">
        <f>IF(TRIM(Github!D$309)="TRUE","FALSE","TRUE")</f>
        <v>FALSE</v>
      </c>
      <c r="K1126" s="10" t="b">
        <f>Github!M$309</f>
        <v>1</v>
      </c>
      <c r="L1126" s="10" t="b">
        <f>Github!N$309</f>
        <v>0</v>
      </c>
      <c r="M1126" s="10" t="str">
        <f>ROUND(Github!O$309, 2)&amp;"%"</f>
        <v>41.02%</v>
      </c>
      <c r="N1126" s="10">
        <f>Github!P$309</f>
        <v>65132</v>
      </c>
      <c r="O1126" s="10">
        <f>Github!Q$309</f>
        <v>158787</v>
      </c>
    </row>
    <row r="1127">
      <c r="A1127" s="10">
        <f>Github!J$599</f>
        <v>598</v>
      </c>
      <c r="B1127" s="11" t="str">
        <f>HYPERLINK(CONCAT("http://leetcode.com/problems/",Github!C$599), Github!B$599)</f>
        <v>Range Addition II</v>
      </c>
      <c r="C1127" s="10">
        <f>Github!F$599</f>
        <v>654</v>
      </c>
      <c r="D1127" s="10">
        <f>Github!G$599</f>
        <v>804</v>
      </c>
      <c r="E1127" s="10">
        <f>Github!F$599+Github!G$599</f>
        <v>1458</v>
      </c>
      <c r="F1127" s="12">
        <f t="shared" si="1"/>
        <v>0.81</v>
      </c>
      <c r="G1127" s="10" t="str">
        <f>Github!H$599</f>
        <v>Algorithms</v>
      </c>
      <c r="H1127" s="13" t="str">
        <f>SUBSTITUTE(Github!L$599, ";", ", ")</f>
        <v>Array, Math, </v>
      </c>
      <c r="I1127" s="10" t="str">
        <f>Github!E$599</f>
        <v>Easy</v>
      </c>
      <c r="J1127" s="10" t="str">
        <f>IF(TRIM(Github!D$599)="TRUE","FALSE","TRUE")</f>
        <v>TRUE</v>
      </c>
      <c r="K1127" s="10" t="b">
        <f>Github!M$599</f>
        <v>1</v>
      </c>
      <c r="L1127" s="10" t="b">
        <f>Github!N$599</f>
        <v>0</v>
      </c>
      <c r="M1127" s="10" t="str">
        <f>ROUND(Github!O$599, 2)&amp;"%"</f>
        <v>54.68%</v>
      </c>
      <c r="N1127" s="10">
        <f>Github!P$599</f>
        <v>77571</v>
      </c>
      <c r="O1127" s="10">
        <f>Github!Q$599</f>
        <v>141863</v>
      </c>
    </row>
    <row r="1128">
      <c r="A1128" s="10">
        <f>Github!J$1341</f>
        <v>1340</v>
      </c>
      <c r="B1128" s="11" t="str">
        <f>HYPERLINK(CONCAT("http://leetcode.com/problems/",Github!C$1341), Github!B$1341)</f>
        <v>Jump Game V</v>
      </c>
      <c r="C1128" s="10">
        <f>Github!F$1341</f>
        <v>653</v>
      </c>
      <c r="D1128" s="10">
        <f>Github!G$1341</f>
        <v>22</v>
      </c>
      <c r="E1128" s="10">
        <f>Github!F$1341+Github!G$1341</f>
        <v>675</v>
      </c>
      <c r="F1128" s="12">
        <f t="shared" si="1"/>
        <v>29.68</v>
      </c>
      <c r="G1128" s="10" t="str">
        <f>Github!H$1341</f>
        <v>Algorithms</v>
      </c>
      <c r="H1128" s="13" t="str">
        <f>SUBSTITUTE(Github!L$1341, ";", ", ")</f>
        <v>Array, Dynamic Programming, Sorting, </v>
      </c>
      <c r="I1128" s="10" t="str">
        <f>Github!E$1341</f>
        <v>Hard</v>
      </c>
      <c r="J1128" s="10" t="str">
        <f>IF(TRIM(Github!D$1341)="TRUE","FALSE","TRUE")</f>
        <v>TRUE</v>
      </c>
      <c r="K1128" s="10" t="b">
        <f>Github!M$1341</f>
        <v>0</v>
      </c>
      <c r="L1128" s="10" t="b">
        <f>Github!N$1341</f>
        <v>0</v>
      </c>
      <c r="M1128" s="10" t="str">
        <f>ROUND(Github!O$1341, 2)&amp;"%"</f>
        <v>62.15%</v>
      </c>
      <c r="N1128" s="10">
        <f>Github!P$1341</f>
        <v>18642</v>
      </c>
      <c r="O1128" s="10">
        <f>Github!Q$1341</f>
        <v>29996</v>
      </c>
    </row>
    <row r="1129">
      <c r="A1129" s="10">
        <f>Github!J$1616</f>
        <v>1615</v>
      </c>
      <c r="B1129" s="11" t="str">
        <f>HYPERLINK(CONCAT("http://leetcode.com/problems/",Github!C$1616), Github!B$1616)</f>
        <v>Maximal Network Rank</v>
      </c>
      <c r="C1129" s="10">
        <f>Github!F$1616</f>
        <v>655</v>
      </c>
      <c r="D1129" s="10">
        <f>Github!G$1616</f>
        <v>124</v>
      </c>
      <c r="E1129" s="10">
        <f>Github!F$1616+Github!G$1616</f>
        <v>779</v>
      </c>
      <c r="F1129" s="12">
        <f t="shared" si="1"/>
        <v>5.28</v>
      </c>
      <c r="G1129" s="10" t="str">
        <f>Github!H$1616</f>
        <v>Algorithms</v>
      </c>
      <c r="H1129" s="13" t="str">
        <f>SUBSTITUTE(Github!L$1616, ";", ", ")</f>
        <v>Graph, </v>
      </c>
      <c r="I1129" s="10" t="str">
        <f>Github!E$1616</f>
        <v>Medium</v>
      </c>
      <c r="J1129" s="10" t="str">
        <f>IF(TRIM(Github!D$1616)="TRUE","FALSE","TRUE")</f>
        <v>TRUE</v>
      </c>
      <c r="K1129" s="10" t="b">
        <f>Github!M$1616</f>
        <v>0</v>
      </c>
      <c r="L1129" s="10" t="b">
        <f>Github!N$1616</f>
        <v>0</v>
      </c>
      <c r="M1129" s="10" t="str">
        <f>ROUND(Github!O$1616, 2)&amp;"%"</f>
        <v>56.82%</v>
      </c>
      <c r="N1129" s="10">
        <f>Github!P$1616</f>
        <v>38295</v>
      </c>
      <c r="O1129" s="10">
        <f>Github!Q$1616</f>
        <v>67398</v>
      </c>
    </row>
    <row r="1130">
      <c r="A1130" s="10">
        <f>Github!J$1728</f>
        <v>1727</v>
      </c>
      <c r="B1130" s="11" t="str">
        <f>HYPERLINK(CONCAT("http://leetcode.com/problems/",Github!C$1728), Github!B$1728)</f>
        <v>Largest Submatrix With Rearrangements</v>
      </c>
      <c r="C1130" s="10">
        <f>Github!F$1728</f>
        <v>650</v>
      </c>
      <c r="D1130" s="10">
        <f>Github!G$1728</f>
        <v>16</v>
      </c>
      <c r="E1130" s="10">
        <f>Github!F$1728+Github!G$1728</f>
        <v>666</v>
      </c>
      <c r="F1130" s="12">
        <f t="shared" si="1"/>
        <v>40.63</v>
      </c>
      <c r="G1130" s="10" t="str">
        <f>Github!H$1728</f>
        <v>Algorithms</v>
      </c>
      <c r="H1130" s="13" t="str">
        <f>SUBSTITUTE(Github!L$1728, ";", ", ")</f>
        <v>Array, Greedy, Sorting, Matrix, </v>
      </c>
      <c r="I1130" s="10" t="str">
        <f>Github!E$1728</f>
        <v>Medium</v>
      </c>
      <c r="J1130" s="10" t="str">
        <f>IF(TRIM(Github!D$1728)="TRUE","FALSE","TRUE")</f>
        <v>TRUE</v>
      </c>
      <c r="K1130" s="10" t="b">
        <f>Github!M$1728</f>
        <v>0</v>
      </c>
      <c r="L1130" s="10" t="b">
        <f>Github!N$1728</f>
        <v>0</v>
      </c>
      <c r="M1130" s="10" t="str">
        <f>ROUND(Github!O$1728, 2)&amp;"%"</f>
        <v>60.33%</v>
      </c>
      <c r="N1130" s="10">
        <f>Github!P$1728</f>
        <v>11759</v>
      </c>
      <c r="O1130" s="10">
        <f>Github!Q$1728</f>
        <v>19492</v>
      </c>
    </row>
    <row r="1131">
      <c r="A1131" s="10">
        <f>Github!J$1554</f>
        <v>1553</v>
      </c>
      <c r="B1131" s="11" t="str">
        <f>HYPERLINK(CONCAT("http://leetcode.com/problems/",Github!C$1554), Github!B$1554)</f>
        <v>Minimum Number of Days to Eat N Oranges</v>
      </c>
      <c r="C1131" s="10">
        <f>Github!F$1554</f>
        <v>650</v>
      </c>
      <c r="D1131" s="10">
        <f>Github!G$1554</f>
        <v>41</v>
      </c>
      <c r="E1131" s="10">
        <f>Github!F$1554+Github!G$1554</f>
        <v>691</v>
      </c>
      <c r="F1131" s="12">
        <f t="shared" si="1"/>
        <v>15.85</v>
      </c>
      <c r="G1131" s="10" t="str">
        <f>Github!H$1554</f>
        <v>Algorithms</v>
      </c>
      <c r="H1131" s="13" t="str">
        <f>SUBSTITUTE(Github!L$1554, ";", ", ")</f>
        <v>Dynamic Programming, Memoization, </v>
      </c>
      <c r="I1131" s="10" t="str">
        <f>Github!E$1554</f>
        <v>Hard</v>
      </c>
      <c r="J1131" s="10" t="str">
        <f>IF(TRIM(Github!D$1554)="TRUE","FALSE","TRUE")</f>
        <v>TRUE</v>
      </c>
      <c r="K1131" s="10" t="b">
        <f>Github!M$1554</f>
        <v>0</v>
      </c>
      <c r="L1131" s="10" t="b">
        <f>Github!N$1554</f>
        <v>0</v>
      </c>
      <c r="M1131" s="10" t="str">
        <f>ROUND(Github!O$1554, 2)&amp;"%"</f>
        <v>32.86%</v>
      </c>
      <c r="N1131" s="10">
        <f>Github!P$1554</f>
        <v>21981</v>
      </c>
      <c r="O1131" s="10">
        <f>Github!Q$1554</f>
        <v>66893</v>
      </c>
    </row>
    <row r="1132">
      <c r="A1132" s="10">
        <f>Github!J$1355</f>
        <v>1354</v>
      </c>
      <c r="B1132" s="11" t="str">
        <f>HYPERLINK(CONCAT("http://leetcode.com/problems/",Github!C$1355), Github!B$1355)</f>
        <v>Construct Target Array With Multiple Sums</v>
      </c>
      <c r="C1132" s="10">
        <f>Github!F$1355</f>
        <v>644</v>
      </c>
      <c r="D1132" s="10">
        <f>Github!G$1355</f>
        <v>74</v>
      </c>
      <c r="E1132" s="10">
        <f>Github!F$1355+Github!G$1355</f>
        <v>718</v>
      </c>
      <c r="F1132" s="12">
        <f t="shared" si="1"/>
        <v>8.7</v>
      </c>
      <c r="G1132" s="10" t="str">
        <f>Github!H$1355</f>
        <v>Algorithms</v>
      </c>
      <c r="H1132" s="13" t="str">
        <f>SUBSTITUTE(Github!L$1355, ";", ", ")</f>
        <v>Array, Heap (Priority Queue), </v>
      </c>
      <c r="I1132" s="10" t="str">
        <f>Github!E$1355</f>
        <v>Hard</v>
      </c>
      <c r="J1132" s="10" t="str">
        <f>IF(TRIM(Github!D$1355)="TRUE","FALSE","TRUE")</f>
        <v>TRUE</v>
      </c>
      <c r="K1132" s="10" t="b">
        <f>Github!M$1355</f>
        <v>1</v>
      </c>
      <c r="L1132" s="10" t="b">
        <f>Github!N$1355</f>
        <v>0</v>
      </c>
      <c r="M1132" s="10" t="str">
        <f>ROUND(Github!O$1355, 2)&amp;"%"</f>
        <v>31.19%</v>
      </c>
      <c r="N1132" s="10">
        <f>Github!P$1355</f>
        <v>25352</v>
      </c>
      <c r="O1132" s="10">
        <f>Github!Q$1355</f>
        <v>81279</v>
      </c>
    </row>
    <row r="1133">
      <c r="A1133" s="10">
        <f>Github!J$1393</f>
        <v>1392</v>
      </c>
      <c r="B1133" s="11" t="str">
        <f>HYPERLINK(CONCAT("http://leetcode.com/problems/",Github!C$1393), Github!B$1393)</f>
        <v>Longest Happy Prefix</v>
      </c>
      <c r="C1133" s="10">
        <f>Github!F$1393</f>
        <v>645</v>
      </c>
      <c r="D1133" s="10">
        <f>Github!G$1393</f>
        <v>24</v>
      </c>
      <c r="E1133" s="10">
        <f>Github!F$1393+Github!G$1393</f>
        <v>669</v>
      </c>
      <c r="F1133" s="12">
        <f t="shared" si="1"/>
        <v>26.88</v>
      </c>
      <c r="G1133" s="10" t="str">
        <f>Github!H$1393</f>
        <v>Algorithms</v>
      </c>
      <c r="H1133" s="13" t="str">
        <f>SUBSTITUTE(Github!L$1393, ";", ", ")</f>
        <v>String, Rolling Hash, String Matching, Hash Function, </v>
      </c>
      <c r="I1133" s="10" t="str">
        <f>Github!E$1393</f>
        <v>Hard</v>
      </c>
      <c r="J1133" s="10" t="str">
        <f>IF(TRIM(Github!D$1393)="TRUE","FALSE","TRUE")</f>
        <v>TRUE</v>
      </c>
      <c r="K1133" s="10" t="b">
        <f>Github!M$1393</f>
        <v>0</v>
      </c>
      <c r="L1133" s="10" t="b">
        <f>Github!N$1393</f>
        <v>0</v>
      </c>
      <c r="M1133" s="10" t="str">
        <f>ROUND(Github!O$1393, 2)&amp;"%"</f>
        <v>44.38%</v>
      </c>
      <c r="N1133" s="10">
        <f>Github!P$1393</f>
        <v>20322</v>
      </c>
      <c r="O1133" s="10">
        <f>Github!Q$1393</f>
        <v>45788</v>
      </c>
    </row>
    <row r="1134">
      <c r="A1134" s="10">
        <f>Github!J$1256</f>
        <v>1255</v>
      </c>
      <c r="B1134" s="11" t="str">
        <f>HYPERLINK(CONCAT("http://leetcode.com/problems/",Github!C$1256), Github!B$1256)</f>
        <v>Maximum Score Words Formed by Letters</v>
      </c>
      <c r="C1134" s="10">
        <f>Github!F$1256</f>
        <v>648</v>
      </c>
      <c r="D1134" s="10">
        <f>Github!G$1256</f>
        <v>39</v>
      </c>
      <c r="E1134" s="10">
        <f>Github!F$1256+Github!G$1256</f>
        <v>687</v>
      </c>
      <c r="F1134" s="12">
        <f t="shared" si="1"/>
        <v>16.62</v>
      </c>
      <c r="G1134" s="10" t="str">
        <f>Github!H$1256</f>
        <v>Algorithms</v>
      </c>
      <c r="H1134" s="13" t="str">
        <f>SUBSTITUTE(Github!L$1256, ";", ", ")</f>
        <v>Array, String, Dynamic Programming, Backtracking, Bit Manipulation, Bitmask, </v>
      </c>
      <c r="I1134" s="10" t="str">
        <f>Github!E$1256</f>
        <v>Hard</v>
      </c>
      <c r="J1134" s="10" t="str">
        <f>IF(TRIM(Github!D$1256)="TRUE","FALSE","TRUE")</f>
        <v>TRUE</v>
      </c>
      <c r="K1134" s="10" t="b">
        <f>Github!M$1256</f>
        <v>0</v>
      </c>
      <c r="L1134" s="10" t="b">
        <f>Github!N$1256</f>
        <v>0</v>
      </c>
      <c r="M1134" s="10" t="str">
        <f>ROUND(Github!O$1256, 2)&amp;"%"</f>
        <v>72.13%</v>
      </c>
      <c r="N1134" s="10">
        <f>Github!P$1256</f>
        <v>21179</v>
      </c>
      <c r="O1134" s="10">
        <f>Github!Q$1256</f>
        <v>29364</v>
      </c>
    </row>
    <row r="1135">
      <c r="A1135" s="10">
        <f>Github!J$2105</f>
        <v>2104</v>
      </c>
      <c r="B1135" s="11" t="str">
        <f>HYPERLINK(CONCAT("http://leetcode.com/problems/",Github!C$2105), Github!B$2105)</f>
        <v>Sum of Subarray Ranges</v>
      </c>
      <c r="C1135" s="10">
        <f>Github!F$2105</f>
        <v>663</v>
      </c>
      <c r="D1135" s="10">
        <f>Github!G$2105</f>
        <v>31</v>
      </c>
      <c r="E1135" s="10">
        <f>Github!F$2105+Github!G$2105</f>
        <v>694</v>
      </c>
      <c r="F1135" s="12">
        <f t="shared" si="1"/>
        <v>21.39</v>
      </c>
      <c r="G1135" s="10" t="str">
        <f>Github!H$2105</f>
        <v>Algorithms</v>
      </c>
      <c r="H1135" s="13" t="str">
        <f>SUBSTITUTE(Github!L$2105, ";", ", ")</f>
        <v>Array, Stack, Monotonic Stack, </v>
      </c>
      <c r="I1135" s="10" t="str">
        <f>Github!E$2105</f>
        <v>Medium</v>
      </c>
      <c r="J1135" s="10" t="str">
        <f>IF(TRIM(Github!D$2105)="TRUE","FALSE","TRUE")</f>
        <v>TRUE</v>
      </c>
      <c r="K1135" s="10" t="b">
        <f>Github!M$2105</f>
        <v>0</v>
      </c>
      <c r="L1135" s="10" t="b">
        <f>Github!N$2105</f>
        <v>0</v>
      </c>
      <c r="M1135" s="10" t="str">
        <f>ROUND(Github!O$2105, 2)&amp;"%"</f>
        <v>60.31%</v>
      </c>
      <c r="N1135" s="10">
        <f>Github!P$2105</f>
        <v>25747</v>
      </c>
      <c r="O1135" s="10">
        <f>Github!Q$2105</f>
        <v>42689</v>
      </c>
    </row>
    <row r="1136">
      <c r="A1136" s="10">
        <f>Github!J$1492</f>
        <v>1491</v>
      </c>
      <c r="B1136" s="11" t="str">
        <f>HYPERLINK(CONCAT("http://leetcode.com/problems/",Github!C$1492), Github!B$1492)</f>
        <v>Average Salary Excluding the Minimum and Maximum Salary</v>
      </c>
      <c r="C1136" s="10">
        <f>Github!F$1492</f>
        <v>648</v>
      </c>
      <c r="D1136" s="10">
        <f>Github!G$1492</f>
        <v>89</v>
      </c>
      <c r="E1136" s="10">
        <f>Github!F$1492+Github!G$1492</f>
        <v>737</v>
      </c>
      <c r="F1136" s="12">
        <f t="shared" si="1"/>
        <v>7.28</v>
      </c>
      <c r="G1136" s="10" t="str">
        <f>Github!H$1492</f>
        <v>Algorithms</v>
      </c>
      <c r="H1136" s="13" t="str">
        <f>SUBSTITUTE(Github!L$1492, ";", ", ")</f>
        <v>Array, Sorting, </v>
      </c>
      <c r="I1136" s="10" t="str">
        <f>Github!E$1492</f>
        <v>Easy</v>
      </c>
      <c r="J1136" s="10" t="str">
        <f>IF(TRIM(Github!D$1492)="TRUE","FALSE","TRUE")</f>
        <v>TRUE</v>
      </c>
      <c r="K1136" s="10" t="b">
        <f>Github!M$1492</f>
        <v>0</v>
      </c>
      <c r="L1136" s="10" t="b">
        <f>Github!N$1492</f>
        <v>0</v>
      </c>
      <c r="M1136" s="10" t="str">
        <f>ROUND(Github!O$1492, 2)&amp;"%"</f>
        <v>65.06%</v>
      </c>
      <c r="N1136" s="10">
        <f>Github!P$1492</f>
        <v>96031</v>
      </c>
      <c r="O1136" s="10">
        <f>Github!Q$1492</f>
        <v>147608</v>
      </c>
    </row>
    <row r="1137">
      <c r="A1137" s="10">
        <f>Github!J$1288</f>
        <v>1287</v>
      </c>
      <c r="B1137" s="11" t="str">
        <f>HYPERLINK(CONCAT("http://leetcode.com/problems/",Github!C$1288), Github!B$1288)</f>
        <v>Element Appearing More Than 25% In Sorted Array</v>
      </c>
      <c r="C1137" s="10">
        <f>Github!F$1288</f>
        <v>642</v>
      </c>
      <c r="D1137" s="10">
        <f>Github!G$1288</f>
        <v>36</v>
      </c>
      <c r="E1137" s="10">
        <f>Github!F$1288+Github!G$1288</f>
        <v>678</v>
      </c>
      <c r="F1137" s="12">
        <f t="shared" si="1"/>
        <v>17.83</v>
      </c>
      <c r="G1137" s="10" t="str">
        <f>Github!H$1288</f>
        <v>Algorithms</v>
      </c>
      <c r="H1137" s="13" t="str">
        <f>SUBSTITUTE(Github!L$1288, ";", ", ")</f>
        <v>Array, </v>
      </c>
      <c r="I1137" s="10" t="str">
        <f>Github!E$1288</f>
        <v>Easy</v>
      </c>
      <c r="J1137" s="10" t="str">
        <f>IF(TRIM(Github!D$1288)="TRUE","FALSE","TRUE")</f>
        <v>TRUE</v>
      </c>
      <c r="K1137" s="10" t="b">
        <f>Github!M$1288</f>
        <v>0</v>
      </c>
      <c r="L1137" s="10" t="b">
        <f>Github!N$1288</f>
        <v>0</v>
      </c>
      <c r="M1137" s="10" t="str">
        <f>ROUND(Github!O$1288, 2)&amp;"%"</f>
        <v>59.57%</v>
      </c>
      <c r="N1137" s="10">
        <f>Github!P$1288</f>
        <v>62146</v>
      </c>
      <c r="O1137" s="10">
        <f>Github!Q$1288</f>
        <v>104329</v>
      </c>
    </row>
    <row r="1138">
      <c r="A1138" s="10">
        <f>Github!J$1912</f>
        <v>1911</v>
      </c>
      <c r="B1138" s="11" t="str">
        <f>HYPERLINK(CONCAT("http://leetcode.com/problems/",Github!C$1912), Github!B$1912)</f>
        <v>Maximum Alternating Subsequence Sum</v>
      </c>
      <c r="C1138" s="10">
        <f>Github!F$1912</f>
        <v>647</v>
      </c>
      <c r="D1138" s="10">
        <f>Github!G$1912</f>
        <v>11</v>
      </c>
      <c r="E1138" s="10">
        <f>Github!F$1912+Github!G$1912</f>
        <v>658</v>
      </c>
      <c r="F1138" s="12">
        <f t="shared" si="1"/>
        <v>58.82</v>
      </c>
      <c r="G1138" s="10" t="str">
        <f>Github!H$1912</f>
        <v>Algorithms</v>
      </c>
      <c r="H1138" s="13" t="str">
        <f>SUBSTITUTE(Github!L$1912, ";", ", ")</f>
        <v>Array, Dynamic Programming, </v>
      </c>
      <c r="I1138" s="10" t="str">
        <f>Github!E$1912</f>
        <v>Medium</v>
      </c>
      <c r="J1138" s="10" t="str">
        <f>IF(TRIM(Github!D$1912)="TRUE","FALSE","TRUE")</f>
        <v>TRUE</v>
      </c>
      <c r="K1138" s="10" t="b">
        <f>Github!M$1912</f>
        <v>0</v>
      </c>
      <c r="L1138" s="10" t="b">
        <f>Github!N$1912</f>
        <v>0</v>
      </c>
      <c r="M1138" s="10" t="str">
        <f>ROUND(Github!O$1912, 2)&amp;"%"</f>
        <v>59.1%</v>
      </c>
      <c r="N1138" s="10">
        <f>Github!P$1912</f>
        <v>15528</v>
      </c>
      <c r="O1138" s="10">
        <f>Github!Q$1912</f>
        <v>26273</v>
      </c>
    </row>
    <row r="1139">
      <c r="A1139" s="10">
        <f>Github!J$1139</f>
        <v>1138</v>
      </c>
      <c r="B1139" s="11" t="str">
        <f>HYPERLINK(CONCAT("http://leetcode.com/problems/",Github!C$1139), Github!B$1139)</f>
        <v>Alphabet Board Path</v>
      </c>
      <c r="C1139" s="10">
        <f>Github!F$1139</f>
        <v>641</v>
      </c>
      <c r="D1139" s="10">
        <f>Github!G$1139</f>
        <v>138</v>
      </c>
      <c r="E1139" s="10">
        <f>Github!F$1139+Github!G$1139</f>
        <v>779</v>
      </c>
      <c r="F1139" s="12">
        <f t="shared" si="1"/>
        <v>4.64</v>
      </c>
      <c r="G1139" s="10" t="str">
        <f>Github!H$1139</f>
        <v>Algorithms</v>
      </c>
      <c r="H1139" s="13" t="str">
        <f>SUBSTITUTE(Github!L$1139, ";", ", ")</f>
        <v>Hash Table, String, </v>
      </c>
      <c r="I1139" s="10" t="str">
        <f>Github!E$1139</f>
        <v>Medium</v>
      </c>
      <c r="J1139" s="10" t="str">
        <f>IF(TRIM(Github!D$1139)="TRUE","FALSE","TRUE")</f>
        <v>TRUE</v>
      </c>
      <c r="K1139" s="10" t="b">
        <f>Github!M$1139</f>
        <v>0</v>
      </c>
      <c r="L1139" s="10" t="b">
        <f>Github!N$1139</f>
        <v>0</v>
      </c>
      <c r="M1139" s="10" t="str">
        <f>ROUND(Github!O$1139, 2)&amp;"%"</f>
        <v>52.34%</v>
      </c>
      <c r="N1139" s="10">
        <f>Github!P$1139</f>
        <v>39610</v>
      </c>
      <c r="O1139" s="10">
        <f>Github!Q$1139</f>
        <v>75677</v>
      </c>
    </row>
    <row r="1140">
      <c r="A1140" s="10">
        <f>Github!J$1604</f>
        <v>1603</v>
      </c>
      <c r="B1140" s="11" t="str">
        <f>HYPERLINK(CONCAT("http://leetcode.com/problems/",Github!C$1604), Github!B$1604)</f>
        <v>Design Parking System</v>
      </c>
      <c r="C1140" s="10">
        <f>Github!F$1604</f>
        <v>648</v>
      </c>
      <c r="D1140" s="10">
        <f>Github!G$1604</f>
        <v>276</v>
      </c>
      <c r="E1140" s="10">
        <f>Github!F$1604+Github!G$1604</f>
        <v>924</v>
      </c>
      <c r="F1140" s="12">
        <f t="shared" si="1"/>
        <v>2.35</v>
      </c>
      <c r="G1140" s="10" t="str">
        <f>Github!H$1604</f>
        <v>Algorithms</v>
      </c>
      <c r="H1140" s="13" t="str">
        <f>SUBSTITUTE(Github!L$1604, ";", ", ")</f>
        <v>Design, Simulation, Counting, </v>
      </c>
      <c r="I1140" s="10" t="str">
        <f>Github!E$1604</f>
        <v>Easy</v>
      </c>
      <c r="J1140" s="10" t="str">
        <f>IF(TRIM(Github!D$1604)="TRUE","FALSE","TRUE")</f>
        <v>TRUE</v>
      </c>
      <c r="K1140" s="10" t="b">
        <f>Github!M$1604</f>
        <v>0</v>
      </c>
      <c r="L1140" s="10" t="b">
        <f>Github!N$1604</f>
        <v>0</v>
      </c>
      <c r="M1140" s="10" t="str">
        <f>ROUND(Github!O$1604, 2)&amp;"%"</f>
        <v>87.55%</v>
      </c>
      <c r="N1140" s="10">
        <f>Github!P$1604</f>
        <v>115900</v>
      </c>
      <c r="O1140" s="10">
        <f>Github!Q$1604</f>
        <v>132382</v>
      </c>
    </row>
    <row r="1141">
      <c r="A1141" s="10">
        <f>Github!J$1530</f>
        <v>1529</v>
      </c>
      <c r="B1141" s="11" t="str">
        <f>HYPERLINK(CONCAT("http://leetcode.com/problems/",Github!C$1530), Github!B$1530)</f>
        <v>Minimum Suffix Flips</v>
      </c>
      <c r="C1141" s="10">
        <f>Github!F$1530</f>
        <v>639</v>
      </c>
      <c r="D1141" s="10">
        <f>Github!G$1530</f>
        <v>32</v>
      </c>
      <c r="E1141" s="10">
        <f>Github!F$1530+Github!G$1530</f>
        <v>671</v>
      </c>
      <c r="F1141" s="12">
        <f t="shared" si="1"/>
        <v>19.97</v>
      </c>
      <c r="G1141" s="10" t="str">
        <f>Github!H$1530</f>
        <v>Algorithms</v>
      </c>
      <c r="H1141" s="13" t="str">
        <f>SUBSTITUTE(Github!L$1530, ";", ", ")</f>
        <v>String, Greedy, </v>
      </c>
      <c r="I1141" s="10" t="str">
        <f>Github!E$1530</f>
        <v>Medium</v>
      </c>
      <c r="J1141" s="10" t="str">
        <f>IF(TRIM(Github!D$1530)="TRUE","FALSE","TRUE")</f>
        <v>TRUE</v>
      </c>
      <c r="K1141" s="10" t="b">
        <f>Github!M$1530</f>
        <v>0</v>
      </c>
      <c r="L1141" s="10" t="b">
        <f>Github!N$1530</f>
        <v>0</v>
      </c>
      <c r="M1141" s="10" t="str">
        <f>ROUND(Github!O$1530, 2)&amp;"%"</f>
        <v>72.39%</v>
      </c>
      <c r="N1141" s="10">
        <f>Github!P$1530</f>
        <v>32320</v>
      </c>
      <c r="O1141" s="10">
        <f>Github!Q$1530</f>
        <v>44646</v>
      </c>
    </row>
    <row r="1142">
      <c r="A1142" s="10">
        <f>Github!J$1209</f>
        <v>1208</v>
      </c>
      <c r="B1142" s="11" t="str">
        <f>HYPERLINK(CONCAT("http://leetcode.com/problems/",Github!C$1209), Github!B$1209)</f>
        <v>Get Equal Substrings Within Budget</v>
      </c>
      <c r="C1142" s="10">
        <f>Github!F$1209</f>
        <v>637</v>
      </c>
      <c r="D1142" s="10">
        <f>Github!G$1209</f>
        <v>43</v>
      </c>
      <c r="E1142" s="10">
        <f>Github!F$1209+Github!G$1209</f>
        <v>680</v>
      </c>
      <c r="F1142" s="12">
        <f t="shared" si="1"/>
        <v>14.81</v>
      </c>
      <c r="G1142" s="10" t="str">
        <f>Github!H$1209</f>
        <v>Algorithms</v>
      </c>
      <c r="H1142" s="13" t="str">
        <f>SUBSTITUTE(Github!L$1209, ";", ", ")</f>
        <v>String, Binary Search, Sliding Window, Prefix Sum, </v>
      </c>
      <c r="I1142" s="10" t="str">
        <f>Github!E$1209</f>
        <v>Medium</v>
      </c>
      <c r="J1142" s="10" t="str">
        <f>IF(TRIM(Github!D$1209)="TRUE","FALSE","TRUE")</f>
        <v>TRUE</v>
      </c>
      <c r="K1142" s="10" t="b">
        <f>Github!M$1209</f>
        <v>0</v>
      </c>
      <c r="L1142" s="10" t="b">
        <f>Github!N$1209</f>
        <v>0</v>
      </c>
      <c r="M1142" s="10" t="str">
        <f>ROUND(Github!O$1209, 2)&amp;"%"</f>
        <v>46.51%</v>
      </c>
      <c r="N1142" s="10">
        <f>Github!P$1209</f>
        <v>28686</v>
      </c>
      <c r="O1142" s="10">
        <f>Github!Q$1209</f>
        <v>61682</v>
      </c>
    </row>
    <row r="1143">
      <c r="A1143" s="10">
        <f>Github!J$1610</f>
        <v>1609</v>
      </c>
      <c r="B1143" s="11" t="str">
        <f>HYPERLINK(CONCAT("http://leetcode.com/problems/",Github!C$1610), Github!B$1610)</f>
        <v>Even Odd Tree</v>
      </c>
      <c r="C1143" s="10">
        <f>Github!F$1610</f>
        <v>642</v>
      </c>
      <c r="D1143" s="10">
        <f>Github!G$1610</f>
        <v>38</v>
      </c>
      <c r="E1143" s="10">
        <f>Github!F$1610+Github!G$1610</f>
        <v>680</v>
      </c>
      <c r="F1143" s="12">
        <f t="shared" si="1"/>
        <v>16.89</v>
      </c>
      <c r="G1143" s="10" t="str">
        <f>Github!H$1610</f>
        <v>Algorithms</v>
      </c>
      <c r="H1143" s="13" t="str">
        <f>SUBSTITUTE(Github!L$1610, ";", ", ")</f>
        <v>Tree, Breadth-First Search, Binary Tree, </v>
      </c>
      <c r="I1143" s="10" t="str">
        <f>Github!E$1610</f>
        <v>Medium</v>
      </c>
      <c r="J1143" s="10" t="str">
        <f>IF(TRIM(Github!D$1610)="TRUE","FALSE","TRUE")</f>
        <v>TRUE</v>
      </c>
      <c r="K1143" s="10" t="b">
        <f>Github!M$1610</f>
        <v>0</v>
      </c>
      <c r="L1143" s="10" t="b">
        <f>Github!N$1610</f>
        <v>0</v>
      </c>
      <c r="M1143" s="10" t="str">
        <f>ROUND(Github!O$1610, 2)&amp;"%"</f>
        <v>52.99%</v>
      </c>
      <c r="N1143" s="10">
        <f>Github!P$1610</f>
        <v>31708</v>
      </c>
      <c r="O1143" s="10">
        <f>Github!Q$1610</f>
        <v>59833</v>
      </c>
    </row>
    <row r="1144">
      <c r="A1144" s="10">
        <f>Github!J$1889</f>
        <v>1888</v>
      </c>
      <c r="B1144" s="11" t="str">
        <f>HYPERLINK(CONCAT("http://leetcode.com/problems/",Github!C$1889), Github!B$1889)</f>
        <v>Minimum Number of Flips to Make the Binary String Alternating</v>
      </c>
      <c r="C1144" s="10">
        <f>Github!F$1889</f>
        <v>636</v>
      </c>
      <c r="D1144" s="10">
        <f>Github!G$1889</f>
        <v>19</v>
      </c>
      <c r="E1144" s="10">
        <f>Github!F$1889+Github!G$1889</f>
        <v>655</v>
      </c>
      <c r="F1144" s="12">
        <f t="shared" si="1"/>
        <v>33.47</v>
      </c>
      <c r="G1144" s="10" t="str">
        <f>Github!H$1889</f>
        <v>Algorithms</v>
      </c>
      <c r="H1144" s="13" t="str">
        <f>SUBSTITUTE(Github!L$1889, ";", ", ")</f>
        <v>String, Greedy, </v>
      </c>
      <c r="I1144" s="10" t="str">
        <f>Github!E$1889</f>
        <v>Medium</v>
      </c>
      <c r="J1144" s="10" t="str">
        <f>IF(TRIM(Github!D$1889)="TRUE","FALSE","TRUE")</f>
        <v>TRUE</v>
      </c>
      <c r="K1144" s="10" t="b">
        <f>Github!M$1889</f>
        <v>0</v>
      </c>
      <c r="L1144" s="10" t="b">
        <f>Github!N$1889</f>
        <v>0</v>
      </c>
      <c r="M1144" s="10" t="str">
        <f>ROUND(Github!O$1889, 2)&amp;"%"</f>
        <v>37.11%</v>
      </c>
      <c r="N1144" s="10">
        <f>Github!P$1889</f>
        <v>12021</v>
      </c>
      <c r="O1144" s="10">
        <f>Github!Q$1889</f>
        <v>32390</v>
      </c>
    </row>
    <row r="1145">
      <c r="A1145" s="10">
        <f>Github!J$1420</f>
        <v>1419</v>
      </c>
      <c r="B1145" s="11" t="str">
        <f>HYPERLINK(CONCAT("http://leetcode.com/problems/",Github!C$1420), Github!B$1420)</f>
        <v>Minimum Number of Frogs Croaking</v>
      </c>
      <c r="C1145" s="10">
        <f>Github!F$1420</f>
        <v>633</v>
      </c>
      <c r="D1145" s="10">
        <f>Github!G$1420</f>
        <v>40</v>
      </c>
      <c r="E1145" s="10">
        <f>Github!F$1420+Github!G$1420</f>
        <v>673</v>
      </c>
      <c r="F1145" s="12">
        <f t="shared" si="1"/>
        <v>15.83</v>
      </c>
      <c r="G1145" s="10" t="str">
        <f>Github!H$1420</f>
        <v>Algorithms</v>
      </c>
      <c r="H1145" s="13" t="str">
        <f>SUBSTITUTE(Github!L$1420, ";", ", ")</f>
        <v>String, Counting, </v>
      </c>
      <c r="I1145" s="10" t="str">
        <f>Github!E$1420</f>
        <v>Medium</v>
      </c>
      <c r="J1145" s="10" t="str">
        <f>IF(TRIM(Github!D$1420)="TRUE","FALSE","TRUE")</f>
        <v>TRUE</v>
      </c>
      <c r="K1145" s="10" t="b">
        <f>Github!M$1420</f>
        <v>0</v>
      </c>
      <c r="L1145" s="10" t="b">
        <f>Github!N$1420</f>
        <v>0</v>
      </c>
      <c r="M1145" s="10" t="str">
        <f>ROUND(Github!O$1420, 2)&amp;"%"</f>
        <v>49.68%</v>
      </c>
      <c r="N1145" s="10">
        <f>Github!P$1420</f>
        <v>24976</v>
      </c>
      <c r="O1145" s="10">
        <f>Github!Q$1420</f>
        <v>50278</v>
      </c>
    </row>
    <row r="1146">
      <c r="A1146" s="10">
        <f>Github!J$1542</f>
        <v>1541</v>
      </c>
      <c r="B1146" s="11" t="str">
        <f>HYPERLINK(CONCAT("http://leetcode.com/problems/",Github!C$1542), Github!B$1542)</f>
        <v>Minimum Insertions to Balance a Parentheses String</v>
      </c>
      <c r="C1146" s="10">
        <f>Github!F$1542</f>
        <v>637</v>
      </c>
      <c r="D1146" s="10">
        <f>Github!G$1542</f>
        <v>136</v>
      </c>
      <c r="E1146" s="10">
        <f>Github!F$1542+Github!G$1542</f>
        <v>773</v>
      </c>
      <c r="F1146" s="12">
        <f t="shared" si="1"/>
        <v>4.68</v>
      </c>
      <c r="G1146" s="10" t="str">
        <f>Github!H$1542</f>
        <v>Algorithms</v>
      </c>
      <c r="H1146" s="13" t="str">
        <f>SUBSTITUTE(Github!L$1542, ";", ", ")</f>
        <v>String, Stack, Greedy, </v>
      </c>
      <c r="I1146" s="10" t="str">
        <f>Github!E$1542</f>
        <v>Medium</v>
      </c>
      <c r="J1146" s="10" t="str">
        <f>IF(TRIM(Github!D$1542)="TRUE","FALSE","TRUE")</f>
        <v>TRUE</v>
      </c>
      <c r="K1146" s="10" t="b">
        <f>Github!M$1542</f>
        <v>0</v>
      </c>
      <c r="L1146" s="10" t="b">
        <f>Github!N$1542</f>
        <v>0</v>
      </c>
      <c r="M1146" s="10" t="str">
        <f>ROUND(Github!O$1542, 2)&amp;"%"</f>
        <v>49.21%</v>
      </c>
      <c r="N1146" s="10">
        <f>Github!P$1542</f>
        <v>28701</v>
      </c>
      <c r="O1146" s="10">
        <f>Github!Q$1542</f>
        <v>58318</v>
      </c>
    </row>
    <row r="1147">
      <c r="A1147" s="10">
        <f>Github!J$459</f>
        <v>458</v>
      </c>
      <c r="B1147" s="11" t="str">
        <f>HYPERLINK(CONCAT("http://leetcode.com/problems/",Github!C$459), Github!B$459)</f>
        <v>Poor Pigs</v>
      </c>
      <c r="C1147" s="10">
        <f>Github!F$459</f>
        <v>632</v>
      </c>
      <c r="D1147" s="10">
        <f>Github!G$459</f>
        <v>1151</v>
      </c>
      <c r="E1147" s="10">
        <f>Github!F$459+Github!G$459</f>
        <v>1783</v>
      </c>
      <c r="F1147" s="12">
        <f t="shared" si="1"/>
        <v>0.55</v>
      </c>
      <c r="G1147" s="10" t="str">
        <f>Github!H$459</f>
        <v>Algorithms</v>
      </c>
      <c r="H1147" s="13" t="str">
        <f>SUBSTITUTE(Github!L$459, ";", ", ")</f>
        <v>Math, Dynamic Programming, Combinatorics, </v>
      </c>
      <c r="I1147" s="10" t="str">
        <f>Github!E$459</f>
        <v>Hard</v>
      </c>
      <c r="J1147" s="10" t="str">
        <f>IF(TRIM(Github!D$459)="TRUE","FALSE","TRUE")</f>
        <v>TRUE</v>
      </c>
      <c r="K1147" s="10" t="b">
        <f>Github!M$459</f>
        <v>1</v>
      </c>
      <c r="L1147" s="10" t="b">
        <f>Github!N$459</f>
        <v>0</v>
      </c>
      <c r="M1147" s="10" t="str">
        <f>ROUND(Github!O$459, 2)&amp;"%"</f>
        <v>55.56%</v>
      </c>
      <c r="N1147" s="10">
        <f>Github!P$459</f>
        <v>33503</v>
      </c>
      <c r="O1147" s="10">
        <f>Github!Q$459</f>
        <v>60303</v>
      </c>
    </row>
    <row r="1148">
      <c r="A1148" s="10">
        <f>Github!J$1395</f>
        <v>1394</v>
      </c>
      <c r="B1148" s="11" t="str">
        <f>HYPERLINK(CONCAT("http://leetcode.com/problems/",Github!C$1395), Github!B$1395)</f>
        <v>Find Lucky Integer in an Array</v>
      </c>
      <c r="C1148" s="10">
        <f>Github!F$1395</f>
        <v>633</v>
      </c>
      <c r="D1148" s="10">
        <f>Github!G$1395</f>
        <v>20</v>
      </c>
      <c r="E1148" s="10">
        <f>Github!F$1395+Github!G$1395</f>
        <v>653</v>
      </c>
      <c r="F1148" s="12">
        <f t="shared" si="1"/>
        <v>31.65</v>
      </c>
      <c r="G1148" s="10" t="str">
        <f>Github!H$1395</f>
        <v>Algorithms</v>
      </c>
      <c r="H1148" s="13" t="str">
        <f>SUBSTITUTE(Github!L$1395, ";", ", ")</f>
        <v>Array, Hash Table, Counting, </v>
      </c>
      <c r="I1148" s="10" t="str">
        <f>Github!E$1395</f>
        <v>Easy</v>
      </c>
      <c r="J1148" s="10" t="str">
        <f>IF(TRIM(Github!D$1395)="TRUE","FALSE","TRUE")</f>
        <v>TRUE</v>
      </c>
      <c r="K1148" s="10" t="b">
        <f>Github!M$1395</f>
        <v>1</v>
      </c>
      <c r="L1148" s="10" t="b">
        <f>Github!N$1395</f>
        <v>0</v>
      </c>
      <c r="M1148" s="10" t="str">
        <f>ROUND(Github!O$1395, 2)&amp;"%"</f>
        <v>63.55%</v>
      </c>
      <c r="N1148" s="10">
        <f>Github!P$1395</f>
        <v>68657</v>
      </c>
      <c r="O1148" s="10">
        <f>Github!Q$1395</f>
        <v>108042</v>
      </c>
    </row>
    <row r="1149">
      <c r="A1149" s="10">
        <f>Github!J$1524</f>
        <v>1523</v>
      </c>
      <c r="B1149" s="11" t="str">
        <f>HYPERLINK(CONCAT("http://leetcode.com/problems/",Github!C$1524), Github!B$1524)</f>
        <v>Count Odd Numbers in an Interval Range</v>
      </c>
      <c r="C1149" s="10">
        <f>Github!F$1524</f>
        <v>647</v>
      </c>
      <c r="D1149" s="10">
        <f>Github!G$1524</f>
        <v>52</v>
      </c>
      <c r="E1149" s="10">
        <f>Github!F$1524+Github!G$1524</f>
        <v>699</v>
      </c>
      <c r="F1149" s="12">
        <f t="shared" si="1"/>
        <v>12.44</v>
      </c>
      <c r="G1149" s="10" t="str">
        <f>Github!H$1524</f>
        <v>Algorithms</v>
      </c>
      <c r="H1149" s="13" t="str">
        <f>SUBSTITUTE(Github!L$1524, ";", ", ")</f>
        <v>Math, </v>
      </c>
      <c r="I1149" s="10" t="str">
        <f>Github!E$1524</f>
        <v>Easy</v>
      </c>
      <c r="J1149" s="10" t="str">
        <f>IF(TRIM(Github!D$1524)="TRUE","FALSE","TRUE")</f>
        <v>TRUE</v>
      </c>
      <c r="K1149" s="10" t="b">
        <f>Github!M$1524</f>
        <v>0</v>
      </c>
      <c r="L1149" s="10" t="b">
        <f>Github!N$1524</f>
        <v>0</v>
      </c>
      <c r="M1149" s="10" t="str">
        <f>ROUND(Github!O$1524, 2)&amp;"%"</f>
        <v>47.94%</v>
      </c>
      <c r="N1149" s="10">
        <f>Github!P$1524</f>
        <v>75272</v>
      </c>
      <c r="O1149" s="10">
        <f>Github!Q$1524</f>
        <v>157007</v>
      </c>
    </row>
    <row r="1150">
      <c r="A1150" s="10">
        <f>Github!J$353</f>
        <v>352</v>
      </c>
      <c r="B1150" s="11" t="str">
        <f>HYPERLINK(CONCAT("http://leetcode.com/problems/",Github!C$353), Github!B$353)</f>
        <v>Data Stream as Disjoint Intervals</v>
      </c>
      <c r="C1150" s="10">
        <f>Github!F$353</f>
        <v>630</v>
      </c>
      <c r="D1150" s="10">
        <f>Github!G$353</f>
        <v>158</v>
      </c>
      <c r="E1150" s="10">
        <f>Github!F$353+Github!G$353</f>
        <v>788</v>
      </c>
      <c r="F1150" s="12">
        <f t="shared" si="1"/>
        <v>3.99</v>
      </c>
      <c r="G1150" s="10" t="str">
        <f>Github!H$353</f>
        <v>Algorithms</v>
      </c>
      <c r="H1150" s="13" t="str">
        <f>SUBSTITUTE(Github!L$353, ";", ", ")</f>
        <v>Binary Search, Design, Ordered Set, </v>
      </c>
      <c r="I1150" s="10" t="str">
        <f>Github!E$353</f>
        <v>Hard</v>
      </c>
      <c r="J1150" s="10" t="str">
        <f>IF(TRIM(Github!D$353)="TRUE","FALSE","TRUE")</f>
        <v>TRUE</v>
      </c>
      <c r="K1150" s="10" t="b">
        <f>Github!M$353</f>
        <v>0</v>
      </c>
      <c r="L1150" s="10" t="b">
        <f>Github!N$353</f>
        <v>0</v>
      </c>
      <c r="M1150" s="10" t="str">
        <f>ROUND(Github!O$353, 2)&amp;"%"</f>
        <v>50.64%</v>
      </c>
      <c r="N1150" s="10">
        <f>Github!P$353</f>
        <v>50897</v>
      </c>
      <c r="O1150" s="10">
        <f>Github!Q$353</f>
        <v>100502</v>
      </c>
    </row>
    <row r="1151">
      <c r="A1151" s="10">
        <f>Github!J$1744</f>
        <v>1743</v>
      </c>
      <c r="B1151" s="11" t="str">
        <f>HYPERLINK(CONCAT("http://leetcode.com/problems/",Github!C$1744), Github!B$1744)</f>
        <v>Restore the Array From Adjacent Pairs</v>
      </c>
      <c r="C1151" s="10">
        <f>Github!F$1744</f>
        <v>628</v>
      </c>
      <c r="D1151" s="10">
        <f>Github!G$1744</f>
        <v>11</v>
      </c>
      <c r="E1151" s="10">
        <f>Github!F$1744+Github!G$1744</f>
        <v>639</v>
      </c>
      <c r="F1151" s="12">
        <f t="shared" si="1"/>
        <v>57.09</v>
      </c>
      <c r="G1151" s="10" t="str">
        <f>Github!H$1744</f>
        <v>Algorithms</v>
      </c>
      <c r="H1151" s="13" t="str">
        <f>SUBSTITUTE(Github!L$1744, ";", ", ")</f>
        <v>Array, Hash Table, </v>
      </c>
      <c r="I1151" s="10" t="str">
        <f>Github!E$1744</f>
        <v>Medium</v>
      </c>
      <c r="J1151" s="10" t="str">
        <f>IF(TRIM(Github!D$1744)="TRUE","FALSE","TRUE")</f>
        <v>TRUE</v>
      </c>
      <c r="K1151" s="10" t="b">
        <f>Github!M$1744</f>
        <v>0</v>
      </c>
      <c r="L1151" s="10" t="b">
        <f>Github!N$1744</f>
        <v>0</v>
      </c>
      <c r="M1151" s="10" t="str">
        <f>ROUND(Github!O$1744, 2)&amp;"%"</f>
        <v>68.27%</v>
      </c>
      <c r="N1151" s="10">
        <f>Github!P$1744</f>
        <v>25520</v>
      </c>
      <c r="O1151" s="10">
        <f>Github!Q$1744</f>
        <v>37377</v>
      </c>
    </row>
    <row r="1152">
      <c r="A1152" s="10">
        <f>Github!J$910</f>
        <v>909</v>
      </c>
      <c r="B1152" s="11" t="str">
        <f>HYPERLINK(CONCAT("http://leetcode.com/problems/",Github!C$910), Github!B$910)</f>
        <v>Snakes and Ladders</v>
      </c>
      <c r="C1152" s="10">
        <f>Github!F$910</f>
        <v>637</v>
      </c>
      <c r="D1152" s="10">
        <f>Github!G$910</f>
        <v>161</v>
      </c>
      <c r="E1152" s="10">
        <f>Github!F$910+Github!G$910</f>
        <v>798</v>
      </c>
      <c r="F1152" s="12">
        <f t="shared" si="1"/>
        <v>3.96</v>
      </c>
      <c r="G1152" s="10" t="str">
        <f>Github!H$910</f>
        <v>Algorithms</v>
      </c>
      <c r="H1152" s="13" t="str">
        <f>SUBSTITUTE(Github!L$910, ";", ", ")</f>
        <v>Array, Breadth-First Search, Matrix, </v>
      </c>
      <c r="I1152" s="10" t="str">
        <f>Github!E$910</f>
        <v>Medium</v>
      </c>
      <c r="J1152" s="10" t="str">
        <f>IF(TRIM(Github!D$910)="TRUE","FALSE","TRUE")</f>
        <v>TRUE</v>
      </c>
      <c r="K1152" s="10" t="b">
        <f>Github!M$910</f>
        <v>0</v>
      </c>
      <c r="L1152" s="10" t="b">
        <f>Github!N$910</f>
        <v>0</v>
      </c>
      <c r="M1152" s="10" t="str">
        <f>ROUND(Github!O$910, 2)&amp;"%"</f>
        <v>40.52%</v>
      </c>
      <c r="N1152" s="10">
        <f>Github!P$910</f>
        <v>73644</v>
      </c>
      <c r="O1152" s="10">
        <f>Github!Q$910</f>
        <v>181745</v>
      </c>
    </row>
    <row r="1153">
      <c r="A1153" s="10">
        <f>Github!J$1230</f>
        <v>1229</v>
      </c>
      <c r="B1153" s="11" t="str">
        <f>HYPERLINK(CONCAT("http://leetcode.com/problems/",Github!C$1230), Github!B$1230)</f>
        <v>Meeting Scheduler</v>
      </c>
      <c r="C1153" s="10">
        <f>Github!F$1230</f>
        <v>628</v>
      </c>
      <c r="D1153" s="10">
        <f>Github!G$1230</f>
        <v>27</v>
      </c>
      <c r="E1153" s="10">
        <f>Github!F$1230+Github!G$1230</f>
        <v>655</v>
      </c>
      <c r="F1153" s="12">
        <f t="shared" si="1"/>
        <v>23.26</v>
      </c>
      <c r="G1153" s="10" t="str">
        <f>Github!H$1230</f>
        <v>Algorithms</v>
      </c>
      <c r="H1153" s="13" t="str">
        <f>SUBSTITUTE(Github!L$1230, ";", ", ")</f>
        <v>Array, Two Pointers, Sorting, </v>
      </c>
      <c r="I1153" s="10" t="str">
        <f>Github!E$1230</f>
        <v>Medium</v>
      </c>
      <c r="J1153" s="10" t="str">
        <f>IF(TRIM(Github!D$1230)="TRUE","FALSE","TRUE")</f>
        <v>FALSE</v>
      </c>
      <c r="K1153" s="10" t="b">
        <f>Github!M$1230</f>
        <v>1</v>
      </c>
      <c r="L1153" s="10" t="b">
        <f>Github!N$1230</f>
        <v>0</v>
      </c>
      <c r="M1153" s="10" t="str">
        <f>ROUND(Github!O$1230, 2)&amp;"%"</f>
        <v>54.74%</v>
      </c>
      <c r="N1153" s="10">
        <f>Github!P$1230</f>
        <v>51925</v>
      </c>
      <c r="O1153" s="10">
        <f>Github!Q$1230</f>
        <v>94854</v>
      </c>
    </row>
    <row r="1154">
      <c r="A1154" s="10">
        <f>Github!J$1562</f>
        <v>1561</v>
      </c>
      <c r="B1154" s="11" t="str">
        <f>HYPERLINK(CONCAT("http://leetcode.com/problems/",Github!C$1562), Github!B$1562)</f>
        <v>Maximum Number of Coins You Can Get</v>
      </c>
      <c r="C1154" s="10">
        <f>Github!F$1562</f>
        <v>630</v>
      </c>
      <c r="D1154" s="10">
        <f>Github!G$1562</f>
        <v>90</v>
      </c>
      <c r="E1154" s="10">
        <f>Github!F$1562+Github!G$1562</f>
        <v>720</v>
      </c>
      <c r="F1154" s="12">
        <f t="shared" si="1"/>
        <v>7</v>
      </c>
      <c r="G1154" s="10" t="str">
        <f>Github!H$1562</f>
        <v>Algorithms</v>
      </c>
      <c r="H1154" s="13" t="str">
        <f>SUBSTITUTE(Github!L$1562, ";", ", ")</f>
        <v>Array, Math, Greedy, Sorting, Game Theory, </v>
      </c>
      <c r="I1154" s="10" t="str">
        <f>Github!E$1562</f>
        <v>Medium</v>
      </c>
      <c r="J1154" s="10" t="str">
        <f>IF(TRIM(Github!D$1562)="TRUE","FALSE","TRUE")</f>
        <v>TRUE</v>
      </c>
      <c r="K1154" s="10" t="b">
        <f>Github!M$1562</f>
        <v>0</v>
      </c>
      <c r="L1154" s="10" t="b">
        <f>Github!N$1562</f>
        <v>0</v>
      </c>
      <c r="M1154" s="10" t="str">
        <f>ROUND(Github!O$1562, 2)&amp;"%"</f>
        <v>78.24%</v>
      </c>
      <c r="N1154" s="10">
        <f>Github!P$1562</f>
        <v>45648</v>
      </c>
      <c r="O1154" s="10">
        <f>Github!Q$1562</f>
        <v>58345</v>
      </c>
    </row>
    <row r="1155">
      <c r="A1155" s="10">
        <f>Github!J$1580</f>
        <v>1579</v>
      </c>
      <c r="B1155" s="11" t="str">
        <f>HYPERLINK(CONCAT("http://leetcode.com/problems/",Github!C$1580), Github!B$1580)</f>
        <v>Remove Max Number of Edges to Keep Graph Fully Traversable</v>
      </c>
      <c r="C1155" s="10">
        <f>Github!F$1580</f>
        <v>630</v>
      </c>
      <c r="D1155" s="10">
        <f>Github!G$1580</f>
        <v>5</v>
      </c>
      <c r="E1155" s="10">
        <f>Github!F$1580+Github!G$1580</f>
        <v>635</v>
      </c>
      <c r="F1155" s="12">
        <f t="shared" si="1"/>
        <v>126</v>
      </c>
      <c r="G1155" s="10" t="str">
        <f>Github!H$1580</f>
        <v>Algorithms</v>
      </c>
      <c r="H1155" s="13" t="str">
        <f>SUBSTITUTE(Github!L$1580, ";", ", ")</f>
        <v>Union Find, Graph, </v>
      </c>
      <c r="I1155" s="10" t="str">
        <f>Github!E$1580</f>
        <v>Hard</v>
      </c>
      <c r="J1155" s="10" t="str">
        <f>IF(TRIM(Github!D$1580)="TRUE","FALSE","TRUE")</f>
        <v>TRUE</v>
      </c>
      <c r="K1155" s="10" t="b">
        <f>Github!M$1580</f>
        <v>0</v>
      </c>
      <c r="L1155" s="10" t="b">
        <f>Github!N$1580</f>
        <v>0</v>
      </c>
      <c r="M1155" s="10" t="str">
        <f>ROUND(Github!O$1580, 2)&amp;"%"</f>
        <v>51.03%</v>
      </c>
      <c r="N1155" s="10">
        <f>Github!P$1580</f>
        <v>12354</v>
      </c>
      <c r="O1155" s="10">
        <f>Github!Q$1580</f>
        <v>24209</v>
      </c>
    </row>
    <row r="1156">
      <c r="A1156" s="10">
        <f>Github!J$914</f>
        <v>913</v>
      </c>
      <c r="B1156" s="11" t="str">
        <f>HYPERLINK(CONCAT("http://leetcode.com/problems/",Github!C$914), Github!B$914)</f>
        <v>Cat and Mouse</v>
      </c>
      <c r="C1156" s="10">
        <f>Github!F$914</f>
        <v>622</v>
      </c>
      <c r="D1156" s="10">
        <f>Github!G$914</f>
        <v>111</v>
      </c>
      <c r="E1156" s="10">
        <f>Github!F$914+Github!G$914</f>
        <v>733</v>
      </c>
      <c r="F1156" s="12">
        <f t="shared" si="1"/>
        <v>5.6</v>
      </c>
      <c r="G1156" s="10" t="str">
        <f>Github!H$914</f>
        <v>Algorithms</v>
      </c>
      <c r="H1156" s="13" t="str">
        <f>SUBSTITUTE(Github!L$914, ";", ", ")</f>
        <v>Math, Dynamic Programming, Breadth-First Search, Graph, Memoization, Game Theory, </v>
      </c>
      <c r="I1156" s="10" t="str">
        <f>Github!E$914</f>
        <v>Hard</v>
      </c>
      <c r="J1156" s="10" t="str">
        <f>IF(TRIM(Github!D$914)="TRUE","FALSE","TRUE")</f>
        <v>TRUE</v>
      </c>
      <c r="K1156" s="10" t="b">
        <f>Github!M$914</f>
        <v>1</v>
      </c>
      <c r="L1156" s="10" t="b">
        <f>Github!N$914</f>
        <v>0</v>
      </c>
      <c r="M1156" s="10" t="str">
        <f>ROUND(Github!O$914, 2)&amp;"%"</f>
        <v>35.73%</v>
      </c>
      <c r="N1156" s="10">
        <f>Github!P$914</f>
        <v>14795</v>
      </c>
      <c r="O1156" s="10">
        <f>Github!Q$914</f>
        <v>41412</v>
      </c>
    </row>
    <row r="1157">
      <c r="A1157" s="10">
        <f>Github!J$1878</f>
        <v>1877</v>
      </c>
      <c r="B1157" s="11" t="str">
        <f>HYPERLINK(CONCAT("http://leetcode.com/problems/",Github!C$1878), Github!B$1878)</f>
        <v>Minimize Maximum Pair Sum in Array</v>
      </c>
      <c r="C1157" s="10">
        <f>Github!F$1878</f>
        <v>627</v>
      </c>
      <c r="D1157" s="10">
        <f>Github!G$1878</f>
        <v>160</v>
      </c>
      <c r="E1157" s="10">
        <f>Github!F$1878+Github!G$1878</f>
        <v>787</v>
      </c>
      <c r="F1157" s="12">
        <f t="shared" si="1"/>
        <v>3.92</v>
      </c>
      <c r="G1157" s="10" t="str">
        <f>Github!H$1878</f>
        <v>Algorithms</v>
      </c>
      <c r="H1157" s="13" t="str">
        <f>SUBSTITUTE(Github!L$1878, ";", ", ")</f>
        <v>Array, Two Pointers, Greedy, Sorting, </v>
      </c>
      <c r="I1157" s="10" t="str">
        <f>Github!E$1878</f>
        <v>Medium</v>
      </c>
      <c r="J1157" s="10" t="str">
        <f>IF(TRIM(Github!D$1878)="TRUE","FALSE","TRUE")</f>
        <v>TRUE</v>
      </c>
      <c r="K1157" s="10" t="b">
        <f>Github!M$1878</f>
        <v>0</v>
      </c>
      <c r="L1157" s="10" t="b">
        <f>Github!N$1878</f>
        <v>0</v>
      </c>
      <c r="M1157" s="10" t="str">
        <f>ROUND(Github!O$1878, 2)&amp;"%"</f>
        <v>80.67%</v>
      </c>
      <c r="N1157" s="10">
        <f>Github!P$1878</f>
        <v>47915</v>
      </c>
      <c r="O1157" s="10">
        <f>Github!Q$1878</f>
        <v>59396</v>
      </c>
    </row>
    <row r="1158">
      <c r="A1158" s="10">
        <f>Github!J$831</f>
        <v>830</v>
      </c>
      <c r="B1158" s="11" t="str">
        <f>HYPERLINK(CONCAT("http://leetcode.com/problems/",Github!C$831), Github!B$831)</f>
        <v>Positions of Large Groups</v>
      </c>
      <c r="C1158" s="10">
        <f>Github!F$831</f>
        <v>621</v>
      </c>
      <c r="D1158" s="10">
        <f>Github!G$831</f>
        <v>111</v>
      </c>
      <c r="E1158" s="10">
        <f>Github!F$831+Github!G$831</f>
        <v>732</v>
      </c>
      <c r="F1158" s="12">
        <f t="shared" si="1"/>
        <v>5.59</v>
      </c>
      <c r="G1158" s="10" t="str">
        <f>Github!H$831</f>
        <v>Algorithms</v>
      </c>
      <c r="H1158" s="13" t="str">
        <f>SUBSTITUTE(Github!L$831, ";", ", ")</f>
        <v>String, </v>
      </c>
      <c r="I1158" s="10" t="str">
        <f>Github!E$831</f>
        <v>Easy</v>
      </c>
      <c r="J1158" s="10" t="str">
        <f>IF(TRIM(Github!D$831)="TRUE","FALSE","TRUE")</f>
        <v>TRUE</v>
      </c>
      <c r="K1158" s="10" t="b">
        <f>Github!M$831</f>
        <v>1</v>
      </c>
      <c r="L1158" s="10" t="b">
        <f>Github!N$831</f>
        <v>0</v>
      </c>
      <c r="M1158" s="10" t="str">
        <f>ROUND(Github!O$831, 2)&amp;"%"</f>
        <v>51.42%</v>
      </c>
      <c r="N1158" s="10">
        <f>Github!P$831</f>
        <v>71028</v>
      </c>
      <c r="O1158" s="10">
        <f>Github!Q$831</f>
        <v>138144</v>
      </c>
    </row>
    <row r="1159">
      <c r="A1159" s="10">
        <f>Github!J$1264</f>
        <v>1263</v>
      </c>
      <c r="B1159" s="11" t="str">
        <f>HYPERLINK(CONCAT("http://leetcode.com/problems/",Github!C$1264), Github!B$1264)</f>
        <v>Minimum Moves to Move a Box to Their Target Location</v>
      </c>
      <c r="C1159" s="10">
        <f>Github!F$1264</f>
        <v>624</v>
      </c>
      <c r="D1159" s="10">
        <f>Github!G$1264</f>
        <v>47</v>
      </c>
      <c r="E1159" s="10">
        <f>Github!F$1264+Github!G$1264</f>
        <v>671</v>
      </c>
      <c r="F1159" s="12">
        <f t="shared" si="1"/>
        <v>13.28</v>
      </c>
      <c r="G1159" s="10" t="str">
        <f>Github!H$1264</f>
        <v>Algorithms</v>
      </c>
      <c r="H1159" s="13" t="str">
        <f>SUBSTITUTE(Github!L$1264, ";", ", ")</f>
        <v>Array, Breadth-First Search, Heap (Priority Queue), Matrix, </v>
      </c>
      <c r="I1159" s="10" t="str">
        <f>Github!E$1264</f>
        <v>Hard</v>
      </c>
      <c r="J1159" s="10" t="str">
        <f>IF(TRIM(Github!D$1264)="TRUE","FALSE","TRUE")</f>
        <v>TRUE</v>
      </c>
      <c r="K1159" s="10" t="b">
        <f>Github!M$1264</f>
        <v>0</v>
      </c>
      <c r="L1159" s="10" t="b">
        <f>Github!N$1264</f>
        <v>0</v>
      </c>
      <c r="M1159" s="10" t="str">
        <f>ROUND(Github!O$1264, 2)&amp;"%"</f>
        <v>48.28%</v>
      </c>
      <c r="N1159" s="10">
        <f>Github!P$1264</f>
        <v>20811</v>
      </c>
      <c r="O1159" s="10">
        <f>Github!Q$1264</f>
        <v>43104</v>
      </c>
    </row>
    <row r="1160">
      <c r="A1160" s="10">
        <f>Github!J$852</f>
        <v>851</v>
      </c>
      <c r="B1160" s="11" t="str">
        <f>HYPERLINK(CONCAT("http://leetcode.com/problems/",Github!C$852), Github!B$852)</f>
        <v>Loud and Rich</v>
      </c>
      <c r="C1160" s="10">
        <f>Github!F$852</f>
        <v>625</v>
      </c>
      <c r="D1160" s="10">
        <f>Github!G$852</f>
        <v>548</v>
      </c>
      <c r="E1160" s="10">
        <f>Github!F$852+Github!G$852</f>
        <v>1173</v>
      </c>
      <c r="F1160" s="12">
        <f t="shared" si="1"/>
        <v>1.14</v>
      </c>
      <c r="G1160" s="10" t="str">
        <f>Github!H$852</f>
        <v>Algorithms</v>
      </c>
      <c r="H1160" s="13" t="str">
        <f>SUBSTITUTE(Github!L$852, ";", ", ")</f>
        <v>Array, Depth-First Search, Graph, Topological Sort, </v>
      </c>
      <c r="I1160" s="10" t="str">
        <f>Github!E$852</f>
        <v>Medium</v>
      </c>
      <c r="J1160" s="10" t="str">
        <f>IF(TRIM(Github!D$852)="TRUE","FALSE","TRUE")</f>
        <v>TRUE</v>
      </c>
      <c r="K1160" s="10" t="b">
        <f>Github!M$852</f>
        <v>1</v>
      </c>
      <c r="L1160" s="10" t="b">
        <f>Github!N$852</f>
        <v>0</v>
      </c>
      <c r="M1160" s="10" t="str">
        <f>ROUND(Github!O$852, 2)&amp;"%"</f>
        <v>56.65%</v>
      </c>
      <c r="N1160" s="10">
        <f>Github!P$852</f>
        <v>23623</v>
      </c>
      <c r="O1160" s="10">
        <f>Github!Q$852</f>
        <v>41698</v>
      </c>
    </row>
    <row r="1161">
      <c r="A1161" s="10">
        <f>Github!J$448</f>
        <v>447</v>
      </c>
      <c r="B1161" s="11" t="str">
        <f>HYPERLINK(CONCAT("http://leetcode.com/problems/",Github!C$448), Github!B$448)</f>
        <v>Number of Boomerangs</v>
      </c>
      <c r="C1161" s="10">
        <f>Github!F$448</f>
        <v>616</v>
      </c>
      <c r="D1161" s="10">
        <f>Github!G$448</f>
        <v>884</v>
      </c>
      <c r="E1161" s="10">
        <f>Github!F$448+Github!G$448</f>
        <v>1500</v>
      </c>
      <c r="F1161" s="12">
        <f t="shared" si="1"/>
        <v>0.7</v>
      </c>
      <c r="G1161" s="10" t="str">
        <f>Github!H$448</f>
        <v>Algorithms</v>
      </c>
      <c r="H1161" s="13" t="str">
        <f>SUBSTITUTE(Github!L$448, ";", ", ")</f>
        <v>Array, Hash Table, Math, </v>
      </c>
      <c r="I1161" s="10" t="str">
        <f>Github!E$448</f>
        <v>Medium</v>
      </c>
      <c r="J1161" s="10" t="str">
        <f>IF(TRIM(Github!D$448)="TRUE","FALSE","TRUE")</f>
        <v>TRUE</v>
      </c>
      <c r="K1161" s="10" t="b">
        <f>Github!M$448</f>
        <v>0</v>
      </c>
      <c r="L1161" s="10" t="b">
        <f>Github!N$448</f>
        <v>0</v>
      </c>
      <c r="M1161" s="10" t="str">
        <f>ROUND(Github!O$448, 2)&amp;"%"</f>
        <v>54.18%</v>
      </c>
      <c r="N1161" s="10">
        <f>Github!P$448</f>
        <v>85172</v>
      </c>
      <c r="O1161" s="10">
        <f>Github!Q$448</f>
        <v>157193</v>
      </c>
    </row>
    <row r="1162">
      <c r="A1162" s="10">
        <f>Github!J$2116</f>
        <v>2115</v>
      </c>
      <c r="B1162" s="11" t="str">
        <f>HYPERLINK(CONCAT("http://leetcode.com/problems/",Github!C$2116), Github!B$2116)</f>
        <v>Find All Possible Recipes from Given Supplies</v>
      </c>
      <c r="C1162" s="10">
        <f>Github!F$2116</f>
        <v>632</v>
      </c>
      <c r="D1162" s="10">
        <f>Github!G$2116</f>
        <v>49</v>
      </c>
      <c r="E1162" s="10">
        <f>Github!F$2116+Github!G$2116</f>
        <v>681</v>
      </c>
      <c r="F1162" s="12">
        <f t="shared" si="1"/>
        <v>12.9</v>
      </c>
      <c r="G1162" s="10" t="str">
        <f>Github!H$2116</f>
        <v>Algorithms</v>
      </c>
      <c r="H1162" s="13" t="str">
        <f>SUBSTITUTE(Github!L$2116, ";", ", ")</f>
        <v>Array, Hash Table, String, Graph, Topological Sort, </v>
      </c>
      <c r="I1162" s="10" t="str">
        <f>Github!E$2116</f>
        <v>Medium</v>
      </c>
      <c r="J1162" s="10" t="str">
        <f>IF(TRIM(Github!D$2116)="TRUE","FALSE","TRUE")</f>
        <v>TRUE</v>
      </c>
      <c r="K1162" s="10" t="b">
        <f>Github!M$2116</f>
        <v>0</v>
      </c>
      <c r="L1162" s="10" t="b">
        <f>Github!N$2116</f>
        <v>0</v>
      </c>
      <c r="M1162" s="10" t="str">
        <f>ROUND(Github!O$2116, 2)&amp;"%"</f>
        <v>43.55%</v>
      </c>
      <c r="N1162" s="10">
        <f>Github!P$2116</f>
        <v>23463</v>
      </c>
      <c r="O1162" s="10">
        <f>Github!Q$2116</f>
        <v>53881</v>
      </c>
    </row>
    <row r="1163">
      <c r="A1163" s="10">
        <f>Github!J$1560</f>
        <v>1559</v>
      </c>
      <c r="B1163" s="11" t="str">
        <f>HYPERLINK(CONCAT("http://leetcode.com/problems/",Github!C$1560), Github!B$1560)</f>
        <v>Detect Cycles in 2D Grid</v>
      </c>
      <c r="C1163" s="10">
        <f>Github!F$1560</f>
        <v>618</v>
      </c>
      <c r="D1163" s="10">
        <f>Github!G$1560</f>
        <v>21</v>
      </c>
      <c r="E1163" s="10">
        <f>Github!F$1560+Github!G$1560</f>
        <v>639</v>
      </c>
      <c r="F1163" s="12">
        <f t="shared" si="1"/>
        <v>29.43</v>
      </c>
      <c r="G1163" s="10" t="str">
        <f>Github!H$1560</f>
        <v>Algorithms</v>
      </c>
      <c r="H1163" s="13" t="str">
        <f>SUBSTITUTE(Github!L$1560, ";", ", ")</f>
        <v>Array, Depth-First Search, Breadth-First Search, Union Find, Matrix, </v>
      </c>
      <c r="I1163" s="10" t="str">
        <f>Github!E$1560</f>
        <v>Medium</v>
      </c>
      <c r="J1163" s="10" t="str">
        <f>IF(TRIM(Github!D$1560)="TRUE","FALSE","TRUE")</f>
        <v>TRUE</v>
      </c>
      <c r="K1163" s="10" t="b">
        <f>Github!M$1560</f>
        <v>0</v>
      </c>
      <c r="L1163" s="10" t="b">
        <f>Github!N$1560</f>
        <v>0</v>
      </c>
      <c r="M1163" s="10" t="str">
        <f>ROUND(Github!O$1560, 2)&amp;"%"</f>
        <v>47.99%</v>
      </c>
      <c r="N1163" s="10">
        <f>Github!P$1560</f>
        <v>23639</v>
      </c>
      <c r="O1163" s="10">
        <f>Github!Q$1560</f>
        <v>49261</v>
      </c>
    </row>
    <row r="1164">
      <c r="A1164" s="10">
        <f>Github!J$925</f>
        <v>924</v>
      </c>
      <c r="B1164" s="11" t="str">
        <f>HYPERLINK(CONCAT("http://leetcode.com/problems/",Github!C$925), Github!B$925)</f>
        <v>Minimize Malware Spread</v>
      </c>
      <c r="C1164" s="10">
        <f>Github!F$925</f>
        <v>610</v>
      </c>
      <c r="D1164" s="10">
        <f>Github!G$925</f>
        <v>411</v>
      </c>
      <c r="E1164" s="10">
        <f>Github!F$925+Github!G$925</f>
        <v>1021</v>
      </c>
      <c r="F1164" s="12">
        <f t="shared" si="1"/>
        <v>1.48</v>
      </c>
      <c r="G1164" s="10" t="str">
        <f>Github!H$925</f>
        <v>Algorithms</v>
      </c>
      <c r="H1164" s="13" t="str">
        <f>SUBSTITUTE(Github!L$925, ";", ", ")</f>
        <v>Array, Depth-First Search, Breadth-First Search, Union Find, Matrix, </v>
      </c>
      <c r="I1164" s="10" t="str">
        <f>Github!E$925</f>
        <v>Hard</v>
      </c>
      <c r="J1164" s="10" t="str">
        <f>IF(TRIM(Github!D$925)="TRUE","FALSE","TRUE")</f>
        <v>TRUE</v>
      </c>
      <c r="K1164" s="10" t="b">
        <f>Github!M$925</f>
        <v>1</v>
      </c>
      <c r="L1164" s="10" t="b">
        <f>Github!N$925</f>
        <v>0</v>
      </c>
      <c r="M1164" s="10" t="str">
        <f>ROUND(Github!O$925, 2)&amp;"%"</f>
        <v>41.91%</v>
      </c>
      <c r="N1164" s="10">
        <f>Github!P$925</f>
        <v>36976</v>
      </c>
      <c r="O1164" s="10">
        <f>Github!Q$925</f>
        <v>88235</v>
      </c>
    </row>
    <row r="1165">
      <c r="A1165" s="10">
        <f>Github!J$711</f>
        <v>710</v>
      </c>
      <c r="B1165" s="11" t="str">
        <f>HYPERLINK(CONCAT("http://leetcode.com/problems/",Github!C$711), Github!B$711)</f>
        <v>Random Pick with Blacklist</v>
      </c>
      <c r="C1165" s="10">
        <f>Github!F$711</f>
        <v>610</v>
      </c>
      <c r="D1165" s="10">
        <f>Github!G$711</f>
        <v>93</v>
      </c>
      <c r="E1165" s="10">
        <f>Github!F$711+Github!G$711</f>
        <v>703</v>
      </c>
      <c r="F1165" s="12">
        <f t="shared" si="1"/>
        <v>6.56</v>
      </c>
      <c r="G1165" s="10" t="str">
        <f>Github!H$711</f>
        <v>Algorithms</v>
      </c>
      <c r="H1165" s="13" t="str">
        <f>SUBSTITUTE(Github!L$711, ";", ", ")</f>
        <v>Hash Table, Math, Binary Search, Sorting, Randomized, </v>
      </c>
      <c r="I1165" s="10" t="str">
        <f>Github!E$711</f>
        <v>Hard</v>
      </c>
      <c r="J1165" s="10" t="str">
        <f>IF(TRIM(Github!D$711)="TRUE","FALSE","TRUE")</f>
        <v>TRUE</v>
      </c>
      <c r="K1165" s="10" t="b">
        <f>Github!M$711</f>
        <v>1</v>
      </c>
      <c r="L1165" s="10" t="b">
        <f>Github!N$711</f>
        <v>0</v>
      </c>
      <c r="M1165" s="10" t="str">
        <f>ROUND(Github!O$711, 2)&amp;"%"</f>
        <v>33.22%</v>
      </c>
      <c r="N1165" s="10">
        <f>Github!P$711</f>
        <v>28150</v>
      </c>
      <c r="O1165" s="10">
        <f>Github!Q$711</f>
        <v>84747</v>
      </c>
    </row>
    <row r="1166">
      <c r="A1166" s="10">
        <f>Github!J$1916</f>
        <v>1915</v>
      </c>
      <c r="B1166" s="11" t="str">
        <f>HYPERLINK(CONCAT("http://leetcode.com/problems/",Github!C$1916), Github!B$1916)</f>
        <v>Number of Wonderful Substrings</v>
      </c>
      <c r="C1166" s="10">
        <f>Github!F$1916</f>
        <v>606</v>
      </c>
      <c r="D1166" s="10">
        <f>Github!G$1916</f>
        <v>43</v>
      </c>
      <c r="E1166" s="10">
        <f>Github!F$1916+Github!G$1916</f>
        <v>649</v>
      </c>
      <c r="F1166" s="12">
        <f t="shared" si="1"/>
        <v>14.09</v>
      </c>
      <c r="G1166" s="10" t="str">
        <f>Github!H$1916</f>
        <v>Algorithms</v>
      </c>
      <c r="H1166" s="13" t="str">
        <f>SUBSTITUTE(Github!L$1916, ";", ", ")</f>
        <v>Hash Table, String, Bit Manipulation, Prefix Sum, </v>
      </c>
      <c r="I1166" s="10" t="str">
        <f>Github!E$1916</f>
        <v>Medium</v>
      </c>
      <c r="J1166" s="10" t="str">
        <f>IF(TRIM(Github!D$1916)="TRUE","FALSE","TRUE")</f>
        <v>TRUE</v>
      </c>
      <c r="K1166" s="10" t="b">
        <f>Github!M$1916</f>
        <v>0</v>
      </c>
      <c r="L1166" s="10" t="b">
        <f>Github!N$1916</f>
        <v>0</v>
      </c>
      <c r="M1166" s="10" t="str">
        <f>ROUND(Github!O$1916, 2)&amp;"%"</f>
        <v>43.5%</v>
      </c>
      <c r="N1166" s="10">
        <f>Github!P$1916</f>
        <v>8479</v>
      </c>
      <c r="O1166" s="10">
        <f>Github!Q$1916</f>
        <v>19491</v>
      </c>
    </row>
    <row r="1167">
      <c r="A1167" s="10">
        <f>Github!J$1631</f>
        <v>1630</v>
      </c>
      <c r="B1167" s="11" t="str">
        <f>HYPERLINK(CONCAT("http://leetcode.com/problems/",Github!C$1631), Github!B$1631)</f>
        <v>Arithmetic Subarrays</v>
      </c>
      <c r="C1167" s="10">
        <f>Github!F$1631</f>
        <v>606</v>
      </c>
      <c r="D1167" s="10">
        <f>Github!G$1631</f>
        <v>70</v>
      </c>
      <c r="E1167" s="10">
        <f>Github!F$1631+Github!G$1631</f>
        <v>676</v>
      </c>
      <c r="F1167" s="12">
        <f t="shared" si="1"/>
        <v>8.66</v>
      </c>
      <c r="G1167" s="10" t="str">
        <f>Github!H$1631</f>
        <v>Algorithms</v>
      </c>
      <c r="H1167" s="13" t="str">
        <f>SUBSTITUTE(Github!L$1631, ";", ", ")</f>
        <v>Array, Sorting, </v>
      </c>
      <c r="I1167" s="10" t="str">
        <f>Github!E$1631</f>
        <v>Medium</v>
      </c>
      <c r="J1167" s="10" t="str">
        <f>IF(TRIM(Github!D$1631)="TRUE","FALSE","TRUE")</f>
        <v>TRUE</v>
      </c>
      <c r="K1167" s="10" t="b">
        <f>Github!M$1631</f>
        <v>0</v>
      </c>
      <c r="L1167" s="10" t="b">
        <f>Github!N$1631</f>
        <v>0</v>
      </c>
      <c r="M1167" s="10" t="str">
        <f>ROUND(Github!O$1631, 2)&amp;"%"</f>
        <v>78.75%</v>
      </c>
      <c r="N1167" s="10">
        <f>Github!P$1631</f>
        <v>32594</v>
      </c>
      <c r="O1167" s="10">
        <f>Github!Q$1631</f>
        <v>41389</v>
      </c>
    </row>
    <row r="1168">
      <c r="A1168" s="10">
        <f>Github!J$424</f>
        <v>423</v>
      </c>
      <c r="B1168" s="11" t="str">
        <f>HYPERLINK(CONCAT("http://leetcode.com/problems/",Github!C$424), Github!B$424)</f>
        <v>Reconstruct Original Digits from English</v>
      </c>
      <c r="C1168" s="10">
        <f>Github!F$424</f>
        <v>606</v>
      </c>
      <c r="D1168" s="10">
        <f>Github!G$424</f>
        <v>2053</v>
      </c>
      <c r="E1168" s="10">
        <f>Github!F$424+Github!G$424</f>
        <v>2659</v>
      </c>
      <c r="F1168" s="12">
        <f t="shared" si="1"/>
        <v>0.3</v>
      </c>
      <c r="G1168" s="10" t="str">
        <f>Github!H$424</f>
        <v>Algorithms</v>
      </c>
      <c r="H1168" s="13" t="str">
        <f>SUBSTITUTE(Github!L$424, ";", ", ")</f>
        <v>Hash Table, Math, String, </v>
      </c>
      <c r="I1168" s="10" t="str">
        <f>Github!E$424</f>
        <v>Medium</v>
      </c>
      <c r="J1168" s="10" t="str">
        <f>IF(TRIM(Github!D$424)="TRUE","FALSE","TRUE")</f>
        <v>TRUE</v>
      </c>
      <c r="K1168" s="10" t="b">
        <f>Github!M$424</f>
        <v>1</v>
      </c>
      <c r="L1168" s="10" t="b">
        <f>Github!N$424</f>
        <v>0</v>
      </c>
      <c r="M1168" s="10" t="str">
        <f>ROUND(Github!O$424, 2)&amp;"%"</f>
        <v>51.19%</v>
      </c>
      <c r="N1168" s="10">
        <f>Github!P$424</f>
        <v>62373</v>
      </c>
      <c r="O1168" s="10">
        <f>Github!Q$424</f>
        <v>121837</v>
      </c>
    </row>
    <row r="1169">
      <c r="A1169" s="10">
        <f>Github!J$1997</f>
        <v>1996</v>
      </c>
      <c r="B1169" s="11" t="str">
        <f>HYPERLINK(CONCAT("http://leetcode.com/problems/",Github!C$1997), Github!B$1997)</f>
        <v>The Number of Weak Characters in the Game</v>
      </c>
      <c r="C1169" s="10">
        <f>Github!F$1997</f>
        <v>609</v>
      </c>
      <c r="D1169" s="10">
        <f>Github!G$1997</f>
        <v>20</v>
      </c>
      <c r="E1169" s="10">
        <f>Github!F$1997+Github!G$1997</f>
        <v>629</v>
      </c>
      <c r="F1169" s="12">
        <f t="shared" si="1"/>
        <v>30.45</v>
      </c>
      <c r="G1169" s="10" t="str">
        <f>Github!H$1997</f>
        <v>Algorithms</v>
      </c>
      <c r="H1169" s="13" t="str">
        <f>SUBSTITUTE(Github!L$1997, ";", ", ")</f>
        <v>Array, Stack, Greedy, Sorting, Monotonic Stack, </v>
      </c>
      <c r="I1169" s="10" t="str">
        <f>Github!E$1997</f>
        <v>Medium</v>
      </c>
      <c r="J1169" s="10" t="str">
        <f>IF(TRIM(Github!D$1997)="TRUE","FALSE","TRUE")</f>
        <v>TRUE</v>
      </c>
      <c r="K1169" s="10" t="b">
        <f>Github!M$1997</f>
        <v>0</v>
      </c>
      <c r="L1169" s="10" t="b">
        <f>Github!N$1997</f>
        <v>0</v>
      </c>
      <c r="M1169" s="10" t="str">
        <f>ROUND(Github!O$1997, 2)&amp;"%"</f>
        <v>33.17%</v>
      </c>
      <c r="N1169" s="10">
        <f>Github!P$1997</f>
        <v>16594</v>
      </c>
      <c r="O1169" s="10">
        <f>Github!Q$1997</f>
        <v>50029</v>
      </c>
    </row>
    <row r="1170">
      <c r="A1170" s="10">
        <f>Github!J$1298</f>
        <v>1297</v>
      </c>
      <c r="B1170" s="11" t="str">
        <f>HYPERLINK(CONCAT("http://leetcode.com/problems/",Github!C$1298), Github!B$1298)</f>
        <v>Maximum Number of Occurrences of a Substring</v>
      </c>
      <c r="C1170" s="10">
        <f>Github!F$1298</f>
        <v>604</v>
      </c>
      <c r="D1170" s="10">
        <f>Github!G$1298</f>
        <v>294</v>
      </c>
      <c r="E1170" s="10">
        <f>Github!F$1298+Github!G$1298</f>
        <v>898</v>
      </c>
      <c r="F1170" s="12">
        <f t="shared" si="1"/>
        <v>2.05</v>
      </c>
      <c r="G1170" s="10" t="str">
        <f>Github!H$1298</f>
        <v>Algorithms</v>
      </c>
      <c r="H1170" s="13" t="str">
        <f>SUBSTITUTE(Github!L$1298, ";", ", ")</f>
        <v>Hash Table, String, Sliding Window, </v>
      </c>
      <c r="I1170" s="10" t="str">
        <f>Github!E$1298</f>
        <v>Medium</v>
      </c>
      <c r="J1170" s="10" t="str">
        <f>IF(TRIM(Github!D$1298)="TRUE","FALSE","TRUE")</f>
        <v>TRUE</v>
      </c>
      <c r="K1170" s="10" t="b">
        <f>Github!M$1298</f>
        <v>0</v>
      </c>
      <c r="L1170" s="10" t="b">
        <f>Github!N$1298</f>
        <v>0</v>
      </c>
      <c r="M1170" s="10" t="str">
        <f>ROUND(Github!O$1298, 2)&amp;"%"</f>
        <v>52.4%</v>
      </c>
      <c r="N1170" s="10">
        <f>Github!P$1298</f>
        <v>32633</v>
      </c>
      <c r="O1170" s="10">
        <f>Github!Q$1298</f>
        <v>62281</v>
      </c>
    </row>
    <row r="1171">
      <c r="A1171" s="10">
        <f>Github!J$1246</f>
        <v>1245</v>
      </c>
      <c r="B1171" s="11" t="str">
        <f>HYPERLINK(CONCAT("http://leetcode.com/problems/",Github!C$1246), Github!B$1246)</f>
        <v>Tree Diameter</v>
      </c>
      <c r="C1171" s="10">
        <f>Github!F$1246</f>
        <v>605</v>
      </c>
      <c r="D1171" s="10">
        <f>Github!G$1246</f>
        <v>13</v>
      </c>
      <c r="E1171" s="10">
        <f>Github!F$1246+Github!G$1246</f>
        <v>618</v>
      </c>
      <c r="F1171" s="12">
        <f t="shared" si="1"/>
        <v>46.54</v>
      </c>
      <c r="G1171" s="10" t="str">
        <f>Github!H$1246</f>
        <v>Algorithms</v>
      </c>
      <c r="H1171" s="13" t="str">
        <f>SUBSTITUTE(Github!L$1246, ";", ", ")</f>
        <v>Tree, Depth-First Search, Breadth-First Search, Graph, Topological Sort, </v>
      </c>
      <c r="I1171" s="10" t="str">
        <f>Github!E$1246</f>
        <v>Medium</v>
      </c>
      <c r="J1171" s="10" t="str">
        <f>IF(TRIM(Github!D$1246)="TRUE","FALSE","TRUE")</f>
        <v>FALSE</v>
      </c>
      <c r="K1171" s="10" t="b">
        <f>Github!M$1246</f>
        <v>1</v>
      </c>
      <c r="L1171" s="10" t="b">
        <f>Github!N$1246</f>
        <v>0</v>
      </c>
      <c r="M1171" s="10" t="str">
        <f>ROUND(Github!O$1246, 2)&amp;"%"</f>
        <v>62.27%</v>
      </c>
      <c r="N1171" s="10">
        <f>Github!P$1246</f>
        <v>25506</v>
      </c>
      <c r="O1171" s="10">
        <f>Github!Q$1246</f>
        <v>40961</v>
      </c>
    </row>
    <row r="1172">
      <c r="A1172" s="10">
        <f>Github!J$2007</f>
        <v>2006</v>
      </c>
      <c r="B1172" s="11" t="str">
        <f>HYPERLINK(CONCAT("http://leetcode.com/problems/",Github!C$2007), Github!B$2007)</f>
        <v>Count Number of Pairs With Absolute Difference K</v>
      </c>
      <c r="C1172" s="10">
        <f>Github!F$2007</f>
        <v>605</v>
      </c>
      <c r="D1172" s="10">
        <f>Github!G$2007</f>
        <v>13</v>
      </c>
      <c r="E1172" s="10">
        <f>Github!F$2007+Github!G$2007</f>
        <v>618</v>
      </c>
      <c r="F1172" s="12">
        <f t="shared" si="1"/>
        <v>46.54</v>
      </c>
      <c r="G1172" s="10" t="str">
        <f>Github!H$2007</f>
        <v>Algorithms</v>
      </c>
      <c r="H1172" s="13" t="str">
        <f>SUBSTITUTE(Github!L$2007, ";", ", ")</f>
        <v>Array, Hash Table, Counting, </v>
      </c>
      <c r="I1172" s="10" t="str">
        <f>Github!E$2007</f>
        <v>Easy</v>
      </c>
      <c r="J1172" s="10" t="str">
        <f>IF(TRIM(Github!D$2007)="TRUE","FALSE","TRUE")</f>
        <v>TRUE</v>
      </c>
      <c r="K1172" s="10" t="b">
        <f>Github!M$2007</f>
        <v>0</v>
      </c>
      <c r="L1172" s="10" t="b">
        <f>Github!N$2007</f>
        <v>0</v>
      </c>
      <c r="M1172" s="10" t="str">
        <f>ROUND(Github!O$2007, 2)&amp;"%"</f>
        <v>82.81%</v>
      </c>
      <c r="N1172" s="10">
        <f>Github!P$2007</f>
        <v>47381</v>
      </c>
      <c r="O1172" s="10">
        <f>Github!Q$2007</f>
        <v>57213</v>
      </c>
    </row>
    <row r="1173">
      <c r="A1173" s="10">
        <f>Github!J$321</f>
        <v>320</v>
      </c>
      <c r="B1173" s="11" t="str">
        <f>HYPERLINK(CONCAT("http://leetcode.com/problems/",Github!C$321), Github!B$321)</f>
        <v>Generalized Abbreviation</v>
      </c>
      <c r="C1173" s="10">
        <f>Github!F$321</f>
        <v>598</v>
      </c>
      <c r="D1173" s="10">
        <f>Github!G$321</f>
        <v>207</v>
      </c>
      <c r="E1173" s="10">
        <f>Github!F$321+Github!G$321</f>
        <v>805</v>
      </c>
      <c r="F1173" s="12">
        <f t="shared" si="1"/>
        <v>2.89</v>
      </c>
      <c r="G1173" s="10" t="str">
        <f>Github!H$321</f>
        <v>Algorithms</v>
      </c>
      <c r="H1173" s="13" t="str">
        <f>SUBSTITUTE(Github!L$321, ";", ", ")</f>
        <v>String, Backtracking, Bit Manipulation, </v>
      </c>
      <c r="I1173" s="10" t="str">
        <f>Github!E$321</f>
        <v>Medium</v>
      </c>
      <c r="J1173" s="10" t="str">
        <f>IF(TRIM(Github!D$321)="TRUE","FALSE","TRUE")</f>
        <v>FALSE</v>
      </c>
      <c r="K1173" s="10" t="b">
        <f>Github!M$321</f>
        <v>1</v>
      </c>
      <c r="L1173" s="10" t="b">
        <f>Github!N$321</f>
        <v>0</v>
      </c>
      <c r="M1173" s="10" t="str">
        <f>ROUND(Github!O$321, 2)&amp;"%"</f>
        <v>56.34%</v>
      </c>
      <c r="N1173" s="10">
        <f>Github!P$321</f>
        <v>60526</v>
      </c>
      <c r="O1173" s="10">
        <f>Github!Q$321</f>
        <v>107421</v>
      </c>
    </row>
    <row r="1174">
      <c r="A1174" s="10">
        <f>Github!J$1188</f>
        <v>1187</v>
      </c>
      <c r="B1174" s="11" t="str">
        <f>HYPERLINK(CONCAT("http://leetcode.com/problems/",Github!C$1188), Github!B$1188)</f>
        <v>Make Array Strictly Increasing</v>
      </c>
      <c r="C1174" s="10">
        <f>Github!F$1188</f>
        <v>598</v>
      </c>
      <c r="D1174" s="10">
        <f>Github!G$1188</f>
        <v>16</v>
      </c>
      <c r="E1174" s="10">
        <f>Github!F$1188+Github!G$1188</f>
        <v>614</v>
      </c>
      <c r="F1174" s="12">
        <f t="shared" si="1"/>
        <v>37.38</v>
      </c>
      <c r="G1174" s="10" t="str">
        <f>Github!H$1188</f>
        <v>Algorithms</v>
      </c>
      <c r="H1174" s="13" t="str">
        <f>SUBSTITUTE(Github!L$1188, ";", ", ")</f>
        <v>Array, Binary Search, Dynamic Programming, </v>
      </c>
      <c r="I1174" s="10" t="str">
        <f>Github!E$1188</f>
        <v>Hard</v>
      </c>
      <c r="J1174" s="10" t="str">
        <f>IF(TRIM(Github!D$1188)="TRUE","FALSE","TRUE")</f>
        <v>TRUE</v>
      </c>
      <c r="K1174" s="10" t="b">
        <f>Github!M$1188</f>
        <v>0</v>
      </c>
      <c r="L1174" s="10" t="b">
        <f>Github!N$1188</f>
        <v>0</v>
      </c>
      <c r="M1174" s="10" t="str">
        <f>ROUND(Github!O$1188, 2)&amp;"%"</f>
        <v>44.49%</v>
      </c>
      <c r="N1174" s="10">
        <f>Github!P$1188</f>
        <v>11375</v>
      </c>
      <c r="O1174" s="10">
        <f>Github!Q$1188</f>
        <v>25566</v>
      </c>
    </row>
    <row r="1175">
      <c r="A1175" s="10">
        <f>Github!J$1633</f>
        <v>1632</v>
      </c>
      <c r="B1175" s="11" t="str">
        <f>HYPERLINK(CONCAT("http://leetcode.com/problems/",Github!C$1633), Github!B$1633)</f>
        <v>Rank Transform of a Matrix</v>
      </c>
      <c r="C1175" s="10">
        <f>Github!F$1633</f>
        <v>599</v>
      </c>
      <c r="D1175" s="10">
        <f>Github!G$1633</f>
        <v>38</v>
      </c>
      <c r="E1175" s="10">
        <f>Github!F$1633+Github!G$1633</f>
        <v>637</v>
      </c>
      <c r="F1175" s="12">
        <f t="shared" si="1"/>
        <v>15.76</v>
      </c>
      <c r="G1175" s="10" t="str">
        <f>Github!H$1633</f>
        <v>Algorithms</v>
      </c>
      <c r="H1175" s="13" t="str">
        <f>SUBSTITUTE(Github!L$1633, ";", ", ")</f>
        <v>Array, Greedy, Union Find, Graph, Topological Sort, Matrix, </v>
      </c>
      <c r="I1175" s="10" t="str">
        <f>Github!E$1633</f>
        <v>Hard</v>
      </c>
      <c r="J1175" s="10" t="str">
        <f>IF(TRIM(Github!D$1633)="TRUE","FALSE","TRUE")</f>
        <v>TRUE</v>
      </c>
      <c r="K1175" s="10" t="b">
        <f>Github!M$1633</f>
        <v>1</v>
      </c>
      <c r="L1175" s="10" t="b">
        <f>Github!N$1633</f>
        <v>0</v>
      </c>
      <c r="M1175" s="10" t="str">
        <f>ROUND(Github!O$1633, 2)&amp;"%"</f>
        <v>40.65%</v>
      </c>
      <c r="N1175" s="10">
        <f>Github!P$1633</f>
        <v>16793</v>
      </c>
      <c r="O1175" s="10">
        <f>Github!Q$1633</f>
        <v>41313</v>
      </c>
    </row>
    <row r="1176">
      <c r="A1176" s="10">
        <f>Github!J$625</f>
        <v>624</v>
      </c>
      <c r="B1176" s="11" t="str">
        <f>HYPERLINK(CONCAT("http://leetcode.com/problems/",Github!C$625), Github!B$625)</f>
        <v>Maximum Distance in Arrays</v>
      </c>
      <c r="C1176" s="10">
        <f>Github!F$625</f>
        <v>594</v>
      </c>
      <c r="D1176" s="10">
        <f>Github!G$625</f>
        <v>62</v>
      </c>
      <c r="E1176" s="10">
        <f>Github!F$625+Github!G$625</f>
        <v>656</v>
      </c>
      <c r="F1176" s="12">
        <f t="shared" si="1"/>
        <v>9.58</v>
      </c>
      <c r="G1176" s="10" t="str">
        <f>Github!H$625</f>
        <v>Algorithms</v>
      </c>
      <c r="H1176" s="13" t="str">
        <f>SUBSTITUTE(Github!L$625, ";", ", ")</f>
        <v>Array, Greedy, </v>
      </c>
      <c r="I1176" s="10" t="str">
        <f>Github!E$625</f>
        <v>Medium</v>
      </c>
      <c r="J1176" s="10" t="str">
        <f>IF(TRIM(Github!D$625)="TRUE","FALSE","TRUE")</f>
        <v>FALSE</v>
      </c>
      <c r="K1176" s="10" t="b">
        <f>Github!M$625</f>
        <v>1</v>
      </c>
      <c r="L1176" s="10" t="b">
        <f>Github!N$625</f>
        <v>0</v>
      </c>
      <c r="M1176" s="10" t="str">
        <f>ROUND(Github!O$625, 2)&amp;"%"</f>
        <v>41.56%</v>
      </c>
      <c r="N1176" s="10">
        <f>Github!P$625</f>
        <v>35579</v>
      </c>
      <c r="O1176" s="10">
        <f>Github!Q$625</f>
        <v>85611</v>
      </c>
    </row>
    <row r="1177">
      <c r="A1177" s="10">
        <f>Github!J$392</f>
        <v>391</v>
      </c>
      <c r="B1177" s="11" t="str">
        <f>HYPERLINK(CONCAT("http://leetcode.com/problems/",Github!C$392), Github!B$392)</f>
        <v>Perfect Rectangle</v>
      </c>
      <c r="C1177" s="10">
        <f>Github!F$392</f>
        <v>593</v>
      </c>
      <c r="D1177" s="10">
        <f>Github!G$392</f>
        <v>97</v>
      </c>
      <c r="E1177" s="10">
        <f>Github!F$392+Github!G$392</f>
        <v>690</v>
      </c>
      <c r="F1177" s="12">
        <f t="shared" si="1"/>
        <v>6.11</v>
      </c>
      <c r="G1177" s="10" t="str">
        <f>Github!H$392</f>
        <v>Algorithms</v>
      </c>
      <c r="H1177" s="13" t="str">
        <f>SUBSTITUTE(Github!L$392, ";", ", ")</f>
        <v>Array, Line Sweep, </v>
      </c>
      <c r="I1177" s="10" t="str">
        <f>Github!E$392</f>
        <v>Hard</v>
      </c>
      <c r="J1177" s="10" t="str">
        <f>IF(TRIM(Github!D$392)="TRUE","FALSE","TRUE")</f>
        <v>TRUE</v>
      </c>
      <c r="K1177" s="10" t="b">
        <f>Github!M$392</f>
        <v>0</v>
      </c>
      <c r="L1177" s="10" t="b">
        <f>Github!N$392</f>
        <v>0</v>
      </c>
      <c r="M1177" s="10" t="str">
        <f>ROUND(Github!O$392, 2)&amp;"%"</f>
        <v>32.09%</v>
      </c>
      <c r="N1177" s="10">
        <f>Github!P$392</f>
        <v>34171</v>
      </c>
      <c r="O1177" s="10">
        <f>Github!Q$392</f>
        <v>106481</v>
      </c>
    </row>
    <row r="1178">
      <c r="A1178" s="10">
        <f>Github!J$1107</f>
        <v>1106</v>
      </c>
      <c r="B1178" s="11" t="str">
        <f>HYPERLINK(CONCAT("http://leetcode.com/problems/",Github!C$1107), Github!B$1107)</f>
        <v>Parsing A Boolean Expression</v>
      </c>
      <c r="C1178" s="10">
        <f>Github!F$1107</f>
        <v>593</v>
      </c>
      <c r="D1178" s="10">
        <f>Github!G$1107</f>
        <v>33</v>
      </c>
      <c r="E1178" s="10">
        <f>Github!F$1107+Github!G$1107</f>
        <v>626</v>
      </c>
      <c r="F1178" s="12">
        <f t="shared" si="1"/>
        <v>17.97</v>
      </c>
      <c r="G1178" s="10" t="str">
        <f>Github!H$1107</f>
        <v>Algorithms</v>
      </c>
      <c r="H1178" s="13" t="str">
        <f>SUBSTITUTE(Github!L$1107, ";", ", ")</f>
        <v>String, Stack, Recursion, </v>
      </c>
      <c r="I1178" s="10" t="str">
        <f>Github!E$1107</f>
        <v>Hard</v>
      </c>
      <c r="J1178" s="10" t="str">
        <f>IF(TRIM(Github!D$1107)="TRUE","FALSE","TRUE")</f>
        <v>TRUE</v>
      </c>
      <c r="K1178" s="10" t="b">
        <f>Github!M$1107</f>
        <v>0</v>
      </c>
      <c r="L1178" s="10" t="b">
        <f>Github!N$1107</f>
        <v>0</v>
      </c>
      <c r="M1178" s="10" t="str">
        <f>ROUND(Github!O$1107, 2)&amp;"%"</f>
        <v>58.9%</v>
      </c>
      <c r="N1178" s="10">
        <f>Github!P$1107</f>
        <v>18236</v>
      </c>
      <c r="O1178" s="10">
        <f>Github!Q$1107</f>
        <v>30961</v>
      </c>
    </row>
    <row r="1179">
      <c r="A1179" s="10">
        <f>Github!J$1435</f>
        <v>1434</v>
      </c>
      <c r="B1179" s="11" t="str">
        <f>HYPERLINK(CONCAT("http://leetcode.com/problems/",Github!C$1435), Github!B$1435)</f>
        <v>Number of Ways to Wear Different Hats to Each Other</v>
      </c>
      <c r="C1179" s="10">
        <f>Github!F$1435</f>
        <v>592</v>
      </c>
      <c r="D1179" s="10">
        <f>Github!G$1435</f>
        <v>7</v>
      </c>
      <c r="E1179" s="10">
        <f>Github!F$1435+Github!G$1435</f>
        <v>599</v>
      </c>
      <c r="F1179" s="12">
        <f t="shared" si="1"/>
        <v>84.57</v>
      </c>
      <c r="G1179" s="10" t="str">
        <f>Github!H$1435</f>
        <v>Algorithms</v>
      </c>
      <c r="H1179" s="13" t="str">
        <f>SUBSTITUTE(Github!L$1435, ";", ", ")</f>
        <v>Array, Dynamic Programming, Bit Manipulation, Bitmask, </v>
      </c>
      <c r="I1179" s="10" t="str">
        <f>Github!E$1435</f>
        <v>Hard</v>
      </c>
      <c r="J1179" s="10" t="str">
        <f>IF(TRIM(Github!D$1435)="TRUE","FALSE","TRUE")</f>
        <v>TRUE</v>
      </c>
      <c r="K1179" s="10" t="b">
        <f>Github!M$1435</f>
        <v>0</v>
      </c>
      <c r="L1179" s="10" t="b">
        <f>Github!N$1435</f>
        <v>0</v>
      </c>
      <c r="M1179" s="10" t="str">
        <f>ROUND(Github!O$1435, 2)&amp;"%"</f>
        <v>42.05%</v>
      </c>
      <c r="N1179" s="10">
        <f>Github!P$1435</f>
        <v>9066</v>
      </c>
      <c r="O1179" s="10">
        <f>Github!Q$1435</f>
        <v>21562</v>
      </c>
    </row>
    <row r="1180">
      <c r="A1180" s="10">
        <f>Github!J$1495</f>
        <v>1494</v>
      </c>
      <c r="B1180" s="11" t="str">
        <f>HYPERLINK(CONCAT("http://leetcode.com/problems/",Github!C$1495), Github!B$1495)</f>
        <v>Parallel Courses II</v>
      </c>
      <c r="C1180" s="10">
        <f>Github!F$1495</f>
        <v>593</v>
      </c>
      <c r="D1180" s="10">
        <f>Github!G$1495</f>
        <v>49</v>
      </c>
      <c r="E1180" s="10">
        <f>Github!F$1495+Github!G$1495</f>
        <v>642</v>
      </c>
      <c r="F1180" s="12">
        <f t="shared" si="1"/>
        <v>12.1</v>
      </c>
      <c r="G1180" s="10" t="str">
        <f>Github!H$1495</f>
        <v>Algorithms</v>
      </c>
      <c r="H1180" s="13" t="str">
        <f>SUBSTITUTE(Github!L$1495, ";", ", ")</f>
        <v>Dynamic Programming, Bit Manipulation, Graph, Bitmask, </v>
      </c>
      <c r="I1180" s="10" t="str">
        <f>Github!E$1495</f>
        <v>Hard</v>
      </c>
      <c r="J1180" s="10" t="str">
        <f>IF(TRIM(Github!D$1495)="TRUE","FALSE","TRUE")</f>
        <v>TRUE</v>
      </c>
      <c r="K1180" s="10" t="b">
        <f>Github!M$1495</f>
        <v>0</v>
      </c>
      <c r="L1180" s="10" t="b">
        <f>Github!N$1495</f>
        <v>0</v>
      </c>
      <c r="M1180" s="10" t="str">
        <f>ROUND(Github!O$1495, 2)&amp;"%"</f>
        <v>31.71%</v>
      </c>
      <c r="N1180" s="10">
        <f>Github!P$1495</f>
        <v>10736</v>
      </c>
      <c r="O1180" s="10">
        <f>Github!Q$1495</f>
        <v>33856</v>
      </c>
    </row>
    <row r="1181">
      <c r="A1181" s="10">
        <f>Github!J$2036</f>
        <v>2035</v>
      </c>
      <c r="B1181" s="11" t="str">
        <f>HYPERLINK(CONCAT("http://leetcode.com/problems/",Github!C$2036), Github!B$2036)</f>
        <v>Partition Array Into Two Arrays to Minimize Sum Difference</v>
      </c>
      <c r="C1181" s="10">
        <f>Github!F$2036</f>
        <v>606</v>
      </c>
      <c r="D1181" s="10">
        <f>Github!G$2036</f>
        <v>39</v>
      </c>
      <c r="E1181" s="10">
        <f>Github!F$2036+Github!G$2036</f>
        <v>645</v>
      </c>
      <c r="F1181" s="12">
        <f t="shared" si="1"/>
        <v>15.54</v>
      </c>
      <c r="G1181" s="10" t="str">
        <f>Github!H$2036</f>
        <v>Algorithms</v>
      </c>
      <c r="H1181" s="13" t="str">
        <f>SUBSTITUTE(Github!L$2036, ";", ", ")</f>
        <v>Array, Two Pointers, Binary Search, Dynamic Programming, Bit Manipulation, Ordered Set, Bitmask, </v>
      </c>
      <c r="I1181" s="10" t="str">
        <f>Github!E$2036</f>
        <v>Hard</v>
      </c>
      <c r="J1181" s="10" t="str">
        <f>IF(TRIM(Github!D$2036)="TRUE","FALSE","TRUE")</f>
        <v>TRUE</v>
      </c>
      <c r="K1181" s="10" t="b">
        <f>Github!M$2036</f>
        <v>0</v>
      </c>
      <c r="L1181" s="10" t="b">
        <f>Github!N$2036</f>
        <v>0</v>
      </c>
      <c r="M1181" s="10" t="str">
        <f>ROUND(Github!O$2036, 2)&amp;"%"</f>
        <v>21.54%</v>
      </c>
      <c r="N1181" s="10">
        <f>Github!P$2036</f>
        <v>5401</v>
      </c>
      <c r="O1181" s="10">
        <f>Github!Q$2036</f>
        <v>25071</v>
      </c>
    </row>
    <row r="1182">
      <c r="A1182" s="10">
        <f>Github!J$1004</f>
        <v>1003</v>
      </c>
      <c r="B1182" s="11" t="str">
        <f>HYPERLINK(CONCAT("http://leetcode.com/problems/",Github!C$1004), Github!B$1004)</f>
        <v>Check If Word Is Valid After Substitutions</v>
      </c>
      <c r="C1182" s="10">
        <f>Github!F$1004</f>
        <v>593</v>
      </c>
      <c r="D1182" s="10">
        <f>Github!G$1004</f>
        <v>438</v>
      </c>
      <c r="E1182" s="10">
        <f>Github!F$1004+Github!G$1004</f>
        <v>1031</v>
      </c>
      <c r="F1182" s="12">
        <f t="shared" si="1"/>
        <v>1.35</v>
      </c>
      <c r="G1182" s="10" t="str">
        <f>Github!H$1004</f>
        <v>Algorithms</v>
      </c>
      <c r="H1182" s="13" t="str">
        <f>SUBSTITUTE(Github!L$1004, ";", ", ")</f>
        <v>String, Stack, </v>
      </c>
      <c r="I1182" s="10" t="str">
        <f>Github!E$1004</f>
        <v>Medium</v>
      </c>
      <c r="J1182" s="10" t="str">
        <f>IF(TRIM(Github!D$1004)="TRUE","FALSE","TRUE")</f>
        <v>TRUE</v>
      </c>
      <c r="K1182" s="10" t="b">
        <f>Github!M$1004</f>
        <v>0</v>
      </c>
      <c r="L1182" s="10" t="b">
        <f>Github!N$1004</f>
        <v>0</v>
      </c>
      <c r="M1182" s="10" t="str">
        <f>ROUND(Github!O$1004, 2)&amp;"%"</f>
        <v>57.87%</v>
      </c>
      <c r="N1182" s="10">
        <f>Github!P$1004</f>
        <v>40990</v>
      </c>
      <c r="O1182" s="10">
        <f>Github!Q$1004</f>
        <v>70826</v>
      </c>
    </row>
    <row r="1183">
      <c r="A1183" s="10">
        <f>Github!J$1262</f>
        <v>1261</v>
      </c>
      <c r="B1183" s="11" t="str">
        <f>HYPERLINK(CONCAT("http://leetcode.com/problems/",Github!C$1262), Github!B$1262)</f>
        <v>Find Elements in a Contaminated Binary Tree</v>
      </c>
      <c r="C1183" s="10">
        <f>Github!F$1262</f>
        <v>595</v>
      </c>
      <c r="D1183" s="10">
        <f>Github!G$1262</f>
        <v>79</v>
      </c>
      <c r="E1183" s="10">
        <f>Github!F$1262+Github!G$1262</f>
        <v>674</v>
      </c>
      <c r="F1183" s="12">
        <f t="shared" si="1"/>
        <v>7.53</v>
      </c>
      <c r="G1183" s="10" t="str">
        <f>Github!H$1262</f>
        <v>Algorithms</v>
      </c>
      <c r="H1183" s="13" t="str">
        <f>SUBSTITUTE(Github!L$1262, ";", ", ")</f>
        <v>Hash Table, Tree, Depth-First Search, Breadth-First Search, Design, Binary Tree, </v>
      </c>
      <c r="I1183" s="10" t="str">
        <f>Github!E$1262</f>
        <v>Medium</v>
      </c>
      <c r="J1183" s="10" t="str">
        <f>IF(TRIM(Github!D$1262)="TRUE","FALSE","TRUE")</f>
        <v>TRUE</v>
      </c>
      <c r="K1183" s="10" t="b">
        <f>Github!M$1262</f>
        <v>0</v>
      </c>
      <c r="L1183" s="10" t="b">
        <f>Github!N$1262</f>
        <v>0</v>
      </c>
      <c r="M1183" s="10" t="str">
        <f>ROUND(Github!O$1262, 2)&amp;"%"</f>
        <v>75.75%</v>
      </c>
      <c r="N1183" s="10">
        <f>Github!P$1262</f>
        <v>43565</v>
      </c>
      <c r="O1183" s="10">
        <f>Github!Q$1262</f>
        <v>57512</v>
      </c>
    </row>
    <row r="1184">
      <c r="A1184" s="10">
        <f>Github!J$1344</f>
        <v>1343</v>
      </c>
      <c r="B1184" s="11" t="str">
        <f>HYPERLINK(CONCAT("http://leetcode.com/problems/",Github!C$1344), Github!B$1344)</f>
        <v>Number of Sub-arrays of Size K and Average Greater than or Equal to Threshold</v>
      </c>
      <c r="C1184" s="10">
        <f>Github!F$1344</f>
        <v>595</v>
      </c>
      <c r="D1184" s="10">
        <f>Github!G$1344</f>
        <v>58</v>
      </c>
      <c r="E1184" s="10">
        <f>Github!F$1344+Github!G$1344</f>
        <v>653</v>
      </c>
      <c r="F1184" s="12">
        <f t="shared" si="1"/>
        <v>10.26</v>
      </c>
      <c r="G1184" s="10" t="str">
        <f>Github!H$1344</f>
        <v>Algorithms</v>
      </c>
      <c r="H1184" s="13" t="str">
        <f>SUBSTITUTE(Github!L$1344, ";", ", ")</f>
        <v>Array, Sliding Window, </v>
      </c>
      <c r="I1184" s="10" t="str">
        <f>Github!E$1344</f>
        <v>Medium</v>
      </c>
      <c r="J1184" s="10" t="str">
        <f>IF(TRIM(Github!D$1344)="TRUE","FALSE","TRUE")</f>
        <v>TRUE</v>
      </c>
      <c r="K1184" s="10" t="b">
        <f>Github!M$1344</f>
        <v>0</v>
      </c>
      <c r="L1184" s="10" t="b">
        <f>Github!N$1344</f>
        <v>0</v>
      </c>
      <c r="M1184" s="10" t="str">
        <f>ROUND(Github!O$1344, 2)&amp;"%"</f>
        <v>67.88%</v>
      </c>
      <c r="N1184" s="10">
        <f>Github!P$1344</f>
        <v>32988</v>
      </c>
      <c r="O1184" s="10">
        <f>Github!Q$1344</f>
        <v>48595</v>
      </c>
    </row>
    <row r="1185">
      <c r="A1185" s="10">
        <f>Github!J$1794</f>
        <v>1793</v>
      </c>
      <c r="B1185" s="11" t="str">
        <f>HYPERLINK(CONCAT("http://leetcode.com/problems/",Github!C$1794), Github!B$1794)</f>
        <v>Maximum Score of a Good Subarray</v>
      </c>
      <c r="C1185" s="10">
        <f>Github!F$1794</f>
        <v>586</v>
      </c>
      <c r="D1185" s="10">
        <f>Github!G$1794</f>
        <v>24</v>
      </c>
      <c r="E1185" s="10">
        <f>Github!F$1794+Github!G$1794</f>
        <v>610</v>
      </c>
      <c r="F1185" s="12">
        <f t="shared" si="1"/>
        <v>24.42</v>
      </c>
      <c r="G1185" s="10" t="str">
        <f>Github!H$1794</f>
        <v>Algorithms</v>
      </c>
      <c r="H1185" s="13" t="str">
        <f>SUBSTITUTE(Github!L$1794, ";", ", ")</f>
        <v>Array, Two Pointers, Binary Search, Stack, Monotonic Stack, </v>
      </c>
      <c r="I1185" s="10" t="str">
        <f>Github!E$1794</f>
        <v>Hard</v>
      </c>
      <c r="J1185" s="10" t="str">
        <f>IF(TRIM(Github!D$1794)="TRUE","FALSE","TRUE")</f>
        <v>TRUE</v>
      </c>
      <c r="K1185" s="10" t="b">
        <f>Github!M$1794</f>
        <v>0</v>
      </c>
      <c r="L1185" s="10" t="b">
        <f>Github!N$1794</f>
        <v>0</v>
      </c>
      <c r="M1185" s="10" t="str">
        <f>ROUND(Github!O$1794, 2)&amp;"%"</f>
        <v>51.57%</v>
      </c>
      <c r="N1185" s="10">
        <f>Github!P$1794</f>
        <v>13478</v>
      </c>
      <c r="O1185" s="10">
        <f>Github!Q$1794</f>
        <v>26134</v>
      </c>
    </row>
    <row r="1186">
      <c r="A1186" s="10">
        <f>Github!J$1538</f>
        <v>1537</v>
      </c>
      <c r="B1186" s="11" t="str">
        <f>HYPERLINK(CONCAT("http://leetcode.com/problems/",Github!C$1538), Github!B$1538)</f>
        <v>Get the Maximum Score</v>
      </c>
      <c r="C1186" s="10">
        <f>Github!F$1538</f>
        <v>588</v>
      </c>
      <c r="D1186" s="10">
        <f>Github!G$1538</f>
        <v>34</v>
      </c>
      <c r="E1186" s="10">
        <f>Github!F$1538+Github!G$1538</f>
        <v>622</v>
      </c>
      <c r="F1186" s="12">
        <f t="shared" si="1"/>
        <v>17.29</v>
      </c>
      <c r="G1186" s="10" t="str">
        <f>Github!H$1538</f>
        <v>Algorithms</v>
      </c>
      <c r="H1186" s="13" t="str">
        <f>SUBSTITUTE(Github!L$1538, ";", ", ")</f>
        <v>Array, Two Pointers, Dynamic Programming, Greedy, </v>
      </c>
      <c r="I1186" s="10" t="str">
        <f>Github!E$1538</f>
        <v>Hard</v>
      </c>
      <c r="J1186" s="10" t="str">
        <f>IF(TRIM(Github!D$1538)="TRUE","FALSE","TRUE")</f>
        <v>TRUE</v>
      </c>
      <c r="K1186" s="10" t="b">
        <f>Github!M$1538</f>
        <v>0</v>
      </c>
      <c r="L1186" s="10" t="b">
        <f>Github!N$1538</f>
        <v>0</v>
      </c>
      <c r="M1186" s="10" t="str">
        <f>ROUND(Github!O$1538, 2)&amp;"%"</f>
        <v>39.14%</v>
      </c>
      <c r="N1186" s="10">
        <f>Github!P$1538</f>
        <v>16576</v>
      </c>
      <c r="O1186" s="10">
        <f>Github!Q$1538</f>
        <v>42352</v>
      </c>
    </row>
    <row r="1187">
      <c r="A1187" s="10">
        <f>Github!J$1204</f>
        <v>1203</v>
      </c>
      <c r="B1187" s="11" t="str">
        <f>HYPERLINK(CONCAT("http://leetcode.com/problems/",Github!C$1204), Github!B$1204)</f>
        <v>Sort Items by Groups Respecting Dependencies</v>
      </c>
      <c r="C1187" s="10">
        <f>Github!F$1204</f>
        <v>584</v>
      </c>
      <c r="D1187" s="10">
        <f>Github!G$1204</f>
        <v>85</v>
      </c>
      <c r="E1187" s="10">
        <f>Github!F$1204+Github!G$1204</f>
        <v>669</v>
      </c>
      <c r="F1187" s="12">
        <f t="shared" si="1"/>
        <v>6.87</v>
      </c>
      <c r="G1187" s="10" t="str">
        <f>Github!H$1204</f>
        <v>Algorithms</v>
      </c>
      <c r="H1187" s="13" t="str">
        <f>SUBSTITUTE(Github!L$1204, ";", ", ")</f>
        <v>Depth-First Search, Breadth-First Search, Graph, Topological Sort, </v>
      </c>
      <c r="I1187" s="10" t="str">
        <f>Github!E$1204</f>
        <v>Hard</v>
      </c>
      <c r="J1187" s="10" t="str">
        <f>IF(TRIM(Github!D$1204)="TRUE","FALSE","TRUE")</f>
        <v>TRUE</v>
      </c>
      <c r="K1187" s="10" t="b">
        <f>Github!M$1204</f>
        <v>0</v>
      </c>
      <c r="L1187" s="10" t="b">
        <f>Github!N$1204</f>
        <v>0</v>
      </c>
      <c r="M1187" s="10" t="str">
        <f>ROUND(Github!O$1204, 2)&amp;"%"</f>
        <v>49.51%</v>
      </c>
      <c r="N1187" s="10">
        <f>Github!P$1204</f>
        <v>11923</v>
      </c>
      <c r="O1187" s="10">
        <f>Github!Q$1204</f>
        <v>24083</v>
      </c>
    </row>
    <row r="1188">
      <c r="A1188" s="10">
        <f>Github!J$1234</f>
        <v>1233</v>
      </c>
      <c r="B1188" s="11" t="str">
        <f>HYPERLINK(CONCAT("http://leetcode.com/problems/",Github!C$1234), Github!B$1234)</f>
        <v>Remove Sub-Folders from the Filesystem</v>
      </c>
      <c r="C1188" s="10">
        <f>Github!F$1234</f>
        <v>586</v>
      </c>
      <c r="D1188" s="10">
        <f>Github!G$1234</f>
        <v>79</v>
      </c>
      <c r="E1188" s="10">
        <f>Github!F$1234+Github!G$1234</f>
        <v>665</v>
      </c>
      <c r="F1188" s="12">
        <f t="shared" si="1"/>
        <v>7.42</v>
      </c>
      <c r="G1188" s="10" t="str">
        <f>Github!H$1234</f>
        <v>Algorithms</v>
      </c>
      <c r="H1188" s="13" t="str">
        <f>SUBSTITUTE(Github!L$1234, ";", ", ")</f>
        <v>Array, String, Trie, </v>
      </c>
      <c r="I1188" s="10" t="str">
        <f>Github!E$1234</f>
        <v>Medium</v>
      </c>
      <c r="J1188" s="10" t="str">
        <f>IF(TRIM(Github!D$1234)="TRUE","FALSE","TRUE")</f>
        <v>TRUE</v>
      </c>
      <c r="K1188" s="10" t="b">
        <f>Github!M$1234</f>
        <v>0</v>
      </c>
      <c r="L1188" s="10" t="b">
        <f>Github!N$1234</f>
        <v>0</v>
      </c>
      <c r="M1188" s="10" t="str">
        <f>ROUND(Github!O$1234, 2)&amp;"%"</f>
        <v>65.15%</v>
      </c>
      <c r="N1188" s="10">
        <f>Github!P$1234</f>
        <v>42284</v>
      </c>
      <c r="O1188" s="10">
        <f>Github!Q$1234</f>
        <v>64900</v>
      </c>
    </row>
    <row r="1189">
      <c r="A1189" s="10">
        <f>Github!J$870</f>
        <v>869</v>
      </c>
      <c r="B1189" s="11" t="str">
        <f>HYPERLINK(CONCAT("http://leetcode.com/problems/",Github!C$870), Github!B$870)</f>
        <v>Reordered Power of 2</v>
      </c>
      <c r="C1189" s="10">
        <f>Github!F$870</f>
        <v>582</v>
      </c>
      <c r="D1189" s="10">
        <f>Github!G$870</f>
        <v>170</v>
      </c>
      <c r="E1189" s="10">
        <f>Github!F$870+Github!G$870</f>
        <v>752</v>
      </c>
      <c r="F1189" s="12">
        <f t="shared" si="1"/>
        <v>3.42</v>
      </c>
      <c r="G1189" s="10" t="str">
        <f>Github!H$870</f>
        <v>Algorithms</v>
      </c>
      <c r="H1189" s="13" t="str">
        <f>SUBSTITUTE(Github!L$870, ";", ", ")</f>
        <v>Math, Sorting, Counting, Enumeration, </v>
      </c>
      <c r="I1189" s="10" t="str">
        <f>Github!E$870</f>
        <v>Medium</v>
      </c>
      <c r="J1189" s="10" t="str">
        <f>IF(TRIM(Github!D$870)="TRUE","FALSE","TRUE")</f>
        <v>TRUE</v>
      </c>
      <c r="K1189" s="10" t="b">
        <f>Github!M$870</f>
        <v>1</v>
      </c>
      <c r="L1189" s="10" t="b">
        <f>Github!N$870</f>
        <v>0</v>
      </c>
      <c r="M1189" s="10" t="str">
        <f>ROUND(Github!O$870, 2)&amp;"%"</f>
        <v>61.28%</v>
      </c>
      <c r="N1189" s="10">
        <f>Github!P$870</f>
        <v>40910</v>
      </c>
      <c r="O1189" s="10">
        <f>Github!Q$870</f>
        <v>66756</v>
      </c>
    </row>
    <row r="1190">
      <c r="A1190" s="10">
        <f>Github!J$775</f>
        <v>774</v>
      </c>
      <c r="B1190" s="11" t="str">
        <f>HYPERLINK(CONCAT("http://leetcode.com/problems/",Github!C$775), Github!B$775)</f>
        <v>Minimize Max Distance to Gas Station</v>
      </c>
      <c r="C1190" s="10">
        <f>Github!F$775</f>
        <v>580</v>
      </c>
      <c r="D1190" s="10">
        <f>Github!G$775</f>
        <v>83</v>
      </c>
      <c r="E1190" s="10">
        <f>Github!F$775+Github!G$775</f>
        <v>663</v>
      </c>
      <c r="F1190" s="12">
        <f t="shared" si="1"/>
        <v>6.99</v>
      </c>
      <c r="G1190" s="10" t="str">
        <f>Github!H$775</f>
        <v>Algorithms</v>
      </c>
      <c r="H1190" s="13" t="str">
        <f>SUBSTITUTE(Github!L$775, ";", ", ")</f>
        <v>Array, Binary Search, </v>
      </c>
      <c r="I1190" s="10" t="str">
        <f>Github!E$775</f>
        <v>Hard</v>
      </c>
      <c r="J1190" s="10" t="str">
        <f>IF(TRIM(Github!D$775)="TRUE","FALSE","TRUE")</f>
        <v>FALSE</v>
      </c>
      <c r="K1190" s="10" t="b">
        <f>Github!M$775</f>
        <v>1</v>
      </c>
      <c r="L1190" s="10" t="b">
        <f>Github!N$775</f>
        <v>0</v>
      </c>
      <c r="M1190" s="10" t="str">
        <f>ROUND(Github!O$775, 2)&amp;"%"</f>
        <v>50.43%</v>
      </c>
      <c r="N1190" s="10">
        <f>Github!P$775</f>
        <v>25475</v>
      </c>
      <c r="O1190" s="10">
        <f>Github!Q$775</f>
        <v>50515</v>
      </c>
    </row>
    <row r="1191">
      <c r="A1191" s="10">
        <f>Github!J$1787</f>
        <v>1786</v>
      </c>
      <c r="B1191" s="11" t="str">
        <f>HYPERLINK(CONCAT("http://leetcode.com/problems/",Github!C$1787), Github!B$1787)</f>
        <v>Number of Restricted Paths From First to Last Node</v>
      </c>
      <c r="C1191" s="10">
        <f>Github!F$1787</f>
        <v>580</v>
      </c>
      <c r="D1191" s="10">
        <f>Github!G$1787</f>
        <v>102</v>
      </c>
      <c r="E1191" s="10">
        <f>Github!F$1787+Github!G$1787</f>
        <v>682</v>
      </c>
      <c r="F1191" s="12">
        <f t="shared" si="1"/>
        <v>5.69</v>
      </c>
      <c r="G1191" s="10" t="str">
        <f>Github!H$1787</f>
        <v>Algorithms</v>
      </c>
      <c r="H1191" s="13" t="str">
        <f>SUBSTITUTE(Github!L$1787, ";", ", ")</f>
        <v>Dynamic Programming, Graph, Topological Sort, Heap (Priority Queue), Shortest Path, </v>
      </c>
      <c r="I1191" s="10" t="str">
        <f>Github!E$1787</f>
        <v>Medium</v>
      </c>
      <c r="J1191" s="10" t="str">
        <f>IF(TRIM(Github!D$1787)="TRUE","FALSE","TRUE")</f>
        <v>TRUE</v>
      </c>
      <c r="K1191" s="10" t="b">
        <f>Github!M$1787</f>
        <v>0</v>
      </c>
      <c r="L1191" s="10" t="b">
        <f>Github!N$1787</f>
        <v>0</v>
      </c>
      <c r="M1191" s="10" t="str">
        <f>ROUND(Github!O$1787, 2)&amp;"%"</f>
        <v>38.55%</v>
      </c>
      <c r="N1191" s="10">
        <f>Github!P$1787</f>
        <v>12695</v>
      </c>
      <c r="O1191" s="10">
        <f>Github!Q$1787</f>
        <v>32927</v>
      </c>
    </row>
    <row r="1192">
      <c r="A1192" s="10">
        <f>Github!J$1285</f>
        <v>1284</v>
      </c>
      <c r="B1192" s="11" t="str">
        <f>HYPERLINK(CONCAT("http://leetcode.com/problems/",Github!C$1285), Github!B$1285)</f>
        <v>Minimum Number of Flips to Convert Binary Matrix to Zero Matrix</v>
      </c>
      <c r="C1192" s="10">
        <f>Github!F$1285</f>
        <v>590</v>
      </c>
      <c r="D1192" s="10">
        <f>Github!G$1285</f>
        <v>64</v>
      </c>
      <c r="E1192" s="10">
        <f>Github!F$1285+Github!G$1285</f>
        <v>654</v>
      </c>
      <c r="F1192" s="12">
        <f t="shared" si="1"/>
        <v>9.22</v>
      </c>
      <c r="G1192" s="10" t="str">
        <f>Github!H$1285</f>
        <v>Algorithms</v>
      </c>
      <c r="H1192" s="13" t="str">
        <f>SUBSTITUTE(Github!L$1285, ";", ", ")</f>
        <v>Array, Bit Manipulation, Breadth-First Search, Matrix, </v>
      </c>
      <c r="I1192" s="10" t="str">
        <f>Github!E$1285</f>
        <v>Hard</v>
      </c>
      <c r="J1192" s="10" t="str">
        <f>IF(TRIM(Github!D$1285)="TRUE","FALSE","TRUE")</f>
        <v>TRUE</v>
      </c>
      <c r="K1192" s="10" t="b">
        <f>Github!M$1285</f>
        <v>0</v>
      </c>
      <c r="L1192" s="10" t="b">
        <f>Github!N$1285</f>
        <v>0</v>
      </c>
      <c r="M1192" s="10" t="str">
        <f>ROUND(Github!O$1285, 2)&amp;"%"</f>
        <v>72.05%</v>
      </c>
      <c r="N1192" s="10">
        <f>Github!P$1285</f>
        <v>21815</v>
      </c>
      <c r="O1192" s="10">
        <f>Github!Q$1285</f>
        <v>30279</v>
      </c>
    </row>
    <row r="1193">
      <c r="A1193" s="10">
        <f>Github!J$751</f>
        <v>750</v>
      </c>
      <c r="B1193" s="11" t="str">
        <f>HYPERLINK(CONCAT("http://leetcode.com/problems/",Github!C$751), Github!B$751)</f>
        <v>Number Of Corner Rectangles</v>
      </c>
      <c r="C1193" s="10">
        <f>Github!F$751</f>
        <v>578</v>
      </c>
      <c r="D1193" s="10">
        <f>Github!G$751</f>
        <v>85</v>
      </c>
      <c r="E1193" s="10">
        <f>Github!F$751+Github!G$751</f>
        <v>663</v>
      </c>
      <c r="F1193" s="12">
        <f t="shared" si="1"/>
        <v>6.8</v>
      </c>
      <c r="G1193" s="10" t="str">
        <f>Github!H$751</f>
        <v>Algorithms</v>
      </c>
      <c r="H1193" s="13" t="str">
        <f>SUBSTITUTE(Github!L$751, ";", ", ")</f>
        <v>Array, Math, Dynamic Programming, Matrix, </v>
      </c>
      <c r="I1193" s="10" t="str">
        <f>Github!E$751</f>
        <v>Medium</v>
      </c>
      <c r="J1193" s="10" t="str">
        <f>IF(TRIM(Github!D$751)="TRUE","FALSE","TRUE")</f>
        <v>FALSE</v>
      </c>
      <c r="K1193" s="10" t="b">
        <f>Github!M$751</f>
        <v>1</v>
      </c>
      <c r="L1193" s="10" t="b">
        <f>Github!N$751</f>
        <v>0</v>
      </c>
      <c r="M1193" s="10" t="str">
        <f>ROUND(Github!O$751, 2)&amp;"%"</f>
        <v>67.54%</v>
      </c>
      <c r="N1193" s="10">
        <f>Github!P$751</f>
        <v>35624</v>
      </c>
      <c r="O1193" s="10">
        <f>Github!Q$751</f>
        <v>52748</v>
      </c>
    </row>
    <row r="1194">
      <c r="A1194" s="10">
        <f>Github!J$1911</f>
        <v>1910</v>
      </c>
      <c r="B1194" s="11" t="str">
        <f>HYPERLINK(CONCAT("http://leetcode.com/problems/",Github!C$1911), Github!B$1911)</f>
        <v>Remove All Occurrences of a Substring</v>
      </c>
      <c r="C1194" s="10">
        <f>Github!F$1911</f>
        <v>586</v>
      </c>
      <c r="D1194" s="10">
        <f>Github!G$1911</f>
        <v>32</v>
      </c>
      <c r="E1194" s="10">
        <f>Github!F$1911+Github!G$1911</f>
        <v>618</v>
      </c>
      <c r="F1194" s="12">
        <f t="shared" si="1"/>
        <v>18.31</v>
      </c>
      <c r="G1194" s="10" t="str">
        <f>Github!H$1911</f>
        <v>Algorithms</v>
      </c>
      <c r="H1194" s="13" t="str">
        <f>SUBSTITUTE(Github!L$1911, ";", ", ")</f>
        <v>String, </v>
      </c>
      <c r="I1194" s="10" t="str">
        <f>Github!E$1911</f>
        <v>Medium</v>
      </c>
      <c r="J1194" s="10" t="str">
        <f>IF(TRIM(Github!D$1911)="TRUE","FALSE","TRUE")</f>
        <v>TRUE</v>
      </c>
      <c r="K1194" s="10" t="b">
        <f>Github!M$1911</f>
        <v>0</v>
      </c>
      <c r="L1194" s="10" t="b">
        <f>Github!N$1911</f>
        <v>0</v>
      </c>
      <c r="M1194" s="10" t="str">
        <f>ROUND(Github!O$1911, 2)&amp;"%"</f>
        <v>72.01%</v>
      </c>
      <c r="N1194" s="10">
        <f>Github!P$1911</f>
        <v>26634</v>
      </c>
      <c r="O1194" s="10">
        <f>Github!Q$1911</f>
        <v>36986</v>
      </c>
    </row>
    <row r="1195">
      <c r="A1195" s="10">
        <f>Github!J$1689</f>
        <v>1688</v>
      </c>
      <c r="B1195" s="11" t="str">
        <f>HYPERLINK(CONCAT("http://leetcode.com/problems/",Github!C$1689), Github!B$1689)</f>
        <v>Count of Matches in Tournament</v>
      </c>
      <c r="C1195" s="10">
        <f>Github!F$1689</f>
        <v>581</v>
      </c>
      <c r="D1195" s="10">
        <f>Github!G$1689</f>
        <v>109</v>
      </c>
      <c r="E1195" s="10">
        <f>Github!F$1689+Github!G$1689</f>
        <v>690</v>
      </c>
      <c r="F1195" s="12">
        <f t="shared" si="1"/>
        <v>5.33</v>
      </c>
      <c r="G1195" s="10" t="str">
        <f>Github!H$1689</f>
        <v>Algorithms</v>
      </c>
      <c r="H1195" s="13" t="str">
        <f>SUBSTITUTE(Github!L$1689, ";", ", ")</f>
        <v>Math, Simulation, </v>
      </c>
      <c r="I1195" s="10" t="str">
        <f>Github!E$1689</f>
        <v>Easy</v>
      </c>
      <c r="J1195" s="10" t="str">
        <f>IF(TRIM(Github!D$1689)="TRUE","FALSE","TRUE")</f>
        <v>TRUE</v>
      </c>
      <c r="K1195" s="10" t="b">
        <f>Github!M$1689</f>
        <v>0</v>
      </c>
      <c r="L1195" s="10" t="b">
        <f>Github!N$1689</f>
        <v>0</v>
      </c>
      <c r="M1195" s="10" t="str">
        <f>ROUND(Github!O$1689, 2)&amp;"%"</f>
        <v>82.7%</v>
      </c>
      <c r="N1195" s="10">
        <f>Github!P$1689</f>
        <v>66493</v>
      </c>
      <c r="O1195" s="10">
        <f>Github!Q$1689</f>
        <v>80406</v>
      </c>
    </row>
    <row r="1196">
      <c r="A1196" s="10">
        <f>Github!J$2008</f>
        <v>2007</v>
      </c>
      <c r="B1196" s="11" t="str">
        <f>HYPERLINK(CONCAT("http://leetcode.com/problems/",Github!C$2008), Github!B$2008)</f>
        <v>Find Original Array From Doubled Array</v>
      </c>
      <c r="C1196" s="10">
        <f>Github!F$2008</f>
        <v>583</v>
      </c>
      <c r="D1196" s="10">
        <f>Github!G$2008</f>
        <v>44</v>
      </c>
      <c r="E1196" s="10">
        <f>Github!F$2008+Github!G$2008</f>
        <v>627</v>
      </c>
      <c r="F1196" s="12">
        <f t="shared" si="1"/>
        <v>13.25</v>
      </c>
      <c r="G1196" s="10" t="str">
        <f>Github!H$2008</f>
        <v>Algorithms</v>
      </c>
      <c r="H1196" s="13" t="str">
        <f>SUBSTITUTE(Github!L$2008, ";", ", ")</f>
        <v>Array, Hash Table, Greedy, Sorting, </v>
      </c>
      <c r="I1196" s="10" t="str">
        <f>Github!E$2008</f>
        <v>Medium</v>
      </c>
      <c r="J1196" s="10" t="str">
        <f>IF(TRIM(Github!D$2008)="TRUE","FALSE","TRUE")</f>
        <v>TRUE</v>
      </c>
      <c r="K1196" s="10" t="b">
        <f>Github!M$2008</f>
        <v>0</v>
      </c>
      <c r="L1196" s="10" t="b">
        <f>Github!N$2008</f>
        <v>0</v>
      </c>
      <c r="M1196" s="10" t="str">
        <f>ROUND(Github!O$2008, 2)&amp;"%"</f>
        <v>38.04%</v>
      </c>
      <c r="N1196" s="10">
        <f>Github!P$2008</f>
        <v>41032</v>
      </c>
      <c r="O1196" s="10">
        <f>Github!Q$2008</f>
        <v>107875</v>
      </c>
    </row>
    <row r="1197">
      <c r="A1197" s="10">
        <f>Github!J$1887</f>
        <v>1886</v>
      </c>
      <c r="B1197" s="11" t="str">
        <f>HYPERLINK(CONCAT("http://leetcode.com/problems/",Github!C$1887), Github!B$1887)</f>
        <v>Determine Whether Matrix Can Be Obtained By Rotation</v>
      </c>
      <c r="C1197" s="10">
        <f>Github!F$1887</f>
        <v>584</v>
      </c>
      <c r="D1197" s="10">
        <f>Github!G$1887</f>
        <v>53</v>
      </c>
      <c r="E1197" s="10">
        <f>Github!F$1887+Github!G$1887</f>
        <v>637</v>
      </c>
      <c r="F1197" s="12">
        <f t="shared" si="1"/>
        <v>11.02</v>
      </c>
      <c r="G1197" s="10" t="str">
        <f>Github!H$1887</f>
        <v>Algorithms</v>
      </c>
      <c r="H1197" s="13" t="str">
        <f>SUBSTITUTE(Github!L$1887, ";", ", ")</f>
        <v>Array, Matrix, </v>
      </c>
      <c r="I1197" s="10" t="str">
        <f>Github!E$1887</f>
        <v>Easy</v>
      </c>
      <c r="J1197" s="10" t="str">
        <f>IF(TRIM(Github!D$1887)="TRUE","FALSE","TRUE")</f>
        <v>TRUE</v>
      </c>
      <c r="K1197" s="10" t="b">
        <f>Github!M$1887</f>
        <v>0</v>
      </c>
      <c r="L1197" s="10" t="b">
        <f>Github!N$1887</f>
        <v>0</v>
      </c>
      <c r="M1197" s="10" t="str">
        <f>ROUND(Github!O$1887, 2)&amp;"%"</f>
        <v>55.36%</v>
      </c>
      <c r="N1197" s="10">
        <f>Github!P$1887</f>
        <v>29798</v>
      </c>
      <c r="O1197" s="10">
        <f>Github!Q$1887</f>
        <v>53829</v>
      </c>
    </row>
    <row r="1198">
      <c r="A1198" s="10">
        <f>Github!J$1459</f>
        <v>1458</v>
      </c>
      <c r="B1198" s="11" t="str">
        <f>HYPERLINK(CONCAT("http://leetcode.com/problems/",Github!C$1459), Github!B$1459)</f>
        <v>Max Dot Product of Two Subsequences</v>
      </c>
      <c r="C1198" s="10">
        <f>Github!F$1459</f>
        <v>576</v>
      </c>
      <c r="D1198" s="10">
        <f>Github!G$1459</f>
        <v>11</v>
      </c>
      <c r="E1198" s="10">
        <f>Github!F$1459+Github!G$1459</f>
        <v>587</v>
      </c>
      <c r="F1198" s="12">
        <f t="shared" si="1"/>
        <v>52.36</v>
      </c>
      <c r="G1198" s="10" t="str">
        <f>Github!H$1459</f>
        <v>Algorithms</v>
      </c>
      <c r="H1198" s="13" t="str">
        <f>SUBSTITUTE(Github!L$1459, ";", ", ")</f>
        <v>Array, Dynamic Programming, </v>
      </c>
      <c r="I1198" s="10" t="str">
        <f>Github!E$1459</f>
        <v>Hard</v>
      </c>
      <c r="J1198" s="10" t="str">
        <f>IF(TRIM(Github!D$1459)="TRUE","FALSE","TRUE")</f>
        <v>TRUE</v>
      </c>
      <c r="K1198" s="10" t="b">
        <f>Github!M$1459</f>
        <v>0</v>
      </c>
      <c r="L1198" s="10" t="b">
        <f>Github!N$1459</f>
        <v>0</v>
      </c>
      <c r="M1198" s="10" t="str">
        <f>ROUND(Github!O$1459, 2)&amp;"%"</f>
        <v>45.18%</v>
      </c>
      <c r="N1198" s="10">
        <f>Github!P$1459</f>
        <v>16391</v>
      </c>
      <c r="O1198" s="10">
        <f>Github!Q$1459</f>
        <v>36276</v>
      </c>
    </row>
    <row r="1199">
      <c r="A1199" s="10">
        <f>Github!J$1777</f>
        <v>1776</v>
      </c>
      <c r="B1199" s="11" t="str">
        <f>HYPERLINK(CONCAT("http://leetcode.com/problems/",Github!C$1777), Github!B$1777)</f>
        <v>Car Fleet II</v>
      </c>
      <c r="C1199" s="10">
        <f>Github!F$1777</f>
        <v>579</v>
      </c>
      <c r="D1199" s="10">
        <f>Github!G$1777</f>
        <v>15</v>
      </c>
      <c r="E1199" s="10">
        <f>Github!F$1777+Github!G$1777</f>
        <v>594</v>
      </c>
      <c r="F1199" s="12">
        <f t="shared" si="1"/>
        <v>38.6</v>
      </c>
      <c r="G1199" s="10" t="str">
        <f>Github!H$1777</f>
        <v>Algorithms</v>
      </c>
      <c r="H1199" s="13" t="str">
        <f>SUBSTITUTE(Github!L$1777, ";", ", ")</f>
        <v>Array, Math, Stack, Heap (Priority Queue), Monotonic Stack, </v>
      </c>
      <c r="I1199" s="10" t="str">
        <f>Github!E$1777</f>
        <v>Hard</v>
      </c>
      <c r="J1199" s="10" t="str">
        <f>IF(TRIM(Github!D$1777)="TRUE","FALSE","TRUE")</f>
        <v>TRUE</v>
      </c>
      <c r="K1199" s="10" t="b">
        <f>Github!M$1777</f>
        <v>0</v>
      </c>
      <c r="L1199" s="10" t="b">
        <f>Github!N$1777</f>
        <v>0</v>
      </c>
      <c r="M1199" s="10" t="str">
        <f>ROUND(Github!O$1777, 2)&amp;"%"</f>
        <v>52.63%</v>
      </c>
      <c r="N1199" s="10">
        <f>Github!P$1777</f>
        <v>18241</v>
      </c>
      <c r="O1199" s="10">
        <f>Github!Q$1777</f>
        <v>34656</v>
      </c>
    </row>
    <row r="1200">
      <c r="A1200" s="10">
        <f>Github!J$1828</f>
        <v>1827</v>
      </c>
      <c r="B1200" s="11" t="str">
        <f>HYPERLINK(CONCAT("http://leetcode.com/problems/",Github!C$1828), Github!B$1828)</f>
        <v>Minimum Operations to Make the Array Increasing</v>
      </c>
      <c r="C1200" s="10">
        <f>Github!F$1828</f>
        <v>579</v>
      </c>
      <c r="D1200" s="10">
        <f>Github!G$1828</f>
        <v>30</v>
      </c>
      <c r="E1200" s="10">
        <f>Github!F$1828+Github!G$1828</f>
        <v>609</v>
      </c>
      <c r="F1200" s="12">
        <f t="shared" si="1"/>
        <v>19.3</v>
      </c>
      <c r="G1200" s="10" t="str">
        <f>Github!H$1828</f>
        <v>Algorithms</v>
      </c>
      <c r="H1200" s="13" t="str">
        <f>SUBSTITUTE(Github!L$1828, ";", ", ")</f>
        <v>Array, Greedy, </v>
      </c>
      <c r="I1200" s="10" t="str">
        <f>Github!E$1828</f>
        <v>Easy</v>
      </c>
      <c r="J1200" s="10" t="str">
        <f>IF(TRIM(Github!D$1828)="TRUE","FALSE","TRUE")</f>
        <v>TRUE</v>
      </c>
      <c r="K1200" s="10" t="b">
        <f>Github!M$1828</f>
        <v>0</v>
      </c>
      <c r="L1200" s="10" t="b">
        <f>Github!N$1828</f>
        <v>0</v>
      </c>
      <c r="M1200" s="10" t="str">
        <f>ROUND(Github!O$1828, 2)&amp;"%"</f>
        <v>78.33%</v>
      </c>
      <c r="N1200" s="10">
        <f>Github!P$1828</f>
        <v>41594</v>
      </c>
      <c r="O1200" s="10">
        <f>Github!Q$1828</f>
        <v>53099</v>
      </c>
    </row>
    <row r="1201">
      <c r="A1201" s="10">
        <f>Github!J$2090</f>
        <v>2089</v>
      </c>
      <c r="B1201" s="11" t="str">
        <f>HYPERLINK(CONCAT("http://leetcode.com/problems/",Github!C$2090), Github!B$2090)</f>
        <v>Find Target Indices After Sorting Array</v>
      </c>
      <c r="C1201" s="10">
        <f>Github!F$2090</f>
        <v>590</v>
      </c>
      <c r="D1201" s="10">
        <f>Github!G$2090</f>
        <v>31</v>
      </c>
      <c r="E1201" s="10">
        <f>Github!F$2090+Github!G$2090</f>
        <v>621</v>
      </c>
      <c r="F1201" s="12">
        <f t="shared" si="1"/>
        <v>19.03</v>
      </c>
      <c r="G1201" s="10" t="str">
        <f>Github!H$2090</f>
        <v>Algorithms</v>
      </c>
      <c r="H1201" s="13" t="str">
        <f>SUBSTITUTE(Github!L$2090, ";", ", ")</f>
        <v>Array, Binary Search, Sorting, </v>
      </c>
      <c r="I1201" s="10" t="str">
        <f>Github!E$2090</f>
        <v>Easy</v>
      </c>
      <c r="J1201" s="10" t="str">
        <f>IF(TRIM(Github!D$2090)="TRUE","FALSE","TRUE")</f>
        <v>TRUE</v>
      </c>
      <c r="K1201" s="10" t="b">
        <f>Github!M$2090</f>
        <v>0</v>
      </c>
      <c r="L1201" s="10" t="b">
        <f>Github!N$2090</f>
        <v>0</v>
      </c>
      <c r="M1201" s="10" t="str">
        <f>ROUND(Github!O$2090, 2)&amp;"%"</f>
        <v>78.83%</v>
      </c>
      <c r="N1201" s="10">
        <f>Github!P$2090</f>
        <v>52322</v>
      </c>
      <c r="O1201" s="10">
        <f>Github!Q$2090</f>
        <v>66369</v>
      </c>
    </row>
    <row r="1202">
      <c r="A1202" s="10">
        <f>Github!J$1856</f>
        <v>1855</v>
      </c>
      <c r="B1202" s="11" t="str">
        <f>HYPERLINK(CONCAT("http://leetcode.com/problems/",Github!C$1856), Github!B$1856)</f>
        <v>Maximum Distance Between a Pair of Values</v>
      </c>
      <c r="C1202" s="10">
        <f>Github!F$1856</f>
        <v>588</v>
      </c>
      <c r="D1202" s="10">
        <f>Github!G$1856</f>
        <v>12</v>
      </c>
      <c r="E1202" s="10">
        <f>Github!F$1856+Github!G$1856</f>
        <v>600</v>
      </c>
      <c r="F1202" s="12">
        <f t="shared" si="1"/>
        <v>49</v>
      </c>
      <c r="G1202" s="10" t="str">
        <f>Github!H$1856</f>
        <v>Algorithms</v>
      </c>
      <c r="H1202" s="13" t="str">
        <f>SUBSTITUTE(Github!L$1856, ";", ", ")</f>
        <v>Array, Two Pointers, Binary Search, Greedy, </v>
      </c>
      <c r="I1202" s="10" t="str">
        <f>Github!E$1856</f>
        <v>Medium</v>
      </c>
      <c r="J1202" s="10" t="str">
        <f>IF(TRIM(Github!D$1856)="TRUE","FALSE","TRUE")</f>
        <v>TRUE</v>
      </c>
      <c r="K1202" s="10" t="b">
        <f>Github!M$1856</f>
        <v>0</v>
      </c>
      <c r="L1202" s="10" t="b">
        <f>Github!N$1856</f>
        <v>0</v>
      </c>
      <c r="M1202" s="10" t="str">
        <f>ROUND(Github!O$1856, 2)&amp;"%"</f>
        <v>50.37%</v>
      </c>
      <c r="N1202" s="10">
        <f>Github!P$1856</f>
        <v>22778</v>
      </c>
      <c r="O1202" s="10">
        <f>Github!Q$1856</f>
        <v>45224</v>
      </c>
    </row>
    <row r="1203">
      <c r="A1203" s="10">
        <f>Github!J$522</f>
        <v>521</v>
      </c>
      <c r="B1203" s="11" t="str">
        <f>HYPERLINK(CONCAT("http://leetcode.com/problems/",Github!C$522), Github!B$522)</f>
        <v>Longest Uncommon Subsequence I</v>
      </c>
      <c r="C1203" s="10">
        <f>Github!F$522</f>
        <v>571</v>
      </c>
      <c r="D1203" s="10">
        <f>Github!G$522</f>
        <v>5578</v>
      </c>
      <c r="E1203" s="10">
        <f>Github!F$522+Github!G$522</f>
        <v>6149</v>
      </c>
      <c r="F1203" s="12">
        <f t="shared" si="1"/>
        <v>0.1</v>
      </c>
      <c r="G1203" s="10" t="str">
        <f>Github!H$522</f>
        <v>Algorithms</v>
      </c>
      <c r="H1203" s="13" t="str">
        <f>SUBSTITUTE(Github!L$522, ";", ", ")</f>
        <v>String, </v>
      </c>
      <c r="I1203" s="10" t="str">
        <f>Github!E$522</f>
        <v>Easy</v>
      </c>
      <c r="J1203" s="10" t="str">
        <f>IF(TRIM(Github!D$522)="TRUE","FALSE","TRUE")</f>
        <v>TRUE</v>
      </c>
      <c r="K1203" s="10" t="b">
        <f>Github!M$522</f>
        <v>1</v>
      </c>
      <c r="L1203" s="10" t="b">
        <f>Github!N$522</f>
        <v>0</v>
      </c>
      <c r="M1203" s="10" t="str">
        <f>ROUND(Github!O$522, 2)&amp;"%"</f>
        <v>60.1%</v>
      </c>
      <c r="N1203" s="10">
        <f>Github!P$522</f>
        <v>83692</v>
      </c>
      <c r="O1203" s="10">
        <f>Github!Q$522</f>
        <v>139255</v>
      </c>
    </row>
    <row r="1204">
      <c r="A1204" s="10">
        <f>Github!J$789</f>
        <v>788</v>
      </c>
      <c r="B1204" s="11" t="str">
        <f>HYPERLINK(CONCAT("http://leetcode.com/problems/",Github!C$789), Github!B$789)</f>
        <v>Rotated Digits</v>
      </c>
      <c r="C1204" s="10">
        <f>Github!F$789</f>
        <v>572</v>
      </c>
      <c r="D1204" s="10">
        <f>Github!G$789</f>
        <v>1724</v>
      </c>
      <c r="E1204" s="10">
        <f>Github!F$789+Github!G$789</f>
        <v>2296</v>
      </c>
      <c r="F1204" s="12">
        <f t="shared" si="1"/>
        <v>0.33</v>
      </c>
      <c r="G1204" s="10" t="str">
        <f>Github!H$789</f>
        <v>Algorithms</v>
      </c>
      <c r="H1204" s="13" t="str">
        <f>SUBSTITUTE(Github!L$789, ";", ", ")</f>
        <v>Math, Dynamic Programming, </v>
      </c>
      <c r="I1204" s="10" t="str">
        <f>Github!E$789</f>
        <v>Medium</v>
      </c>
      <c r="J1204" s="10" t="str">
        <f>IF(TRIM(Github!D$789)="TRUE","FALSE","TRUE")</f>
        <v>TRUE</v>
      </c>
      <c r="K1204" s="10" t="b">
        <f>Github!M$789</f>
        <v>0</v>
      </c>
      <c r="L1204" s="10" t="b">
        <f>Github!N$789</f>
        <v>0</v>
      </c>
      <c r="M1204" s="10" t="str">
        <f>ROUND(Github!O$789, 2)&amp;"%"</f>
        <v>57.2%</v>
      </c>
      <c r="N1204" s="10">
        <f>Github!P$789</f>
        <v>84758</v>
      </c>
      <c r="O1204" s="10">
        <f>Github!Q$789</f>
        <v>148188</v>
      </c>
    </row>
    <row r="1205">
      <c r="A1205" s="10">
        <f>Github!J$1723</f>
        <v>1722</v>
      </c>
      <c r="B1205" s="11" t="str">
        <f>HYPERLINK(CONCAT("http://leetcode.com/problems/",Github!C$1723), Github!B$1723)</f>
        <v>Minimize Hamming Distance After Swap Operations</v>
      </c>
      <c r="C1205" s="10">
        <f>Github!F$1723</f>
        <v>583</v>
      </c>
      <c r="D1205" s="10">
        <f>Github!G$1723</f>
        <v>19</v>
      </c>
      <c r="E1205" s="10">
        <f>Github!F$1723+Github!G$1723</f>
        <v>602</v>
      </c>
      <c r="F1205" s="12">
        <f t="shared" si="1"/>
        <v>30.68</v>
      </c>
      <c r="G1205" s="10" t="str">
        <f>Github!H$1723</f>
        <v>Algorithms</v>
      </c>
      <c r="H1205" s="13" t="str">
        <f>SUBSTITUTE(Github!L$1723, ";", ", ")</f>
        <v>Array, Depth-First Search, Union Find, </v>
      </c>
      <c r="I1205" s="10" t="str">
        <f>Github!E$1723</f>
        <v>Medium</v>
      </c>
      <c r="J1205" s="10" t="str">
        <f>IF(TRIM(Github!D$1723)="TRUE","FALSE","TRUE")</f>
        <v>TRUE</v>
      </c>
      <c r="K1205" s="10" t="b">
        <f>Github!M$1723</f>
        <v>0</v>
      </c>
      <c r="L1205" s="10" t="b">
        <f>Github!N$1723</f>
        <v>0</v>
      </c>
      <c r="M1205" s="10" t="str">
        <f>ROUND(Github!O$1723, 2)&amp;"%"</f>
        <v>48.01%</v>
      </c>
      <c r="N1205" s="10">
        <f>Github!P$1723</f>
        <v>12261</v>
      </c>
      <c r="O1205" s="10">
        <f>Github!Q$1723</f>
        <v>25539</v>
      </c>
    </row>
    <row r="1206">
      <c r="A1206" s="10">
        <f>Github!J$1764</f>
        <v>1763</v>
      </c>
      <c r="B1206" s="11" t="str">
        <f>HYPERLINK(CONCAT("http://leetcode.com/problems/",Github!C$1764), Github!B$1764)</f>
        <v>Longest Nice Substring</v>
      </c>
      <c r="C1206" s="10">
        <f>Github!F$1764</f>
        <v>576</v>
      </c>
      <c r="D1206" s="10">
        <f>Github!G$1764</f>
        <v>442</v>
      </c>
      <c r="E1206" s="10">
        <f>Github!F$1764+Github!G$1764</f>
        <v>1018</v>
      </c>
      <c r="F1206" s="12">
        <f t="shared" si="1"/>
        <v>1.3</v>
      </c>
      <c r="G1206" s="10" t="str">
        <f>Github!H$1764</f>
        <v>Algorithms</v>
      </c>
      <c r="H1206" s="13" t="str">
        <f>SUBSTITUTE(Github!L$1764, ";", ", ")</f>
        <v>Hash Table, String, Bit Manipulation, Sliding Window, </v>
      </c>
      <c r="I1206" s="10" t="str">
        <f>Github!E$1764</f>
        <v>Easy</v>
      </c>
      <c r="J1206" s="10" t="str">
        <f>IF(TRIM(Github!D$1764)="TRUE","FALSE","TRUE")</f>
        <v>TRUE</v>
      </c>
      <c r="K1206" s="10" t="b">
        <f>Github!M$1764</f>
        <v>0</v>
      </c>
      <c r="L1206" s="10" t="b">
        <f>Github!N$1764</f>
        <v>0</v>
      </c>
      <c r="M1206" s="10" t="str">
        <f>ROUND(Github!O$1764, 2)&amp;"%"</f>
        <v>61.9%</v>
      </c>
      <c r="N1206" s="10">
        <f>Github!P$1764</f>
        <v>23303</v>
      </c>
      <c r="O1206" s="10">
        <f>Github!Q$1764</f>
        <v>37644</v>
      </c>
    </row>
    <row r="1207">
      <c r="A1207" s="10">
        <f>Github!J$1451</f>
        <v>1450</v>
      </c>
      <c r="B1207" s="11" t="str">
        <f>HYPERLINK(CONCAT("http://leetcode.com/problems/",Github!C$1451), Github!B$1451)</f>
        <v>Number of Students Doing Homework at a Given Time</v>
      </c>
      <c r="C1207" s="10">
        <f>Github!F$1451</f>
        <v>569</v>
      </c>
      <c r="D1207" s="10">
        <f>Github!G$1451</f>
        <v>128</v>
      </c>
      <c r="E1207" s="10">
        <f>Github!F$1451+Github!G$1451</f>
        <v>697</v>
      </c>
      <c r="F1207" s="12">
        <f t="shared" si="1"/>
        <v>4.45</v>
      </c>
      <c r="G1207" s="10" t="str">
        <f>Github!H$1451</f>
        <v>Algorithms</v>
      </c>
      <c r="H1207" s="13" t="str">
        <f>SUBSTITUTE(Github!L$1451, ";", ", ")</f>
        <v>Array, </v>
      </c>
      <c r="I1207" s="10" t="str">
        <f>Github!E$1451</f>
        <v>Easy</v>
      </c>
      <c r="J1207" s="10" t="str">
        <f>IF(TRIM(Github!D$1451)="TRUE","FALSE","TRUE")</f>
        <v>TRUE</v>
      </c>
      <c r="K1207" s="10" t="b">
        <f>Github!M$1451</f>
        <v>0</v>
      </c>
      <c r="L1207" s="10" t="b">
        <f>Github!N$1451</f>
        <v>0</v>
      </c>
      <c r="M1207" s="10" t="str">
        <f>ROUND(Github!O$1451, 2)&amp;"%"</f>
        <v>76.41%</v>
      </c>
      <c r="N1207" s="10">
        <f>Github!P$1451</f>
        <v>83011</v>
      </c>
      <c r="O1207" s="10">
        <f>Github!Q$1451</f>
        <v>108646</v>
      </c>
    </row>
    <row r="1208">
      <c r="A1208" s="10">
        <f>Github!J$1474</f>
        <v>1473</v>
      </c>
      <c r="B1208" s="11" t="str">
        <f>HYPERLINK(CONCAT("http://leetcode.com/problems/",Github!C$1474), Github!B$1474)</f>
        <v>Paint House III</v>
      </c>
      <c r="C1208" s="10">
        <f>Github!F$1474</f>
        <v>565</v>
      </c>
      <c r="D1208" s="10">
        <f>Github!G$1474</f>
        <v>29</v>
      </c>
      <c r="E1208" s="10">
        <f>Github!F$1474+Github!G$1474</f>
        <v>594</v>
      </c>
      <c r="F1208" s="12">
        <f t="shared" si="1"/>
        <v>19.48</v>
      </c>
      <c r="G1208" s="10" t="str">
        <f>Github!H$1474</f>
        <v>Algorithms</v>
      </c>
      <c r="H1208" s="13" t="str">
        <f>SUBSTITUTE(Github!L$1474, ";", ", ")</f>
        <v>Array, Dynamic Programming, </v>
      </c>
      <c r="I1208" s="10" t="str">
        <f>Github!E$1474</f>
        <v>Hard</v>
      </c>
      <c r="J1208" s="10" t="str">
        <f>IF(TRIM(Github!D$1474)="TRUE","FALSE","TRUE")</f>
        <v>TRUE</v>
      </c>
      <c r="K1208" s="10" t="b">
        <f>Github!M$1474</f>
        <v>1</v>
      </c>
      <c r="L1208" s="10" t="b">
        <f>Github!N$1474</f>
        <v>0</v>
      </c>
      <c r="M1208" s="10" t="str">
        <f>ROUND(Github!O$1474, 2)&amp;"%"</f>
        <v>50.88%</v>
      </c>
      <c r="N1208" s="10">
        <f>Github!P$1474</f>
        <v>15695</v>
      </c>
      <c r="O1208" s="10">
        <f>Github!Q$1474</f>
        <v>30846</v>
      </c>
    </row>
    <row r="1209">
      <c r="A1209" s="10">
        <f>Github!J$1509</f>
        <v>1508</v>
      </c>
      <c r="B1209" s="11" t="str">
        <f>HYPERLINK(CONCAT("http://leetcode.com/problems/",Github!C$1509), Github!B$1509)</f>
        <v>Range Sum of Sorted Subarray Sums</v>
      </c>
      <c r="C1209" s="10">
        <f>Github!F$1509</f>
        <v>570</v>
      </c>
      <c r="D1209" s="10">
        <f>Github!G$1509</f>
        <v>107</v>
      </c>
      <c r="E1209" s="10">
        <f>Github!F$1509+Github!G$1509</f>
        <v>677</v>
      </c>
      <c r="F1209" s="12">
        <f t="shared" si="1"/>
        <v>5.33</v>
      </c>
      <c r="G1209" s="10" t="str">
        <f>Github!H$1509</f>
        <v>Algorithms</v>
      </c>
      <c r="H1209" s="13" t="str">
        <f>SUBSTITUTE(Github!L$1509, ";", ", ")</f>
        <v>Array, Two Pointers, Binary Search, Sorting, </v>
      </c>
      <c r="I1209" s="10" t="str">
        <f>Github!E$1509</f>
        <v>Medium</v>
      </c>
      <c r="J1209" s="10" t="str">
        <f>IF(TRIM(Github!D$1509)="TRUE","FALSE","TRUE")</f>
        <v>TRUE</v>
      </c>
      <c r="K1209" s="10" t="b">
        <f>Github!M$1509</f>
        <v>0</v>
      </c>
      <c r="L1209" s="10" t="b">
        <f>Github!N$1509</f>
        <v>0</v>
      </c>
      <c r="M1209" s="10" t="str">
        <f>ROUND(Github!O$1509, 2)&amp;"%"</f>
        <v>59.22%</v>
      </c>
      <c r="N1209" s="10">
        <f>Github!P$1509</f>
        <v>24684</v>
      </c>
      <c r="O1209" s="10">
        <f>Github!Q$1509</f>
        <v>41686</v>
      </c>
    </row>
    <row r="1210">
      <c r="A1210" s="10">
        <f>Github!J$252</f>
        <v>251</v>
      </c>
      <c r="B1210" s="11" t="str">
        <f>HYPERLINK(CONCAT("http://leetcode.com/problems/",Github!C$252), Github!B$252)</f>
        <v>Flatten 2D Vector</v>
      </c>
      <c r="C1210" s="10">
        <f>Github!F$252</f>
        <v>566</v>
      </c>
      <c r="D1210" s="10">
        <f>Github!G$252</f>
        <v>317</v>
      </c>
      <c r="E1210" s="10">
        <f>Github!F$252+Github!G$252</f>
        <v>883</v>
      </c>
      <c r="F1210" s="12">
        <f t="shared" si="1"/>
        <v>1.79</v>
      </c>
      <c r="G1210" s="10" t="str">
        <f>Github!H$252</f>
        <v>Algorithms</v>
      </c>
      <c r="H1210" s="13" t="str">
        <f>SUBSTITUTE(Github!L$252, ";", ", ")</f>
        <v>Array, Two Pointers, Design, Iterator, </v>
      </c>
      <c r="I1210" s="10" t="str">
        <f>Github!E$252</f>
        <v>Medium</v>
      </c>
      <c r="J1210" s="10" t="str">
        <f>IF(TRIM(Github!D$252)="TRUE","FALSE","TRUE")</f>
        <v>FALSE</v>
      </c>
      <c r="K1210" s="10" t="b">
        <f>Github!M$252</f>
        <v>1</v>
      </c>
      <c r="L1210" s="10" t="b">
        <f>Github!N$252</f>
        <v>0</v>
      </c>
      <c r="M1210" s="10" t="str">
        <f>ROUND(Github!O$252, 2)&amp;"%"</f>
        <v>47.93%</v>
      </c>
      <c r="N1210" s="10">
        <f>Github!P$252</f>
        <v>103378</v>
      </c>
      <c r="O1210" s="10">
        <f>Github!Q$252</f>
        <v>215695</v>
      </c>
    </row>
    <row r="1211">
      <c r="A1211" s="10">
        <f>Github!J$472</f>
        <v>471</v>
      </c>
      <c r="B1211" s="11" t="str">
        <f>HYPERLINK(CONCAT("http://leetcode.com/problems/",Github!C$472), Github!B$472)</f>
        <v>Encode String with Shortest Length</v>
      </c>
      <c r="C1211" s="10">
        <f>Github!F$472</f>
        <v>563</v>
      </c>
      <c r="D1211" s="10">
        <f>Github!G$472</f>
        <v>35</v>
      </c>
      <c r="E1211" s="10">
        <f>Github!F$472+Github!G$472</f>
        <v>598</v>
      </c>
      <c r="F1211" s="12">
        <f t="shared" si="1"/>
        <v>16.09</v>
      </c>
      <c r="G1211" s="10" t="str">
        <f>Github!H$472</f>
        <v>Algorithms</v>
      </c>
      <c r="H1211" s="13" t="str">
        <f>SUBSTITUTE(Github!L$472, ";", ", ")</f>
        <v>String, Dynamic Programming, </v>
      </c>
      <c r="I1211" s="10" t="str">
        <f>Github!E$472</f>
        <v>Hard</v>
      </c>
      <c r="J1211" s="10" t="str">
        <f>IF(TRIM(Github!D$472)="TRUE","FALSE","TRUE")</f>
        <v>FALSE</v>
      </c>
      <c r="K1211" s="10" t="b">
        <f>Github!M$472</f>
        <v>0</v>
      </c>
      <c r="L1211" s="10" t="b">
        <f>Github!N$472</f>
        <v>0</v>
      </c>
      <c r="M1211" s="10" t="str">
        <f>ROUND(Github!O$472, 2)&amp;"%"</f>
        <v>50.63%</v>
      </c>
      <c r="N1211" s="10">
        <f>Github!P$472</f>
        <v>27718</v>
      </c>
      <c r="O1211" s="10">
        <f>Github!Q$472</f>
        <v>54742</v>
      </c>
    </row>
    <row r="1212">
      <c r="A1212" s="10">
        <f>Github!J$66</f>
        <v>65</v>
      </c>
      <c r="B1212" s="11" t="str">
        <f>HYPERLINK(CONCAT("http://leetcode.com/problems/",Github!C$66), Github!B$66)</f>
        <v>Valid Number</v>
      </c>
      <c r="C1212" s="10">
        <f>Github!F$66</f>
        <v>573</v>
      </c>
      <c r="D1212" s="10">
        <f>Github!G$66</f>
        <v>1017</v>
      </c>
      <c r="E1212" s="10">
        <f>Github!F$66+Github!G$66</f>
        <v>1590</v>
      </c>
      <c r="F1212" s="12">
        <f t="shared" si="1"/>
        <v>0.56</v>
      </c>
      <c r="G1212" s="10" t="str">
        <f>Github!H$66</f>
        <v>Algorithms</v>
      </c>
      <c r="H1212" s="13" t="str">
        <f>SUBSTITUTE(Github!L$66, ";", ", ")</f>
        <v>String, </v>
      </c>
      <c r="I1212" s="10" t="str">
        <f>Github!E$66</f>
        <v>Hard</v>
      </c>
      <c r="J1212" s="10" t="str">
        <f>IF(TRIM(Github!D$66)="TRUE","FALSE","TRUE")</f>
        <v>TRUE</v>
      </c>
      <c r="K1212" s="10" t="b">
        <f>Github!M$66</f>
        <v>1</v>
      </c>
      <c r="L1212" s="10" t="b">
        <f>Github!N$66</f>
        <v>0</v>
      </c>
      <c r="M1212" s="10" t="str">
        <f>ROUND(Github!O$66, 2)&amp;"%"</f>
        <v>18.16%</v>
      </c>
      <c r="N1212" s="10">
        <f>Github!P$66</f>
        <v>270683</v>
      </c>
      <c r="O1212" s="10">
        <f>Github!Q$66</f>
        <v>1490569</v>
      </c>
    </row>
    <row r="1213">
      <c r="A1213" s="10">
        <f>Github!J$1825</f>
        <v>1824</v>
      </c>
      <c r="B1213" s="11" t="str">
        <f>HYPERLINK(CONCAT("http://leetcode.com/problems/",Github!C$1825), Github!B$1825)</f>
        <v>Minimum Sideway Jumps</v>
      </c>
      <c r="C1213" s="10">
        <f>Github!F$1825</f>
        <v>567</v>
      </c>
      <c r="D1213" s="10">
        <f>Github!G$1825</f>
        <v>28</v>
      </c>
      <c r="E1213" s="10">
        <f>Github!F$1825+Github!G$1825</f>
        <v>595</v>
      </c>
      <c r="F1213" s="12">
        <f t="shared" si="1"/>
        <v>20.25</v>
      </c>
      <c r="G1213" s="10" t="str">
        <f>Github!H$1825</f>
        <v>Algorithms</v>
      </c>
      <c r="H1213" s="13" t="str">
        <f>SUBSTITUTE(Github!L$1825, ";", ", ")</f>
        <v>Array, Dynamic Programming, Greedy, </v>
      </c>
      <c r="I1213" s="10" t="str">
        <f>Github!E$1825</f>
        <v>Medium</v>
      </c>
      <c r="J1213" s="10" t="str">
        <f>IF(TRIM(Github!D$1825)="TRUE","FALSE","TRUE")</f>
        <v>TRUE</v>
      </c>
      <c r="K1213" s="10" t="b">
        <f>Github!M$1825</f>
        <v>0</v>
      </c>
      <c r="L1213" s="10" t="b">
        <f>Github!N$1825</f>
        <v>0</v>
      </c>
      <c r="M1213" s="10" t="str">
        <f>ROUND(Github!O$1825, 2)&amp;"%"</f>
        <v>49.25%</v>
      </c>
      <c r="N1213" s="10">
        <f>Github!P$1825</f>
        <v>16192</v>
      </c>
      <c r="O1213" s="10">
        <f>Github!Q$1825</f>
        <v>32879</v>
      </c>
    </row>
    <row r="1214">
      <c r="A1214" s="10">
        <f>Github!J$1877</f>
        <v>1876</v>
      </c>
      <c r="B1214" s="11" t="str">
        <f>HYPERLINK(CONCAT("http://leetcode.com/problems/",Github!C$1877), Github!B$1877)</f>
        <v>Substrings of Size Three with Distinct Characters</v>
      </c>
      <c r="C1214" s="10">
        <f>Github!F$1877</f>
        <v>565</v>
      </c>
      <c r="D1214" s="10">
        <f>Github!G$1877</f>
        <v>19</v>
      </c>
      <c r="E1214" s="10">
        <f>Github!F$1877+Github!G$1877</f>
        <v>584</v>
      </c>
      <c r="F1214" s="12">
        <f t="shared" si="1"/>
        <v>29.74</v>
      </c>
      <c r="G1214" s="10" t="str">
        <f>Github!H$1877</f>
        <v>Algorithms</v>
      </c>
      <c r="H1214" s="13" t="str">
        <f>SUBSTITUTE(Github!L$1877, ";", ", ")</f>
        <v>Hash Table, String, Sliding Window, Counting, </v>
      </c>
      <c r="I1214" s="10" t="str">
        <f>Github!E$1877</f>
        <v>Easy</v>
      </c>
      <c r="J1214" s="10" t="str">
        <f>IF(TRIM(Github!D$1877)="TRUE","FALSE","TRUE")</f>
        <v>TRUE</v>
      </c>
      <c r="K1214" s="10" t="b">
        <f>Github!M$1877</f>
        <v>0</v>
      </c>
      <c r="L1214" s="10" t="b">
        <f>Github!N$1877</f>
        <v>0</v>
      </c>
      <c r="M1214" s="10" t="str">
        <f>ROUND(Github!O$1877, 2)&amp;"%"</f>
        <v>69.67%</v>
      </c>
      <c r="N1214" s="10">
        <f>Github!P$1877</f>
        <v>41082</v>
      </c>
      <c r="O1214" s="10">
        <f>Github!Q$1877</f>
        <v>58963</v>
      </c>
    </row>
    <row r="1215">
      <c r="A1215" s="10">
        <f>Github!J$282</f>
        <v>281</v>
      </c>
      <c r="B1215" s="11" t="str">
        <f>HYPERLINK(CONCAT("http://leetcode.com/problems/",Github!C$282), Github!B$282)</f>
        <v>Zigzag Iterator</v>
      </c>
      <c r="C1215" s="10">
        <f>Github!F$282</f>
        <v>564</v>
      </c>
      <c r="D1215" s="10">
        <f>Github!G$282</f>
        <v>30</v>
      </c>
      <c r="E1215" s="10">
        <f>Github!F$282+Github!G$282</f>
        <v>594</v>
      </c>
      <c r="F1215" s="12">
        <f t="shared" si="1"/>
        <v>18.8</v>
      </c>
      <c r="G1215" s="10" t="str">
        <f>Github!H$282</f>
        <v>Algorithms</v>
      </c>
      <c r="H1215" s="13" t="str">
        <f>SUBSTITUTE(Github!L$282, ";", ", ")</f>
        <v>Array, Design, Queue, Iterator, </v>
      </c>
      <c r="I1215" s="10" t="str">
        <f>Github!E$282</f>
        <v>Medium</v>
      </c>
      <c r="J1215" s="10" t="str">
        <f>IF(TRIM(Github!D$282)="TRUE","FALSE","TRUE")</f>
        <v>FALSE</v>
      </c>
      <c r="K1215" s="10" t="b">
        <f>Github!M$282</f>
        <v>1</v>
      </c>
      <c r="L1215" s="10" t="b">
        <f>Github!N$282</f>
        <v>0</v>
      </c>
      <c r="M1215" s="10" t="str">
        <f>ROUND(Github!O$282, 2)&amp;"%"</f>
        <v>61.49%</v>
      </c>
      <c r="N1215" s="10">
        <f>Github!P$282</f>
        <v>79906</v>
      </c>
      <c r="O1215" s="10">
        <f>Github!Q$282</f>
        <v>129960</v>
      </c>
    </row>
    <row r="1216">
      <c r="A1216" s="10">
        <f>Github!J$723</f>
        <v>722</v>
      </c>
      <c r="B1216" s="11" t="str">
        <f>HYPERLINK(CONCAT("http://leetcode.com/problems/",Github!C$723), Github!B$723)</f>
        <v>Remove Comments</v>
      </c>
      <c r="C1216" s="10">
        <f>Github!F$723</f>
        <v>559</v>
      </c>
      <c r="D1216" s="10">
        <f>Github!G$723</f>
        <v>1488</v>
      </c>
      <c r="E1216" s="10">
        <f>Github!F$723+Github!G$723</f>
        <v>2047</v>
      </c>
      <c r="F1216" s="12">
        <f t="shared" si="1"/>
        <v>0.38</v>
      </c>
      <c r="G1216" s="10" t="str">
        <f>Github!H$723</f>
        <v>Algorithms</v>
      </c>
      <c r="H1216" s="13" t="str">
        <f>SUBSTITUTE(Github!L$723, ";", ", ")</f>
        <v>Array, String, </v>
      </c>
      <c r="I1216" s="10" t="str">
        <f>Github!E$723</f>
        <v>Medium</v>
      </c>
      <c r="J1216" s="10" t="str">
        <f>IF(TRIM(Github!D$723)="TRUE","FALSE","TRUE")</f>
        <v>TRUE</v>
      </c>
      <c r="K1216" s="10" t="b">
        <f>Github!M$723</f>
        <v>0</v>
      </c>
      <c r="L1216" s="10" t="b">
        <f>Github!N$723</f>
        <v>0</v>
      </c>
      <c r="M1216" s="10" t="str">
        <f>ROUND(Github!O$723, 2)&amp;"%"</f>
        <v>37.37%</v>
      </c>
      <c r="N1216" s="10">
        <f>Github!P$723</f>
        <v>53921</v>
      </c>
      <c r="O1216" s="10">
        <f>Github!Q$723</f>
        <v>144291</v>
      </c>
    </row>
    <row r="1217">
      <c r="A1217" s="10">
        <f>Github!J$2009</f>
        <v>2008</v>
      </c>
      <c r="B1217" s="11" t="str">
        <f>HYPERLINK(CONCAT("http://leetcode.com/problems/",Github!C$2009), Github!B$2009)</f>
        <v>Maximum Earnings From Taxi</v>
      </c>
      <c r="C1217" s="10">
        <f>Github!F$2009</f>
        <v>563</v>
      </c>
      <c r="D1217" s="10">
        <f>Github!G$2009</f>
        <v>11</v>
      </c>
      <c r="E1217" s="10">
        <f>Github!F$2009+Github!G$2009</f>
        <v>574</v>
      </c>
      <c r="F1217" s="12">
        <f t="shared" si="1"/>
        <v>51.18</v>
      </c>
      <c r="G1217" s="10" t="str">
        <f>Github!H$2009</f>
        <v>Algorithms</v>
      </c>
      <c r="H1217" s="13" t="str">
        <f>SUBSTITUTE(Github!L$2009, ";", ", ")</f>
        <v>Array, Binary Search, Dynamic Programming, Sorting, </v>
      </c>
      <c r="I1217" s="10" t="str">
        <f>Github!E$2009</f>
        <v>Medium</v>
      </c>
      <c r="J1217" s="10" t="str">
        <f>IF(TRIM(Github!D$2009)="TRUE","FALSE","TRUE")</f>
        <v>TRUE</v>
      </c>
      <c r="K1217" s="10" t="b">
        <f>Github!M$2009</f>
        <v>0</v>
      </c>
      <c r="L1217" s="10" t="b">
        <f>Github!N$2009</f>
        <v>0</v>
      </c>
      <c r="M1217" s="10" t="str">
        <f>ROUND(Github!O$2009, 2)&amp;"%"</f>
        <v>42.6%</v>
      </c>
      <c r="N1217" s="10">
        <f>Github!P$2009</f>
        <v>12302</v>
      </c>
      <c r="O1217" s="10">
        <f>Github!Q$2009</f>
        <v>28881</v>
      </c>
    </row>
    <row r="1218">
      <c r="A1218" s="10">
        <f>Github!J$900</f>
        <v>899</v>
      </c>
      <c r="B1218" s="11" t="str">
        <f>HYPERLINK(CONCAT("http://leetcode.com/problems/",Github!C$900), Github!B$900)</f>
        <v>Orderly Queue</v>
      </c>
      <c r="C1218" s="10">
        <f>Github!F$900</f>
        <v>558</v>
      </c>
      <c r="D1218" s="10">
        <f>Github!G$900</f>
        <v>355</v>
      </c>
      <c r="E1218" s="10">
        <f>Github!F$900+Github!G$900</f>
        <v>913</v>
      </c>
      <c r="F1218" s="12">
        <f t="shared" si="1"/>
        <v>1.57</v>
      </c>
      <c r="G1218" s="10" t="str">
        <f>Github!H$900</f>
        <v>Algorithms</v>
      </c>
      <c r="H1218" s="13" t="str">
        <f>SUBSTITUTE(Github!L$900, ";", ", ")</f>
        <v>Math, String, Sorting, </v>
      </c>
      <c r="I1218" s="10" t="str">
        <f>Github!E$900</f>
        <v>Hard</v>
      </c>
      <c r="J1218" s="10" t="str">
        <f>IF(TRIM(Github!D$900)="TRUE","FALSE","TRUE")</f>
        <v>TRUE</v>
      </c>
      <c r="K1218" s="10" t="b">
        <f>Github!M$900</f>
        <v>1</v>
      </c>
      <c r="L1218" s="10" t="b">
        <f>Github!N$900</f>
        <v>0</v>
      </c>
      <c r="M1218" s="10" t="str">
        <f>ROUND(Github!O$900, 2)&amp;"%"</f>
        <v>58.52%</v>
      </c>
      <c r="N1218" s="10">
        <f>Github!P$900</f>
        <v>25775</v>
      </c>
      <c r="O1218" s="10">
        <f>Github!Q$900</f>
        <v>44046</v>
      </c>
    </row>
    <row r="1219">
      <c r="A1219" s="10">
        <f>Github!J$1899</f>
        <v>1898</v>
      </c>
      <c r="B1219" s="11" t="str">
        <f>HYPERLINK(CONCAT("http://leetcode.com/problems/",Github!C$1899), Github!B$1899)</f>
        <v>Maximum Number of Removable Characters</v>
      </c>
      <c r="C1219" s="10">
        <f>Github!F$1899</f>
        <v>561</v>
      </c>
      <c r="D1219" s="10">
        <f>Github!G$1899</f>
        <v>63</v>
      </c>
      <c r="E1219" s="10">
        <f>Github!F$1899+Github!G$1899</f>
        <v>624</v>
      </c>
      <c r="F1219" s="12">
        <f t="shared" si="1"/>
        <v>8.9</v>
      </c>
      <c r="G1219" s="10" t="str">
        <f>Github!H$1899</f>
        <v>Algorithms</v>
      </c>
      <c r="H1219" s="13" t="str">
        <f>SUBSTITUTE(Github!L$1899, ";", ", ")</f>
        <v>Array, String, Binary Search, </v>
      </c>
      <c r="I1219" s="10" t="str">
        <f>Github!E$1899</f>
        <v>Medium</v>
      </c>
      <c r="J1219" s="10" t="str">
        <f>IF(TRIM(Github!D$1899)="TRUE","FALSE","TRUE")</f>
        <v>TRUE</v>
      </c>
      <c r="K1219" s="10" t="b">
        <f>Github!M$1899</f>
        <v>0</v>
      </c>
      <c r="L1219" s="10" t="b">
        <f>Github!N$1899</f>
        <v>0</v>
      </c>
      <c r="M1219" s="10" t="str">
        <f>ROUND(Github!O$1899, 2)&amp;"%"</f>
        <v>36.69%</v>
      </c>
      <c r="N1219" s="10">
        <f>Github!P$1899</f>
        <v>13196</v>
      </c>
      <c r="O1219" s="10">
        <f>Github!Q$1899</f>
        <v>35971</v>
      </c>
    </row>
    <row r="1220">
      <c r="A1220" s="10">
        <f>Github!J$1350</f>
        <v>1349</v>
      </c>
      <c r="B1220" s="11" t="str">
        <f>HYPERLINK(CONCAT("http://leetcode.com/problems/",Github!C$1350), Github!B$1350)</f>
        <v>Maximum Students Taking Exam</v>
      </c>
      <c r="C1220" s="10">
        <f>Github!F$1350</f>
        <v>558</v>
      </c>
      <c r="D1220" s="10">
        <f>Github!G$1350</f>
        <v>11</v>
      </c>
      <c r="E1220" s="10">
        <f>Github!F$1350+Github!G$1350</f>
        <v>569</v>
      </c>
      <c r="F1220" s="12">
        <f t="shared" si="1"/>
        <v>50.73</v>
      </c>
      <c r="G1220" s="10" t="str">
        <f>Github!H$1350</f>
        <v>Algorithms</v>
      </c>
      <c r="H1220" s="13" t="str">
        <f>SUBSTITUTE(Github!L$1350, ";", ", ")</f>
        <v>Array, Dynamic Programming, Bit Manipulation, Matrix, Bitmask, </v>
      </c>
      <c r="I1220" s="10" t="str">
        <f>Github!E$1350</f>
        <v>Hard</v>
      </c>
      <c r="J1220" s="10" t="str">
        <f>IF(TRIM(Github!D$1350)="TRUE","FALSE","TRUE")</f>
        <v>TRUE</v>
      </c>
      <c r="K1220" s="10" t="b">
        <f>Github!M$1350</f>
        <v>0</v>
      </c>
      <c r="L1220" s="10" t="b">
        <f>Github!N$1350</f>
        <v>0</v>
      </c>
      <c r="M1220" s="10" t="str">
        <f>ROUND(Github!O$1350, 2)&amp;"%"</f>
        <v>46.85%</v>
      </c>
      <c r="N1220" s="10">
        <f>Github!P$1350</f>
        <v>9976</v>
      </c>
      <c r="O1220" s="10">
        <f>Github!Q$1350</f>
        <v>21295</v>
      </c>
    </row>
    <row r="1221">
      <c r="A1221" s="10">
        <f>Github!J$361</f>
        <v>360</v>
      </c>
      <c r="B1221" s="11" t="str">
        <f>HYPERLINK(CONCAT("http://leetcode.com/problems/",Github!C$361), Github!B$361)</f>
        <v>Sort Transformed Array</v>
      </c>
      <c r="C1221" s="10">
        <f>Github!F$361</f>
        <v>561</v>
      </c>
      <c r="D1221" s="10">
        <f>Github!G$361</f>
        <v>160</v>
      </c>
      <c r="E1221" s="10">
        <f>Github!F$361+Github!G$361</f>
        <v>721</v>
      </c>
      <c r="F1221" s="12">
        <f t="shared" si="1"/>
        <v>3.51</v>
      </c>
      <c r="G1221" s="10" t="str">
        <f>Github!H$361</f>
        <v>Algorithms</v>
      </c>
      <c r="H1221" s="13" t="str">
        <f>SUBSTITUTE(Github!L$361, ";", ", ")</f>
        <v>Array, Math, Two Pointers, Sorting, </v>
      </c>
      <c r="I1221" s="10" t="str">
        <f>Github!E$361</f>
        <v>Medium</v>
      </c>
      <c r="J1221" s="10" t="str">
        <f>IF(TRIM(Github!D$361)="TRUE","FALSE","TRUE")</f>
        <v>FALSE</v>
      </c>
      <c r="K1221" s="10" t="b">
        <f>Github!M$361</f>
        <v>0</v>
      </c>
      <c r="L1221" s="10" t="b">
        <f>Github!N$361</f>
        <v>0</v>
      </c>
      <c r="M1221" s="10" t="str">
        <f>ROUND(Github!O$361, 2)&amp;"%"</f>
        <v>53.48%</v>
      </c>
      <c r="N1221" s="10">
        <f>Github!P$361</f>
        <v>53689</v>
      </c>
      <c r="O1221" s="10">
        <f>Github!Q$361</f>
        <v>100387</v>
      </c>
    </row>
    <row r="1222">
      <c r="A1222" s="10">
        <f>Github!J$1883</f>
        <v>1882</v>
      </c>
      <c r="B1222" s="11" t="str">
        <f>HYPERLINK(CONCAT("http://leetcode.com/problems/",Github!C$1883), Github!B$1883)</f>
        <v>Process Tasks Using Servers</v>
      </c>
      <c r="C1222" s="10">
        <f>Github!F$1883</f>
        <v>560</v>
      </c>
      <c r="D1222" s="10">
        <f>Github!G$1883</f>
        <v>168</v>
      </c>
      <c r="E1222" s="10">
        <f>Github!F$1883+Github!G$1883</f>
        <v>728</v>
      </c>
      <c r="F1222" s="12">
        <f t="shared" si="1"/>
        <v>3.33</v>
      </c>
      <c r="G1222" s="10" t="str">
        <f>Github!H$1883</f>
        <v>Algorithms</v>
      </c>
      <c r="H1222" s="13" t="str">
        <f>SUBSTITUTE(Github!L$1883, ";", ", ")</f>
        <v>Array, Heap (Priority Queue), </v>
      </c>
      <c r="I1222" s="10" t="str">
        <f>Github!E$1883</f>
        <v>Medium</v>
      </c>
      <c r="J1222" s="10" t="str">
        <f>IF(TRIM(Github!D$1883)="TRUE","FALSE","TRUE")</f>
        <v>TRUE</v>
      </c>
      <c r="K1222" s="10" t="b">
        <f>Github!M$1883</f>
        <v>0</v>
      </c>
      <c r="L1222" s="10" t="b">
        <f>Github!N$1883</f>
        <v>0</v>
      </c>
      <c r="M1222" s="10" t="str">
        <f>ROUND(Github!O$1883, 2)&amp;"%"</f>
        <v>37.42%</v>
      </c>
      <c r="N1222" s="10">
        <f>Github!P$1883</f>
        <v>16947</v>
      </c>
      <c r="O1222" s="10">
        <f>Github!Q$1883</f>
        <v>45290</v>
      </c>
    </row>
    <row r="1223">
      <c r="A1223" s="10">
        <f>Github!J$441</f>
        <v>440</v>
      </c>
      <c r="B1223" s="11" t="str">
        <f>HYPERLINK(CONCAT("http://leetcode.com/problems/",Github!C$441), Github!B$441)</f>
        <v>K-th Smallest in Lexicographical Order</v>
      </c>
      <c r="C1223" s="10">
        <f>Github!F$441</f>
        <v>555</v>
      </c>
      <c r="D1223" s="10">
        <f>Github!G$441</f>
        <v>73</v>
      </c>
      <c r="E1223" s="10">
        <f>Github!F$441+Github!G$441</f>
        <v>628</v>
      </c>
      <c r="F1223" s="12">
        <f t="shared" si="1"/>
        <v>7.6</v>
      </c>
      <c r="G1223" s="10" t="str">
        <f>Github!H$441</f>
        <v>Algorithms</v>
      </c>
      <c r="H1223" s="13" t="str">
        <f>SUBSTITUTE(Github!L$441, ";", ", ")</f>
        <v>Trie, </v>
      </c>
      <c r="I1223" s="10" t="str">
        <f>Github!E$441</f>
        <v>Hard</v>
      </c>
      <c r="J1223" s="10" t="str">
        <f>IF(TRIM(Github!D$441)="TRUE","FALSE","TRUE")</f>
        <v>TRUE</v>
      </c>
      <c r="K1223" s="10" t="b">
        <f>Github!M$441</f>
        <v>0</v>
      </c>
      <c r="L1223" s="10" t="b">
        <f>Github!N$441</f>
        <v>0</v>
      </c>
      <c r="M1223" s="10" t="str">
        <f>ROUND(Github!O$441, 2)&amp;"%"</f>
        <v>30.53%</v>
      </c>
      <c r="N1223" s="10">
        <f>Github!P$441</f>
        <v>17476</v>
      </c>
      <c r="O1223" s="10">
        <f>Github!Q$441</f>
        <v>57248</v>
      </c>
    </row>
    <row r="1224">
      <c r="A1224" s="10">
        <f>Github!J$1753</f>
        <v>1752</v>
      </c>
      <c r="B1224" s="11" t="str">
        <f>HYPERLINK(CONCAT("http://leetcode.com/problems/",Github!C$1753), Github!B$1753)</f>
        <v>Check if Array Is Sorted and Rotated</v>
      </c>
      <c r="C1224" s="10">
        <f>Github!F$1753</f>
        <v>560</v>
      </c>
      <c r="D1224" s="10">
        <f>Github!G$1753</f>
        <v>48</v>
      </c>
      <c r="E1224" s="10">
        <f>Github!F$1753+Github!G$1753</f>
        <v>608</v>
      </c>
      <c r="F1224" s="12">
        <f t="shared" si="1"/>
        <v>11.67</v>
      </c>
      <c r="G1224" s="10" t="str">
        <f>Github!H$1753</f>
        <v>Algorithms</v>
      </c>
      <c r="H1224" s="13" t="str">
        <f>SUBSTITUTE(Github!L$1753, ";", ", ")</f>
        <v>Array, </v>
      </c>
      <c r="I1224" s="10" t="str">
        <f>Github!E$1753</f>
        <v>Easy</v>
      </c>
      <c r="J1224" s="10" t="str">
        <f>IF(TRIM(Github!D$1753)="TRUE","FALSE","TRUE")</f>
        <v>TRUE</v>
      </c>
      <c r="K1224" s="10" t="b">
        <f>Github!M$1753</f>
        <v>0</v>
      </c>
      <c r="L1224" s="10" t="b">
        <f>Github!N$1753</f>
        <v>0</v>
      </c>
      <c r="M1224" s="10" t="str">
        <f>ROUND(Github!O$1753, 2)&amp;"%"</f>
        <v>47.89%</v>
      </c>
      <c r="N1224" s="10">
        <f>Github!P$1753</f>
        <v>34172</v>
      </c>
      <c r="O1224" s="10">
        <f>Github!Q$1753</f>
        <v>71362</v>
      </c>
    </row>
    <row r="1225">
      <c r="A1225" s="10">
        <f>Github!J$1862</f>
        <v>1861</v>
      </c>
      <c r="B1225" s="11" t="str">
        <f>HYPERLINK(CONCAT("http://leetcode.com/problems/",Github!C$1862), Github!B$1862)</f>
        <v>Rotating the Box</v>
      </c>
      <c r="C1225" s="10">
        <f>Github!F$1862</f>
        <v>557</v>
      </c>
      <c r="D1225" s="10">
        <f>Github!G$1862</f>
        <v>35</v>
      </c>
      <c r="E1225" s="10">
        <f>Github!F$1862+Github!G$1862</f>
        <v>592</v>
      </c>
      <c r="F1225" s="12">
        <f t="shared" si="1"/>
        <v>15.91</v>
      </c>
      <c r="G1225" s="10" t="str">
        <f>Github!H$1862</f>
        <v>Algorithms</v>
      </c>
      <c r="H1225" s="13" t="str">
        <f>SUBSTITUTE(Github!L$1862, ";", ", ")</f>
        <v>Array, Two Pointers, Matrix, </v>
      </c>
      <c r="I1225" s="10" t="str">
        <f>Github!E$1862</f>
        <v>Medium</v>
      </c>
      <c r="J1225" s="10" t="str">
        <f>IF(TRIM(Github!D$1862)="TRUE","FALSE","TRUE")</f>
        <v>TRUE</v>
      </c>
      <c r="K1225" s="10" t="b">
        <f>Github!M$1862</f>
        <v>0</v>
      </c>
      <c r="L1225" s="10" t="b">
        <f>Github!N$1862</f>
        <v>0</v>
      </c>
      <c r="M1225" s="10" t="str">
        <f>ROUND(Github!O$1862, 2)&amp;"%"</f>
        <v>64.52%</v>
      </c>
      <c r="N1225" s="10">
        <f>Github!P$1862</f>
        <v>26217</v>
      </c>
      <c r="O1225" s="10">
        <f>Github!Q$1862</f>
        <v>40632</v>
      </c>
    </row>
    <row r="1226">
      <c r="A1226" s="10">
        <f>Github!J$588</f>
        <v>587</v>
      </c>
      <c r="B1226" s="11" t="str">
        <f>HYPERLINK(CONCAT("http://leetcode.com/problems/",Github!C$588), Github!B$588)</f>
        <v>Erect the Fence</v>
      </c>
      <c r="C1226" s="10">
        <f>Github!F$588</f>
        <v>553</v>
      </c>
      <c r="D1226" s="10">
        <f>Github!G$588</f>
        <v>346</v>
      </c>
      <c r="E1226" s="10">
        <f>Github!F$588+Github!G$588</f>
        <v>899</v>
      </c>
      <c r="F1226" s="12">
        <f t="shared" si="1"/>
        <v>1.6</v>
      </c>
      <c r="G1226" s="10" t="str">
        <f>Github!H$588</f>
        <v>Algorithms</v>
      </c>
      <c r="H1226" s="13" t="str">
        <f>SUBSTITUTE(Github!L$588, ";", ", ")</f>
        <v>Array, Math, Geometry, </v>
      </c>
      <c r="I1226" s="10" t="str">
        <f>Github!E$588</f>
        <v>Hard</v>
      </c>
      <c r="J1226" s="10" t="str">
        <f>IF(TRIM(Github!D$588)="TRUE","FALSE","TRUE")</f>
        <v>TRUE</v>
      </c>
      <c r="K1226" s="10" t="b">
        <f>Github!M$588</f>
        <v>1</v>
      </c>
      <c r="L1226" s="10" t="b">
        <f>Github!N$588</f>
        <v>0</v>
      </c>
      <c r="M1226" s="10" t="str">
        <f>ROUND(Github!O$588, 2)&amp;"%"</f>
        <v>43.26%</v>
      </c>
      <c r="N1226" s="10">
        <f>Github!P$588</f>
        <v>24248</v>
      </c>
      <c r="O1226" s="10">
        <f>Github!Q$588</f>
        <v>56057</v>
      </c>
    </row>
    <row r="1227">
      <c r="A1227" s="10">
        <f>Github!J$2135</f>
        <v>2134</v>
      </c>
      <c r="B1227" s="11" t="str">
        <f>HYPERLINK(CONCAT("http://leetcode.com/problems/",Github!C$2135), Github!B$2135)</f>
        <v>Minimum Swaps to Group All 1's Together II</v>
      </c>
      <c r="C1227" s="10">
        <f>Github!F$2135</f>
        <v>553</v>
      </c>
      <c r="D1227" s="10">
        <f>Github!G$2135</f>
        <v>6</v>
      </c>
      <c r="E1227" s="10">
        <f>Github!F$2135+Github!G$2135</f>
        <v>559</v>
      </c>
      <c r="F1227" s="12">
        <f t="shared" si="1"/>
        <v>92.17</v>
      </c>
      <c r="G1227" s="10" t="str">
        <f>Github!H$2135</f>
        <v>Algorithms</v>
      </c>
      <c r="H1227" s="13" t="str">
        <f>SUBSTITUTE(Github!L$2135, ";", ", ")</f>
        <v>Array, Sliding Window, </v>
      </c>
      <c r="I1227" s="10" t="str">
        <f>Github!E$2135</f>
        <v>Medium</v>
      </c>
      <c r="J1227" s="10" t="str">
        <f>IF(TRIM(Github!D$2135)="TRUE","FALSE","TRUE")</f>
        <v>TRUE</v>
      </c>
      <c r="K1227" s="10" t="b">
        <f>Github!M$2135</f>
        <v>0</v>
      </c>
      <c r="L1227" s="10" t="b">
        <f>Github!N$2135</f>
        <v>0</v>
      </c>
      <c r="M1227" s="10" t="str">
        <f>ROUND(Github!O$2135, 2)&amp;"%"</f>
        <v>47.82%</v>
      </c>
      <c r="N1227" s="10">
        <f>Github!P$2135</f>
        <v>13413</v>
      </c>
      <c r="O1227" s="10">
        <f>Github!Q$2135</f>
        <v>28048</v>
      </c>
    </row>
    <row r="1228">
      <c r="A1228" s="10">
        <f>Github!J$1594</f>
        <v>1593</v>
      </c>
      <c r="B1228" s="11" t="str">
        <f>HYPERLINK(CONCAT("http://leetcode.com/problems/",Github!C$1594), Github!B$1594)</f>
        <v>Split a String Into the Max Number of Unique Substrings</v>
      </c>
      <c r="C1228" s="10">
        <f>Github!F$1594</f>
        <v>552</v>
      </c>
      <c r="D1228" s="10">
        <f>Github!G$1594</f>
        <v>24</v>
      </c>
      <c r="E1228" s="10">
        <f>Github!F$1594+Github!G$1594</f>
        <v>576</v>
      </c>
      <c r="F1228" s="12">
        <f t="shared" si="1"/>
        <v>23</v>
      </c>
      <c r="G1228" s="10" t="str">
        <f>Github!H$1594</f>
        <v>Algorithms</v>
      </c>
      <c r="H1228" s="13" t="str">
        <f>SUBSTITUTE(Github!L$1594, ";", ", ")</f>
        <v>Hash Table, String, Backtracking, </v>
      </c>
      <c r="I1228" s="10" t="str">
        <f>Github!E$1594</f>
        <v>Medium</v>
      </c>
      <c r="J1228" s="10" t="str">
        <f>IF(TRIM(Github!D$1594)="TRUE","FALSE","TRUE")</f>
        <v>TRUE</v>
      </c>
      <c r="K1228" s="10" t="b">
        <f>Github!M$1594</f>
        <v>0</v>
      </c>
      <c r="L1228" s="10" t="b">
        <f>Github!N$1594</f>
        <v>0</v>
      </c>
      <c r="M1228" s="10" t="str">
        <f>ROUND(Github!O$1594, 2)&amp;"%"</f>
        <v>54.27%</v>
      </c>
      <c r="N1228" s="10">
        <f>Github!P$1594</f>
        <v>20339</v>
      </c>
      <c r="O1228" s="10">
        <f>Github!Q$1594</f>
        <v>37481</v>
      </c>
    </row>
    <row r="1229">
      <c r="A1229" s="10">
        <f>Github!J$508</f>
        <v>507</v>
      </c>
      <c r="B1229" s="11" t="str">
        <f>HYPERLINK(CONCAT("http://leetcode.com/problems/",Github!C$508), Github!B$508)</f>
        <v>Perfect Number</v>
      </c>
      <c r="C1229" s="10">
        <f>Github!F$508</f>
        <v>550</v>
      </c>
      <c r="D1229" s="10">
        <f>Github!G$508</f>
        <v>838</v>
      </c>
      <c r="E1229" s="10">
        <f>Github!F$508+Github!G$508</f>
        <v>1388</v>
      </c>
      <c r="F1229" s="12">
        <f t="shared" si="1"/>
        <v>0.66</v>
      </c>
      <c r="G1229" s="10" t="str">
        <f>Github!H$508</f>
        <v>Algorithms</v>
      </c>
      <c r="H1229" s="13" t="str">
        <f>SUBSTITUTE(Github!L$508, ";", ", ")</f>
        <v>Math, </v>
      </c>
      <c r="I1229" s="10" t="str">
        <f>Github!E$508</f>
        <v>Easy</v>
      </c>
      <c r="J1229" s="10" t="str">
        <f>IF(TRIM(Github!D$508)="TRUE","FALSE","TRUE")</f>
        <v>TRUE</v>
      </c>
      <c r="K1229" s="10" t="b">
        <f>Github!M$508</f>
        <v>1</v>
      </c>
      <c r="L1229" s="10" t="b">
        <f>Github!N$508</f>
        <v>0</v>
      </c>
      <c r="M1229" s="10" t="str">
        <f>ROUND(Github!O$508, 2)&amp;"%"</f>
        <v>37.58%</v>
      </c>
      <c r="N1229" s="10">
        <f>Github!P$508</f>
        <v>101911</v>
      </c>
      <c r="O1229" s="10">
        <f>Github!Q$508</f>
        <v>271166</v>
      </c>
    </row>
    <row r="1230">
      <c r="A1230" s="10">
        <f>Github!J$950</f>
        <v>949</v>
      </c>
      <c r="B1230" s="11" t="str">
        <f>HYPERLINK(CONCAT("http://leetcode.com/problems/",Github!C$950), Github!B$950)</f>
        <v>Largest Time for Given Digits</v>
      </c>
      <c r="C1230" s="10">
        <f>Github!F$950</f>
        <v>547</v>
      </c>
      <c r="D1230" s="10">
        <f>Github!G$950</f>
        <v>902</v>
      </c>
      <c r="E1230" s="10">
        <f>Github!F$950+Github!G$950</f>
        <v>1449</v>
      </c>
      <c r="F1230" s="12">
        <f t="shared" si="1"/>
        <v>0.61</v>
      </c>
      <c r="G1230" s="10" t="str">
        <f>Github!H$950</f>
        <v>Algorithms</v>
      </c>
      <c r="H1230" s="13" t="str">
        <f>SUBSTITUTE(Github!L$950, ";", ", ")</f>
        <v>String, Enumeration, </v>
      </c>
      <c r="I1230" s="10" t="str">
        <f>Github!E$950</f>
        <v>Medium</v>
      </c>
      <c r="J1230" s="10" t="str">
        <f>IF(TRIM(Github!D$950)="TRUE","FALSE","TRUE")</f>
        <v>TRUE</v>
      </c>
      <c r="K1230" s="10" t="b">
        <f>Github!M$950</f>
        <v>1</v>
      </c>
      <c r="L1230" s="10" t="b">
        <f>Github!N$950</f>
        <v>0</v>
      </c>
      <c r="M1230" s="10" t="str">
        <f>ROUND(Github!O$950, 2)&amp;"%"</f>
        <v>35.43%</v>
      </c>
      <c r="N1230" s="10">
        <f>Github!P$950</f>
        <v>70767</v>
      </c>
      <c r="O1230" s="10">
        <f>Github!Q$950</f>
        <v>199730</v>
      </c>
    </row>
    <row r="1231">
      <c r="A1231" s="10">
        <f>Github!J$1769</f>
        <v>1768</v>
      </c>
      <c r="B1231" s="11" t="str">
        <f>HYPERLINK(CONCAT("http://leetcode.com/problems/",Github!C$1769), Github!B$1769)</f>
        <v>Merge Strings Alternately</v>
      </c>
      <c r="C1231" s="10">
        <f>Github!F$1769</f>
        <v>557</v>
      </c>
      <c r="D1231" s="10">
        <f>Github!G$1769</f>
        <v>8</v>
      </c>
      <c r="E1231" s="10">
        <f>Github!F$1769+Github!G$1769</f>
        <v>565</v>
      </c>
      <c r="F1231" s="12">
        <f t="shared" si="1"/>
        <v>69.63</v>
      </c>
      <c r="G1231" s="10" t="str">
        <f>Github!H$1769</f>
        <v>Algorithms</v>
      </c>
      <c r="H1231" s="13" t="str">
        <f>SUBSTITUTE(Github!L$1769, ";", ", ")</f>
        <v>Two Pointers, String, </v>
      </c>
      <c r="I1231" s="10" t="str">
        <f>Github!E$1769</f>
        <v>Easy</v>
      </c>
      <c r="J1231" s="10" t="str">
        <f>IF(TRIM(Github!D$1769)="TRUE","FALSE","TRUE")</f>
        <v>TRUE</v>
      </c>
      <c r="K1231" s="10" t="b">
        <f>Github!M$1769</f>
        <v>0</v>
      </c>
      <c r="L1231" s="10" t="b">
        <f>Github!N$1769</f>
        <v>0</v>
      </c>
      <c r="M1231" s="10" t="str">
        <f>ROUND(Github!O$1769, 2)&amp;"%"</f>
        <v>75.61%</v>
      </c>
      <c r="N1231" s="10">
        <f>Github!P$1769</f>
        <v>55500</v>
      </c>
      <c r="O1231" s="10">
        <f>Github!Q$1769</f>
        <v>73402</v>
      </c>
    </row>
    <row r="1232">
      <c r="A1232" s="10">
        <f>Github!J$1855</f>
        <v>1854</v>
      </c>
      <c r="B1232" s="11" t="str">
        <f>HYPERLINK(CONCAT("http://leetcode.com/problems/",Github!C$1855), Github!B$1855)</f>
        <v>Maximum Population Year</v>
      </c>
      <c r="C1232" s="10">
        <f>Github!F$1855</f>
        <v>547</v>
      </c>
      <c r="D1232" s="10">
        <f>Github!G$1855</f>
        <v>79</v>
      </c>
      <c r="E1232" s="10">
        <f>Github!F$1855+Github!G$1855</f>
        <v>626</v>
      </c>
      <c r="F1232" s="12">
        <f t="shared" si="1"/>
        <v>6.92</v>
      </c>
      <c r="G1232" s="10" t="str">
        <f>Github!H$1855</f>
        <v>Algorithms</v>
      </c>
      <c r="H1232" s="13" t="str">
        <f>SUBSTITUTE(Github!L$1855, ";", ", ")</f>
        <v>Array, Counting, </v>
      </c>
      <c r="I1232" s="10" t="str">
        <f>Github!E$1855</f>
        <v>Easy</v>
      </c>
      <c r="J1232" s="10" t="str">
        <f>IF(TRIM(Github!D$1855)="TRUE","FALSE","TRUE")</f>
        <v>TRUE</v>
      </c>
      <c r="K1232" s="10" t="b">
        <f>Github!M$1855</f>
        <v>0</v>
      </c>
      <c r="L1232" s="10" t="b">
        <f>Github!N$1855</f>
        <v>0</v>
      </c>
      <c r="M1232" s="10" t="str">
        <f>ROUND(Github!O$1855, 2)&amp;"%"</f>
        <v>58.71%</v>
      </c>
      <c r="N1232" s="10">
        <f>Github!P$1855</f>
        <v>29531</v>
      </c>
      <c r="O1232" s="10">
        <f>Github!Q$1855</f>
        <v>50304</v>
      </c>
    </row>
    <row r="1233">
      <c r="A1233" s="10">
        <f>Github!J$826</f>
        <v>825</v>
      </c>
      <c r="B1233" s="11" t="str">
        <f>HYPERLINK(CONCAT("http://leetcode.com/problems/",Github!C$826), Github!B$826)</f>
        <v>Friends Of Appropriate Ages</v>
      </c>
      <c r="C1233" s="10">
        <f>Github!F$826</f>
        <v>543</v>
      </c>
      <c r="D1233" s="10">
        <f>Github!G$826</f>
        <v>1048</v>
      </c>
      <c r="E1233" s="10">
        <f>Github!F$826+Github!G$826</f>
        <v>1591</v>
      </c>
      <c r="F1233" s="12">
        <f t="shared" si="1"/>
        <v>0.52</v>
      </c>
      <c r="G1233" s="10" t="str">
        <f>Github!H$826</f>
        <v>Algorithms</v>
      </c>
      <c r="H1233" s="13" t="str">
        <f>SUBSTITUTE(Github!L$826, ";", ", ")</f>
        <v>Array, Two Pointers, Binary Search, Sorting, </v>
      </c>
      <c r="I1233" s="10" t="str">
        <f>Github!E$826</f>
        <v>Medium</v>
      </c>
      <c r="J1233" s="10" t="str">
        <f>IF(TRIM(Github!D$826)="TRUE","FALSE","TRUE")</f>
        <v>TRUE</v>
      </c>
      <c r="K1233" s="10" t="b">
        <f>Github!M$826</f>
        <v>0</v>
      </c>
      <c r="L1233" s="10" t="b">
        <f>Github!N$826</f>
        <v>0</v>
      </c>
      <c r="M1233" s="10" t="str">
        <f>ROUND(Github!O$826, 2)&amp;"%"</f>
        <v>45.98%</v>
      </c>
      <c r="N1233" s="10">
        <f>Github!P$826</f>
        <v>63851</v>
      </c>
      <c r="O1233" s="10">
        <f>Github!Q$826</f>
        <v>138876</v>
      </c>
    </row>
    <row r="1234">
      <c r="A1234" s="10">
        <f>Github!J$1024</f>
        <v>1023</v>
      </c>
      <c r="B1234" s="11" t="str">
        <f>HYPERLINK(CONCAT("http://leetcode.com/problems/",Github!C$1024), Github!B$1024)</f>
        <v>Camelcase Matching</v>
      </c>
      <c r="C1234" s="10">
        <f>Github!F$1024</f>
        <v>543</v>
      </c>
      <c r="D1234" s="10">
        <f>Github!G$1024</f>
        <v>220</v>
      </c>
      <c r="E1234" s="10">
        <f>Github!F$1024+Github!G$1024</f>
        <v>763</v>
      </c>
      <c r="F1234" s="12">
        <f t="shared" si="1"/>
        <v>2.47</v>
      </c>
      <c r="G1234" s="10" t="str">
        <f>Github!H$1024</f>
        <v>Algorithms</v>
      </c>
      <c r="H1234" s="13" t="str">
        <f>SUBSTITUTE(Github!L$1024, ";", ", ")</f>
        <v>Two Pointers, String, Trie, String Matching, </v>
      </c>
      <c r="I1234" s="10" t="str">
        <f>Github!E$1024</f>
        <v>Medium</v>
      </c>
      <c r="J1234" s="10" t="str">
        <f>IF(TRIM(Github!D$1024)="TRUE","FALSE","TRUE")</f>
        <v>TRUE</v>
      </c>
      <c r="K1234" s="10" t="b">
        <f>Github!M$1024</f>
        <v>0</v>
      </c>
      <c r="L1234" s="10" t="b">
        <f>Github!N$1024</f>
        <v>0</v>
      </c>
      <c r="M1234" s="10" t="str">
        <f>ROUND(Github!O$1024, 2)&amp;"%"</f>
        <v>59.19%</v>
      </c>
      <c r="N1234" s="10">
        <f>Github!P$1024</f>
        <v>31330</v>
      </c>
      <c r="O1234" s="10">
        <f>Github!Q$1024</f>
        <v>52931</v>
      </c>
    </row>
    <row r="1235">
      <c r="A1235" s="10">
        <f>Github!J$1392</f>
        <v>1391</v>
      </c>
      <c r="B1235" s="11" t="str">
        <f>HYPERLINK(CONCAT("http://leetcode.com/problems/",Github!C$1392), Github!B$1392)</f>
        <v>Check if There is a Valid Path in a Grid</v>
      </c>
      <c r="C1235" s="10">
        <f>Github!F$1392</f>
        <v>543</v>
      </c>
      <c r="D1235" s="10">
        <f>Github!G$1392</f>
        <v>244</v>
      </c>
      <c r="E1235" s="10">
        <f>Github!F$1392+Github!G$1392</f>
        <v>787</v>
      </c>
      <c r="F1235" s="12">
        <f t="shared" si="1"/>
        <v>2.23</v>
      </c>
      <c r="G1235" s="10" t="str">
        <f>Github!H$1392</f>
        <v>Algorithms</v>
      </c>
      <c r="H1235" s="13" t="str">
        <f>SUBSTITUTE(Github!L$1392, ";", ", ")</f>
        <v>Array, Depth-First Search, Breadth-First Search, Union Find, Matrix, </v>
      </c>
      <c r="I1235" s="10" t="str">
        <f>Github!E$1392</f>
        <v>Medium</v>
      </c>
      <c r="J1235" s="10" t="str">
        <f>IF(TRIM(Github!D$1392)="TRUE","FALSE","TRUE")</f>
        <v>TRUE</v>
      </c>
      <c r="K1235" s="10" t="b">
        <f>Github!M$1392</f>
        <v>0</v>
      </c>
      <c r="L1235" s="10" t="b">
        <f>Github!N$1392</f>
        <v>0</v>
      </c>
      <c r="M1235" s="10" t="str">
        <f>ROUND(Github!O$1392, 2)&amp;"%"</f>
        <v>46.55%</v>
      </c>
      <c r="N1235" s="10">
        <f>Github!P$1392</f>
        <v>20588</v>
      </c>
      <c r="O1235" s="10">
        <f>Github!Q$1392</f>
        <v>44226</v>
      </c>
    </row>
    <row r="1236">
      <c r="A1236" s="10">
        <f>Github!J$1088</f>
        <v>1087</v>
      </c>
      <c r="B1236" s="11" t="str">
        <f>HYPERLINK(CONCAT("http://leetcode.com/problems/",Github!C$1088), Github!B$1088)</f>
        <v>Brace Expansion</v>
      </c>
      <c r="C1236" s="10">
        <f>Github!F$1088</f>
        <v>540</v>
      </c>
      <c r="D1236" s="10">
        <f>Github!G$1088</f>
        <v>45</v>
      </c>
      <c r="E1236" s="10">
        <f>Github!F$1088+Github!G$1088</f>
        <v>585</v>
      </c>
      <c r="F1236" s="12">
        <f t="shared" si="1"/>
        <v>12</v>
      </c>
      <c r="G1236" s="10" t="str">
        <f>Github!H$1088</f>
        <v>Algorithms</v>
      </c>
      <c r="H1236" s="13" t="str">
        <f>SUBSTITUTE(Github!L$1088, ";", ", ")</f>
        <v>String, Backtracking, Breadth-First Search, </v>
      </c>
      <c r="I1236" s="10" t="str">
        <f>Github!E$1088</f>
        <v>Medium</v>
      </c>
      <c r="J1236" s="10" t="str">
        <f>IF(TRIM(Github!D$1088)="TRUE","FALSE","TRUE")</f>
        <v>FALSE</v>
      </c>
      <c r="K1236" s="10" t="b">
        <f>Github!M$1088</f>
        <v>1</v>
      </c>
      <c r="L1236" s="10" t="b">
        <f>Github!N$1088</f>
        <v>0</v>
      </c>
      <c r="M1236" s="10" t="str">
        <f>ROUND(Github!O$1088, 2)&amp;"%"</f>
        <v>65.75%</v>
      </c>
      <c r="N1236" s="10">
        <f>Github!P$1088</f>
        <v>42471</v>
      </c>
      <c r="O1236" s="10">
        <f>Github!Q$1088</f>
        <v>64595</v>
      </c>
    </row>
    <row r="1237">
      <c r="A1237" s="10">
        <f>Github!J$1829</f>
        <v>1828</v>
      </c>
      <c r="B1237" s="11" t="str">
        <f>HYPERLINK(CONCAT("http://leetcode.com/problems/",Github!C$1829), Github!B$1829)</f>
        <v>Queries on Number of Points Inside a Circle</v>
      </c>
      <c r="C1237" s="10">
        <f>Github!F$1829</f>
        <v>547</v>
      </c>
      <c r="D1237" s="10">
        <f>Github!G$1829</f>
        <v>54</v>
      </c>
      <c r="E1237" s="10">
        <f>Github!F$1829+Github!G$1829</f>
        <v>601</v>
      </c>
      <c r="F1237" s="12">
        <f t="shared" si="1"/>
        <v>10.13</v>
      </c>
      <c r="G1237" s="10" t="str">
        <f>Github!H$1829</f>
        <v>Algorithms</v>
      </c>
      <c r="H1237" s="13" t="str">
        <f>SUBSTITUTE(Github!L$1829, ";", ", ")</f>
        <v>Array, Math, Geometry, </v>
      </c>
      <c r="I1237" s="10" t="str">
        <f>Github!E$1829</f>
        <v>Medium</v>
      </c>
      <c r="J1237" s="10" t="str">
        <f>IF(TRIM(Github!D$1829)="TRUE","FALSE","TRUE")</f>
        <v>TRUE</v>
      </c>
      <c r="K1237" s="10" t="b">
        <f>Github!M$1829</f>
        <v>0</v>
      </c>
      <c r="L1237" s="10" t="b">
        <f>Github!N$1829</f>
        <v>0</v>
      </c>
      <c r="M1237" s="10" t="str">
        <f>ROUND(Github!O$1829, 2)&amp;"%"</f>
        <v>86.44%</v>
      </c>
      <c r="N1237" s="10">
        <f>Github!P$1829</f>
        <v>38408</v>
      </c>
      <c r="O1237" s="10">
        <f>Github!Q$1829</f>
        <v>44434</v>
      </c>
    </row>
    <row r="1238">
      <c r="A1238" s="10">
        <f>Github!J$1792</f>
        <v>1791</v>
      </c>
      <c r="B1238" s="11" t="str">
        <f>HYPERLINK(CONCAT("http://leetcode.com/problems/",Github!C$1792), Github!B$1792)</f>
        <v>Find Center of Star Graph</v>
      </c>
      <c r="C1238" s="10">
        <f>Github!F$1792</f>
        <v>543</v>
      </c>
      <c r="D1238" s="10">
        <f>Github!G$1792</f>
        <v>73</v>
      </c>
      <c r="E1238" s="10">
        <f>Github!F$1792+Github!G$1792</f>
        <v>616</v>
      </c>
      <c r="F1238" s="12">
        <f t="shared" si="1"/>
        <v>7.44</v>
      </c>
      <c r="G1238" s="10" t="str">
        <f>Github!H$1792</f>
        <v>Algorithms</v>
      </c>
      <c r="H1238" s="13" t="str">
        <f>SUBSTITUTE(Github!L$1792, ";", ", ")</f>
        <v>Graph, </v>
      </c>
      <c r="I1238" s="10" t="str">
        <f>Github!E$1792</f>
        <v>Easy</v>
      </c>
      <c r="J1238" s="10" t="str">
        <f>IF(TRIM(Github!D$1792)="TRUE","FALSE","TRUE")</f>
        <v>TRUE</v>
      </c>
      <c r="K1238" s="10" t="b">
        <f>Github!M$1792</f>
        <v>0</v>
      </c>
      <c r="L1238" s="10" t="b">
        <f>Github!N$1792</f>
        <v>0</v>
      </c>
      <c r="M1238" s="10" t="str">
        <f>ROUND(Github!O$1792, 2)&amp;"%"</f>
        <v>83.65%</v>
      </c>
      <c r="N1238" s="10">
        <f>Github!P$1792</f>
        <v>79809</v>
      </c>
      <c r="O1238" s="10">
        <f>Github!Q$1792</f>
        <v>95412</v>
      </c>
    </row>
    <row r="1239">
      <c r="A1239" s="10">
        <f>Github!J$2141</f>
        <v>2140</v>
      </c>
      <c r="B1239" s="11" t="str">
        <f>HYPERLINK(CONCAT("http://leetcode.com/problems/",Github!C$2141), Github!B$2141)</f>
        <v>Solving Questions With Brainpower</v>
      </c>
      <c r="C1239" s="10">
        <f>Github!F$2141</f>
        <v>541</v>
      </c>
      <c r="D1239" s="10">
        <f>Github!G$2141</f>
        <v>7</v>
      </c>
      <c r="E1239" s="10">
        <f>Github!F$2141+Github!G$2141</f>
        <v>548</v>
      </c>
      <c r="F1239" s="12">
        <f t="shared" si="1"/>
        <v>77.29</v>
      </c>
      <c r="G1239" s="10" t="str">
        <f>Github!H$2141</f>
        <v>Algorithms</v>
      </c>
      <c r="H1239" s="13" t="str">
        <f>SUBSTITUTE(Github!L$2141, ";", ", ")</f>
        <v>Array, Dynamic Programming, </v>
      </c>
      <c r="I1239" s="10" t="str">
        <f>Github!E$2141</f>
        <v>Medium</v>
      </c>
      <c r="J1239" s="10" t="str">
        <f>IF(TRIM(Github!D$2141)="TRUE","FALSE","TRUE")</f>
        <v>TRUE</v>
      </c>
      <c r="K1239" s="10" t="b">
        <f>Github!M$2141</f>
        <v>0</v>
      </c>
      <c r="L1239" s="10" t="b">
        <f>Github!N$2141</f>
        <v>0</v>
      </c>
      <c r="M1239" s="10" t="str">
        <f>ROUND(Github!O$2141, 2)&amp;"%"</f>
        <v>44.42%</v>
      </c>
      <c r="N1239" s="10">
        <f>Github!P$2141</f>
        <v>17993</v>
      </c>
      <c r="O1239" s="10">
        <f>Github!Q$2141</f>
        <v>40504</v>
      </c>
    </row>
    <row r="1240">
      <c r="A1240" s="10">
        <f>Github!J$1389</f>
        <v>1388</v>
      </c>
      <c r="B1240" s="11" t="str">
        <f>HYPERLINK(CONCAT("http://leetcode.com/problems/",Github!C$1389), Github!B$1389)</f>
        <v>Pizza With 3n Slices</v>
      </c>
      <c r="C1240" s="10">
        <f>Github!F$1389</f>
        <v>535</v>
      </c>
      <c r="D1240" s="10">
        <f>Github!G$1389</f>
        <v>10</v>
      </c>
      <c r="E1240" s="10">
        <f>Github!F$1389+Github!G$1389</f>
        <v>545</v>
      </c>
      <c r="F1240" s="12">
        <f t="shared" si="1"/>
        <v>53.5</v>
      </c>
      <c r="G1240" s="10" t="str">
        <f>Github!H$1389</f>
        <v>Algorithms</v>
      </c>
      <c r="H1240" s="13" t="str">
        <f>SUBSTITUTE(Github!L$1389, ";", ", ")</f>
        <v>Array, Dynamic Programming, Greedy, Heap (Priority Queue), </v>
      </c>
      <c r="I1240" s="10" t="str">
        <f>Github!E$1389</f>
        <v>Hard</v>
      </c>
      <c r="J1240" s="10" t="str">
        <f>IF(TRIM(Github!D$1389)="TRUE","FALSE","TRUE")</f>
        <v>TRUE</v>
      </c>
      <c r="K1240" s="10" t="b">
        <f>Github!M$1389</f>
        <v>0</v>
      </c>
      <c r="L1240" s="10" t="b">
        <f>Github!N$1389</f>
        <v>0</v>
      </c>
      <c r="M1240" s="10" t="str">
        <f>ROUND(Github!O$1389, 2)&amp;"%"</f>
        <v>48.8%</v>
      </c>
      <c r="N1240" s="10">
        <f>Github!P$1389</f>
        <v>8070</v>
      </c>
      <c r="O1240" s="10">
        <f>Github!Q$1389</f>
        <v>16536</v>
      </c>
    </row>
    <row r="1241">
      <c r="A1241" s="10">
        <f>Github!J$645</f>
        <v>644</v>
      </c>
      <c r="B1241" s="11" t="str">
        <f>HYPERLINK(CONCAT("http://leetcode.com/problems/",Github!C$645), Github!B$645)</f>
        <v>Maximum Average Subarray II</v>
      </c>
      <c r="C1241" s="10">
        <f>Github!F$645</f>
        <v>534</v>
      </c>
      <c r="D1241" s="10">
        <f>Github!G$645</f>
        <v>59</v>
      </c>
      <c r="E1241" s="10">
        <f>Github!F$645+Github!G$645</f>
        <v>593</v>
      </c>
      <c r="F1241" s="12">
        <f t="shared" si="1"/>
        <v>9.05</v>
      </c>
      <c r="G1241" s="10" t="str">
        <f>Github!H$645</f>
        <v>Algorithms</v>
      </c>
      <c r="H1241" s="13" t="str">
        <f>SUBSTITUTE(Github!L$645, ";", ", ")</f>
        <v>Array, Binary Search, </v>
      </c>
      <c r="I1241" s="10" t="str">
        <f>Github!E$645</f>
        <v>Hard</v>
      </c>
      <c r="J1241" s="10" t="str">
        <f>IF(TRIM(Github!D$645)="TRUE","FALSE","TRUE")</f>
        <v>FALSE</v>
      </c>
      <c r="K1241" s="10" t="b">
        <f>Github!M$645</f>
        <v>1</v>
      </c>
      <c r="L1241" s="10" t="b">
        <f>Github!N$645</f>
        <v>1</v>
      </c>
      <c r="M1241" s="10" t="str">
        <f>ROUND(Github!O$645, 2)&amp;"%"</f>
        <v>35.25%</v>
      </c>
      <c r="N1241" s="10">
        <f>Github!P$645</f>
        <v>17258</v>
      </c>
      <c r="O1241" s="10">
        <f>Github!Q$645</f>
        <v>48963</v>
      </c>
    </row>
    <row r="1242">
      <c r="A1242" s="10">
        <f>Github!J$171</f>
        <v>170</v>
      </c>
      <c r="B1242" s="11" t="str">
        <f>HYPERLINK(CONCAT("http://leetcode.com/problems/",Github!C$171), Github!B$171)</f>
        <v>Two Sum III - Data structure design</v>
      </c>
      <c r="C1242" s="10">
        <f>Github!F$171</f>
        <v>535</v>
      </c>
      <c r="D1242" s="10">
        <f>Github!G$171</f>
        <v>371</v>
      </c>
      <c r="E1242" s="10">
        <f>Github!F$171+Github!G$171</f>
        <v>906</v>
      </c>
      <c r="F1242" s="12">
        <f t="shared" si="1"/>
        <v>1.44</v>
      </c>
      <c r="G1242" s="10" t="str">
        <f>Github!H$171</f>
        <v>Algorithms</v>
      </c>
      <c r="H1242" s="13" t="str">
        <f>SUBSTITUTE(Github!L$171, ";", ", ")</f>
        <v>Array, Hash Table, Two Pointers, Design, Data Stream, </v>
      </c>
      <c r="I1242" s="10" t="str">
        <f>Github!E$171</f>
        <v>Easy</v>
      </c>
      <c r="J1242" s="10" t="str">
        <f>IF(TRIM(Github!D$171)="TRUE","FALSE","TRUE")</f>
        <v>FALSE</v>
      </c>
      <c r="K1242" s="10" t="b">
        <f>Github!M$171</f>
        <v>1</v>
      </c>
      <c r="L1242" s="10" t="b">
        <f>Github!N$171</f>
        <v>0</v>
      </c>
      <c r="M1242" s="10" t="str">
        <f>ROUND(Github!O$171, 2)&amp;"%"</f>
        <v>36.73%</v>
      </c>
      <c r="N1242" s="10">
        <f>Github!P$171</f>
        <v>123851</v>
      </c>
      <c r="O1242" s="10">
        <f>Github!Q$171</f>
        <v>337202</v>
      </c>
    </row>
    <row r="1243">
      <c r="A1243" s="10">
        <f>Github!J$1270</f>
        <v>1269</v>
      </c>
      <c r="B1243" s="11" t="str">
        <f>HYPERLINK(CONCAT("http://leetcode.com/problems/",Github!C$1270), Github!B$1270)</f>
        <v>Number of Ways to Stay in the Same Place After Some Steps</v>
      </c>
      <c r="C1243" s="10">
        <f>Github!F$1270</f>
        <v>538</v>
      </c>
      <c r="D1243" s="10">
        <f>Github!G$1270</f>
        <v>30</v>
      </c>
      <c r="E1243" s="10">
        <f>Github!F$1270+Github!G$1270</f>
        <v>568</v>
      </c>
      <c r="F1243" s="12">
        <f t="shared" si="1"/>
        <v>17.93</v>
      </c>
      <c r="G1243" s="10" t="str">
        <f>Github!H$1270</f>
        <v>Algorithms</v>
      </c>
      <c r="H1243" s="13" t="str">
        <f>SUBSTITUTE(Github!L$1270, ";", ", ")</f>
        <v>Dynamic Programming, </v>
      </c>
      <c r="I1243" s="10" t="str">
        <f>Github!E$1270</f>
        <v>Hard</v>
      </c>
      <c r="J1243" s="10" t="str">
        <f>IF(TRIM(Github!D$1270)="TRUE","FALSE","TRUE")</f>
        <v>TRUE</v>
      </c>
      <c r="K1243" s="10" t="b">
        <f>Github!M$1270</f>
        <v>0</v>
      </c>
      <c r="L1243" s="10" t="b">
        <f>Github!N$1270</f>
        <v>0</v>
      </c>
      <c r="M1243" s="10" t="str">
        <f>ROUND(Github!O$1270, 2)&amp;"%"</f>
        <v>43.39%</v>
      </c>
      <c r="N1243" s="10">
        <f>Github!P$1270</f>
        <v>27513</v>
      </c>
      <c r="O1243" s="10">
        <f>Github!Q$1270</f>
        <v>63414</v>
      </c>
    </row>
    <row r="1244">
      <c r="A1244" s="10">
        <f>Github!J$1595</f>
        <v>1594</v>
      </c>
      <c r="B1244" s="11" t="str">
        <f>HYPERLINK(CONCAT("http://leetcode.com/problems/",Github!C$1595), Github!B$1595)</f>
        <v>Maximum Non Negative Product in a Matrix</v>
      </c>
      <c r="C1244" s="10">
        <f>Github!F$1595</f>
        <v>533</v>
      </c>
      <c r="D1244" s="10">
        <f>Github!G$1595</f>
        <v>23</v>
      </c>
      <c r="E1244" s="10">
        <f>Github!F$1595+Github!G$1595</f>
        <v>556</v>
      </c>
      <c r="F1244" s="12">
        <f t="shared" si="1"/>
        <v>23.17</v>
      </c>
      <c r="G1244" s="10" t="str">
        <f>Github!H$1595</f>
        <v>Algorithms</v>
      </c>
      <c r="H1244" s="13" t="str">
        <f>SUBSTITUTE(Github!L$1595, ";", ", ")</f>
        <v>Array, Dynamic Programming, Matrix, </v>
      </c>
      <c r="I1244" s="10" t="str">
        <f>Github!E$1595</f>
        <v>Medium</v>
      </c>
      <c r="J1244" s="10" t="str">
        <f>IF(TRIM(Github!D$1595)="TRUE","FALSE","TRUE")</f>
        <v>TRUE</v>
      </c>
      <c r="K1244" s="10" t="b">
        <f>Github!M$1595</f>
        <v>0</v>
      </c>
      <c r="L1244" s="10" t="b">
        <f>Github!N$1595</f>
        <v>0</v>
      </c>
      <c r="M1244" s="10" t="str">
        <f>ROUND(Github!O$1595, 2)&amp;"%"</f>
        <v>33.09%</v>
      </c>
      <c r="N1244" s="10">
        <f>Github!P$1595</f>
        <v>16323</v>
      </c>
      <c r="O1244" s="10">
        <f>Github!Q$1595</f>
        <v>49335</v>
      </c>
    </row>
    <row r="1245">
      <c r="A1245" s="10">
        <f>Github!J$518</f>
        <v>517</v>
      </c>
      <c r="B1245" s="11" t="str">
        <f>HYPERLINK(CONCAT("http://leetcode.com/problems/",Github!C$518), Github!B$518)</f>
        <v>Super Washing Machines</v>
      </c>
      <c r="C1245" s="10">
        <f>Github!F$518</f>
        <v>536</v>
      </c>
      <c r="D1245" s="10">
        <f>Github!G$518</f>
        <v>178</v>
      </c>
      <c r="E1245" s="10">
        <f>Github!F$518+Github!G$518</f>
        <v>714</v>
      </c>
      <c r="F1245" s="12">
        <f t="shared" si="1"/>
        <v>3.01</v>
      </c>
      <c r="G1245" s="10" t="str">
        <f>Github!H$518</f>
        <v>Algorithms</v>
      </c>
      <c r="H1245" s="13" t="str">
        <f>SUBSTITUTE(Github!L$518, ";", ", ")</f>
        <v>Array, Greedy, </v>
      </c>
      <c r="I1245" s="10" t="str">
        <f>Github!E$518</f>
        <v>Hard</v>
      </c>
      <c r="J1245" s="10" t="str">
        <f>IF(TRIM(Github!D$518)="TRUE","FALSE","TRUE")</f>
        <v>TRUE</v>
      </c>
      <c r="K1245" s="10" t="b">
        <f>Github!M$518</f>
        <v>0</v>
      </c>
      <c r="L1245" s="10" t="b">
        <f>Github!N$518</f>
        <v>0</v>
      </c>
      <c r="M1245" s="10" t="str">
        <f>ROUND(Github!O$518, 2)&amp;"%"</f>
        <v>39.37%</v>
      </c>
      <c r="N1245" s="10">
        <f>Github!P$518</f>
        <v>21903</v>
      </c>
      <c r="O1245" s="10">
        <f>Github!Q$518</f>
        <v>55639</v>
      </c>
    </row>
    <row r="1246">
      <c r="A1246" s="10">
        <f>Github!J$937</f>
        <v>936</v>
      </c>
      <c r="B1246" s="11" t="str">
        <f>HYPERLINK(CONCAT("http://leetcode.com/problems/",Github!C$937), Github!B$937)</f>
        <v>Stamping The Sequence</v>
      </c>
      <c r="C1246" s="10">
        <f>Github!F$937</f>
        <v>535</v>
      </c>
      <c r="D1246" s="10">
        <f>Github!G$937</f>
        <v>126</v>
      </c>
      <c r="E1246" s="10">
        <f>Github!F$937+Github!G$937</f>
        <v>661</v>
      </c>
      <c r="F1246" s="12">
        <f t="shared" si="1"/>
        <v>4.25</v>
      </c>
      <c r="G1246" s="10" t="str">
        <f>Github!H$937</f>
        <v>Algorithms</v>
      </c>
      <c r="H1246" s="13" t="str">
        <f>SUBSTITUTE(Github!L$937, ";", ", ")</f>
        <v>String, Stack, Greedy, Queue, </v>
      </c>
      <c r="I1246" s="10" t="str">
        <f>Github!E$937</f>
        <v>Hard</v>
      </c>
      <c r="J1246" s="10" t="str">
        <f>IF(TRIM(Github!D$937)="TRUE","FALSE","TRUE")</f>
        <v>TRUE</v>
      </c>
      <c r="K1246" s="10" t="b">
        <f>Github!M$937</f>
        <v>1</v>
      </c>
      <c r="L1246" s="10" t="b">
        <f>Github!N$937</f>
        <v>0</v>
      </c>
      <c r="M1246" s="10" t="str">
        <f>ROUND(Github!O$937, 2)&amp;"%"</f>
        <v>53.58%</v>
      </c>
      <c r="N1246" s="10">
        <f>Github!P$937</f>
        <v>24020</v>
      </c>
      <c r="O1246" s="10">
        <f>Github!Q$937</f>
        <v>44834</v>
      </c>
    </row>
    <row r="1247">
      <c r="A1247" s="10">
        <f>Github!J$762</f>
        <v>761</v>
      </c>
      <c r="B1247" s="11" t="str">
        <f>HYPERLINK(CONCAT("http://leetcode.com/problems/",Github!C$762), Github!B$762)</f>
        <v>Special Binary String</v>
      </c>
      <c r="C1247" s="10">
        <f>Github!F$762</f>
        <v>531</v>
      </c>
      <c r="D1247" s="10">
        <f>Github!G$762</f>
        <v>169</v>
      </c>
      <c r="E1247" s="10">
        <f>Github!F$762+Github!G$762</f>
        <v>700</v>
      </c>
      <c r="F1247" s="12">
        <f t="shared" si="1"/>
        <v>3.14</v>
      </c>
      <c r="G1247" s="10" t="str">
        <f>Github!H$762</f>
        <v>Algorithms</v>
      </c>
      <c r="H1247" s="13" t="str">
        <f>SUBSTITUTE(Github!L$762, ";", ", ")</f>
        <v>String, Recursion, </v>
      </c>
      <c r="I1247" s="10" t="str">
        <f>Github!E$762</f>
        <v>Hard</v>
      </c>
      <c r="J1247" s="10" t="str">
        <f>IF(TRIM(Github!D$762)="TRUE","FALSE","TRUE")</f>
        <v>TRUE</v>
      </c>
      <c r="K1247" s="10" t="b">
        <f>Github!M$762</f>
        <v>1</v>
      </c>
      <c r="L1247" s="10" t="b">
        <f>Github!N$762</f>
        <v>0</v>
      </c>
      <c r="M1247" s="10" t="str">
        <f>ROUND(Github!O$762, 2)&amp;"%"</f>
        <v>59.82%</v>
      </c>
      <c r="N1247" s="10">
        <f>Github!P$762</f>
        <v>13315</v>
      </c>
      <c r="O1247" s="10">
        <f>Github!Q$762</f>
        <v>22259</v>
      </c>
    </row>
    <row r="1248">
      <c r="A1248" s="10">
        <f>Github!J$1178</f>
        <v>1177</v>
      </c>
      <c r="B1248" s="11" t="str">
        <f>HYPERLINK(CONCAT("http://leetcode.com/problems/",Github!C$1178), Github!B$1178)</f>
        <v>Can Make Palindrome from Substring</v>
      </c>
      <c r="C1248" s="10">
        <f>Github!F$1178</f>
        <v>528</v>
      </c>
      <c r="D1248" s="10">
        <f>Github!G$1178</f>
        <v>225</v>
      </c>
      <c r="E1248" s="10">
        <f>Github!F$1178+Github!G$1178</f>
        <v>753</v>
      </c>
      <c r="F1248" s="12">
        <f t="shared" si="1"/>
        <v>2.35</v>
      </c>
      <c r="G1248" s="10" t="str">
        <f>Github!H$1178</f>
        <v>Algorithms</v>
      </c>
      <c r="H1248" s="13" t="str">
        <f>SUBSTITUTE(Github!L$1178, ";", ", ")</f>
        <v>Hash Table, String, Bit Manipulation, Prefix Sum, </v>
      </c>
      <c r="I1248" s="10" t="str">
        <f>Github!E$1178</f>
        <v>Medium</v>
      </c>
      <c r="J1248" s="10" t="str">
        <f>IF(TRIM(Github!D$1178)="TRUE","FALSE","TRUE")</f>
        <v>TRUE</v>
      </c>
      <c r="K1248" s="10" t="b">
        <f>Github!M$1178</f>
        <v>0</v>
      </c>
      <c r="L1248" s="10" t="b">
        <f>Github!N$1178</f>
        <v>0</v>
      </c>
      <c r="M1248" s="10" t="str">
        <f>ROUND(Github!O$1178, 2)&amp;"%"</f>
        <v>37.32%</v>
      </c>
      <c r="N1248" s="10">
        <f>Github!P$1178</f>
        <v>20001</v>
      </c>
      <c r="O1248" s="10">
        <f>Github!Q$1178</f>
        <v>53593</v>
      </c>
    </row>
    <row r="1249">
      <c r="A1249" s="10">
        <f>Github!J$2188</f>
        <v>2187</v>
      </c>
      <c r="B1249" s="11" t="str">
        <f>HYPERLINK(CONCAT("http://leetcode.com/problems/",Github!C$2188), Github!B$2188)</f>
        <v>Minimum Time to Complete Trips</v>
      </c>
      <c r="C1249" s="10">
        <f>Github!F$2188</f>
        <v>532</v>
      </c>
      <c r="D1249" s="10">
        <f>Github!G$2188</f>
        <v>24</v>
      </c>
      <c r="E1249" s="10">
        <f>Github!F$2188+Github!G$2188</f>
        <v>556</v>
      </c>
      <c r="F1249" s="12">
        <f t="shared" si="1"/>
        <v>22.17</v>
      </c>
      <c r="G1249" s="10" t="str">
        <f>Github!H$2188</f>
        <v>Algorithms</v>
      </c>
      <c r="H1249" s="13" t="str">
        <f>SUBSTITUTE(Github!L$2188, ";", ", ")</f>
        <v>Array, Binary Search, </v>
      </c>
      <c r="I1249" s="10" t="str">
        <f>Github!E$2188</f>
        <v>Medium</v>
      </c>
      <c r="J1249" s="10" t="str">
        <f>IF(TRIM(Github!D$2188)="TRUE","FALSE","TRUE")</f>
        <v>TRUE</v>
      </c>
      <c r="K1249" s="10" t="b">
        <f>Github!M$2188</f>
        <v>0</v>
      </c>
      <c r="L1249" s="10" t="b">
        <f>Github!N$2188</f>
        <v>0</v>
      </c>
      <c r="M1249" s="10" t="str">
        <f>ROUND(Github!O$2188, 2)&amp;"%"</f>
        <v>29.79%</v>
      </c>
      <c r="N1249" s="10">
        <f>Github!P$2188</f>
        <v>19514</v>
      </c>
      <c r="O1249" s="10">
        <f>Github!Q$2188</f>
        <v>65497</v>
      </c>
    </row>
    <row r="1250">
      <c r="A1250" s="10">
        <f>Github!J$1073</f>
        <v>1072</v>
      </c>
      <c r="B1250" s="11" t="str">
        <f>HYPERLINK(CONCAT("http://leetcode.com/problems/",Github!C$1073), Github!B$1073)</f>
        <v>Flip Columns For Maximum Number of Equal Rows</v>
      </c>
      <c r="C1250" s="10">
        <f>Github!F$1073</f>
        <v>526</v>
      </c>
      <c r="D1250" s="10">
        <f>Github!G$1073</f>
        <v>36</v>
      </c>
      <c r="E1250" s="10">
        <f>Github!F$1073+Github!G$1073</f>
        <v>562</v>
      </c>
      <c r="F1250" s="12">
        <f t="shared" si="1"/>
        <v>14.61</v>
      </c>
      <c r="G1250" s="10" t="str">
        <f>Github!H$1073</f>
        <v>Algorithms</v>
      </c>
      <c r="H1250" s="13" t="str">
        <f>SUBSTITUTE(Github!L$1073, ";", ", ")</f>
        <v>Array, Hash Table, Matrix, </v>
      </c>
      <c r="I1250" s="10" t="str">
        <f>Github!E$1073</f>
        <v>Medium</v>
      </c>
      <c r="J1250" s="10" t="str">
        <f>IF(TRIM(Github!D$1073)="TRUE","FALSE","TRUE")</f>
        <v>TRUE</v>
      </c>
      <c r="K1250" s="10" t="b">
        <f>Github!M$1073</f>
        <v>0</v>
      </c>
      <c r="L1250" s="10" t="b">
        <f>Github!N$1073</f>
        <v>0</v>
      </c>
      <c r="M1250" s="10" t="str">
        <f>ROUND(Github!O$1073, 2)&amp;"%"</f>
        <v>63.11%</v>
      </c>
      <c r="N1250" s="10">
        <f>Github!P$1073</f>
        <v>16726</v>
      </c>
      <c r="O1250" s="10">
        <f>Github!Q$1073</f>
        <v>26502</v>
      </c>
    </row>
    <row r="1251">
      <c r="A1251" s="10">
        <f>Github!J$883</f>
        <v>882</v>
      </c>
      <c r="B1251" s="11" t="str">
        <f>HYPERLINK(CONCAT("http://leetcode.com/problems/",Github!C$883), Github!B$883)</f>
        <v>Reachable Nodes In Subdivided Graph</v>
      </c>
      <c r="C1251" s="10">
        <f>Github!F$883</f>
        <v>525</v>
      </c>
      <c r="D1251" s="10">
        <f>Github!G$883</f>
        <v>199</v>
      </c>
      <c r="E1251" s="10">
        <f>Github!F$883+Github!G$883</f>
        <v>724</v>
      </c>
      <c r="F1251" s="12">
        <f t="shared" si="1"/>
        <v>2.64</v>
      </c>
      <c r="G1251" s="10" t="str">
        <f>Github!H$883</f>
        <v>Algorithms</v>
      </c>
      <c r="H1251" s="13" t="str">
        <f>SUBSTITUTE(Github!L$883, ";", ", ")</f>
        <v>Graph, Heap (Priority Queue), Shortest Path, </v>
      </c>
      <c r="I1251" s="10" t="str">
        <f>Github!E$883</f>
        <v>Hard</v>
      </c>
      <c r="J1251" s="10" t="str">
        <f>IF(TRIM(Github!D$883)="TRUE","FALSE","TRUE")</f>
        <v>TRUE</v>
      </c>
      <c r="K1251" s="10" t="b">
        <f>Github!M$883</f>
        <v>1</v>
      </c>
      <c r="L1251" s="10" t="b">
        <f>Github!N$883</f>
        <v>0</v>
      </c>
      <c r="M1251" s="10" t="str">
        <f>ROUND(Github!O$883, 2)&amp;"%"</f>
        <v>49.95%</v>
      </c>
      <c r="N1251" s="10">
        <f>Github!P$883</f>
        <v>20233</v>
      </c>
      <c r="O1251" s="10">
        <f>Github!Q$883</f>
        <v>40504</v>
      </c>
    </row>
    <row r="1252">
      <c r="A1252" s="10">
        <f>Github!J$1712</f>
        <v>1711</v>
      </c>
      <c r="B1252" s="11" t="str">
        <f>HYPERLINK(CONCAT("http://leetcode.com/problems/",Github!C$1712), Github!B$1712)</f>
        <v>Count Good Meals</v>
      </c>
      <c r="C1252" s="10">
        <f>Github!F$1712</f>
        <v>533</v>
      </c>
      <c r="D1252" s="10">
        <f>Github!G$1712</f>
        <v>189</v>
      </c>
      <c r="E1252" s="10">
        <f>Github!F$1712+Github!G$1712</f>
        <v>722</v>
      </c>
      <c r="F1252" s="12">
        <f t="shared" si="1"/>
        <v>2.82</v>
      </c>
      <c r="G1252" s="10" t="str">
        <f>Github!H$1712</f>
        <v>Algorithms</v>
      </c>
      <c r="H1252" s="13" t="str">
        <f>SUBSTITUTE(Github!L$1712, ";", ", ")</f>
        <v>Array, Hash Table, </v>
      </c>
      <c r="I1252" s="10" t="str">
        <f>Github!E$1712</f>
        <v>Medium</v>
      </c>
      <c r="J1252" s="10" t="str">
        <f>IF(TRIM(Github!D$1712)="TRUE","FALSE","TRUE")</f>
        <v>TRUE</v>
      </c>
      <c r="K1252" s="10" t="b">
        <f>Github!M$1712</f>
        <v>0</v>
      </c>
      <c r="L1252" s="10" t="b">
        <f>Github!N$1712</f>
        <v>0</v>
      </c>
      <c r="M1252" s="10" t="str">
        <f>ROUND(Github!O$1712, 2)&amp;"%"</f>
        <v>28.22%</v>
      </c>
      <c r="N1252" s="10">
        <f>Github!P$1712</f>
        <v>23651</v>
      </c>
      <c r="O1252" s="10">
        <f>Github!Q$1712</f>
        <v>83823</v>
      </c>
    </row>
    <row r="1253">
      <c r="A1253" s="10">
        <f>Github!J$1630</f>
        <v>1629</v>
      </c>
      <c r="B1253" s="11" t="str">
        <f>HYPERLINK(CONCAT("http://leetcode.com/problems/",Github!C$1630), Github!B$1630)</f>
        <v>Slowest Key</v>
      </c>
      <c r="C1253" s="10">
        <f>Github!F$1630</f>
        <v>523</v>
      </c>
      <c r="D1253" s="10">
        <f>Github!G$1630</f>
        <v>86</v>
      </c>
      <c r="E1253" s="10">
        <f>Github!F$1630+Github!G$1630</f>
        <v>609</v>
      </c>
      <c r="F1253" s="12">
        <f t="shared" si="1"/>
        <v>6.08</v>
      </c>
      <c r="G1253" s="10" t="str">
        <f>Github!H$1630</f>
        <v>Algorithms</v>
      </c>
      <c r="H1253" s="13" t="str">
        <f>SUBSTITUTE(Github!L$1630, ";", ", ")</f>
        <v>Array, String, </v>
      </c>
      <c r="I1253" s="10" t="str">
        <f>Github!E$1630</f>
        <v>Easy</v>
      </c>
      <c r="J1253" s="10" t="str">
        <f>IF(TRIM(Github!D$1630)="TRUE","FALSE","TRUE")</f>
        <v>TRUE</v>
      </c>
      <c r="K1253" s="10" t="b">
        <f>Github!M$1630</f>
        <v>1</v>
      </c>
      <c r="L1253" s="10" t="b">
        <f>Github!N$1630</f>
        <v>0</v>
      </c>
      <c r="M1253" s="10" t="str">
        <f>ROUND(Github!O$1630, 2)&amp;"%"</f>
        <v>59.62%</v>
      </c>
      <c r="N1253" s="10">
        <f>Github!P$1630</f>
        <v>75876</v>
      </c>
      <c r="O1253" s="10">
        <f>Github!Q$1630</f>
        <v>127276</v>
      </c>
    </row>
    <row r="1254">
      <c r="A1254" s="10">
        <f>Github!J$901</f>
        <v>900</v>
      </c>
      <c r="B1254" s="11" t="str">
        <f>HYPERLINK(CONCAT("http://leetcode.com/problems/",Github!C$901), Github!B$901)</f>
        <v>RLE Iterator</v>
      </c>
      <c r="C1254" s="10">
        <f>Github!F$901</f>
        <v>521</v>
      </c>
      <c r="D1254" s="10">
        <f>Github!G$901</f>
        <v>144</v>
      </c>
      <c r="E1254" s="10">
        <f>Github!F$901+Github!G$901</f>
        <v>665</v>
      </c>
      <c r="F1254" s="12">
        <f t="shared" si="1"/>
        <v>3.62</v>
      </c>
      <c r="G1254" s="10" t="str">
        <f>Github!H$901</f>
        <v>Algorithms</v>
      </c>
      <c r="H1254" s="13" t="str">
        <f>SUBSTITUTE(Github!L$901, ";", ", ")</f>
        <v>Array, Design, Counting, Iterator, </v>
      </c>
      <c r="I1254" s="10" t="str">
        <f>Github!E$901</f>
        <v>Medium</v>
      </c>
      <c r="J1254" s="10" t="str">
        <f>IF(TRIM(Github!D$901)="TRUE","FALSE","TRUE")</f>
        <v>TRUE</v>
      </c>
      <c r="K1254" s="10" t="b">
        <f>Github!M$901</f>
        <v>0</v>
      </c>
      <c r="L1254" s="10" t="b">
        <f>Github!N$901</f>
        <v>0</v>
      </c>
      <c r="M1254" s="10" t="str">
        <f>ROUND(Github!O$901, 2)&amp;"%"</f>
        <v>58.7%</v>
      </c>
      <c r="N1254" s="10">
        <f>Github!P$901</f>
        <v>51177</v>
      </c>
      <c r="O1254" s="10">
        <f>Github!Q$901</f>
        <v>87181</v>
      </c>
    </row>
    <row r="1255">
      <c r="A1255" s="10">
        <f>Github!J$1819</f>
        <v>1818</v>
      </c>
      <c r="B1255" s="11" t="str">
        <f>HYPERLINK(CONCAT("http://leetcode.com/problems/",Github!C$1819), Github!B$1819)</f>
        <v>Minimum Absolute Sum Difference</v>
      </c>
      <c r="C1255" s="10">
        <f>Github!F$1819</f>
        <v>532</v>
      </c>
      <c r="D1255" s="10">
        <f>Github!G$1819</f>
        <v>51</v>
      </c>
      <c r="E1255" s="10">
        <f>Github!F$1819+Github!G$1819</f>
        <v>583</v>
      </c>
      <c r="F1255" s="12">
        <f t="shared" si="1"/>
        <v>10.43</v>
      </c>
      <c r="G1255" s="10" t="str">
        <f>Github!H$1819</f>
        <v>Algorithms</v>
      </c>
      <c r="H1255" s="13" t="str">
        <f>SUBSTITUTE(Github!L$1819, ";", ", ")</f>
        <v>Array, Binary Search, Sorting, Ordered Set, </v>
      </c>
      <c r="I1255" s="10" t="str">
        <f>Github!E$1819</f>
        <v>Medium</v>
      </c>
      <c r="J1255" s="10" t="str">
        <f>IF(TRIM(Github!D$1819)="TRUE","FALSE","TRUE")</f>
        <v>TRUE</v>
      </c>
      <c r="K1255" s="10" t="b">
        <f>Github!M$1819</f>
        <v>0</v>
      </c>
      <c r="L1255" s="10" t="b">
        <f>Github!N$1819</f>
        <v>0</v>
      </c>
      <c r="M1255" s="10" t="str">
        <f>ROUND(Github!O$1819, 2)&amp;"%"</f>
        <v>29.33%</v>
      </c>
      <c r="N1255" s="10">
        <f>Github!P$1819</f>
        <v>14100</v>
      </c>
      <c r="O1255" s="10">
        <f>Github!Q$1819</f>
        <v>48080</v>
      </c>
    </row>
    <row r="1256">
      <c r="A1256" s="10">
        <f>Github!J$295</f>
        <v>294</v>
      </c>
      <c r="B1256" s="11" t="str">
        <f>HYPERLINK(CONCAT("http://leetcode.com/problems/",Github!C$295), Github!B$295)</f>
        <v>Flip Game II</v>
      </c>
      <c r="C1256" s="10">
        <f>Github!F$295</f>
        <v>522</v>
      </c>
      <c r="D1256" s="10">
        <f>Github!G$295</f>
        <v>51</v>
      </c>
      <c r="E1256" s="10">
        <f>Github!F$295+Github!G$295</f>
        <v>573</v>
      </c>
      <c r="F1256" s="12">
        <f t="shared" si="1"/>
        <v>10.24</v>
      </c>
      <c r="G1256" s="10" t="str">
        <f>Github!H$295</f>
        <v>Algorithms</v>
      </c>
      <c r="H1256" s="13" t="str">
        <f>SUBSTITUTE(Github!L$295, ";", ", ")</f>
        <v>Math, Dynamic Programming, Backtracking, Memoization, Game Theory, </v>
      </c>
      <c r="I1256" s="10" t="str">
        <f>Github!E$295</f>
        <v>Medium</v>
      </c>
      <c r="J1256" s="10" t="str">
        <f>IF(TRIM(Github!D$295)="TRUE","FALSE","TRUE")</f>
        <v>FALSE</v>
      </c>
      <c r="K1256" s="10" t="b">
        <f>Github!M$295</f>
        <v>0</v>
      </c>
      <c r="L1256" s="10" t="b">
        <f>Github!N$295</f>
        <v>0</v>
      </c>
      <c r="M1256" s="10" t="str">
        <f>ROUND(Github!O$295, 2)&amp;"%"</f>
        <v>51.49%</v>
      </c>
      <c r="N1256" s="10">
        <f>Github!P$295</f>
        <v>63548</v>
      </c>
      <c r="O1256" s="10">
        <f>Github!Q$295</f>
        <v>123416</v>
      </c>
    </row>
    <row r="1257">
      <c r="A1257" s="10">
        <f>Github!J$1823</f>
        <v>1822</v>
      </c>
      <c r="B1257" s="11" t="str">
        <f>HYPERLINK(CONCAT("http://leetcode.com/problems/",Github!C$1823), Github!B$1823)</f>
        <v>Sign of the Product of an Array</v>
      </c>
      <c r="C1257" s="10">
        <f>Github!F$1823</f>
        <v>530</v>
      </c>
      <c r="D1257" s="10">
        <f>Github!G$1823</f>
        <v>70</v>
      </c>
      <c r="E1257" s="10">
        <f>Github!F$1823+Github!G$1823</f>
        <v>600</v>
      </c>
      <c r="F1257" s="12">
        <f t="shared" si="1"/>
        <v>7.57</v>
      </c>
      <c r="G1257" s="10" t="str">
        <f>Github!H$1823</f>
        <v>Algorithms</v>
      </c>
      <c r="H1257" s="13" t="str">
        <f>SUBSTITUTE(Github!L$1823, ";", ", ")</f>
        <v>Array, Math, </v>
      </c>
      <c r="I1257" s="10" t="str">
        <f>Github!E$1823</f>
        <v>Easy</v>
      </c>
      <c r="J1257" s="10" t="str">
        <f>IF(TRIM(Github!D$1823)="TRUE","FALSE","TRUE")</f>
        <v>TRUE</v>
      </c>
      <c r="K1257" s="10" t="b">
        <f>Github!M$1823</f>
        <v>0</v>
      </c>
      <c r="L1257" s="10" t="b">
        <f>Github!N$1823</f>
        <v>0</v>
      </c>
      <c r="M1257" s="10" t="str">
        <f>ROUND(Github!O$1823, 2)&amp;"%"</f>
        <v>66.99%</v>
      </c>
      <c r="N1257" s="10">
        <f>Github!P$1823</f>
        <v>91777</v>
      </c>
      <c r="O1257" s="10">
        <f>Github!Q$1823</f>
        <v>137000</v>
      </c>
    </row>
    <row r="1258">
      <c r="A1258" s="10">
        <f>Github!J$1185</f>
        <v>1184</v>
      </c>
      <c r="B1258" s="11" t="str">
        <f>HYPERLINK(CONCAT("http://leetcode.com/problems/",Github!C$1185), Github!B$1185)</f>
        <v>Distance Between Bus Stops</v>
      </c>
      <c r="C1258" s="10">
        <f>Github!F$1185</f>
        <v>520</v>
      </c>
      <c r="D1258" s="10">
        <f>Github!G$1185</f>
        <v>58</v>
      </c>
      <c r="E1258" s="10">
        <f>Github!F$1185+Github!G$1185</f>
        <v>578</v>
      </c>
      <c r="F1258" s="12">
        <f t="shared" si="1"/>
        <v>8.97</v>
      </c>
      <c r="G1258" s="10" t="str">
        <f>Github!H$1185</f>
        <v>Algorithms</v>
      </c>
      <c r="H1258" s="13" t="str">
        <f>SUBSTITUTE(Github!L$1185, ";", ", ")</f>
        <v>Array, </v>
      </c>
      <c r="I1258" s="10" t="str">
        <f>Github!E$1185</f>
        <v>Easy</v>
      </c>
      <c r="J1258" s="10" t="str">
        <f>IF(TRIM(Github!D$1185)="TRUE","FALSE","TRUE")</f>
        <v>TRUE</v>
      </c>
      <c r="K1258" s="10" t="b">
        <f>Github!M$1185</f>
        <v>0</v>
      </c>
      <c r="L1258" s="10" t="b">
        <f>Github!N$1185</f>
        <v>0</v>
      </c>
      <c r="M1258" s="10" t="str">
        <f>ROUND(Github!O$1185, 2)&amp;"%"</f>
        <v>54.1%</v>
      </c>
      <c r="N1258" s="10">
        <f>Github!P$1185</f>
        <v>41355</v>
      </c>
      <c r="O1258" s="10">
        <f>Github!Q$1185</f>
        <v>76446</v>
      </c>
    </row>
    <row r="1259">
      <c r="A1259" s="10">
        <f>Github!J$1019</f>
        <v>1018</v>
      </c>
      <c r="B1259" s="11" t="str">
        <f>HYPERLINK(CONCAT("http://leetcode.com/problems/",Github!C$1019), Github!B$1019)</f>
        <v>Binary Prefix Divisible By 5</v>
      </c>
      <c r="C1259" s="10">
        <f>Github!F$1019</f>
        <v>516</v>
      </c>
      <c r="D1259" s="10">
        <f>Github!G$1019</f>
        <v>138</v>
      </c>
      <c r="E1259" s="10">
        <f>Github!F$1019+Github!G$1019</f>
        <v>654</v>
      </c>
      <c r="F1259" s="12">
        <f t="shared" si="1"/>
        <v>3.74</v>
      </c>
      <c r="G1259" s="10" t="str">
        <f>Github!H$1019</f>
        <v>Algorithms</v>
      </c>
      <c r="H1259" s="13" t="str">
        <f>SUBSTITUTE(Github!L$1019, ";", ", ")</f>
        <v>Array, </v>
      </c>
      <c r="I1259" s="10" t="str">
        <f>Github!E$1019</f>
        <v>Easy</v>
      </c>
      <c r="J1259" s="10" t="str">
        <f>IF(TRIM(Github!D$1019)="TRUE","FALSE","TRUE")</f>
        <v>TRUE</v>
      </c>
      <c r="K1259" s="10" t="b">
        <f>Github!M$1019</f>
        <v>0</v>
      </c>
      <c r="L1259" s="10" t="b">
        <f>Github!N$1019</f>
        <v>0</v>
      </c>
      <c r="M1259" s="10" t="str">
        <f>ROUND(Github!O$1019, 2)&amp;"%"</f>
        <v>47.54%</v>
      </c>
      <c r="N1259" s="10">
        <f>Github!P$1019</f>
        <v>38690</v>
      </c>
      <c r="O1259" s="10">
        <f>Github!Q$1019</f>
        <v>81379</v>
      </c>
    </row>
    <row r="1260">
      <c r="A1260" s="10">
        <f>Github!J$886</f>
        <v>885</v>
      </c>
      <c r="B1260" s="11" t="str">
        <f>HYPERLINK(CONCAT("http://leetcode.com/problems/",Github!C$886), Github!B$886)</f>
        <v>Spiral Matrix III</v>
      </c>
      <c r="C1260" s="10">
        <f>Github!F$886</f>
        <v>517</v>
      </c>
      <c r="D1260" s="10">
        <f>Github!G$886</f>
        <v>570</v>
      </c>
      <c r="E1260" s="10">
        <f>Github!F$886+Github!G$886</f>
        <v>1087</v>
      </c>
      <c r="F1260" s="12">
        <f t="shared" si="1"/>
        <v>0.91</v>
      </c>
      <c r="G1260" s="10" t="str">
        <f>Github!H$886</f>
        <v>Algorithms</v>
      </c>
      <c r="H1260" s="13" t="str">
        <f>SUBSTITUTE(Github!L$886, ";", ", ")</f>
        <v>Array, Matrix, Simulation, </v>
      </c>
      <c r="I1260" s="10" t="str">
        <f>Github!E$886</f>
        <v>Medium</v>
      </c>
      <c r="J1260" s="10" t="str">
        <f>IF(TRIM(Github!D$886)="TRUE","FALSE","TRUE")</f>
        <v>TRUE</v>
      </c>
      <c r="K1260" s="10" t="b">
        <f>Github!M$886</f>
        <v>1</v>
      </c>
      <c r="L1260" s="10" t="b">
        <f>Github!N$886</f>
        <v>0</v>
      </c>
      <c r="M1260" s="10" t="str">
        <f>ROUND(Github!O$886, 2)&amp;"%"</f>
        <v>72.42%</v>
      </c>
      <c r="N1260" s="10">
        <f>Github!P$886</f>
        <v>34200</v>
      </c>
      <c r="O1260" s="10">
        <f>Github!Q$886</f>
        <v>47224</v>
      </c>
    </row>
    <row r="1261">
      <c r="A1261" s="10">
        <f>Github!J$1514</f>
        <v>1513</v>
      </c>
      <c r="B1261" s="11" t="str">
        <f>HYPERLINK(CONCAT("http://leetcode.com/problems/",Github!C$1514), Github!B$1514)</f>
        <v>Number of Substrings With Only 1s</v>
      </c>
      <c r="C1261" s="10">
        <f>Github!F$1514</f>
        <v>515</v>
      </c>
      <c r="D1261" s="10">
        <f>Github!G$1514</f>
        <v>23</v>
      </c>
      <c r="E1261" s="10">
        <f>Github!F$1514+Github!G$1514</f>
        <v>538</v>
      </c>
      <c r="F1261" s="12">
        <f t="shared" si="1"/>
        <v>22.39</v>
      </c>
      <c r="G1261" s="10" t="str">
        <f>Github!H$1514</f>
        <v>Algorithms</v>
      </c>
      <c r="H1261" s="13" t="str">
        <f>SUBSTITUTE(Github!L$1514, ";", ", ")</f>
        <v>Math, String, </v>
      </c>
      <c r="I1261" s="10" t="str">
        <f>Github!E$1514</f>
        <v>Medium</v>
      </c>
      <c r="J1261" s="10" t="str">
        <f>IF(TRIM(Github!D$1514)="TRUE","FALSE","TRUE")</f>
        <v>TRUE</v>
      </c>
      <c r="K1261" s="10" t="b">
        <f>Github!M$1514</f>
        <v>0</v>
      </c>
      <c r="L1261" s="10" t="b">
        <f>Github!N$1514</f>
        <v>0</v>
      </c>
      <c r="M1261" s="10" t="str">
        <f>ROUND(Github!O$1514, 2)&amp;"%"</f>
        <v>44.24%</v>
      </c>
      <c r="N1261" s="10">
        <f>Github!P$1514</f>
        <v>29214</v>
      </c>
      <c r="O1261" s="10">
        <f>Github!Q$1514</f>
        <v>66040</v>
      </c>
    </row>
    <row r="1262">
      <c r="A1262" s="10">
        <f>Github!J$1803</f>
        <v>1802</v>
      </c>
      <c r="B1262" s="11" t="str">
        <f>HYPERLINK(CONCAT("http://leetcode.com/problems/",Github!C$1803), Github!B$1803)</f>
        <v>Maximum Value at a Given Index in a Bounded Array</v>
      </c>
      <c r="C1262" s="10">
        <f>Github!F$1803</f>
        <v>515</v>
      </c>
      <c r="D1262" s="10">
        <f>Github!G$1803</f>
        <v>72</v>
      </c>
      <c r="E1262" s="10">
        <f>Github!F$1803+Github!G$1803</f>
        <v>587</v>
      </c>
      <c r="F1262" s="12">
        <f t="shared" si="1"/>
        <v>7.15</v>
      </c>
      <c r="G1262" s="10" t="str">
        <f>Github!H$1803</f>
        <v>Algorithms</v>
      </c>
      <c r="H1262" s="13" t="str">
        <f>SUBSTITUTE(Github!L$1803, ";", ", ")</f>
        <v>Binary Search, Greedy, </v>
      </c>
      <c r="I1262" s="10" t="str">
        <f>Github!E$1803</f>
        <v>Medium</v>
      </c>
      <c r="J1262" s="10" t="str">
        <f>IF(TRIM(Github!D$1803)="TRUE","FALSE","TRUE")</f>
        <v>TRUE</v>
      </c>
      <c r="K1262" s="10" t="b">
        <f>Github!M$1803</f>
        <v>0</v>
      </c>
      <c r="L1262" s="10" t="b">
        <f>Github!N$1803</f>
        <v>0</v>
      </c>
      <c r="M1262" s="10" t="str">
        <f>ROUND(Github!O$1803, 2)&amp;"%"</f>
        <v>30.26%</v>
      </c>
      <c r="N1262" s="10">
        <f>Github!P$1803</f>
        <v>10347</v>
      </c>
      <c r="O1262" s="10">
        <f>Github!Q$1803</f>
        <v>34194</v>
      </c>
    </row>
    <row r="1263">
      <c r="A1263" s="10">
        <f>Github!J$1409</f>
        <v>1408</v>
      </c>
      <c r="B1263" s="11" t="str">
        <f>HYPERLINK(CONCAT("http://leetcode.com/problems/",Github!C$1409), Github!B$1409)</f>
        <v>String Matching in an Array</v>
      </c>
      <c r="C1263" s="10">
        <f>Github!F$1409</f>
        <v>515</v>
      </c>
      <c r="D1263" s="10">
        <f>Github!G$1409</f>
        <v>72</v>
      </c>
      <c r="E1263" s="10">
        <f>Github!F$1409+Github!G$1409</f>
        <v>587</v>
      </c>
      <c r="F1263" s="12">
        <f t="shared" si="1"/>
        <v>7.15</v>
      </c>
      <c r="G1263" s="10" t="str">
        <f>Github!H$1409</f>
        <v>Algorithms</v>
      </c>
      <c r="H1263" s="13" t="str">
        <f>SUBSTITUTE(Github!L$1409, ";", ", ")</f>
        <v>String, String Matching, </v>
      </c>
      <c r="I1263" s="10" t="str">
        <f>Github!E$1409</f>
        <v>Easy</v>
      </c>
      <c r="J1263" s="10" t="str">
        <f>IF(TRIM(Github!D$1409)="TRUE","FALSE","TRUE")</f>
        <v>TRUE</v>
      </c>
      <c r="K1263" s="10" t="b">
        <f>Github!M$1409</f>
        <v>0</v>
      </c>
      <c r="L1263" s="10" t="b">
        <f>Github!N$1409</f>
        <v>0</v>
      </c>
      <c r="M1263" s="10" t="str">
        <f>ROUND(Github!O$1409, 2)&amp;"%"</f>
        <v>63.87%</v>
      </c>
      <c r="N1263" s="10">
        <f>Github!P$1409</f>
        <v>54415</v>
      </c>
      <c r="O1263" s="10">
        <f>Github!Q$1409</f>
        <v>85200</v>
      </c>
    </row>
    <row r="1264">
      <c r="A1264" s="10">
        <f>Github!J$1705</f>
        <v>1704</v>
      </c>
      <c r="B1264" s="11" t="str">
        <f>HYPERLINK(CONCAT("http://leetcode.com/problems/",Github!C$1705), Github!B$1705)</f>
        <v>Determine if String Halves Are Alike</v>
      </c>
      <c r="C1264" s="10">
        <f>Github!F$1705</f>
        <v>518</v>
      </c>
      <c r="D1264" s="10">
        <f>Github!G$1705</f>
        <v>36</v>
      </c>
      <c r="E1264" s="10">
        <f>Github!F$1705+Github!G$1705</f>
        <v>554</v>
      </c>
      <c r="F1264" s="12">
        <f t="shared" si="1"/>
        <v>14.39</v>
      </c>
      <c r="G1264" s="10" t="str">
        <f>Github!H$1705</f>
        <v>Algorithms</v>
      </c>
      <c r="H1264" s="13" t="str">
        <f>SUBSTITUTE(Github!L$1705, ";", ", ")</f>
        <v>String, Counting, </v>
      </c>
      <c r="I1264" s="10" t="str">
        <f>Github!E$1705</f>
        <v>Easy</v>
      </c>
      <c r="J1264" s="10" t="str">
        <f>IF(TRIM(Github!D$1705)="TRUE","FALSE","TRUE")</f>
        <v>TRUE</v>
      </c>
      <c r="K1264" s="10" t="b">
        <f>Github!M$1705</f>
        <v>1</v>
      </c>
      <c r="L1264" s="10" t="b">
        <f>Github!N$1705</f>
        <v>0</v>
      </c>
      <c r="M1264" s="10" t="str">
        <f>ROUND(Github!O$1705, 2)&amp;"%"</f>
        <v>78.03%</v>
      </c>
      <c r="N1264" s="10">
        <f>Github!P$1705</f>
        <v>83992</v>
      </c>
      <c r="O1264" s="10">
        <f>Github!Q$1705</f>
        <v>107640</v>
      </c>
    </row>
    <row r="1265">
      <c r="A1265" s="10">
        <f>Github!J$1371</f>
        <v>1370</v>
      </c>
      <c r="B1265" s="11" t="str">
        <f>HYPERLINK(CONCAT("http://leetcode.com/problems/",Github!C$1371), Github!B$1371)</f>
        <v>Increasing Decreasing String</v>
      </c>
      <c r="C1265" s="10">
        <f>Github!F$1371</f>
        <v>511</v>
      </c>
      <c r="D1265" s="10">
        <f>Github!G$1371</f>
        <v>606</v>
      </c>
      <c r="E1265" s="10">
        <f>Github!F$1371+Github!G$1371</f>
        <v>1117</v>
      </c>
      <c r="F1265" s="12">
        <f t="shared" si="1"/>
        <v>0.84</v>
      </c>
      <c r="G1265" s="10" t="str">
        <f>Github!H$1371</f>
        <v>Algorithms</v>
      </c>
      <c r="H1265" s="13" t="str">
        <f>SUBSTITUTE(Github!L$1371, ";", ", ")</f>
        <v>Hash Table, String, Counting, </v>
      </c>
      <c r="I1265" s="10" t="str">
        <f>Github!E$1371</f>
        <v>Easy</v>
      </c>
      <c r="J1265" s="10" t="str">
        <f>IF(TRIM(Github!D$1371)="TRUE","FALSE","TRUE")</f>
        <v>TRUE</v>
      </c>
      <c r="K1265" s="10" t="b">
        <f>Github!M$1371</f>
        <v>0</v>
      </c>
      <c r="L1265" s="10" t="b">
        <f>Github!N$1371</f>
        <v>0</v>
      </c>
      <c r="M1265" s="10" t="str">
        <f>ROUND(Github!O$1371, 2)&amp;"%"</f>
        <v>77.8%</v>
      </c>
      <c r="N1265" s="10">
        <f>Github!P$1371</f>
        <v>53833</v>
      </c>
      <c r="O1265" s="10">
        <f>Github!Q$1371</f>
        <v>69190</v>
      </c>
    </row>
    <row r="1266">
      <c r="A1266" s="10">
        <f>Github!J$1543</f>
        <v>1542</v>
      </c>
      <c r="B1266" s="11" t="str">
        <f>HYPERLINK(CONCAT("http://leetcode.com/problems/",Github!C$1543), Github!B$1543)</f>
        <v>Find Longest Awesome Substring</v>
      </c>
      <c r="C1266" s="10">
        <f>Github!F$1543</f>
        <v>508</v>
      </c>
      <c r="D1266" s="10">
        <f>Github!G$1543</f>
        <v>11</v>
      </c>
      <c r="E1266" s="10">
        <f>Github!F$1543+Github!G$1543</f>
        <v>519</v>
      </c>
      <c r="F1266" s="12">
        <f t="shared" si="1"/>
        <v>46.18</v>
      </c>
      <c r="G1266" s="10" t="str">
        <f>Github!H$1543</f>
        <v>Algorithms</v>
      </c>
      <c r="H1266" s="13" t="str">
        <f>SUBSTITUTE(Github!L$1543, ";", ", ")</f>
        <v>Hash Table, String, Bit Manipulation, </v>
      </c>
      <c r="I1266" s="10" t="str">
        <f>Github!E$1543</f>
        <v>Hard</v>
      </c>
      <c r="J1266" s="10" t="str">
        <f>IF(TRIM(Github!D$1543)="TRUE","FALSE","TRUE")</f>
        <v>TRUE</v>
      </c>
      <c r="K1266" s="10" t="b">
        <f>Github!M$1543</f>
        <v>0</v>
      </c>
      <c r="L1266" s="10" t="b">
        <f>Github!N$1543</f>
        <v>0</v>
      </c>
      <c r="M1266" s="10" t="str">
        <f>ROUND(Github!O$1543, 2)&amp;"%"</f>
        <v>40.64%</v>
      </c>
      <c r="N1266" s="10">
        <f>Github!P$1543</f>
        <v>8845</v>
      </c>
      <c r="O1266" s="10">
        <f>Github!Q$1543</f>
        <v>21766</v>
      </c>
    </row>
    <row r="1267">
      <c r="A1267" s="10">
        <f>Github!J$1781</f>
        <v>1780</v>
      </c>
      <c r="B1267" s="11" t="str">
        <f>HYPERLINK(CONCAT("http://leetcode.com/problems/",Github!C$1781), Github!B$1781)</f>
        <v>Check if Number is a Sum of Powers of Three</v>
      </c>
      <c r="C1267" s="10">
        <f>Github!F$1781</f>
        <v>509</v>
      </c>
      <c r="D1267" s="10">
        <f>Github!G$1781</f>
        <v>18</v>
      </c>
      <c r="E1267" s="10">
        <f>Github!F$1781+Github!G$1781</f>
        <v>527</v>
      </c>
      <c r="F1267" s="12">
        <f t="shared" si="1"/>
        <v>28.28</v>
      </c>
      <c r="G1267" s="10" t="str">
        <f>Github!H$1781</f>
        <v>Algorithms</v>
      </c>
      <c r="H1267" s="13" t="str">
        <f>SUBSTITUTE(Github!L$1781, ";", ", ")</f>
        <v>Math, </v>
      </c>
      <c r="I1267" s="10" t="str">
        <f>Github!E$1781</f>
        <v>Medium</v>
      </c>
      <c r="J1267" s="10" t="str">
        <f>IF(TRIM(Github!D$1781)="TRUE","FALSE","TRUE")</f>
        <v>TRUE</v>
      </c>
      <c r="K1267" s="10" t="b">
        <f>Github!M$1781</f>
        <v>0</v>
      </c>
      <c r="L1267" s="10" t="b">
        <f>Github!N$1781</f>
        <v>0</v>
      </c>
      <c r="M1267" s="10" t="str">
        <f>ROUND(Github!O$1781, 2)&amp;"%"</f>
        <v>64.83%</v>
      </c>
      <c r="N1267" s="10">
        <f>Github!P$1781</f>
        <v>21356</v>
      </c>
      <c r="O1267" s="10">
        <f>Github!Q$1781</f>
        <v>32940</v>
      </c>
    </row>
    <row r="1268">
      <c r="A1268" s="10">
        <f>Github!J$538</f>
        <v>537</v>
      </c>
      <c r="B1268" s="11" t="str">
        <f>HYPERLINK(CONCAT("http://leetcode.com/problems/",Github!C$538), Github!B$538)</f>
        <v>Complex Number Multiplication</v>
      </c>
      <c r="C1268" s="10">
        <f>Github!F$538</f>
        <v>507</v>
      </c>
      <c r="D1268" s="10">
        <f>Github!G$538</f>
        <v>1123</v>
      </c>
      <c r="E1268" s="10">
        <f>Github!F$538+Github!G$538</f>
        <v>1630</v>
      </c>
      <c r="F1268" s="12">
        <f t="shared" si="1"/>
        <v>0.45</v>
      </c>
      <c r="G1268" s="10" t="str">
        <f>Github!H$538</f>
        <v>Algorithms</v>
      </c>
      <c r="H1268" s="13" t="str">
        <f>SUBSTITUTE(Github!L$538, ";", ", ")</f>
        <v>Math, String, Simulation, </v>
      </c>
      <c r="I1268" s="10" t="str">
        <f>Github!E$538</f>
        <v>Medium</v>
      </c>
      <c r="J1268" s="10" t="str">
        <f>IF(TRIM(Github!D$538)="TRUE","FALSE","TRUE")</f>
        <v>TRUE</v>
      </c>
      <c r="K1268" s="10" t="b">
        <f>Github!M$538</f>
        <v>1</v>
      </c>
      <c r="L1268" s="10" t="b">
        <f>Github!N$538</f>
        <v>0</v>
      </c>
      <c r="M1268" s="10" t="str">
        <f>ROUND(Github!O$538, 2)&amp;"%"</f>
        <v>71.11%</v>
      </c>
      <c r="N1268" s="10">
        <f>Github!P$538</f>
        <v>80724</v>
      </c>
      <c r="O1268" s="10">
        <f>Github!Q$538</f>
        <v>113519</v>
      </c>
    </row>
    <row r="1269">
      <c r="A1269" s="10">
        <f>Github!J$1063</f>
        <v>1062</v>
      </c>
      <c r="B1269" s="11" t="str">
        <f>HYPERLINK(CONCAT("http://leetcode.com/problems/",Github!C$1063), Github!B$1063)</f>
        <v>Longest Repeating Substring</v>
      </c>
      <c r="C1269" s="10">
        <f>Github!F$1063</f>
        <v>508</v>
      </c>
      <c r="D1269" s="10">
        <f>Github!G$1063</f>
        <v>33</v>
      </c>
      <c r="E1269" s="10">
        <f>Github!F$1063+Github!G$1063</f>
        <v>541</v>
      </c>
      <c r="F1269" s="12">
        <f t="shared" si="1"/>
        <v>15.39</v>
      </c>
      <c r="G1269" s="10" t="str">
        <f>Github!H$1063</f>
        <v>Algorithms</v>
      </c>
      <c r="H1269" s="13" t="str">
        <f>SUBSTITUTE(Github!L$1063, ";", ", ")</f>
        <v>String, Binary Search, Dynamic Programming, Rolling Hash, Suffix Array, Hash Function, </v>
      </c>
      <c r="I1269" s="10" t="str">
        <f>Github!E$1063</f>
        <v>Medium</v>
      </c>
      <c r="J1269" s="10" t="str">
        <f>IF(TRIM(Github!D$1063)="TRUE","FALSE","TRUE")</f>
        <v>FALSE</v>
      </c>
      <c r="K1269" s="10" t="b">
        <f>Github!M$1063</f>
        <v>1</v>
      </c>
      <c r="L1269" s="10" t="b">
        <f>Github!N$1063</f>
        <v>0</v>
      </c>
      <c r="M1269" s="10" t="str">
        <f>ROUND(Github!O$1063, 2)&amp;"%"</f>
        <v>59.23%</v>
      </c>
      <c r="N1269" s="10">
        <f>Github!P$1063</f>
        <v>26468</v>
      </c>
      <c r="O1269" s="10">
        <f>Github!Q$1063</f>
        <v>44690</v>
      </c>
    </row>
    <row r="1270">
      <c r="A1270" s="10">
        <f>Github!J$652</f>
        <v>651</v>
      </c>
      <c r="B1270" s="11" t="str">
        <f>HYPERLINK(CONCAT("http://leetcode.com/problems/",Github!C$652), Github!B$652)</f>
        <v>4 Keys Keyboard</v>
      </c>
      <c r="C1270" s="10">
        <f>Github!F$652</f>
        <v>505</v>
      </c>
      <c r="D1270" s="10">
        <f>Github!G$652</f>
        <v>71</v>
      </c>
      <c r="E1270" s="10">
        <f>Github!F$652+Github!G$652</f>
        <v>576</v>
      </c>
      <c r="F1270" s="12">
        <f t="shared" si="1"/>
        <v>7.11</v>
      </c>
      <c r="G1270" s="10" t="str">
        <f>Github!H$652</f>
        <v>Algorithms</v>
      </c>
      <c r="H1270" s="13" t="str">
        <f>SUBSTITUTE(Github!L$652, ";", ", ")</f>
        <v>Math, Dynamic Programming, </v>
      </c>
      <c r="I1270" s="10" t="str">
        <f>Github!E$652</f>
        <v>Medium</v>
      </c>
      <c r="J1270" s="10" t="str">
        <f>IF(TRIM(Github!D$652)="TRUE","FALSE","TRUE")</f>
        <v>FALSE</v>
      </c>
      <c r="K1270" s="10" t="b">
        <f>Github!M$652</f>
        <v>0</v>
      </c>
      <c r="L1270" s="10" t="b">
        <f>Github!N$652</f>
        <v>0</v>
      </c>
      <c r="M1270" s="10" t="str">
        <f>ROUND(Github!O$652, 2)&amp;"%"</f>
        <v>54.13%</v>
      </c>
      <c r="N1270" s="10">
        <f>Github!P$652</f>
        <v>21732</v>
      </c>
      <c r="O1270" s="10">
        <f>Github!Q$652</f>
        <v>40146</v>
      </c>
    </row>
    <row r="1271">
      <c r="A1271" s="10">
        <f>Github!J$1987</f>
        <v>1986</v>
      </c>
      <c r="B1271" s="11" t="str">
        <f>HYPERLINK(CONCAT("http://leetcode.com/problems/",Github!C$1987), Github!B$1987)</f>
        <v>Minimum Number of Work Sessions to Finish the Tasks</v>
      </c>
      <c r="C1271" s="10">
        <f>Github!F$1987</f>
        <v>511</v>
      </c>
      <c r="D1271" s="10">
        <f>Github!G$1987</f>
        <v>32</v>
      </c>
      <c r="E1271" s="10">
        <f>Github!F$1987+Github!G$1987</f>
        <v>543</v>
      </c>
      <c r="F1271" s="12">
        <f t="shared" si="1"/>
        <v>15.97</v>
      </c>
      <c r="G1271" s="10" t="str">
        <f>Github!H$1987</f>
        <v>Algorithms</v>
      </c>
      <c r="H1271" s="13" t="str">
        <f>SUBSTITUTE(Github!L$1987, ";", ", ")</f>
        <v>Array, Dynamic Programming, Backtracking, Bit Manipulation, Bitmask, </v>
      </c>
      <c r="I1271" s="10" t="str">
        <f>Github!E$1987</f>
        <v>Medium</v>
      </c>
      <c r="J1271" s="10" t="str">
        <f>IF(TRIM(Github!D$1987)="TRUE","FALSE","TRUE")</f>
        <v>TRUE</v>
      </c>
      <c r="K1271" s="10" t="b">
        <f>Github!M$1987</f>
        <v>0</v>
      </c>
      <c r="L1271" s="10" t="b">
        <f>Github!N$1987</f>
        <v>0</v>
      </c>
      <c r="M1271" s="10" t="str">
        <f>ROUND(Github!O$1987, 2)&amp;"%"</f>
        <v>31.61%</v>
      </c>
      <c r="N1271" s="10">
        <f>Github!P$1987</f>
        <v>11670</v>
      </c>
      <c r="O1271" s="10">
        <f>Github!Q$1987</f>
        <v>36915</v>
      </c>
    </row>
    <row r="1272">
      <c r="A1272" s="10">
        <f>Github!J$569</f>
        <v>568</v>
      </c>
      <c r="B1272" s="11" t="str">
        <f>HYPERLINK(CONCAT("http://leetcode.com/problems/",Github!C$569), Github!B$569)</f>
        <v>Maximum Vacation Days</v>
      </c>
      <c r="C1272" s="10">
        <f>Github!F$569</f>
        <v>503</v>
      </c>
      <c r="D1272" s="10">
        <f>Github!G$569</f>
        <v>92</v>
      </c>
      <c r="E1272" s="10">
        <f>Github!F$569+Github!G$569</f>
        <v>595</v>
      </c>
      <c r="F1272" s="12">
        <f t="shared" si="1"/>
        <v>5.47</v>
      </c>
      <c r="G1272" s="10" t="str">
        <f>Github!H$569</f>
        <v>Algorithms</v>
      </c>
      <c r="H1272" s="13" t="str">
        <f>SUBSTITUTE(Github!L$569, ";", ", ")</f>
        <v>Array, Dynamic Programming, Matrix, </v>
      </c>
      <c r="I1272" s="10" t="str">
        <f>Github!E$569</f>
        <v>Hard</v>
      </c>
      <c r="J1272" s="10" t="str">
        <f>IF(TRIM(Github!D$569)="TRUE","FALSE","TRUE")</f>
        <v>FALSE</v>
      </c>
      <c r="K1272" s="10" t="b">
        <f>Github!M$569</f>
        <v>1</v>
      </c>
      <c r="L1272" s="10" t="b">
        <f>Github!N$569</f>
        <v>0</v>
      </c>
      <c r="M1272" s="10" t="str">
        <f>ROUND(Github!O$569, 2)&amp;"%"</f>
        <v>44.37%</v>
      </c>
      <c r="N1272" s="10">
        <f>Github!P$569</f>
        <v>33799</v>
      </c>
      <c r="O1272" s="10">
        <f>Github!Q$569</f>
        <v>76176</v>
      </c>
    </row>
    <row r="1273">
      <c r="A1273" s="10">
        <f>Github!J$1599</f>
        <v>1598</v>
      </c>
      <c r="B1273" s="11" t="str">
        <f>HYPERLINK(CONCAT("http://leetcode.com/problems/",Github!C$1599), Github!B$1599)</f>
        <v>Crawler Log Folder</v>
      </c>
      <c r="C1273" s="10">
        <f>Github!F$1599</f>
        <v>500</v>
      </c>
      <c r="D1273" s="10">
        <f>Github!G$1599</f>
        <v>37</v>
      </c>
      <c r="E1273" s="10">
        <f>Github!F$1599+Github!G$1599</f>
        <v>537</v>
      </c>
      <c r="F1273" s="12">
        <f t="shared" si="1"/>
        <v>13.51</v>
      </c>
      <c r="G1273" s="10" t="str">
        <f>Github!H$1599</f>
        <v>Algorithms</v>
      </c>
      <c r="H1273" s="13" t="str">
        <f>SUBSTITUTE(Github!L$1599, ";", ", ")</f>
        <v>Array, String, Stack, </v>
      </c>
      <c r="I1273" s="10" t="str">
        <f>Github!E$1599</f>
        <v>Easy</v>
      </c>
      <c r="J1273" s="10" t="str">
        <f>IF(TRIM(Github!D$1599)="TRUE","FALSE","TRUE")</f>
        <v>TRUE</v>
      </c>
      <c r="K1273" s="10" t="b">
        <f>Github!M$1599</f>
        <v>0</v>
      </c>
      <c r="L1273" s="10" t="b">
        <f>Github!N$1599</f>
        <v>0</v>
      </c>
      <c r="M1273" s="10" t="str">
        <f>ROUND(Github!O$1599, 2)&amp;"%"</f>
        <v>64.3%</v>
      </c>
      <c r="N1273" s="10">
        <f>Github!P$1599</f>
        <v>40426</v>
      </c>
      <c r="O1273" s="10">
        <f>Github!Q$1599</f>
        <v>62870</v>
      </c>
    </row>
    <row r="1274">
      <c r="A1274" s="10">
        <f>Github!J$2131</f>
        <v>2130</v>
      </c>
      <c r="B1274" s="11" t="str">
        <f>HYPERLINK(CONCAT("http://leetcode.com/problems/",Github!C$2131), Github!B$2131)</f>
        <v>Maximum Twin Sum of a Linked List</v>
      </c>
      <c r="C1274" s="10">
        <f>Github!F$2131</f>
        <v>518</v>
      </c>
      <c r="D1274" s="10">
        <f>Github!G$2131</f>
        <v>21</v>
      </c>
      <c r="E1274" s="10">
        <f>Github!F$2131+Github!G$2131</f>
        <v>539</v>
      </c>
      <c r="F1274" s="12">
        <f t="shared" si="1"/>
        <v>24.67</v>
      </c>
      <c r="G1274" s="10" t="str">
        <f>Github!H$2131</f>
        <v>Algorithms</v>
      </c>
      <c r="H1274" s="13" t="str">
        <f>SUBSTITUTE(Github!L$2131, ";", ", ")</f>
        <v>Linked List, Two Pointers, Stack, </v>
      </c>
      <c r="I1274" s="10" t="str">
        <f>Github!E$2131</f>
        <v>Medium</v>
      </c>
      <c r="J1274" s="10" t="str">
        <f>IF(TRIM(Github!D$2131)="TRUE","FALSE","TRUE")</f>
        <v>TRUE</v>
      </c>
      <c r="K1274" s="10" t="b">
        <f>Github!M$2131</f>
        <v>0</v>
      </c>
      <c r="L1274" s="10" t="b">
        <f>Github!N$2131</f>
        <v>0</v>
      </c>
      <c r="M1274" s="10" t="str">
        <f>ROUND(Github!O$2131, 2)&amp;"%"</f>
        <v>82.23%</v>
      </c>
      <c r="N1274" s="10">
        <f>Github!P$2131</f>
        <v>30591</v>
      </c>
      <c r="O1274" s="10">
        <f>Github!Q$2131</f>
        <v>37200</v>
      </c>
    </row>
    <row r="1275">
      <c r="A1275" s="10">
        <f>Github!J$1434</f>
        <v>1433</v>
      </c>
      <c r="B1275" s="11" t="str">
        <f>HYPERLINK(CONCAT("http://leetcode.com/problems/",Github!C$1434), Github!B$1434)</f>
        <v>Check If a String Can Break Another String</v>
      </c>
      <c r="C1275" s="10">
        <f>Github!F$1434</f>
        <v>499</v>
      </c>
      <c r="D1275" s="10">
        <f>Github!G$1434</f>
        <v>109</v>
      </c>
      <c r="E1275" s="10">
        <f>Github!F$1434+Github!G$1434</f>
        <v>608</v>
      </c>
      <c r="F1275" s="12">
        <f t="shared" si="1"/>
        <v>4.58</v>
      </c>
      <c r="G1275" s="10" t="str">
        <f>Github!H$1434</f>
        <v>Algorithms</v>
      </c>
      <c r="H1275" s="13" t="str">
        <f>SUBSTITUTE(Github!L$1434, ";", ", ")</f>
        <v>String, Greedy, Sorting, </v>
      </c>
      <c r="I1275" s="10" t="str">
        <f>Github!E$1434</f>
        <v>Medium</v>
      </c>
      <c r="J1275" s="10" t="str">
        <f>IF(TRIM(Github!D$1434)="TRUE","FALSE","TRUE")</f>
        <v>TRUE</v>
      </c>
      <c r="K1275" s="10" t="b">
        <f>Github!M$1434</f>
        <v>0</v>
      </c>
      <c r="L1275" s="10" t="b">
        <f>Github!N$1434</f>
        <v>0</v>
      </c>
      <c r="M1275" s="10" t="str">
        <f>ROUND(Github!O$1434, 2)&amp;"%"</f>
        <v>68.39%</v>
      </c>
      <c r="N1275" s="10">
        <f>Github!P$1434</f>
        <v>29344</v>
      </c>
      <c r="O1275" s="10">
        <f>Github!Q$1434</f>
        <v>42907</v>
      </c>
    </row>
    <row r="1276">
      <c r="A1276" s="10">
        <f>Github!J$1766</f>
        <v>1765</v>
      </c>
      <c r="B1276" s="11" t="str">
        <f>HYPERLINK(CONCAT("http://leetcode.com/problems/",Github!C$1766), Github!B$1766)</f>
        <v>Map of Highest Peak</v>
      </c>
      <c r="C1276" s="10">
        <f>Github!F$1766</f>
        <v>499</v>
      </c>
      <c r="D1276" s="10">
        <f>Github!G$1766</f>
        <v>31</v>
      </c>
      <c r="E1276" s="10">
        <f>Github!F$1766+Github!G$1766</f>
        <v>530</v>
      </c>
      <c r="F1276" s="12">
        <f t="shared" si="1"/>
        <v>16.1</v>
      </c>
      <c r="G1276" s="10" t="str">
        <f>Github!H$1766</f>
        <v>Algorithms</v>
      </c>
      <c r="H1276" s="13" t="str">
        <f>SUBSTITUTE(Github!L$1766, ";", ", ")</f>
        <v>Array, Breadth-First Search, Matrix, </v>
      </c>
      <c r="I1276" s="10" t="str">
        <f>Github!E$1766</f>
        <v>Medium</v>
      </c>
      <c r="J1276" s="10" t="str">
        <f>IF(TRIM(Github!D$1766)="TRUE","FALSE","TRUE")</f>
        <v>TRUE</v>
      </c>
      <c r="K1276" s="10" t="b">
        <f>Github!M$1766</f>
        <v>0</v>
      </c>
      <c r="L1276" s="10" t="b">
        <f>Github!N$1766</f>
        <v>0</v>
      </c>
      <c r="M1276" s="10" t="str">
        <f>ROUND(Github!O$1766, 2)&amp;"%"</f>
        <v>59.78%</v>
      </c>
      <c r="N1276" s="10">
        <f>Github!P$1766</f>
        <v>16307</v>
      </c>
      <c r="O1276" s="10">
        <f>Github!Q$1766</f>
        <v>27280</v>
      </c>
    </row>
    <row r="1277">
      <c r="A1277" s="10">
        <f>Github!J$1456</f>
        <v>1455</v>
      </c>
      <c r="B1277" s="11" t="str">
        <f>HYPERLINK(CONCAT("http://leetcode.com/problems/",Github!C$1456), Github!B$1456)</f>
        <v>Check If a Word Occurs As a Prefix of Any Word in a Sentence</v>
      </c>
      <c r="C1277" s="10">
        <f>Github!F$1456</f>
        <v>498</v>
      </c>
      <c r="D1277" s="10">
        <f>Github!G$1456</f>
        <v>23</v>
      </c>
      <c r="E1277" s="10">
        <f>Github!F$1456+Github!G$1456</f>
        <v>521</v>
      </c>
      <c r="F1277" s="12">
        <f t="shared" si="1"/>
        <v>21.65</v>
      </c>
      <c r="G1277" s="10" t="str">
        <f>Github!H$1456</f>
        <v>Algorithms</v>
      </c>
      <c r="H1277" s="13" t="str">
        <f>SUBSTITUTE(Github!L$1456, ";", ", ")</f>
        <v>String, String Matching, </v>
      </c>
      <c r="I1277" s="10" t="str">
        <f>Github!E$1456</f>
        <v>Easy</v>
      </c>
      <c r="J1277" s="10" t="str">
        <f>IF(TRIM(Github!D$1456)="TRUE","FALSE","TRUE")</f>
        <v>TRUE</v>
      </c>
      <c r="K1277" s="10" t="b">
        <f>Github!M$1456</f>
        <v>0</v>
      </c>
      <c r="L1277" s="10" t="b">
        <f>Github!N$1456</f>
        <v>0</v>
      </c>
      <c r="M1277" s="10" t="str">
        <f>ROUND(Github!O$1456, 2)&amp;"%"</f>
        <v>64.52%</v>
      </c>
      <c r="N1277" s="10">
        <f>Github!P$1456</f>
        <v>49168</v>
      </c>
      <c r="O1277" s="10">
        <f>Github!Q$1456</f>
        <v>76211</v>
      </c>
    </row>
    <row r="1278">
      <c r="A1278" s="10">
        <f>Github!J$1102</f>
        <v>1101</v>
      </c>
      <c r="B1278" s="11" t="str">
        <f>HYPERLINK(CONCAT("http://leetcode.com/problems/",Github!C$1102), Github!B$1102)</f>
        <v>The Earliest Moment When Everyone Become Friends</v>
      </c>
      <c r="C1278" s="10">
        <f>Github!F$1102</f>
        <v>501</v>
      </c>
      <c r="D1278" s="10">
        <f>Github!G$1102</f>
        <v>12</v>
      </c>
      <c r="E1278" s="10">
        <f>Github!F$1102+Github!G$1102</f>
        <v>513</v>
      </c>
      <c r="F1278" s="12">
        <f t="shared" si="1"/>
        <v>41.75</v>
      </c>
      <c r="G1278" s="10" t="str">
        <f>Github!H$1102</f>
        <v>Algorithms</v>
      </c>
      <c r="H1278" s="13" t="str">
        <f>SUBSTITUTE(Github!L$1102, ";", ", ")</f>
        <v>Array, Union Find, </v>
      </c>
      <c r="I1278" s="10" t="str">
        <f>Github!E$1102</f>
        <v>Medium</v>
      </c>
      <c r="J1278" s="10" t="str">
        <f>IF(TRIM(Github!D$1102)="TRUE","FALSE","TRUE")</f>
        <v>FALSE</v>
      </c>
      <c r="K1278" s="10" t="b">
        <f>Github!M$1102</f>
        <v>1</v>
      </c>
      <c r="L1278" s="10" t="b">
        <f>Github!N$1102</f>
        <v>0</v>
      </c>
      <c r="M1278" s="10" t="str">
        <f>ROUND(Github!O$1102, 2)&amp;"%"</f>
        <v>64.35%</v>
      </c>
      <c r="N1278" s="10">
        <f>Github!P$1102</f>
        <v>33966</v>
      </c>
      <c r="O1278" s="10">
        <f>Github!Q$1102</f>
        <v>52780</v>
      </c>
    </row>
    <row r="1279">
      <c r="A1279" s="10">
        <f>Github!J$158</f>
        <v>157</v>
      </c>
      <c r="B1279" s="11" t="str">
        <f>HYPERLINK(CONCAT("http://leetcode.com/problems/",Github!C$158), Github!B$158)</f>
        <v>Read N Characters Given Read4</v>
      </c>
      <c r="C1279" s="10">
        <f>Github!F$158</f>
        <v>495</v>
      </c>
      <c r="D1279" s="10">
        <f>Github!G$158</f>
        <v>2978</v>
      </c>
      <c r="E1279" s="10">
        <f>Github!F$158+Github!G$158</f>
        <v>3473</v>
      </c>
      <c r="F1279" s="12">
        <f t="shared" si="1"/>
        <v>0.17</v>
      </c>
      <c r="G1279" s="10" t="str">
        <f>Github!H$158</f>
        <v>Algorithms</v>
      </c>
      <c r="H1279" s="13" t="str">
        <f>SUBSTITUTE(Github!L$158, ";", ", ")</f>
        <v>String, Simulation, Interactive, </v>
      </c>
      <c r="I1279" s="10" t="str">
        <f>Github!E$158</f>
        <v>Easy</v>
      </c>
      <c r="J1279" s="10" t="str">
        <f>IF(TRIM(Github!D$158)="TRUE","FALSE","TRUE")</f>
        <v>FALSE</v>
      </c>
      <c r="K1279" s="10" t="b">
        <f>Github!M$158</f>
        <v>1</v>
      </c>
      <c r="L1279" s="10" t="b">
        <f>Github!N$158</f>
        <v>0</v>
      </c>
      <c r="M1279" s="10" t="str">
        <f>ROUND(Github!O$158, 2)&amp;"%"</f>
        <v>40.32%</v>
      </c>
      <c r="N1279" s="10">
        <f>Github!P$158</f>
        <v>168752</v>
      </c>
      <c r="O1279" s="10">
        <f>Github!Q$158</f>
        <v>418550</v>
      </c>
    </row>
    <row r="1280">
      <c r="A1280" s="10">
        <f>Github!J$1776</f>
        <v>1775</v>
      </c>
      <c r="B1280" s="11" t="str">
        <f>HYPERLINK(CONCAT("http://leetcode.com/problems/",Github!C$1776), Github!B$1776)</f>
        <v>Equal Sum Arrays With Minimum Number of Operations</v>
      </c>
      <c r="C1280" s="10">
        <f>Github!F$1776</f>
        <v>499</v>
      </c>
      <c r="D1280" s="10">
        <f>Github!G$1776</f>
        <v>16</v>
      </c>
      <c r="E1280" s="10">
        <f>Github!F$1776+Github!G$1776</f>
        <v>515</v>
      </c>
      <c r="F1280" s="12">
        <f t="shared" si="1"/>
        <v>31.19</v>
      </c>
      <c r="G1280" s="10" t="str">
        <f>Github!H$1776</f>
        <v>Algorithms</v>
      </c>
      <c r="H1280" s="13" t="str">
        <f>SUBSTITUTE(Github!L$1776, ";", ", ")</f>
        <v>Array, Hash Table, Greedy, Counting, </v>
      </c>
      <c r="I1280" s="10" t="str">
        <f>Github!E$1776</f>
        <v>Medium</v>
      </c>
      <c r="J1280" s="10" t="str">
        <f>IF(TRIM(Github!D$1776)="TRUE","FALSE","TRUE")</f>
        <v>TRUE</v>
      </c>
      <c r="K1280" s="10" t="b">
        <f>Github!M$1776</f>
        <v>0</v>
      </c>
      <c r="L1280" s="10" t="b">
        <f>Github!N$1776</f>
        <v>0</v>
      </c>
      <c r="M1280" s="10" t="str">
        <f>ROUND(Github!O$1776, 2)&amp;"%"</f>
        <v>51.45%</v>
      </c>
      <c r="N1280" s="10">
        <f>Github!P$1776</f>
        <v>14801</v>
      </c>
      <c r="O1280" s="10">
        <f>Github!Q$1776</f>
        <v>28769</v>
      </c>
    </row>
    <row r="1281">
      <c r="A1281" s="10">
        <f>Github!J$2115</f>
        <v>2114</v>
      </c>
      <c r="B1281" s="11" t="str">
        <f>HYPERLINK(CONCAT("http://leetcode.com/problems/",Github!C$2115), Github!B$2115)</f>
        <v>Maximum Number of Words Found in Sentences</v>
      </c>
      <c r="C1281" s="10">
        <f>Github!F$2115</f>
        <v>508</v>
      </c>
      <c r="D1281" s="10">
        <f>Github!G$2115</f>
        <v>19</v>
      </c>
      <c r="E1281" s="10">
        <f>Github!F$2115+Github!G$2115</f>
        <v>527</v>
      </c>
      <c r="F1281" s="12">
        <f t="shared" si="1"/>
        <v>26.74</v>
      </c>
      <c r="G1281" s="10" t="str">
        <f>Github!H$2115</f>
        <v>Algorithms</v>
      </c>
      <c r="H1281" s="13" t="str">
        <f>SUBSTITUTE(Github!L$2115, ";", ", ")</f>
        <v>Array, String, </v>
      </c>
      <c r="I1281" s="10" t="str">
        <f>Github!E$2115</f>
        <v>Easy</v>
      </c>
      <c r="J1281" s="10" t="str">
        <f>IF(TRIM(Github!D$2115)="TRUE","FALSE","TRUE")</f>
        <v>TRUE</v>
      </c>
      <c r="K1281" s="10" t="b">
        <f>Github!M$2115</f>
        <v>0</v>
      </c>
      <c r="L1281" s="10" t="b">
        <f>Github!N$2115</f>
        <v>0</v>
      </c>
      <c r="M1281" s="10" t="str">
        <f>ROUND(Github!O$2115, 2)&amp;"%"</f>
        <v>88.87%</v>
      </c>
      <c r="N1281" s="10">
        <f>Github!P$2115</f>
        <v>64117</v>
      </c>
      <c r="O1281" s="10">
        <f>Github!Q$2115</f>
        <v>72150</v>
      </c>
    </row>
    <row r="1282">
      <c r="A1282" s="10">
        <f>Github!J$1171</f>
        <v>1170</v>
      </c>
      <c r="B1282" s="11" t="str">
        <f>HYPERLINK(CONCAT("http://leetcode.com/problems/",Github!C$1171), Github!B$1171)</f>
        <v>Compare Strings by Frequency of the Smallest Character</v>
      </c>
      <c r="C1282" s="10">
        <f>Github!F$1171</f>
        <v>496</v>
      </c>
      <c r="D1282" s="10">
        <f>Github!G$1171</f>
        <v>891</v>
      </c>
      <c r="E1282" s="10">
        <f>Github!F$1171+Github!G$1171</f>
        <v>1387</v>
      </c>
      <c r="F1282" s="12">
        <f t="shared" si="1"/>
        <v>0.56</v>
      </c>
      <c r="G1282" s="10" t="str">
        <f>Github!H$1171</f>
        <v>Algorithms</v>
      </c>
      <c r="H1282" s="13" t="str">
        <f>SUBSTITUTE(Github!L$1171, ";", ", ")</f>
        <v>Array, Hash Table, String, Binary Search, Sorting, </v>
      </c>
      <c r="I1282" s="10" t="str">
        <f>Github!E$1171</f>
        <v>Medium</v>
      </c>
      <c r="J1282" s="10" t="str">
        <f>IF(TRIM(Github!D$1171)="TRUE","FALSE","TRUE")</f>
        <v>TRUE</v>
      </c>
      <c r="K1282" s="10" t="b">
        <f>Github!M$1171</f>
        <v>0</v>
      </c>
      <c r="L1282" s="10" t="b">
        <f>Github!N$1171</f>
        <v>0</v>
      </c>
      <c r="M1282" s="10" t="str">
        <f>ROUND(Github!O$1171, 2)&amp;"%"</f>
        <v>61.1%</v>
      </c>
      <c r="N1282" s="10">
        <f>Github!P$1171</f>
        <v>65099</v>
      </c>
      <c r="O1282" s="10">
        <f>Github!Q$1171</f>
        <v>106549</v>
      </c>
    </row>
    <row r="1283">
      <c r="A1283" s="10">
        <f>Github!J$1140</f>
        <v>1139</v>
      </c>
      <c r="B1283" s="11" t="str">
        <f>HYPERLINK(CONCAT("http://leetcode.com/problems/",Github!C$1140), Github!B$1140)</f>
        <v>Largest 1-Bordered Square</v>
      </c>
      <c r="C1283" s="10">
        <f>Github!F$1140</f>
        <v>497</v>
      </c>
      <c r="D1283" s="10">
        <f>Github!G$1140</f>
        <v>83</v>
      </c>
      <c r="E1283" s="10">
        <f>Github!F$1140+Github!G$1140</f>
        <v>580</v>
      </c>
      <c r="F1283" s="12">
        <f t="shared" si="1"/>
        <v>5.99</v>
      </c>
      <c r="G1283" s="10" t="str">
        <f>Github!H$1140</f>
        <v>Algorithms</v>
      </c>
      <c r="H1283" s="13" t="str">
        <f>SUBSTITUTE(Github!L$1140, ";", ", ")</f>
        <v>Array, Dynamic Programming, Matrix, </v>
      </c>
      <c r="I1283" s="10" t="str">
        <f>Github!E$1140</f>
        <v>Medium</v>
      </c>
      <c r="J1283" s="10" t="str">
        <f>IF(TRIM(Github!D$1140)="TRUE","FALSE","TRUE")</f>
        <v>TRUE</v>
      </c>
      <c r="K1283" s="10" t="b">
        <f>Github!M$1140</f>
        <v>0</v>
      </c>
      <c r="L1283" s="10" t="b">
        <f>Github!N$1140</f>
        <v>0</v>
      </c>
      <c r="M1283" s="10" t="str">
        <f>ROUND(Github!O$1140, 2)&amp;"%"</f>
        <v>49.53%</v>
      </c>
      <c r="N1283" s="10">
        <f>Github!P$1140</f>
        <v>18247</v>
      </c>
      <c r="O1283" s="10">
        <f>Github!Q$1140</f>
        <v>36841</v>
      </c>
    </row>
    <row r="1284">
      <c r="A1284" s="10">
        <f>Github!J$1724</f>
        <v>1723</v>
      </c>
      <c r="B1284" s="11" t="str">
        <f>HYPERLINK(CONCAT("http://leetcode.com/problems/",Github!C$1724), Github!B$1724)</f>
        <v>Find Minimum Time to Finish All Jobs</v>
      </c>
      <c r="C1284" s="10">
        <f>Github!F$1724</f>
        <v>500</v>
      </c>
      <c r="D1284" s="10">
        <f>Github!G$1724</f>
        <v>14</v>
      </c>
      <c r="E1284" s="10">
        <f>Github!F$1724+Github!G$1724</f>
        <v>514</v>
      </c>
      <c r="F1284" s="12">
        <f t="shared" si="1"/>
        <v>35.71</v>
      </c>
      <c r="G1284" s="10" t="str">
        <f>Github!H$1724</f>
        <v>Algorithms</v>
      </c>
      <c r="H1284" s="13" t="str">
        <f>SUBSTITUTE(Github!L$1724, ";", ", ")</f>
        <v>Array, Dynamic Programming, Backtracking, Bit Manipulation, Bitmask, </v>
      </c>
      <c r="I1284" s="10" t="str">
        <f>Github!E$1724</f>
        <v>Hard</v>
      </c>
      <c r="J1284" s="10" t="str">
        <f>IF(TRIM(Github!D$1724)="TRUE","FALSE","TRUE")</f>
        <v>TRUE</v>
      </c>
      <c r="K1284" s="10" t="b">
        <f>Github!M$1724</f>
        <v>0</v>
      </c>
      <c r="L1284" s="10" t="b">
        <f>Github!N$1724</f>
        <v>0</v>
      </c>
      <c r="M1284" s="10" t="str">
        <f>ROUND(Github!O$1724, 2)&amp;"%"</f>
        <v>42.99%</v>
      </c>
      <c r="N1284" s="10">
        <f>Github!P$1724</f>
        <v>13976</v>
      </c>
      <c r="O1284" s="10">
        <f>Github!Q$1724</f>
        <v>32507</v>
      </c>
    </row>
    <row r="1285">
      <c r="A1285" s="10">
        <f>Github!J$892</f>
        <v>891</v>
      </c>
      <c r="B1285" s="11" t="str">
        <f>HYPERLINK(CONCAT("http://leetcode.com/problems/",Github!C$892), Github!B$892)</f>
        <v>Sum of Subsequence Widths</v>
      </c>
      <c r="C1285" s="10">
        <f>Github!F$892</f>
        <v>493</v>
      </c>
      <c r="D1285" s="10">
        <f>Github!G$892</f>
        <v>142</v>
      </c>
      <c r="E1285" s="10">
        <f>Github!F$892+Github!G$892</f>
        <v>635</v>
      </c>
      <c r="F1285" s="12">
        <f t="shared" si="1"/>
        <v>3.47</v>
      </c>
      <c r="G1285" s="10" t="str">
        <f>Github!H$892</f>
        <v>Algorithms</v>
      </c>
      <c r="H1285" s="13" t="str">
        <f>SUBSTITUTE(Github!L$892, ";", ", ")</f>
        <v>Array, Math, Sorting, </v>
      </c>
      <c r="I1285" s="10" t="str">
        <f>Github!E$892</f>
        <v>Hard</v>
      </c>
      <c r="J1285" s="10" t="str">
        <f>IF(TRIM(Github!D$892)="TRUE","FALSE","TRUE")</f>
        <v>TRUE</v>
      </c>
      <c r="K1285" s="10" t="b">
        <f>Github!M$892</f>
        <v>1</v>
      </c>
      <c r="L1285" s="10" t="b">
        <f>Github!N$892</f>
        <v>0</v>
      </c>
      <c r="M1285" s="10" t="str">
        <f>ROUND(Github!O$892, 2)&amp;"%"</f>
        <v>35.55%</v>
      </c>
      <c r="N1285" s="10">
        <f>Github!P$892</f>
        <v>15327</v>
      </c>
      <c r="O1285" s="10">
        <f>Github!Q$892</f>
        <v>43117</v>
      </c>
    </row>
    <row r="1286">
      <c r="A1286" s="10">
        <f>Github!J$1708</f>
        <v>1707</v>
      </c>
      <c r="B1286" s="11" t="str">
        <f>HYPERLINK(CONCAT("http://leetcode.com/problems/",Github!C$1708), Github!B$1708)</f>
        <v>Maximum XOR With an Element From Array</v>
      </c>
      <c r="C1286" s="10">
        <f>Github!F$1708</f>
        <v>493</v>
      </c>
      <c r="D1286" s="10">
        <f>Github!G$1708</f>
        <v>16</v>
      </c>
      <c r="E1286" s="10">
        <f>Github!F$1708+Github!G$1708</f>
        <v>509</v>
      </c>
      <c r="F1286" s="12">
        <f t="shared" si="1"/>
        <v>30.81</v>
      </c>
      <c r="G1286" s="10" t="str">
        <f>Github!H$1708</f>
        <v>Algorithms</v>
      </c>
      <c r="H1286" s="13" t="str">
        <f>SUBSTITUTE(Github!L$1708, ";", ", ")</f>
        <v>Array, Bit Manipulation, Trie, </v>
      </c>
      <c r="I1286" s="10" t="str">
        <f>Github!E$1708</f>
        <v>Hard</v>
      </c>
      <c r="J1286" s="10" t="str">
        <f>IF(TRIM(Github!D$1708)="TRUE","FALSE","TRUE")</f>
        <v>TRUE</v>
      </c>
      <c r="K1286" s="10" t="b">
        <f>Github!M$1708</f>
        <v>0</v>
      </c>
      <c r="L1286" s="10" t="b">
        <f>Github!N$1708</f>
        <v>0</v>
      </c>
      <c r="M1286" s="10" t="str">
        <f>ROUND(Github!O$1708, 2)&amp;"%"</f>
        <v>43.23%</v>
      </c>
      <c r="N1286" s="10">
        <f>Github!P$1708</f>
        <v>8694</v>
      </c>
      <c r="O1286" s="10">
        <f>Github!Q$1708</f>
        <v>20109</v>
      </c>
    </row>
    <row r="1287">
      <c r="A1287" s="10">
        <f>Github!J$1754</f>
        <v>1753</v>
      </c>
      <c r="B1287" s="11" t="str">
        <f>HYPERLINK(CONCAT("http://leetcode.com/problems/",Github!C$1754), Github!B$1754)</f>
        <v>Maximum Score From Removing Stones</v>
      </c>
      <c r="C1287" s="10">
        <f>Github!F$1754</f>
        <v>497</v>
      </c>
      <c r="D1287" s="10">
        <f>Github!G$1754</f>
        <v>34</v>
      </c>
      <c r="E1287" s="10">
        <f>Github!F$1754+Github!G$1754</f>
        <v>531</v>
      </c>
      <c r="F1287" s="12">
        <f t="shared" si="1"/>
        <v>14.62</v>
      </c>
      <c r="G1287" s="10" t="str">
        <f>Github!H$1754</f>
        <v>Algorithms</v>
      </c>
      <c r="H1287" s="13" t="str">
        <f>SUBSTITUTE(Github!L$1754, ";", ", ")</f>
        <v>Math, Greedy, Heap (Priority Queue), </v>
      </c>
      <c r="I1287" s="10" t="str">
        <f>Github!E$1754</f>
        <v>Medium</v>
      </c>
      <c r="J1287" s="10" t="str">
        <f>IF(TRIM(Github!D$1754)="TRUE","FALSE","TRUE")</f>
        <v>TRUE</v>
      </c>
      <c r="K1287" s="10" t="b">
        <f>Github!M$1754</f>
        <v>0</v>
      </c>
      <c r="L1287" s="10" t="b">
        <f>Github!N$1754</f>
        <v>0</v>
      </c>
      <c r="M1287" s="10" t="str">
        <f>ROUND(Github!O$1754, 2)&amp;"%"</f>
        <v>65.19%</v>
      </c>
      <c r="N1287" s="10">
        <f>Github!P$1754</f>
        <v>21446</v>
      </c>
      <c r="O1287" s="10">
        <f>Github!Q$1754</f>
        <v>32896</v>
      </c>
    </row>
    <row r="1288">
      <c r="A1288" s="10">
        <f>Github!J$1423</f>
        <v>1422</v>
      </c>
      <c r="B1288" s="11" t="str">
        <f>HYPERLINK(CONCAT("http://leetcode.com/problems/",Github!C$1423), Github!B$1423)</f>
        <v>Maximum Score After Splitting a String</v>
      </c>
      <c r="C1288" s="10">
        <f>Github!F$1423</f>
        <v>493</v>
      </c>
      <c r="D1288" s="10">
        <f>Github!G$1423</f>
        <v>26</v>
      </c>
      <c r="E1288" s="10">
        <f>Github!F$1423+Github!G$1423</f>
        <v>519</v>
      </c>
      <c r="F1288" s="12">
        <f t="shared" si="1"/>
        <v>18.96</v>
      </c>
      <c r="G1288" s="10" t="str">
        <f>Github!H$1423</f>
        <v>Algorithms</v>
      </c>
      <c r="H1288" s="13" t="str">
        <f>SUBSTITUTE(Github!L$1423, ";", ", ")</f>
        <v>String, </v>
      </c>
      <c r="I1288" s="10" t="str">
        <f>Github!E$1423</f>
        <v>Easy</v>
      </c>
      <c r="J1288" s="10" t="str">
        <f>IF(TRIM(Github!D$1423)="TRUE","FALSE","TRUE")</f>
        <v>TRUE</v>
      </c>
      <c r="K1288" s="10" t="b">
        <f>Github!M$1423</f>
        <v>0</v>
      </c>
      <c r="L1288" s="10" t="b">
        <f>Github!N$1423</f>
        <v>0</v>
      </c>
      <c r="M1288" s="10" t="str">
        <f>ROUND(Github!O$1423, 2)&amp;"%"</f>
        <v>57.78%</v>
      </c>
      <c r="N1288" s="10">
        <f>Github!P$1423</f>
        <v>38460</v>
      </c>
      <c r="O1288" s="10">
        <f>Github!Q$1423</f>
        <v>66565</v>
      </c>
    </row>
    <row r="1289">
      <c r="A1289" s="10">
        <f>Github!J$1706</f>
        <v>1705</v>
      </c>
      <c r="B1289" s="11" t="str">
        <f>HYPERLINK(CONCAT("http://leetcode.com/problems/",Github!C$1706), Github!B$1706)</f>
        <v>Maximum Number of Eaten Apples</v>
      </c>
      <c r="C1289" s="10">
        <f>Github!F$1706</f>
        <v>494</v>
      </c>
      <c r="D1289" s="10">
        <f>Github!G$1706</f>
        <v>145</v>
      </c>
      <c r="E1289" s="10">
        <f>Github!F$1706+Github!G$1706</f>
        <v>639</v>
      </c>
      <c r="F1289" s="12">
        <f t="shared" si="1"/>
        <v>3.41</v>
      </c>
      <c r="G1289" s="10" t="str">
        <f>Github!H$1706</f>
        <v>Algorithms</v>
      </c>
      <c r="H1289" s="13" t="str">
        <f>SUBSTITUTE(Github!L$1706, ";", ", ")</f>
        <v>Array, Greedy, Heap (Priority Queue), </v>
      </c>
      <c r="I1289" s="10" t="str">
        <f>Github!E$1706</f>
        <v>Medium</v>
      </c>
      <c r="J1289" s="10" t="str">
        <f>IF(TRIM(Github!D$1706)="TRUE","FALSE","TRUE")</f>
        <v>TRUE</v>
      </c>
      <c r="K1289" s="10" t="b">
        <f>Github!M$1706</f>
        <v>0</v>
      </c>
      <c r="L1289" s="10" t="b">
        <f>Github!N$1706</f>
        <v>0</v>
      </c>
      <c r="M1289" s="10" t="str">
        <f>ROUND(Github!O$1706, 2)&amp;"%"</f>
        <v>36.43%</v>
      </c>
      <c r="N1289" s="10">
        <f>Github!P$1706</f>
        <v>14222</v>
      </c>
      <c r="O1289" s="10">
        <f>Github!Q$1706</f>
        <v>39040</v>
      </c>
    </row>
    <row r="1290">
      <c r="A1290" s="10">
        <f>Github!J$1617</f>
        <v>1616</v>
      </c>
      <c r="B1290" s="11" t="str">
        <f>HYPERLINK(CONCAT("http://leetcode.com/problems/",Github!C$1617), Github!B$1617)</f>
        <v>Split Two Strings to Make Palindrome</v>
      </c>
      <c r="C1290" s="10">
        <f>Github!F$1617</f>
        <v>492</v>
      </c>
      <c r="D1290" s="10">
        <f>Github!G$1617</f>
        <v>198</v>
      </c>
      <c r="E1290" s="10">
        <f>Github!F$1617+Github!G$1617</f>
        <v>690</v>
      </c>
      <c r="F1290" s="12">
        <f t="shared" si="1"/>
        <v>2.48</v>
      </c>
      <c r="G1290" s="10" t="str">
        <f>Github!H$1617</f>
        <v>Algorithms</v>
      </c>
      <c r="H1290" s="13" t="str">
        <f>SUBSTITUTE(Github!L$1617, ";", ", ")</f>
        <v>Two Pointers, String, Greedy, </v>
      </c>
      <c r="I1290" s="10" t="str">
        <f>Github!E$1617</f>
        <v>Medium</v>
      </c>
      <c r="J1290" s="10" t="str">
        <f>IF(TRIM(Github!D$1617)="TRUE","FALSE","TRUE")</f>
        <v>TRUE</v>
      </c>
      <c r="K1290" s="10" t="b">
        <f>Github!M$1617</f>
        <v>0</v>
      </c>
      <c r="L1290" s="10" t="b">
        <f>Github!N$1617</f>
        <v>0</v>
      </c>
      <c r="M1290" s="10" t="str">
        <f>ROUND(Github!O$1617, 2)&amp;"%"</f>
        <v>31.32%</v>
      </c>
      <c r="N1290" s="10">
        <f>Github!P$1617</f>
        <v>16546</v>
      </c>
      <c r="O1290" s="10">
        <f>Github!Q$1617</f>
        <v>52836</v>
      </c>
    </row>
    <row r="1291">
      <c r="A1291" s="10">
        <f>Github!J$1217</f>
        <v>1216</v>
      </c>
      <c r="B1291" s="11" t="str">
        <f>HYPERLINK(CONCAT("http://leetcode.com/problems/",Github!C$1217), Github!B$1217)</f>
        <v>Valid Palindrome III</v>
      </c>
      <c r="C1291" s="10">
        <f>Github!F$1217</f>
        <v>496</v>
      </c>
      <c r="D1291" s="10">
        <f>Github!G$1217</f>
        <v>7</v>
      </c>
      <c r="E1291" s="10">
        <f>Github!F$1217+Github!G$1217</f>
        <v>503</v>
      </c>
      <c r="F1291" s="12">
        <f t="shared" si="1"/>
        <v>70.86</v>
      </c>
      <c r="G1291" s="10" t="str">
        <f>Github!H$1217</f>
        <v>Algorithms</v>
      </c>
      <c r="H1291" s="13" t="str">
        <f>SUBSTITUTE(Github!L$1217, ";", ", ")</f>
        <v>String, Dynamic Programming, </v>
      </c>
      <c r="I1291" s="10" t="str">
        <f>Github!E$1217</f>
        <v>Hard</v>
      </c>
      <c r="J1291" s="10" t="str">
        <f>IF(TRIM(Github!D$1217)="TRUE","FALSE","TRUE")</f>
        <v>FALSE</v>
      </c>
      <c r="K1291" s="10" t="b">
        <f>Github!M$1217</f>
        <v>1</v>
      </c>
      <c r="L1291" s="10" t="b">
        <f>Github!N$1217</f>
        <v>0</v>
      </c>
      <c r="M1291" s="10" t="str">
        <f>ROUND(Github!O$1217, 2)&amp;"%"</f>
        <v>50.74%</v>
      </c>
      <c r="N1291" s="10">
        <f>Github!P$1217</f>
        <v>34223</v>
      </c>
      <c r="O1291" s="10">
        <f>Github!Q$1217</f>
        <v>67444</v>
      </c>
    </row>
    <row r="1292">
      <c r="A1292" s="10">
        <f>Github!J$1981</f>
        <v>1980</v>
      </c>
      <c r="B1292" s="11" t="str">
        <f>HYPERLINK(CONCAT("http://leetcode.com/problems/",Github!C$1981), Github!B$1981)</f>
        <v>Find Unique Binary String</v>
      </c>
      <c r="C1292" s="10">
        <f>Github!F$1981</f>
        <v>492</v>
      </c>
      <c r="D1292" s="10">
        <f>Github!G$1981</f>
        <v>24</v>
      </c>
      <c r="E1292" s="10">
        <f>Github!F$1981+Github!G$1981</f>
        <v>516</v>
      </c>
      <c r="F1292" s="12">
        <f t="shared" si="1"/>
        <v>20.5</v>
      </c>
      <c r="G1292" s="10" t="str">
        <f>Github!H$1981</f>
        <v>Algorithms</v>
      </c>
      <c r="H1292" s="13" t="str">
        <f>SUBSTITUTE(Github!L$1981, ";", ", ")</f>
        <v>Array, String, Backtracking, </v>
      </c>
      <c r="I1292" s="10" t="str">
        <f>Github!E$1981</f>
        <v>Medium</v>
      </c>
      <c r="J1292" s="10" t="str">
        <f>IF(TRIM(Github!D$1981)="TRUE","FALSE","TRUE")</f>
        <v>TRUE</v>
      </c>
      <c r="K1292" s="10" t="b">
        <f>Github!M$1981</f>
        <v>0</v>
      </c>
      <c r="L1292" s="10" t="b">
        <f>Github!N$1981</f>
        <v>0</v>
      </c>
      <c r="M1292" s="10" t="str">
        <f>ROUND(Github!O$1981, 2)&amp;"%"</f>
        <v>63.23%</v>
      </c>
      <c r="N1292" s="10">
        <f>Github!P$1981</f>
        <v>22383</v>
      </c>
      <c r="O1292" s="10">
        <f>Github!Q$1981</f>
        <v>35401</v>
      </c>
    </row>
    <row r="1293">
      <c r="A1293" s="10">
        <f>Github!J$1450</f>
        <v>1449</v>
      </c>
      <c r="B1293" s="11" t="str">
        <f>HYPERLINK(CONCAT("http://leetcode.com/problems/",Github!C$1450), Github!B$1450)</f>
        <v>Form Largest Integer With Digits That Add up to Target</v>
      </c>
      <c r="C1293" s="10">
        <f>Github!F$1450</f>
        <v>492</v>
      </c>
      <c r="D1293" s="10">
        <f>Github!G$1450</f>
        <v>9</v>
      </c>
      <c r="E1293" s="10">
        <f>Github!F$1450+Github!G$1450</f>
        <v>501</v>
      </c>
      <c r="F1293" s="12">
        <f t="shared" si="1"/>
        <v>54.67</v>
      </c>
      <c r="G1293" s="10" t="str">
        <f>Github!H$1450</f>
        <v>Algorithms</v>
      </c>
      <c r="H1293" s="13" t="str">
        <f>SUBSTITUTE(Github!L$1450, ";", ", ")</f>
        <v>Array, Dynamic Programming, </v>
      </c>
      <c r="I1293" s="10" t="str">
        <f>Github!E$1450</f>
        <v>Hard</v>
      </c>
      <c r="J1293" s="10" t="str">
        <f>IF(TRIM(Github!D$1450)="TRUE","FALSE","TRUE")</f>
        <v>TRUE</v>
      </c>
      <c r="K1293" s="10" t="b">
        <f>Github!M$1450</f>
        <v>0</v>
      </c>
      <c r="L1293" s="10" t="b">
        <f>Github!N$1450</f>
        <v>0</v>
      </c>
      <c r="M1293" s="10" t="str">
        <f>ROUND(Github!O$1450, 2)&amp;"%"</f>
        <v>46.39%</v>
      </c>
      <c r="N1293" s="10">
        <f>Github!P$1450</f>
        <v>12023</v>
      </c>
      <c r="O1293" s="10">
        <f>Github!Q$1450</f>
        <v>25915</v>
      </c>
    </row>
    <row r="1294">
      <c r="A1294" s="10">
        <f>Github!J$1590</f>
        <v>1589</v>
      </c>
      <c r="B1294" s="11" t="str">
        <f>HYPERLINK(CONCAT("http://leetcode.com/problems/",Github!C$1590), Github!B$1590)</f>
        <v>Maximum Sum Obtained of Any Permutation</v>
      </c>
      <c r="C1294" s="10">
        <f>Github!F$1590</f>
        <v>493</v>
      </c>
      <c r="D1294" s="10">
        <f>Github!G$1590</f>
        <v>26</v>
      </c>
      <c r="E1294" s="10">
        <f>Github!F$1590+Github!G$1590</f>
        <v>519</v>
      </c>
      <c r="F1294" s="12">
        <f t="shared" si="1"/>
        <v>18.96</v>
      </c>
      <c r="G1294" s="10" t="str">
        <f>Github!H$1590</f>
        <v>Algorithms</v>
      </c>
      <c r="H1294" s="13" t="str">
        <f>SUBSTITUTE(Github!L$1590, ";", ", ")</f>
        <v>Array, Greedy, Sorting, Prefix Sum, </v>
      </c>
      <c r="I1294" s="10" t="str">
        <f>Github!E$1590</f>
        <v>Medium</v>
      </c>
      <c r="J1294" s="10" t="str">
        <f>IF(TRIM(Github!D$1590)="TRUE","FALSE","TRUE")</f>
        <v>TRUE</v>
      </c>
      <c r="K1294" s="10" t="b">
        <f>Github!M$1590</f>
        <v>0</v>
      </c>
      <c r="L1294" s="10" t="b">
        <f>Github!N$1590</f>
        <v>0</v>
      </c>
      <c r="M1294" s="10" t="str">
        <f>ROUND(Github!O$1590, 2)&amp;"%"</f>
        <v>36.29%</v>
      </c>
      <c r="N1294" s="10">
        <f>Github!P$1590</f>
        <v>12171</v>
      </c>
      <c r="O1294" s="10">
        <f>Github!Q$1590</f>
        <v>33542</v>
      </c>
    </row>
    <row r="1295">
      <c r="A1295" s="10">
        <f>Github!J$1746</f>
        <v>1745</v>
      </c>
      <c r="B1295" s="11" t="str">
        <f>HYPERLINK(CONCAT("http://leetcode.com/problems/",Github!C$1746), Github!B$1746)</f>
        <v>Palindrome Partitioning IV</v>
      </c>
      <c r="C1295" s="10">
        <f>Github!F$1746</f>
        <v>490</v>
      </c>
      <c r="D1295" s="10">
        <f>Github!G$1746</f>
        <v>14</v>
      </c>
      <c r="E1295" s="10">
        <f>Github!F$1746+Github!G$1746</f>
        <v>504</v>
      </c>
      <c r="F1295" s="12">
        <f t="shared" si="1"/>
        <v>35</v>
      </c>
      <c r="G1295" s="10" t="str">
        <f>Github!H$1746</f>
        <v>Algorithms</v>
      </c>
      <c r="H1295" s="13" t="str">
        <f>SUBSTITUTE(Github!L$1746, ";", ", ")</f>
        <v>String, Dynamic Programming, </v>
      </c>
      <c r="I1295" s="10" t="str">
        <f>Github!E$1746</f>
        <v>Hard</v>
      </c>
      <c r="J1295" s="10" t="str">
        <f>IF(TRIM(Github!D$1746)="TRUE","FALSE","TRUE")</f>
        <v>TRUE</v>
      </c>
      <c r="K1295" s="10" t="b">
        <f>Github!M$1746</f>
        <v>0</v>
      </c>
      <c r="L1295" s="10" t="b">
        <f>Github!N$1746</f>
        <v>0</v>
      </c>
      <c r="M1295" s="10" t="str">
        <f>ROUND(Github!O$1746, 2)&amp;"%"</f>
        <v>48.9%</v>
      </c>
      <c r="N1295" s="10">
        <f>Github!P$1746</f>
        <v>14596</v>
      </c>
      <c r="O1295" s="10">
        <f>Github!Q$1746</f>
        <v>29850</v>
      </c>
    </row>
    <row r="1296">
      <c r="A1296" s="10">
        <f>Github!J$985</f>
        <v>984</v>
      </c>
      <c r="B1296" s="11" t="str">
        <f>HYPERLINK(CONCAT("http://leetcode.com/problems/",Github!C$985), Github!B$985)</f>
        <v>String Without AAA or BBB</v>
      </c>
      <c r="C1296" s="10">
        <f>Github!F$985</f>
        <v>489</v>
      </c>
      <c r="D1296" s="10">
        <f>Github!G$985</f>
        <v>330</v>
      </c>
      <c r="E1296" s="10">
        <f>Github!F$985+Github!G$985</f>
        <v>819</v>
      </c>
      <c r="F1296" s="12">
        <f t="shared" si="1"/>
        <v>1.48</v>
      </c>
      <c r="G1296" s="10" t="str">
        <f>Github!H$985</f>
        <v>Algorithms</v>
      </c>
      <c r="H1296" s="13" t="str">
        <f>SUBSTITUTE(Github!L$985, ";", ", ")</f>
        <v>String, Greedy, </v>
      </c>
      <c r="I1296" s="10" t="str">
        <f>Github!E$985</f>
        <v>Medium</v>
      </c>
      <c r="J1296" s="10" t="str">
        <f>IF(TRIM(Github!D$985)="TRUE","FALSE","TRUE")</f>
        <v>TRUE</v>
      </c>
      <c r="K1296" s="10" t="b">
        <f>Github!M$985</f>
        <v>1</v>
      </c>
      <c r="L1296" s="10" t="b">
        <f>Github!N$985</f>
        <v>0</v>
      </c>
      <c r="M1296" s="10" t="str">
        <f>ROUND(Github!O$985, 2)&amp;"%"</f>
        <v>42.23%</v>
      </c>
      <c r="N1296" s="10">
        <f>Github!P$985</f>
        <v>33456</v>
      </c>
      <c r="O1296" s="10">
        <f>Github!Q$985</f>
        <v>79219</v>
      </c>
    </row>
    <row r="1297">
      <c r="A1297" s="10">
        <f>Github!J$1910</f>
        <v>1909</v>
      </c>
      <c r="B1297" s="11" t="str">
        <f>HYPERLINK(CONCAT("http://leetcode.com/problems/",Github!C$1910), Github!B$1910)</f>
        <v>Remove One Element to Make the Array Strictly Increasing</v>
      </c>
      <c r="C1297" s="10">
        <f>Github!F$1910</f>
        <v>497</v>
      </c>
      <c r="D1297" s="10">
        <f>Github!G$1910</f>
        <v>197</v>
      </c>
      <c r="E1297" s="10">
        <f>Github!F$1910+Github!G$1910</f>
        <v>694</v>
      </c>
      <c r="F1297" s="12">
        <f t="shared" si="1"/>
        <v>2.52</v>
      </c>
      <c r="G1297" s="10" t="str">
        <f>Github!H$1910</f>
        <v>Algorithms</v>
      </c>
      <c r="H1297" s="13" t="str">
        <f>SUBSTITUTE(Github!L$1910, ";", ", ")</f>
        <v>Array, </v>
      </c>
      <c r="I1297" s="10" t="str">
        <f>Github!E$1910</f>
        <v>Easy</v>
      </c>
      <c r="J1297" s="10" t="str">
        <f>IF(TRIM(Github!D$1910)="TRUE","FALSE","TRUE")</f>
        <v>TRUE</v>
      </c>
      <c r="K1297" s="10" t="b">
        <f>Github!M$1910</f>
        <v>0</v>
      </c>
      <c r="L1297" s="10" t="b">
        <f>Github!N$1910</f>
        <v>0</v>
      </c>
      <c r="M1297" s="10" t="str">
        <f>ROUND(Github!O$1910, 2)&amp;"%"</f>
        <v>27.18%</v>
      </c>
      <c r="N1297" s="10">
        <f>Github!P$1910</f>
        <v>25927</v>
      </c>
      <c r="O1297" s="10">
        <f>Github!Q$1910</f>
        <v>95401</v>
      </c>
    </row>
    <row r="1298">
      <c r="A1298" s="10">
        <f>Github!J$485</f>
        <v>484</v>
      </c>
      <c r="B1298" s="11" t="str">
        <f>HYPERLINK(CONCAT("http://leetcode.com/problems/",Github!C$485), Github!B$485)</f>
        <v>Find Permutation</v>
      </c>
      <c r="C1298" s="10">
        <f>Github!F$485</f>
        <v>488</v>
      </c>
      <c r="D1298" s="10">
        <f>Github!G$485</f>
        <v>80</v>
      </c>
      <c r="E1298" s="10">
        <f>Github!F$485+Github!G$485</f>
        <v>568</v>
      </c>
      <c r="F1298" s="12">
        <f t="shared" si="1"/>
        <v>6.1</v>
      </c>
      <c r="G1298" s="10" t="str">
        <f>Github!H$485</f>
        <v>Algorithms</v>
      </c>
      <c r="H1298" s="13" t="str">
        <f>SUBSTITUTE(Github!L$485, ";", ", ")</f>
        <v>Array, Stack, Greedy, </v>
      </c>
      <c r="I1298" s="10" t="str">
        <f>Github!E$485</f>
        <v>Medium</v>
      </c>
      <c r="J1298" s="10" t="str">
        <f>IF(TRIM(Github!D$485)="TRUE","FALSE","TRUE")</f>
        <v>FALSE</v>
      </c>
      <c r="K1298" s="10" t="b">
        <f>Github!M$485</f>
        <v>1</v>
      </c>
      <c r="L1298" s="10" t="b">
        <f>Github!N$485</f>
        <v>0</v>
      </c>
      <c r="M1298" s="10" t="str">
        <f>ROUND(Github!O$485, 2)&amp;"%"</f>
        <v>64.28%</v>
      </c>
      <c r="N1298" s="10">
        <f>Github!P$485</f>
        <v>27276</v>
      </c>
      <c r="O1298" s="10">
        <f>Github!Q$485</f>
        <v>42434</v>
      </c>
    </row>
    <row r="1299">
      <c r="A1299" s="10">
        <f>Github!J$1735</f>
        <v>1734</v>
      </c>
      <c r="B1299" s="11" t="str">
        <f>HYPERLINK(CONCAT("http://leetcode.com/problems/",Github!C$1735), Github!B$1735)</f>
        <v>Decode XORed Permutation</v>
      </c>
      <c r="C1299" s="10">
        <f>Github!F$1735</f>
        <v>486</v>
      </c>
      <c r="D1299" s="10">
        <f>Github!G$1735</f>
        <v>18</v>
      </c>
      <c r="E1299" s="10">
        <f>Github!F$1735+Github!G$1735</f>
        <v>504</v>
      </c>
      <c r="F1299" s="12">
        <f t="shared" si="1"/>
        <v>27</v>
      </c>
      <c r="G1299" s="10" t="str">
        <f>Github!H$1735</f>
        <v>Algorithms</v>
      </c>
      <c r="H1299" s="13" t="str">
        <f>SUBSTITUTE(Github!L$1735, ";", ", ")</f>
        <v>Array, Bit Manipulation, </v>
      </c>
      <c r="I1299" s="10" t="str">
        <f>Github!E$1735</f>
        <v>Medium</v>
      </c>
      <c r="J1299" s="10" t="str">
        <f>IF(TRIM(Github!D$1735)="TRUE","FALSE","TRUE")</f>
        <v>TRUE</v>
      </c>
      <c r="K1299" s="10" t="b">
        <f>Github!M$1735</f>
        <v>0</v>
      </c>
      <c r="L1299" s="10" t="b">
        <f>Github!N$1735</f>
        <v>0</v>
      </c>
      <c r="M1299" s="10" t="str">
        <f>ROUND(Github!O$1735, 2)&amp;"%"</f>
        <v>60.75%</v>
      </c>
      <c r="N1299" s="10">
        <f>Github!P$1735</f>
        <v>9155</v>
      </c>
      <c r="O1299" s="10">
        <f>Github!Q$1735</f>
        <v>15070</v>
      </c>
    </row>
    <row r="1300">
      <c r="A1300" s="10">
        <f>Github!J$1245</f>
        <v>1244</v>
      </c>
      <c r="B1300" s="11" t="str">
        <f>HYPERLINK(CONCAT("http://leetcode.com/problems/",Github!C$1245), Github!B$1245)</f>
        <v>Design A Leaderboard</v>
      </c>
      <c r="C1300" s="10">
        <f>Github!F$1245</f>
        <v>486</v>
      </c>
      <c r="D1300" s="10">
        <f>Github!G$1245</f>
        <v>74</v>
      </c>
      <c r="E1300" s="10">
        <f>Github!F$1245+Github!G$1245</f>
        <v>560</v>
      </c>
      <c r="F1300" s="12">
        <f t="shared" si="1"/>
        <v>6.57</v>
      </c>
      <c r="G1300" s="10" t="str">
        <f>Github!H$1245</f>
        <v>Algorithms</v>
      </c>
      <c r="H1300" s="13" t="str">
        <f>SUBSTITUTE(Github!L$1245, ";", ", ")</f>
        <v>Hash Table, Design, Sorting, </v>
      </c>
      <c r="I1300" s="10" t="str">
        <f>Github!E$1245</f>
        <v>Medium</v>
      </c>
      <c r="J1300" s="10" t="str">
        <f>IF(TRIM(Github!D$1245)="TRUE","FALSE","TRUE")</f>
        <v>FALSE</v>
      </c>
      <c r="K1300" s="10" t="b">
        <f>Github!M$1245</f>
        <v>1</v>
      </c>
      <c r="L1300" s="10" t="b">
        <f>Github!N$1245</f>
        <v>0</v>
      </c>
      <c r="M1300" s="10" t="str">
        <f>ROUND(Github!O$1245, 2)&amp;"%"</f>
        <v>68.07%</v>
      </c>
      <c r="N1300" s="10">
        <f>Github!P$1245</f>
        <v>40135</v>
      </c>
      <c r="O1300" s="10">
        <f>Github!Q$1245</f>
        <v>58958</v>
      </c>
    </row>
    <row r="1301">
      <c r="A1301" s="10">
        <f>Github!J$1031</f>
        <v>1030</v>
      </c>
      <c r="B1301" s="11" t="str">
        <f>HYPERLINK(CONCAT("http://leetcode.com/problems/",Github!C$1031), Github!B$1031)</f>
        <v>Matrix Cells in Distance Order</v>
      </c>
      <c r="C1301" s="10">
        <f>Github!F$1031</f>
        <v>485</v>
      </c>
      <c r="D1301" s="10">
        <f>Github!G$1031</f>
        <v>218</v>
      </c>
      <c r="E1301" s="10">
        <f>Github!F$1031+Github!G$1031</f>
        <v>703</v>
      </c>
      <c r="F1301" s="12">
        <f t="shared" si="1"/>
        <v>2.22</v>
      </c>
      <c r="G1301" s="10" t="str">
        <f>Github!H$1031</f>
        <v>Algorithms</v>
      </c>
      <c r="H1301" s="13" t="str">
        <f>SUBSTITUTE(Github!L$1031, ";", ", ")</f>
        <v>Array, Math, Geometry, Sorting, Matrix, </v>
      </c>
      <c r="I1301" s="10" t="str">
        <f>Github!E$1031</f>
        <v>Easy</v>
      </c>
      <c r="J1301" s="10" t="str">
        <f>IF(TRIM(Github!D$1031)="TRUE","FALSE","TRUE")</f>
        <v>TRUE</v>
      </c>
      <c r="K1301" s="10" t="b">
        <f>Github!M$1031</f>
        <v>0</v>
      </c>
      <c r="L1301" s="10" t="b">
        <f>Github!N$1031</f>
        <v>0</v>
      </c>
      <c r="M1301" s="10" t="str">
        <f>ROUND(Github!O$1031, 2)&amp;"%"</f>
        <v>69.07%</v>
      </c>
      <c r="N1301" s="10">
        <f>Github!P$1031</f>
        <v>41831</v>
      </c>
      <c r="O1301" s="10">
        <f>Github!Q$1031</f>
        <v>60565</v>
      </c>
    </row>
    <row r="1302">
      <c r="A1302" s="10">
        <f>Github!J$761</f>
        <v>760</v>
      </c>
      <c r="B1302" s="11" t="str">
        <f>HYPERLINK(CONCAT("http://leetcode.com/problems/",Github!C$761), Github!B$761)</f>
        <v>Find Anagram Mappings</v>
      </c>
      <c r="C1302" s="10">
        <f>Github!F$761</f>
        <v>485</v>
      </c>
      <c r="D1302" s="10">
        <f>Github!G$761</f>
        <v>195</v>
      </c>
      <c r="E1302" s="10">
        <f>Github!F$761+Github!G$761</f>
        <v>680</v>
      </c>
      <c r="F1302" s="12">
        <f t="shared" si="1"/>
        <v>2.49</v>
      </c>
      <c r="G1302" s="10" t="str">
        <f>Github!H$761</f>
        <v>Algorithms</v>
      </c>
      <c r="H1302" s="13" t="str">
        <f>SUBSTITUTE(Github!L$761, ";", ", ")</f>
        <v>Array, Hash Table, </v>
      </c>
      <c r="I1302" s="10" t="str">
        <f>Github!E$761</f>
        <v>Easy</v>
      </c>
      <c r="J1302" s="10" t="str">
        <f>IF(TRIM(Github!D$761)="TRUE","FALSE","TRUE")</f>
        <v>FALSE</v>
      </c>
      <c r="K1302" s="10" t="b">
        <f>Github!M$761</f>
        <v>1</v>
      </c>
      <c r="L1302" s="10" t="b">
        <f>Github!N$761</f>
        <v>0</v>
      </c>
      <c r="M1302" s="10" t="str">
        <f>ROUND(Github!O$761, 2)&amp;"%"</f>
        <v>82.67%</v>
      </c>
      <c r="N1302" s="10">
        <f>Github!P$761</f>
        <v>80852</v>
      </c>
      <c r="O1302" s="10">
        <f>Github!Q$761</f>
        <v>97801</v>
      </c>
    </row>
    <row r="1303">
      <c r="A1303" s="10">
        <f>Github!J$1060</f>
        <v>1059</v>
      </c>
      <c r="B1303" s="11" t="str">
        <f>HYPERLINK(CONCAT("http://leetcode.com/problems/",Github!C$1060), Github!B$1060)</f>
        <v>All Paths from Source Lead to Destination</v>
      </c>
      <c r="C1303" s="10">
        <f>Github!F$1060</f>
        <v>486</v>
      </c>
      <c r="D1303" s="10">
        <f>Github!G$1060</f>
        <v>129</v>
      </c>
      <c r="E1303" s="10">
        <f>Github!F$1060+Github!G$1060</f>
        <v>615</v>
      </c>
      <c r="F1303" s="12">
        <f t="shared" si="1"/>
        <v>3.77</v>
      </c>
      <c r="G1303" s="10" t="str">
        <f>Github!H$1060</f>
        <v>Algorithms</v>
      </c>
      <c r="H1303" s="13" t="str">
        <f>SUBSTITUTE(Github!L$1060, ";", ", ")</f>
        <v>Depth-First Search, Graph, </v>
      </c>
      <c r="I1303" s="10" t="str">
        <f>Github!E$1060</f>
        <v>Medium</v>
      </c>
      <c r="J1303" s="10" t="str">
        <f>IF(TRIM(Github!D$1060)="TRUE","FALSE","TRUE")</f>
        <v>FALSE</v>
      </c>
      <c r="K1303" s="10" t="b">
        <f>Github!M$1060</f>
        <v>1</v>
      </c>
      <c r="L1303" s="10" t="b">
        <f>Github!N$1060</f>
        <v>0</v>
      </c>
      <c r="M1303" s="10" t="str">
        <f>ROUND(Github!O$1060, 2)&amp;"%"</f>
        <v>41.76%</v>
      </c>
      <c r="N1303" s="10">
        <f>Github!P$1060</f>
        <v>36842</v>
      </c>
      <c r="O1303" s="10">
        <f>Github!Q$1060</f>
        <v>88222</v>
      </c>
    </row>
    <row r="1304">
      <c r="A1304" s="10">
        <f>Github!J$621</f>
        <v>620</v>
      </c>
      <c r="B1304" s="11" t="str">
        <f>HYPERLINK(CONCAT("http://leetcode.com/problems/",Github!C$621), Github!B$621)</f>
        <v>Not Boring Movies</v>
      </c>
      <c r="C1304" s="10">
        <f>Github!F$621</f>
        <v>485</v>
      </c>
      <c r="D1304" s="10">
        <f>Github!G$621</f>
        <v>362</v>
      </c>
      <c r="E1304" s="10">
        <f>Github!F$621+Github!G$621</f>
        <v>847</v>
      </c>
      <c r="F1304" s="12">
        <f t="shared" si="1"/>
        <v>1.34</v>
      </c>
      <c r="G1304" s="10" t="str">
        <f>Github!H$621</f>
        <v>Database</v>
      </c>
      <c r="H1304" s="13" t="str">
        <f>SUBSTITUTE(Github!L$621, ";", ", ")</f>
        <v>Database, </v>
      </c>
      <c r="I1304" s="10" t="str">
        <f>Github!E$621</f>
        <v>Easy</v>
      </c>
      <c r="J1304" s="10" t="str">
        <f>IF(TRIM(Github!D$621)="TRUE","FALSE","TRUE")</f>
        <v>TRUE</v>
      </c>
      <c r="K1304" s="10" t="b">
        <f>Github!M$621</f>
        <v>1</v>
      </c>
      <c r="L1304" s="10" t="b">
        <f>Github!N$621</f>
        <v>0</v>
      </c>
      <c r="M1304" s="10" t="str">
        <f>ROUND(Github!O$621, 2)&amp;"%"</f>
        <v>72.56%</v>
      </c>
      <c r="N1304" s="10">
        <f>Github!P$621</f>
        <v>183996</v>
      </c>
      <c r="O1304" s="10">
        <f>Github!Q$621</f>
        <v>253572</v>
      </c>
    </row>
    <row r="1305">
      <c r="A1305" s="10">
        <f>Github!J$1692</f>
        <v>1691</v>
      </c>
      <c r="B1305" s="11" t="str">
        <f>HYPERLINK(CONCAT("http://leetcode.com/problems/",Github!C$1692), Github!B$1692)</f>
        <v>Maximum Height by Stacking Cuboids </v>
      </c>
      <c r="C1305" s="10">
        <f>Github!F$1692</f>
        <v>483</v>
      </c>
      <c r="D1305" s="10">
        <f>Github!G$1692</f>
        <v>16</v>
      </c>
      <c r="E1305" s="10">
        <f>Github!F$1692+Github!G$1692</f>
        <v>499</v>
      </c>
      <c r="F1305" s="12">
        <f t="shared" si="1"/>
        <v>30.19</v>
      </c>
      <c r="G1305" s="10" t="str">
        <f>Github!H$1692</f>
        <v>Algorithms</v>
      </c>
      <c r="H1305" s="13" t="str">
        <f>SUBSTITUTE(Github!L$1692, ";", ", ")</f>
        <v>Array, Dynamic Programming, Sorting, </v>
      </c>
      <c r="I1305" s="10" t="str">
        <f>Github!E$1692</f>
        <v>Hard</v>
      </c>
      <c r="J1305" s="10" t="str">
        <f>IF(TRIM(Github!D$1692)="TRUE","FALSE","TRUE")</f>
        <v>TRUE</v>
      </c>
      <c r="K1305" s="10" t="b">
        <f>Github!M$1692</f>
        <v>0</v>
      </c>
      <c r="L1305" s="10" t="b">
        <f>Github!N$1692</f>
        <v>0</v>
      </c>
      <c r="M1305" s="10" t="str">
        <f>ROUND(Github!O$1692, 2)&amp;"%"</f>
        <v>53.62%</v>
      </c>
      <c r="N1305" s="10">
        <f>Github!P$1692</f>
        <v>10893</v>
      </c>
      <c r="O1305" s="10">
        <f>Github!Q$1692</f>
        <v>20317</v>
      </c>
    </row>
    <row r="1306">
      <c r="A1306" s="10">
        <f>Github!J$1982</f>
        <v>1981</v>
      </c>
      <c r="B1306" s="11" t="str">
        <f>HYPERLINK(CONCAT("http://leetcode.com/problems/",Github!C$1982), Github!B$1982)</f>
        <v>Minimize the Difference Between Target and Chosen Elements</v>
      </c>
      <c r="C1306" s="10">
        <f>Github!F$1982</f>
        <v>485</v>
      </c>
      <c r="D1306" s="10">
        <f>Github!G$1982</f>
        <v>93</v>
      </c>
      <c r="E1306" s="10">
        <f>Github!F$1982+Github!G$1982</f>
        <v>578</v>
      </c>
      <c r="F1306" s="12">
        <f t="shared" si="1"/>
        <v>5.22</v>
      </c>
      <c r="G1306" s="10" t="str">
        <f>Github!H$1982</f>
        <v>Algorithms</v>
      </c>
      <c r="H1306" s="13" t="str">
        <f>SUBSTITUTE(Github!L$1982, ";", ", ")</f>
        <v>Array, Dynamic Programming, Matrix, </v>
      </c>
      <c r="I1306" s="10" t="str">
        <f>Github!E$1982</f>
        <v>Medium</v>
      </c>
      <c r="J1306" s="10" t="str">
        <f>IF(TRIM(Github!D$1982)="TRUE","FALSE","TRUE")</f>
        <v>TRUE</v>
      </c>
      <c r="K1306" s="10" t="b">
        <f>Github!M$1982</f>
        <v>0</v>
      </c>
      <c r="L1306" s="10" t="b">
        <f>Github!N$1982</f>
        <v>0</v>
      </c>
      <c r="M1306" s="10" t="str">
        <f>ROUND(Github!O$1982, 2)&amp;"%"</f>
        <v>32.7%</v>
      </c>
      <c r="N1306" s="10">
        <f>Github!P$1982</f>
        <v>14852</v>
      </c>
      <c r="O1306" s="10">
        <f>Github!Q$1982</f>
        <v>45421</v>
      </c>
    </row>
    <row r="1307">
      <c r="A1307" s="10">
        <f>Github!J$428</f>
        <v>427</v>
      </c>
      <c r="B1307" s="11" t="str">
        <f>HYPERLINK(CONCAT("http://leetcode.com/problems/",Github!C$428), Github!B$428)</f>
        <v>Construct Quad Tree</v>
      </c>
      <c r="C1307" s="10">
        <f>Github!F$428</f>
        <v>483</v>
      </c>
      <c r="D1307" s="10">
        <f>Github!G$428</f>
        <v>679</v>
      </c>
      <c r="E1307" s="10">
        <f>Github!F$428+Github!G$428</f>
        <v>1162</v>
      </c>
      <c r="F1307" s="12">
        <f t="shared" si="1"/>
        <v>0.71</v>
      </c>
      <c r="G1307" s="10" t="str">
        <f>Github!H$428</f>
        <v>Algorithms</v>
      </c>
      <c r="H1307" s="13" t="str">
        <f>SUBSTITUTE(Github!L$428, ";", ", ")</f>
        <v>Array, Divide and Conquer, Tree, Matrix, </v>
      </c>
      <c r="I1307" s="10" t="str">
        <f>Github!E$428</f>
        <v>Medium</v>
      </c>
      <c r="J1307" s="10" t="str">
        <f>IF(TRIM(Github!D$428)="TRUE","FALSE","TRUE")</f>
        <v>TRUE</v>
      </c>
      <c r="K1307" s="10" t="b">
        <f>Github!M$428</f>
        <v>0</v>
      </c>
      <c r="L1307" s="10" t="b">
        <f>Github!N$428</f>
        <v>0</v>
      </c>
      <c r="M1307" s="10" t="str">
        <f>ROUND(Github!O$428, 2)&amp;"%"</f>
        <v>65.29%</v>
      </c>
      <c r="N1307" s="10">
        <f>Github!P$428</f>
        <v>41799</v>
      </c>
      <c r="O1307" s="10">
        <f>Github!Q$428</f>
        <v>64023</v>
      </c>
    </row>
    <row r="1308">
      <c r="A1308" s="10">
        <f>Github!J$2012</f>
        <v>2011</v>
      </c>
      <c r="B1308" s="11" t="str">
        <f>HYPERLINK(CONCAT("http://leetcode.com/problems/",Github!C$2012), Github!B$2012)</f>
        <v>Final Value of Variable After Performing Operations</v>
      </c>
      <c r="C1308" s="10">
        <f>Github!F$2012</f>
        <v>486</v>
      </c>
      <c r="D1308" s="10">
        <f>Github!G$2012</f>
        <v>85</v>
      </c>
      <c r="E1308" s="10">
        <f>Github!F$2012+Github!G$2012</f>
        <v>571</v>
      </c>
      <c r="F1308" s="12">
        <f t="shared" si="1"/>
        <v>5.72</v>
      </c>
      <c r="G1308" s="10" t="str">
        <f>Github!H$2012</f>
        <v>Algorithms</v>
      </c>
      <c r="H1308" s="13" t="str">
        <f>SUBSTITUTE(Github!L$2012, ";", ", ")</f>
        <v>Array, String, Simulation, </v>
      </c>
      <c r="I1308" s="10" t="str">
        <f>Github!E$2012</f>
        <v>Easy</v>
      </c>
      <c r="J1308" s="10" t="str">
        <f>IF(TRIM(Github!D$2012)="TRUE","FALSE","TRUE")</f>
        <v>TRUE</v>
      </c>
      <c r="K1308" s="10" t="b">
        <f>Github!M$2012</f>
        <v>0</v>
      </c>
      <c r="L1308" s="10" t="b">
        <f>Github!N$2012</f>
        <v>0</v>
      </c>
      <c r="M1308" s="10" t="str">
        <f>ROUND(Github!O$2012, 2)&amp;"%"</f>
        <v>89.15%</v>
      </c>
      <c r="N1308" s="10">
        <f>Github!P$2012</f>
        <v>96178</v>
      </c>
      <c r="O1308" s="10">
        <f>Github!Q$2012</f>
        <v>107886</v>
      </c>
    </row>
    <row r="1309">
      <c r="A1309" s="10">
        <f>Github!J$1129</f>
        <v>1128</v>
      </c>
      <c r="B1309" s="11" t="str">
        <f>HYPERLINK(CONCAT("http://leetcode.com/problems/",Github!C$1129), Github!B$1129)</f>
        <v>Number of Equivalent Domino Pairs</v>
      </c>
      <c r="C1309" s="10">
        <f>Github!F$1129</f>
        <v>480</v>
      </c>
      <c r="D1309" s="10">
        <f>Github!G$1129</f>
        <v>230</v>
      </c>
      <c r="E1309" s="10">
        <f>Github!F$1129+Github!G$1129</f>
        <v>710</v>
      </c>
      <c r="F1309" s="12">
        <f t="shared" si="1"/>
        <v>2.09</v>
      </c>
      <c r="G1309" s="10" t="str">
        <f>Github!H$1129</f>
        <v>Algorithms</v>
      </c>
      <c r="H1309" s="13" t="str">
        <f>SUBSTITUTE(Github!L$1129, ";", ", ")</f>
        <v>Array, Hash Table, Counting, </v>
      </c>
      <c r="I1309" s="10" t="str">
        <f>Github!E$1129</f>
        <v>Easy</v>
      </c>
      <c r="J1309" s="10" t="str">
        <f>IF(TRIM(Github!D$1129)="TRUE","FALSE","TRUE")</f>
        <v>TRUE</v>
      </c>
      <c r="K1309" s="10" t="b">
        <f>Github!M$1129</f>
        <v>0</v>
      </c>
      <c r="L1309" s="10" t="b">
        <f>Github!N$1129</f>
        <v>0</v>
      </c>
      <c r="M1309" s="10" t="str">
        <f>ROUND(Github!O$1129, 2)&amp;"%"</f>
        <v>46.3%</v>
      </c>
      <c r="N1309" s="10">
        <f>Github!P$1129</f>
        <v>46934</v>
      </c>
      <c r="O1309" s="10">
        <f>Github!Q$1129</f>
        <v>101372</v>
      </c>
    </row>
    <row r="1310">
      <c r="A1310" s="10">
        <f>Github!J$1817</f>
        <v>1816</v>
      </c>
      <c r="B1310" s="11" t="str">
        <f>HYPERLINK(CONCAT("http://leetcode.com/problems/",Github!C$1817), Github!B$1817)</f>
        <v>Truncate Sentence</v>
      </c>
      <c r="C1310" s="10">
        <f>Github!F$1817</f>
        <v>485</v>
      </c>
      <c r="D1310" s="10">
        <f>Github!G$1817</f>
        <v>15</v>
      </c>
      <c r="E1310" s="10">
        <f>Github!F$1817+Github!G$1817</f>
        <v>500</v>
      </c>
      <c r="F1310" s="12">
        <f t="shared" si="1"/>
        <v>32.33</v>
      </c>
      <c r="G1310" s="10" t="str">
        <f>Github!H$1817</f>
        <v>Algorithms</v>
      </c>
      <c r="H1310" s="13" t="str">
        <f>SUBSTITUTE(Github!L$1817, ";", ", ")</f>
        <v>Array, String, </v>
      </c>
      <c r="I1310" s="10" t="str">
        <f>Github!E$1817</f>
        <v>Easy</v>
      </c>
      <c r="J1310" s="10" t="str">
        <f>IF(TRIM(Github!D$1817)="TRUE","FALSE","TRUE")</f>
        <v>TRUE</v>
      </c>
      <c r="K1310" s="10" t="b">
        <f>Github!M$1817</f>
        <v>0</v>
      </c>
      <c r="L1310" s="10" t="b">
        <f>Github!N$1817</f>
        <v>0</v>
      </c>
      <c r="M1310" s="10" t="str">
        <f>ROUND(Github!O$1817, 2)&amp;"%"</f>
        <v>81.27%</v>
      </c>
      <c r="N1310" s="10">
        <f>Github!P$1817</f>
        <v>59728</v>
      </c>
      <c r="O1310" s="10">
        <f>Github!Q$1817</f>
        <v>73498</v>
      </c>
    </row>
    <row r="1311">
      <c r="A1311" s="10">
        <f>Github!J$1793</f>
        <v>1792</v>
      </c>
      <c r="B1311" s="11" t="str">
        <f>HYPERLINK(CONCAT("http://leetcode.com/problems/",Github!C$1793), Github!B$1793)</f>
        <v>Maximum Average Pass Ratio</v>
      </c>
      <c r="C1311" s="10">
        <f>Github!F$1793</f>
        <v>482</v>
      </c>
      <c r="D1311" s="10">
        <f>Github!G$1793</f>
        <v>58</v>
      </c>
      <c r="E1311" s="10">
        <f>Github!F$1793+Github!G$1793</f>
        <v>540</v>
      </c>
      <c r="F1311" s="12">
        <f t="shared" si="1"/>
        <v>8.31</v>
      </c>
      <c r="G1311" s="10" t="str">
        <f>Github!H$1793</f>
        <v>Algorithms</v>
      </c>
      <c r="H1311" s="13" t="str">
        <f>SUBSTITUTE(Github!L$1793, ";", ", ")</f>
        <v>Array, Greedy, Heap (Priority Queue), </v>
      </c>
      <c r="I1311" s="10" t="str">
        <f>Github!E$1793</f>
        <v>Medium</v>
      </c>
      <c r="J1311" s="10" t="str">
        <f>IF(TRIM(Github!D$1793)="TRUE","FALSE","TRUE")</f>
        <v>TRUE</v>
      </c>
      <c r="K1311" s="10" t="b">
        <f>Github!M$1793</f>
        <v>0</v>
      </c>
      <c r="L1311" s="10" t="b">
        <f>Github!N$1793</f>
        <v>0</v>
      </c>
      <c r="M1311" s="10" t="str">
        <f>ROUND(Github!O$1793, 2)&amp;"%"</f>
        <v>50.75%</v>
      </c>
      <c r="N1311" s="10">
        <f>Github!P$1793</f>
        <v>14898</v>
      </c>
      <c r="O1311" s="10">
        <f>Github!Q$1793</f>
        <v>29358</v>
      </c>
    </row>
    <row r="1312">
      <c r="A1312" s="10">
        <f>Github!J$565</f>
        <v>564</v>
      </c>
      <c r="B1312" s="11" t="str">
        <f>HYPERLINK(CONCAT("http://leetcode.com/problems/",Github!C$565), Github!B$565)</f>
        <v>Find the Closest Palindrome</v>
      </c>
      <c r="C1312" s="10">
        <f>Github!F$565</f>
        <v>477</v>
      </c>
      <c r="D1312" s="10">
        <f>Github!G$565</f>
        <v>1130</v>
      </c>
      <c r="E1312" s="10">
        <f>Github!F$565+Github!G$565</f>
        <v>1607</v>
      </c>
      <c r="F1312" s="12">
        <f t="shared" si="1"/>
        <v>0.42</v>
      </c>
      <c r="G1312" s="10" t="str">
        <f>Github!H$565</f>
        <v>Algorithms</v>
      </c>
      <c r="H1312" s="13" t="str">
        <f>SUBSTITUTE(Github!L$565, ";", ", ")</f>
        <v>Math, String, </v>
      </c>
      <c r="I1312" s="10" t="str">
        <f>Github!E$565</f>
        <v>Hard</v>
      </c>
      <c r="J1312" s="10" t="str">
        <f>IF(TRIM(Github!D$565)="TRUE","FALSE","TRUE")</f>
        <v>TRUE</v>
      </c>
      <c r="K1312" s="10" t="b">
        <f>Github!M$565</f>
        <v>0</v>
      </c>
      <c r="L1312" s="10" t="b">
        <f>Github!N$565</f>
        <v>0</v>
      </c>
      <c r="M1312" s="10" t="str">
        <f>ROUND(Github!O$565, 2)&amp;"%"</f>
        <v>21.31%</v>
      </c>
      <c r="N1312" s="10">
        <f>Github!P$565</f>
        <v>31322</v>
      </c>
      <c r="O1312" s="10">
        <f>Github!Q$565</f>
        <v>146997</v>
      </c>
    </row>
    <row r="1313">
      <c r="A1313" s="10">
        <f>Github!J$1452</f>
        <v>1451</v>
      </c>
      <c r="B1313" s="11" t="str">
        <f>HYPERLINK(CONCAT("http://leetcode.com/problems/",Github!C$1452), Github!B$1452)</f>
        <v>Rearrange Words in a Sentence</v>
      </c>
      <c r="C1313" s="10">
        <f>Github!F$1452</f>
        <v>477</v>
      </c>
      <c r="D1313" s="10">
        <f>Github!G$1452</f>
        <v>63</v>
      </c>
      <c r="E1313" s="10">
        <f>Github!F$1452+Github!G$1452</f>
        <v>540</v>
      </c>
      <c r="F1313" s="12">
        <f t="shared" si="1"/>
        <v>7.57</v>
      </c>
      <c r="G1313" s="10" t="str">
        <f>Github!H$1452</f>
        <v>Algorithms</v>
      </c>
      <c r="H1313" s="13" t="str">
        <f>SUBSTITUTE(Github!L$1452, ";", ", ")</f>
        <v>String, Sorting, </v>
      </c>
      <c r="I1313" s="10" t="str">
        <f>Github!E$1452</f>
        <v>Medium</v>
      </c>
      <c r="J1313" s="10" t="str">
        <f>IF(TRIM(Github!D$1452)="TRUE","FALSE","TRUE")</f>
        <v>TRUE</v>
      </c>
      <c r="K1313" s="10" t="b">
        <f>Github!M$1452</f>
        <v>0</v>
      </c>
      <c r="L1313" s="10" t="b">
        <f>Github!N$1452</f>
        <v>0</v>
      </c>
      <c r="M1313" s="10" t="str">
        <f>ROUND(Github!O$1452, 2)&amp;"%"</f>
        <v>61.98%</v>
      </c>
      <c r="N1313" s="10">
        <f>Github!P$1452</f>
        <v>37314</v>
      </c>
      <c r="O1313" s="10">
        <f>Github!Q$1452</f>
        <v>60200</v>
      </c>
    </row>
    <row r="1314">
      <c r="A1314" s="10">
        <f>Github!J$2122</f>
        <v>2121</v>
      </c>
      <c r="B1314" s="11" t="str">
        <f>HYPERLINK(CONCAT("http://leetcode.com/problems/",Github!C$2122), Github!B$2122)</f>
        <v>Intervals Between Identical Elements</v>
      </c>
      <c r="C1314" s="10">
        <f>Github!F$2122</f>
        <v>478</v>
      </c>
      <c r="D1314" s="10">
        <f>Github!G$2122</f>
        <v>21</v>
      </c>
      <c r="E1314" s="10">
        <f>Github!F$2122+Github!G$2122</f>
        <v>499</v>
      </c>
      <c r="F1314" s="12">
        <f t="shared" si="1"/>
        <v>22.76</v>
      </c>
      <c r="G1314" s="10" t="str">
        <f>Github!H$2122</f>
        <v>Algorithms</v>
      </c>
      <c r="H1314" s="13" t="str">
        <f>SUBSTITUTE(Github!L$2122, ";", ", ")</f>
        <v>Array, Hash Table, Prefix Sum, </v>
      </c>
      <c r="I1314" s="10" t="str">
        <f>Github!E$2122</f>
        <v>Medium</v>
      </c>
      <c r="J1314" s="10" t="str">
        <f>IF(TRIM(Github!D$2122)="TRUE","FALSE","TRUE")</f>
        <v>TRUE</v>
      </c>
      <c r="K1314" s="10" t="b">
        <f>Github!M$2122</f>
        <v>0</v>
      </c>
      <c r="L1314" s="10" t="b">
        <f>Github!N$2122</f>
        <v>0</v>
      </c>
      <c r="M1314" s="10" t="str">
        <f>ROUND(Github!O$2122, 2)&amp;"%"</f>
        <v>42.16%</v>
      </c>
      <c r="N1314" s="10">
        <f>Github!P$2122</f>
        <v>11028</v>
      </c>
      <c r="O1314" s="10">
        <f>Github!Q$2122</f>
        <v>26156</v>
      </c>
    </row>
    <row r="1315">
      <c r="A1315" s="10">
        <f>Github!J$2117</f>
        <v>2116</v>
      </c>
      <c r="B1315" s="11" t="str">
        <f>HYPERLINK(CONCAT("http://leetcode.com/problems/",Github!C$2117), Github!B$2117)</f>
        <v>Check if a Parentheses String Can Be Valid</v>
      </c>
      <c r="C1315" s="10">
        <f>Github!F$2117</f>
        <v>479</v>
      </c>
      <c r="D1315" s="10">
        <f>Github!G$2117</f>
        <v>18</v>
      </c>
      <c r="E1315" s="10">
        <f>Github!F$2117+Github!G$2117</f>
        <v>497</v>
      </c>
      <c r="F1315" s="12">
        <f t="shared" si="1"/>
        <v>26.61</v>
      </c>
      <c r="G1315" s="10" t="str">
        <f>Github!H$2117</f>
        <v>Algorithms</v>
      </c>
      <c r="H1315" s="13" t="str">
        <f>SUBSTITUTE(Github!L$2117, ";", ", ")</f>
        <v>String, Stack, Greedy, </v>
      </c>
      <c r="I1315" s="10" t="str">
        <f>Github!E$2117</f>
        <v>Medium</v>
      </c>
      <c r="J1315" s="10" t="str">
        <f>IF(TRIM(Github!D$2117)="TRUE","FALSE","TRUE")</f>
        <v>TRUE</v>
      </c>
      <c r="K1315" s="10" t="b">
        <f>Github!M$2117</f>
        <v>0</v>
      </c>
      <c r="L1315" s="10" t="b">
        <f>Github!N$2117</f>
        <v>0</v>
      </c>
      <c r="M1315" s="10" t="str">
        <f>ROUND(Github!O$2117, 2)&amp;"%"</f>
        <v>31.37%</v>
      </c>
      <c r="N1315" s="10">
        <f>Github!P$2117</f>
        <v>8523</v>
      </c>
      <c r="O1315" s="10">
        <f>Github!Q$2117</f>
        <v>27170</v>
      </c>
    </row>
    <row r="1316">
      <c r="A1316" s="10">
        <f>Github!J$1687</f>
        <v>1686</v>
      </c>
      <c r="B1316" s="11" t="str">
        <f>HYPERLINK(CONCAT("http://leetcode.com/problems/",Github!C$1687), Github!B$1687)</f>
        <v>Stone Game VI</v>
      </c>
      <c r="C1316" s="10">
        <f>Github!F$1687</f>
        <v>477</v>
      </c>
      <c r="D1316" s="10">
        <f>Github!G$1687</f>
        <v>40</v>
      </c>
      <c r="E1316" s="10">
        <f>Github!F$1687+Github!G$1687</f>
        <v>517</v>
      </c>
      <c r="F1316" s="12">
        <f t="shared" si="1"/>
        <v>11.93</v>
      </c>
      <c r="G1316" s="10" t="str">
        <f>Github!H$1687</f>
        <v>Algorithms</v>
      </c>
      <c r="H1316" s="13" t="str">
        <f>SUBSTITUTE(Github!L$1687, ";", ", ")</f>
        <v>Array, Math, Greedy, Sorting, Heap (Priority Queue), Game Theory, </v>
      </c>
      <c r="I1316" s="10" t="str">
        <f>Github!E$1687</f>
        <v>Medium</v>
      </c>
      <c r="J1316" s="10" t="str">
        <f>IF(TRIM(Github!D$1687)="TRUE","FALSE","TRUE")</f>
        <v>TRUE</v>
      </c>
      <c r="K1316" s="10" t="b">
        <f>Github!M$1687</f>
        <v>0</v>
      </c>
      <c r="L1316" s="10" t="b">
        <f>Github!N$1687</f>
        <v>0</v>
      </c>
      <c r="M1316" s="10" t="str">
        <f>ROUND(Github!O$1687, 2)&amp;"%"</f>
        <v>53.69%</v>
      </c>
      <c r="N1316" s="10">
        <f>Github!P$1687</f>
        <v>10868</v>
      </c>
      <c r="O1316" s="10">
        <f>Github!Q$1687</f>
        <v>20244</v>
      </c>
    </row>
    <row r="1317">
      <c r="A1317" s="10">
        <f>Github!J$1497</f>
        <v>1496</v>
      </c>
      <c r="B1317" s="11" t="str">
        <f>HYPERLINK(CONCAT("http://leetcode.com/problems/",Github!C$1497), Github!B$1497)</f>
        <v>Path Crossing</v>
      </c>
      <c r="C1317" s="10">
        <f>Github!F$1497</f>
        <v>474</v>
      </c>
      <c r="D1317" s="10">
        <f>Github!G$1497</f>
        <v>9</v>
      </c>
      <c r="E1317" s="10">
        <f>Github!F$1497+Github!G$1497</f>
        <v>483</v>
      </c>
      <c r="F1317" s="12">
        <f t="shared" si="1"/>
        <v>52.67</v>
      </c>
      <c r="G1317" s="10" t="str">
        <f>Github!H$1497</f>
        <v>Algorithms</v>
      </c>
      <c r="H1317" s="13" t="str">
        <f>SUBSTITUTE(Github!L$1497, ";", ", ")</f>
        <v>Hash Table, String, </v>
      </c>
      <c r="I1317" s="10" t="str">
        <f>Github!E$1497</f>
        <v>Easy</v>
      </c>
      <c r="J1317" s="10" t="str">
        <f>IF(TRIM(Github!D$1497)="TRUE","FALSE","TRUE")</f>
        <v>TRUE</v>
      </c>
      <c r="K1317" s="10" t="b">
        <f>Github!M$1497</f>
        <v>0</v>
      </c>
      <c r="L1317" s="10" t="b">
        <f>Github!N$1497</f>
        <v>0</v>
      </c>
      <c r="M1317" s="10" t="str">
        <f>ROUND(Github!O$1497, 2)&amp;"%"</f>
        <v>55.74%</v>
      </c>
      <c r="N1317" s="10">
        <f>Github!P$1497</f>
        <v>35368</v>
      </c>
      <c r="O1317" s="10">
        <f>Github!Q$1497</f>
        <v>63452</v>
      </c>
    </row>
    <row r="1318">
      <c r="A1318" s="10">
        <f>Github!J$421</f>
        <v>420</v>
      </c>
      <c r="B1318" s="11" t="str">
        <f>HYPERLINK(CONCAT("http://leetcode.com/problems/",Github!C$421), Github!B$421)</f>
        <v>Strong Password Checker</v>
      </c>
      <c r="C1318" s="10">
        <f>Github!F$421</f>
        <v>475</v>
      </c>
      <c r="D1318" s="10">
        <f>Github!G$421</f>
        <v>1259</v>
      </c>
      <c r="E1318" s="10">
        <f>Github!F$421+Github!G$421</f>
        <v>1734</v>
      </c>
      <c r="F1318" s="12">
        <f t="shared" si="1"/>
        <v>0.38</v>
      </c>
      <c r="G1318" s="10" t="str">
        <f>Github!H$421</f>
        <v>Algorithms</v>
      </c>
      <c r="H1318" s="13" t="str">
        <f>SUBSTITUTE(Github!L$421, ";", ", ")</f>
        <v>String, Greedy, Heap (Priority Queue), </v>
      </c>
      <c r="I1318" s="10" t="str">
        <f>Github!E$421</f>
        <v>Hard</v>
      </c>
      <c r="J1318" s="10" t="str">
        <f>IF(TRIM(Github!D$421)="TRUE","FALSE","TRUE")</f>
        <v>TRUE</v>
      </c>
      <c r="K1318" s="10" t="b">
        <f>Github!M$421</f>
        <v>0</v>
      </c>
      <c r="L1318" s="10" t="b">
        <f>Github!N$421</f>
        <v>0</v>
      </c>
      <c r="M1318" s="10" t="str">
        <f>ROUND(Github!O$421, 2)&amp;"%"</f>
        <v>14.18%</v>
      </c>
      <c r="N1318" s="10">
        <f>Github!P$421</f>
        <v>24331</v>
      </c>
      <c r="O1318" s="10">
        <f>Github!Q$421</f>
        <v>171594</v>
      </c>
    </row>
    <row r="1319">
      <c r="A1319" s="10">
        <f>Github!J$2128</f>
        <v>2127</v>
      </c>
      <c r="B1319" s="11" t="str">
        <f>HYPERLINK(CONCAT("http://leetcode.com/problems/",Github!C$2128), Github!B$2128)</f>
        <v>Maximum Employees to Be Invited to a Meeting</v>
      </c>
      <c r="C1319" s="10">
        <f>Github!F$2128</f>
        <v>480</v>
      </c>
      <c r="D1319" s="10">
        <f>Github!G$2128</f>
        <v>6</v>
      </c>
      <c r="E1319" s="10">
        <f>Github!F$2128+Github!G$2128</f>
        <v>486</v>
      </c>
      <c r="F1319" s="12">
        <f t="shared" si="1"/>
        <v>80</v>
      </c>
      <c r="G1319" s="10" t="str">
        <f>Github!H$2128</f>
        <v>Algorithms</v>
      </c>
      <c r="H1319" s="13" t="str">
        <f>SUBSTITUTE(Github!L$2128, ";", ", ")</f>
        <v>Depth-First Search, Graph, Topological Sort, </v>
      </c>
      <c r="I1319" s="10" t="str">
        <f>Github!E$2128</f>
        <v>Hard</v>
      </c>
      <c r="J1319" s="10" t="str">
        <f>IF(TRIM(Github!D$2128)="TRUE","FALSE","TRUE")</f>
        <v>TRUE</v>
      </c>
      <c r="K1319" s="10" t="b">
        <f>Github!M$2128</f>
        <v>0</v>
      </c>
      <c r="L1319" s="10" t="b">
        <f>Github!N$2128</f>
        <v>0</v>
      </c>
      <c r="M1319" s="10" t="str">
        <f>ROUND(Github!O$2128, 2)&amp;"%"</f>
        <v>30.08%</v>
      </c>
      <c r="N1319" s="10">
        <f>Github!P$2128</f>
        <v>4706</v>
      </c>
      <c r="O1319" s="10">
        <f>Github!Q$2128</f>
        <v>15647</v>
      </c>
    </row>
    <row r="1320">
      <c r="A1320" s="10">
        <f>Github!J$1116</f>
        <v>1115</v>
      </c>
      <c r="B1320" s="11" t="str">
        <f>HYPERLINK(CONCAT("http://leetcode.com/problems/",Github!C$1116), Github!B$1116)</f>
        <v>Print FooBar Alternately</v>
      </c>
      <c r="C1320" s="10">
        <f>Github!F$1116</f>
        <v>473</v>
      </c>
      <c r="D1320" s="10">
        <f>Github!G$1116</f>
        <v>38</v>
      </c>
      <c r="E1320" s="10">
        <f>Github!F$1116+Github!G$1116</f>
        <v>511</v>
      </c>
      <c r="F1320" s="12">
        <f t="shared" si="1"/>
        <v>12.45</v>
      </c>
      <c r="G1320" s="10" t="str">
        <f>Github!H$1116</f>
        <v>Concurrency</v>
      </c>
      <c r="H1320" s="13" t="str">
        <f>SUBSTITUTE(Github!L$1116, ";", ", ")</f>
        <v>Concurrency, </v>
      </c>
      <c r="I1320" s="10" t="str">
        <f>Github!E$1116</f>
        <v>Medium</v>
      </c>
      <c r="J1320" s="10" t="str">
        <f>IF(TRIM(Github!D$1116)="TRUE","FALSE","TRUE")</f>
        <v>TRUE</v>
      </c>
      <c r="K1320" s="10" t="b">
        <f>Github!M$1116</f>
        <v>0</v>
      </c>
      <c r="L1320" s="10" t="b">
        <f>Github!N$1116</f>
        <v>0</v>
      </c>
      <c r="M1320" s="10" t="str">
        <f>ROUND(Github!O$1116, 2)&amp;"%"</f>
        <v>60.72%</v>
      </c>
      <c r="N1320" s="10">
        <f>Github!P$1116</f>
        <v>52328</v>
      </c>
      <c r="O1320" s="10">
        <f>Github!Q$1116</f>
        <v>86181</v>
      </c>
    </row>
    <row r="1321">
      <c r="A1321" s="10">
        <f>Github!J$1546</f>
        <v>1545</v>
      </c>
      <c r="B1321" s="11" t="str">
        <f>HYPERLINK(CONCAT("http://leetcode.com/problems/",Github!C$1546), Github!B$1546)</f>
        <v>Find Kth Bit in Nth Binary String</v>
      </c>
      <c r="C1321" s="10">
        <f>Github!F$1546</f>
        <v>473</v>
      </c>
      <c r="D1321" s="10">
        <f>Github!G$1546</f>
        <v>39</v>
      </c>
      <c r="E1321" s="10">
        <f>Github!F$1546+Github!G$1546</f>
        <v>512</v>
      </c>
      <c r="F1321" s="12">
        <f t="shared" si="1"/>
        <v>12.13</v>
      </c>
      <c r="G1321" s="10" t="str">
        <f>Github!H$1546</f>
        <v>Algorithms</v>
      </c>
      <c r="H1321" s="13" t="str">
        <f>SUBSTITUTE(Github!L$1546, ";", ", ")</f>
        <v>String, Recursion, </v>
      </c>
      <c r="I1321" s="10" t="str">
        <f>Github!E$1546</f>
        <v>Medium</v>
      </c>
      <c r="J1321" s="10" t="str">
        <f>IF(TRIM(Github!D$1546)="TRUE","FALSE","TRUE")</f>
        <v>TRUE</v>
      </c>
      <c r="K1321" s="10" t="b">
        <f>Github!M$1546</f>
        <v>0</v>
      </c>
      <c r="L1321" s="10" t="b">
        <f>Github!N$1546</f>
        <v>0</v>
      </c>
      <c r="M1321" s="10" t="str">
        <f>ROUND(Github!O$1546, 2)&amp;"%"</f>
        <v>58.11%</v>
      </c>
      <c r="N1321" s="10">
        <f>Github!P$1546</f>
        <v>23758</v>
      </c>
      <c r="O1321" s="10">
        <f>Github!Q$1546</f>
        <v>40887</v>
      </c>
    </row>
    <row r="1322">
      <c r="A1322" s="10">
        <f>Github!J$2168</f>
        <v>2167</v>
      </c>
      <c r="B1322" s="11" t="str">
        <f>HYPERLINK(CONCAT("http://leetcode.com/problems/",Github!C$2168), Github!B$2168)</f>
        <v>Minimum Time to Remove All Cars Containing Illegal Goods</v>
      </c>
      <c r="C1322" s="10">
        <f>Github!F$2168</f>
        <v>472</v>
      </c>
      <c r="D1322" s="10">
        <f>Github!G$2168</f>
        <v>8</v>
      </c>
      <c r="E1322" s="10">
        <f>Github!F$2168+Github!G$2168</f>
        <v>480</v>
      </c>
      <c r="F1322" s="12">
        <f t="shared" si="1"/>
        <v>59</v>
      </c>
      <c r="G1322" s="10" t="str">
        <f>Github!H$2168</f>
        <v>Algorithms</v>
      </c>
      <c r="H1322" s="13" t="str">
        <f>SUBSTITUTE(Github!L$2168, ";", ", ")</f>
        <v>String, Dynamic Programming, </v>
      </c>
      <c r="I1322" s="10" t="str">
        <f>Github!E$2168</f>
        <v>Hard</v>
      </c>
      <c r="J1322" s="10" t="str">
        <f>IF(TRIM(Github!D$2168)="TRUE","FALSE","TRUE")</f>
        <v>TRUE</v>
      </c>
      <c r="K1322" s="10" t="b">
        <f>Github!M$2168</f>
        <v>0</v>
      </c>
      <c r="L1322" s="10" t="b">
        <f>Github!N$2168</f>
        <v>0</v>
      </c>
      <c r="M1322" s="10" t="str">
        <f>ROUND(Github!O$2168, 2)&amp;"%"</f>
        <v>39.02%</v>
      </c>
      <c r="N1322" s="10">
        <f>Github!P$2168</f>
        <v>7829</v>
      </c>
      <c r="O1322" s="10">
        <f>Github!Q$2168</f>
        <v>20064</v>
      </c>
    </row>
    <row r="1323">
      <c r="A1323" s="10">
        <f>Github!J$2112</f>
        <v>2111</v>
      </c>
      <c r="B1323" s="11" t="str">
        <f>HYPERLINK(CONCAT("http://leetcode.com/problems/",Github!C$2112), Github!B$2112)</f>
        <v>Minimum Operations to Make the Array K-Increasing</v>
      </c>
      <c r="C1323" s="10">
        <f>Github!F$2112</f>
        <v>473</v>
      </c>
      <c r="D1323" s="10">
        <f>Github!G$2112</f>
        <v>8</v>
      </c>
      <c r="E1323" s="10">
        <f>Github!F$2112+Github!G$2112</f>
        <v>481</v>
      </c>
      <c r="F1323" s="12">
        <f t="shared" si="1"/>
        <v>59.13</v>
      </c>
      <c r="G1323" s="10" t="str">
        <f>Github!H$2112</f>
        <v>Algorithms</v>
      </c>
      <c r="H1323" s="13" t="str">
        <f>SUBSTITUTE(Github!L$2112, ";", ", ")</f>
        <v>Array, Binary Search, </v>
      </c>
      <c r="I1323" s="10" t="str">
        <f>Github!E$2112</f>
        <v>Hard</v>
      </c>
      <c r="J1323" s="10" t="str">
        <f>IF(TRIM(Github!D$2112)="TRUE","FALSE","TRUE")</f>
        <v>TRUE</v>
      </c>
      <c r="K1323" s="10" t="b">
        <f>Github!M$2112</f>
        <v>0</v>
      </c>
      <c r="L1323" s="10" t="b">
        <f>Github!N$2112</f>
        <v>0</v>
      </c>
      <c r="M1323" s="10" t="str">
        <f>ROUND(Github!O$2112, 2)&amp;"%"</f>
        <v>36.39%</v>
      </c>
      <c r="N1323" s="10">
        <f>Github!P$2112</f>
        <v>8509</v>
      </c>
      <c r="O1323" s="10">
        <f>Github!Q$2112</f>
        <v>23380</v>
      </c>
    </row>
    <row r="1324">
      <c r="A1324" s="10">
        <f>Github!J$1387</f>
        <v>1386</v>
      </c>
      <c r="B1324" s="11" t="str">
        <f>HYPERLINK(CONCAT("http://leetcode.com/problems/",Github!C$1387), Github!B$1387)</f>
        <v>Cinema Seat Allocation</v>
      </c>
      <c r="C1324" s="10">
        <f>Github!F$1387</f>
        <v>475</v>
      </c>
      <c r="D1324" s="10">
        <f>Github!G$1387</f>
        <v>252</v>
      </c>
      <c r="E1324" s="10">
        <f>Github!F$1387+Github!G$1387</f>
        <v>727</v>
      </c>
      <c r="F1324" s="12">
        <f t="shared" si="1"/>
        <v>1.88</v>
      </c>
      <c r="G1324" s="10" t="str">
        <f>Github!H$1387</f>
        <v>Algorithms</v>
      </c>
      <c r="H1324" s="13" t="str">
        <f>SUBSTITUTE(Github!L$1387, ";", ", ")</f>
        <v>Array, Hash Table, Greedy, Bit Manipulation, </v>
      </c>
      <c r="I1324" s="10" t="str">
        <f>Github!E$1387</f>
        <v>Medium</v>
      </c>
      <c r="J1324" s="10" t="str">
        <f>IF(TRIM(Github!D$1387)="TRUE","FALSE","TRUE")</f>
        <v>TRUE</v>
      </c>
      <c r="K1324" s="10" t="b">
        <f>Github!M$1387</f>
        <v>0</v>
      </c>
      <c r="L1324" s="10" t="b">
        <f>Github!N$1387</f>
        <v>0</v>
      </c>
      <c r="M1324" s="10" t="str">
        <f>ROUND(Github!O$1387, 2)&amp;"%"</f>
        <v>39.5%</v>
      </c>
      <c r="N1324" s="10">
        <f>Github!P$1387</f>
        <v>24026</v>
      </c>
      <c r="O1324" s="10">
        <f>Github!Q$1387</f>
        <v>60820</v>
      </c>
    </row>
    <row r="1325">
      <c r="A1325" s="10">
        <f>Github!J$1799</f>
        <v>1798</v>
      </c>
      <c r="B1325" s="11" t="str">
        <f>HYPERLINK(CONCAT("http://leetcode.com/problems/",Github!C$1799), Github!B$1799)</f>
        <v>Maximum Number of Consecutive Values You Can Make</v>
      </c>
      <c r="C1325" s="10">
        <f>Github!F$1799</f>
        <v>470</v>
      </c>
      <c r="D1325" s="10">
        <f>Github!G$1799</f>
        <v>37</v>
      </c>
      <c r="E1325" s="10">
        <f>Github!F$1799+Github!G$1799</f>
        <v>507</v>
      </c>
      <c r="F1325" s="12">
        <f t="shared" si="1"/>
        <v>12.7</v>
      </c>
      <c r="G1325" s="10" t="str">
        <f>Github!H$1799</f>
        <v>Algorithms</v>
      </c>
      <c r="H1325" s="13" t="str">
        <f>SUBSTITUTE(Github!L$1799, ";", ", ")</f>
        <v>Array, Greedy, </v>
      </c>
      <c r="I1325" s="10" t="str">
        <f>Github!E$1799</f>
        <v>Medium</v>
      </c>
      <c r="J1325" s="10" t="str">
        <f>IF(TRIM(Github!D$1799)="TRUE","FALSE","TRUE")</f>
        <v>TRUE</v>
      </c>
      <c r="K1325" s="10" t="b">
        <f>Github!M$1799</f>
        <v>0</v>
      </c>
      <c r="L1325" s="10" t="b">
        <f>Github!N$1799</f>
        <v>0</v>
      </c>
      <c r="M1325" s="10" t="str">
        <f>ROUND(Github!O$1799, 2)&amp;"%"</f>
        <v>51.73%</v>
      </c>
      <c r="N1325" s="10">
        <f>Github!P$1799</f>
        <v>9721</v>
      </c>
      <c r="O1325" s="10">
        <f>Github!Q$1799</f>
        <v>18792</v>
      </c>
    </row>
    <row r="1326">
      <c r="A1326" s="10">
        <f>Github!J$1871</f>
        <v>1870</v>
      </c>
      <c r="B1326" s="11" t="str">
        <f>HYPERLINK(CONCAT("http://leetcode.com/problems/",Github!C$1871), Github!B$1871)</f>
        <v>Minimum Speed to Arrive on Time</v>
      </c>
      <c r="C1326" s="10">
        <f>Github!F$1871</f>
        <v>475</v>
      </c>
      <c r="D1326" s="10">
        <f>Github!G$1871</f>
        <v>77</v>
      </c>
      <c r="E1326" s="10">
        <f>Github!F$1871+Github!G$1871</f>
        <v>552</v>
      </c>
      <c r="F1326" s="12">
        <f t="shared" si="1"/>
        <v>6.17</v>
      </c>
      <c r="G1326" s="10" t="str">
        <f>Github!H$1871</f>
        <v>Algorithms</v>
      </c>
      <c r="H1326" s="13" t="str">
        <f>SUBSTITUTE(Github!L$1871, ";", ", ")</f>
        <v>Array, Binary Search, </v>
      </c>
      <c r="I1326" s="10" t="str">
        <f>Github!E$1871</f>
        <v>Medium</v>
      </c>
      <c r="J1326" s="10" t="str">
        <f>IF(TRIM(Github!D$1871)="TRUE","FALSE","TRUE")</f>
        <v>TRUE</v>
      </c>
      <c r="K1326" s="10" t="b">
        <f>Github!M$1871</f>
        <v>0</v>
      </c>
      <c r="L1326" s="10" t="b">
        <f>Github!N$1871</f>
        <v>0</v>
      </c>
      <c r="M1326" s="10" t="str">
        <f>ROUND(Github!O$1871, 2)&amp;"%"</f>
        <v>36.12%</v>
      </c>
      <c r="N1326" s="10">
        <f>Github!P$1871</f>
        <v>18462</v>
      </c>
      <c r="O1326" s="10">
        <f>Github!Q$1871</f>
        <v>51112</v>
      </c>
    </row>
    <row r="1327">
      <c r="A1327" s="10">
        <f>Github!J$505</f>
        <v>504</v>
      </c>
      <c r="B1327" s="11" t="str">
        <f>HYPERLINK(CONCAT("http://leetcode.com/problems/",Github!C$505), Github!B$505)</f>
        <v>Base 7</v>
      </c>
      <c r="C1327" s="10">
        <f>Github!F$505</f>
        <v>470</v>
      </c>
      <c r="D1327" s="10">
        <f>Github!G$505</f>
        <v>192</v>
      </c>
      <c r="E1327" s="10">
        <f>Github!F$505+Github!G$505</f>
        <v>662</v>
      </c>
      <c r="F1327" s="12">
        <f t="shared" si="1"/>
        <v>2.45</v>
      </c>
      <c r="G1327" s="10" t="str">
        <f>Github!H$505</f>
        <v>Algorithms</v>
      </c>
      <c r="H1327" s="13" t="str">
        <f>SUBSTITUTE(Github!L$505, ";", ", ")</f>
        <v>Math, </v>
      </c>
      <c r="I1327" s="10" t="str">
        <f>Github!E$505</f>
        <v>Easy</v>
      </c>
      <c r="J1327" s="10" t="str">
        <f>IF(TRIM(Github!D$505)="TRUE","FALSE","TRUE")</f>
        <v>TRUE</v>
      </c>
      <c r="K1327" s="10" t="b">
        <f>Github!M$505</f>
        <v>0</v>
      </c>
      <c r="L1327" s="10" t="b">
        <f>Github!N$505</f>
        <v>0</v>
      </c>
      <c r="M1327" s="10" t="str">
        <f>ROUND(Github!O$505, 2)&amp;"%"</f>
        <v>47.49%</v>
      </c>
      <c r="N1327" s="10">
        <f>Github!P$505</f>
        <v>85225</v>
      </c>
      <c r="O1327" s="10">
        <f>Github!Q$505</f>
        <v>179460</v>
      </c>
    </row>
    <row r="1328">
      <c r="A1328" s="10">
        <f>Github!J$1567</f>
        <v>1566</v>
      </c>
      <c r="B1328" s="11" t="str">
        <f>HYPERLINK(CONCAT("http://leetcode.com/problems/",Github!C$1567), Github!B$1567)</f>
        <v>Detect Pattern of Length M Repeated K or More Times</v>
      </c>
      <c r="C1328" s="10">
        <f>Github!F$1567</f>
        <v>466</v>
      </c>
      <c r="D1328" s="10">
        <f>Github!G$1567</f>
        <v>83</v>
      </c>
      <c r="E1328" s="10">
        <f>Github!F$1567+Github!G$1567</f>
        <v>549</v>
      </c>
      <c r="F1328" s="12">
        <f t="shared" si="1"/>
        <v>5.61</v>
      </c>
      <c r="G1328" s="10" t="str">
        <f>Github!H$1567</f>
        <v>Algorithms</v>
      </c>
      <c r="H1328" s="13" t="str">
        <f>SUBSTITUTE(Github!L$1567, ";", ", ")</f>
        <v>Array, Enumeration, </v>
      </c>
      <c r="I1328" s="10" t="str">
        <f>Github!E$1567</f>
        <v>Easy</v>
      </c>
      <c r="J1328" s="10" t="str">
        <f>IF(TRIM(Github!D$1567)="TRUE","FALSE","TRUE")</f>
        <v>TRUE</v>
      </c>
      <c r="K1328" s="10" t="b">
        <f>Github!M$1567</f>
        <v>0</v>
      </c>
      <c r="L1328" s="10" t="b">
        <f>Github!N$1567</f>
        <v>0</v>
      </c>
      <c r="M1328" s="10" t="str">
        <f>ROUND(Github!O$1567, 2)&amp;"%"</f>
        <v>43.52%</v>
      </c>
      <c r="N1328" s="10">
        <f>Github!P$1567</f>
        <v>24071</v>
      </c>
      <c r="O1328" s="10">
        <f>Github!Q$1567</f>
        <v>55305</v>
      </c>
    </row>
    <row r="1329">
      <c r="A1329" s="10">
        <f>Github!J$373</f>
        <v>372</v>
      </c>
      <c r="B1329" s="11" t="str">
        <f>HYPERLINK(CONCAT("http://leetcode.com/problems/",Github!C$373), Github!B$373)</f>
        <v>Super Pow</v>
      </c>
      <c r="C1329" s="10">
        <f>Github!F$373</f>
        <v>468</v>
      </c>
      <c r="D1329" s="10">
        <f>Github!G$373</f>
        <v>1088</v>
      </c>
      <c r="E1329" s="10">
        <f>Github!F$373+Github!G$373</f>
        <v>1556</v>
      </c>
      <c r="F1329" s="12">
        <f t="shared" si="1"/>
        <v>0.43</v>
      </c>
      <c r="G1329" s="10" t="str">
        <f>Github!H$373</f>
        <v>Algorithms</v>
      </c>
      <c r="H1329" s="13" t="str">
        <f>SUBSTITUTE(Github!L$373, ";", ", ")</f>
        <v>Math, Divide and Conquer, </v>
      </c>
      <c r="I1329" s="10" t="str">
        <f>Github!E$373</f>
        <v>Medium</v>
      </c>
      <c r="J1329" s="10" t="str">
        <f>IF(TRIM(Github!D$373)="TRUE","FALSE","TRUE")</f>
        <v>TRUE</v>
      </c>
      <c r="K1329" s="10" t="b">
        <f>Github!M$373</f>
        <v>0</v>
      </c>
      <c r="L1329" s="10" t="b">
        <f>Github!N$373</f>
        <v>0</v>
      </c>
      <c r="M1329" s="10" t="str">
        <f>ROUND(Github!O$373, 2)&amp;"%"</f>
        <v>37.57%</v>
      </c>
      <c r="N1329" s="10">
        <f>Github!P$373</f>
        <v>48831</v>
      </c>
      <c r="O1329" s="10">
        <f>Github!Q$373</f>
        <v>129973</v>
      </c>
    </row>
    <row r="1330">
      <c r="A1330" s="10">
        <f>Github!J$2025</f>
        <v>2024</v>
      </c>
      <c r="B1330" s="11" t="str">
        <f>HYPERLINK(CONCAT("http://leetcode.com/problems/",Github!C$2025), Github!B$2025)</f>
        <v>Maximize the Confusion of an Exam</v>
      </c>
      <c r="C1330" s="10">
        <f>Github!F$2025</f>
        <v>476</v>
      </c>
      <c r="D1330" s="10">
        <f>Github!G$2025</f>
        <v>10</v>
      </c>
      <c r="E1330" s="10">
        <f>Github!F$2025+Github!G$2025</f>
        <v>486</v>
      </c>
      <c r="F1330" s="12">
        <f t="shared" si="1"/>
        <v>47.6</v>
      </c>
      <c r="G1330" s="10" t="str">
        <f>Github!H$2025</f>
        <v>Algorithms</v>
      </c>
      <c r="H1330" s="13" t="str">
        <f>SUBSTITUTE(Github!L$2025, ";", ", ")</f>
        <v>String, Binary Search, Sliding Window, Prefix Sum, </v>
      </c>
      <c r="I1330" s="10" t="str">
        <f>Github!E$2025</f>
        <v>Medium</v>
      </c>
      <c r="J1330" s="10" t="str">
        <f>IF(TRIM(Github!D$2025)="TRUE","FALSE","TRUE")</f>
        <v>TRUE</v>
      </c>
      <c r="K1330" s="10" t="b">
        <f>Github!M$2025</f>
        <v>0</v>
      </c>
      <c r="L1330" s="10" t="b">
        <f>Github!N$2025</f>
        <v>0</v>
      </c>
      <c r="M1330" s="10" t="str">
        <f>ROUND(Github!O$2025, 2)&amp;"%"</f>
        <v>57.24%</v>
      </c>
      <c r="N1330" s="10">
        <f>Github!P$2025</f>
        <v>13725</v>
      </c>
      <c r="O1330" s="10">
        <f>Github!Q$2025</f>
        <v>23980</v>
      </c>
    </row>
    <row r="1331">
      <c r="A1331" s="10">
        <f>Github!J$1521</f>
        <v>1520</v>
      </c>
      <c r="B1331" s="11" t="str">
        <f>HYPERLINK(CONCAT("http://leetcode.com/problems/",Github!C$1521), Github!B$1521)</f>
        <v>Maximum Number of Non-Overlapping Substrings</v>
      </c>
      <c r="C1331" s="10">
        <f>Github!F$1521</f>
        <v>466</v>
      </c>
      <c r="D1331" s="10">
        <f>Github!G$1521</f>
        <v>56</v>
      </c>
      <c r="E1331" s="10">
        <f>Github!F$1521+Github!G$1521</f>
        <v>522</v>
      </c>
      <c r="F1331" s="12">
        <f t="shared" si="1"/>
        <v>8.32</v>
      </c>
      <c r="G1331" s="10" t="str">
        <f>Github!H$1521</f>
        <v>Algorithms</v>
      </c>
      <c r="H1331" s="13" t="str">
        <f>SUBSTITUTE(Github!L$1521, ";", ", ")</f>
        <v>String, Greedy, </v>
      </c>
      <c r="I1331" s="10" t="str">
        <f>Github!E$1521</f>
        <v>Hard</v>
      </c>
      <c r="J1331" s="10" t="str">
        <f>IF(TRIM(Github!D$1521)="TRUE","FALSE","TRUE")</f>
        <v>TRUE</v>
      </c>
      <c r="K1331" s="10" t="b">
        <f>Github!M$1521</f>
        <v>0</v>
      </c>
      <c r="L1331" s="10" t="b">
        <f>Github!N$1521</f>
        <v>0</v>
      </c>
      <c r="M1331" s="10" t="str">
        <f>ROUND(Github!O$1521, 2)&amp;"%"</f>
        <v>37.46%</v>
      </c>
      <c r="N1331" s="10">
        <f>Github!P$1521</f>
        <v>10753</v>
      </c>
      <c r="O1331" s="10">
        <f>Github!Q$1521</f>
        <v>28707</v>
      </c>
    </row>
    <row r="1332">
      <c r="A1332" s="10">
        <f>Github!J$1405</f>
        <v>1404</v>
      </c>
      <c r="B1332" s="11" t="str">
        <f>HYPERLINK(CONCAT("http://leetcode.com/problems/",Github!C$1405), Github!B$1405)</f>
        <v>Number of Steps to Reduce a Number in Binary Representation to One</v>
      </c>
      <c r="C1332" s="10">
        <f>Github!F$1405</f>
        <v>465</v>
      </c>
      <c r="D1332" s="10">
        <f>Github!G$1405</f>
        <v>43</v>
      </c>
      <c r="E1332" s="10">
        <f>Github!F$1405+Github!G$1405</f>
        <v>508</v>
      </c>
      <c r="F1332" s="12">
        <f t="shared" si="1"/>
        <v>10.81</v>
      </c>
      <c r="G1332" s="10" t="str">
        <f>Github!H$1405</f>
        <v>Algorithms</v>
      </c>
      <c r="H1332" s="13" t="str">
        <f>SUBSTITUTE(Github!L$1405, ";", ", ")</f>
        <v>String, Bit Manipulation, </v>
      </c>
      <c r="I1332" s="10" t="str">
        <f>Github!E$1405</f>
        <v>Medium</v>
      </c>
      <c r="J1332" s="10" t="str">
        <f>IF(TRIM(Github!D$1405)="TRUE","FALSE","TRUE")</f>
        <v>TRUE</v>
      </c>
      <c r="K1332" s="10" t="b">
        <f>Github!M$1405</f>
        <v>0</v>
      </c>
      <c r="L1332" s="10" t="b">
        <f>Github!N$1405</f>
        <v>0</v>
      </c>
      <c r="M1332" s="10" t="str">
        <f>ROUND(Github!O$1405, 2)&amp;"%"</f>
        <v>50.85%</v>
      </c>
      <c r="N1332" s="10">
        <f>Github!P$1405</f>
        <v>23303</v>
      </c>
      <c r="O1332" s="10">
        <f>Github!Q$1405</f>
        <v>45823</v>
      </c>
    </row>
    <row r="1333">
      <c r="A1333" s="10">
        <f>Github!J$2172</f>
        <v>2171</v>
      </c>
      <c r="B1333" s="11" t="str">
        <f>HYPERLINK(CONCAT("http://leetcode.com/problems/",Github!C$2172), Github!B$2172)</f>
        <v>Removing Minimum Number of Magic Beans</v>
      </c>
      <c r="C1333" s="10">
        <f>Github!F$2172</f>
        <v>465</v>
      </c>
      <c r="D1333" s="10">
        <f>Github!G$2172</f>
        <v>27</v>
      </c>
      <c r="E1333" s="10">
        <f>Github!F$2172+Github!G$2172</f>
        <v>492</v>
      </c>
      <c r="F1333" s="12">
        <f t="shared" si="1"/>
        <v>17.22</v>
      </c>
      <c r="G1333" s="10" t="str">
        <f>Github!H$2172</f>
        <v>Algorithms</v>
      </c>
      <c r="H1333" s="13" t="str">
        <f>SUBSTITUTE(Github!L$2172, ";", ", ")</f>
        <v>Array, Sorting, Prefix Sum, </v>
      </c>
      <c r="I1333" s="10" t="str">
        <f>Github!E$2172</f>
        <v>Medium</v>
      </c>
      <c r="J1333" s="10" t="str">
        <f>IF(TRIM(Github!D$2172)="TRUE","FALSE","TRUE")</f>
        <v>TRUE</v>
      </c>
      <c r="K1333" s="10" t="b">
        <f>Github!M$2172</f>
        <v>0</v>
      </c>
      <c r="L1333" s="10" t="b">
        <f>Github!N$2172</f>
        <v>0</v>
      </c>
      <c r="M1333" s="10" t="str">
        <f>ROUND(Github!O$2172, 2)&amp;"%"</f>
        <v>41.06%</v>
      </c>
      <c r="N1333" s="10">
        <f>Github!P$2172</f>
        <v>14375</v>
      </c>
      <c r="O1333" s="10">
        <f>Github!Q$2172</f>
        <v>35008</v>
      </c>
    </row>
    <row r="1334">
      <c r="A1334" s="10">
        <f>Github!J$507</f>
        <v>506</v>
      </c>
      <c r="B1334" s="11" t="str">
        <f>HYPERLINK(CONCAT("http://leetcode.com/problems/",Github!C$507), Github!B$507)</f>
        <v>Relative Ranks</v>
      </c>
      <c r="C1334" s="10">
        <f>Github!F$507</f>
        <v>469</v>
      </c>
      <c r="D1334" s="10">
        <f>Github!G$507</f>
        <v>27</v>
      </c>
      <c r="E1334" s="10">
        <f>Github!F$507+Github!G$507</f>
        <v>496</v>
      </c>
      <c r="F1334" s="12">
        <f t="shared" si="1"/>
        <v>17.37</v>
      </c>
      <c r="G1334" s="10" t="str">
        <f>Github!H$507</f>
        <v>Algorithms</v>
      </c>
      <c r="H1334" s="13" t="str">
        <f>SUBSTITUTE(Github!L$507, ";", ", ")</f>
        <v>Array, Sorting, Heap (Priority Queue), </v>
      </c>
      <c r="I1334" s="10" t="str">
        <f>Github!E$507</f>
        <v>Easy</v>
      </c>
      <c r="J1334" s="10" t="str">
        <f>IF(TRIM(Github!D$507)="TRUE","FALSE","TRUE")</f>
        <v>TRUE</v>
      </c>
      <c r="K1334" s="10" t="b">
        <f>Github!M$507</f>
        <v>0</v>
      </c>
      <c r="L1334" s="10" t="b">
        <f>Github!N$507</f>
        <v>0</v>
      </c>
      <c r="M1334" s="10" t="str">
        <f>ROUND(Github!O$507, 2)&amp;"%"</f>
        <v>56.73%</v>
      </c>
      <c r="N1334" s="10">
        <f>Github!P$507</f>
        <v>88888</v>
      </c>
      <c r="O1334" s="10">
        <f>Github!Q$507</f>
        <v>156695</v>
      </c>
    </row>
    <row r="1335">
      <c r="A1335" s="10">
        <f>Github!J$1241</f>
        <v>1240</v>
      </c>
      <c r="B1335" s="11" t="str">
        <f>HYPERLINK(CONCAT("http://leetcode.com/problems/",Github!C$1241), Github!B$1241)</f>
        <v>Tiling a Rectangle with the Fewest Squares</v>
      </c>
      <c r="C1335" s="10">
        <f>Github!F$1241</f>
        <v>466</v>
      </c>
      <c r="D1335" s="10">
        <f>Github!G$1241</f>
        <v>433</v>
      </c>
      <c r="E1335" s="10">
        <f>Github!F$1241+Github!G$1241</f>
        <v>899</v>
      </c>
      <c r="F1335" s="12">
        <f t="shared" si="1"/>
        <v>1.08</v>
      </c>
      <c r="G1335" s="10" t="str">
        <f>Github!H$1241</f>
        <v>Algorithms</v>
      </c>
      <c r="H1335" s="13" t="str">
        <f>SUBSTITUTE(Github!L$1241, ";", ", ")</f>
        <v>Dynamic Programming, Backtracking, </v>
      </c>
      <c r="I1335" s="10" t="str">
        <f>Github!E$1241</f>
        <v>Hard</v>
      </c>
      <c r="J1335" s="10" t="str">
        <f>IF(TRIM(Github!D$1241)="TRUE","FALSE","TRUE")</f>
        <v>TRUE</v>
      </c>
      <c r="K1335" s="10" t="b">
        <f>Github!M$1241</f>
        <v>0</v>
      </c>
      <c r="L1335" s="10" t="b">
        <f>Github!N$1241</f>
        <v>0</v>
      </c>
      <c r="M1335" s="10" t="str">
        <f>ROUND(Github!O$1241, 2)&amp;"%"</f>
        <v>53.73%</v>
      </c>
      <c r="N1335" s="10">
        <f>Github!P$1241</f>
        <v>16529</v>
      </c>
      <c r="O1335" s="10">
        <f>Github!Q$1241</f>
        <v>30764</v>
      </c>
    </row>
    <row r="1336">
      <c r="A1336" s="10">
        <f>Github!J$1752</f>
        <v>1751</v>
      </c>
      <c r="B1336" s="11" t="str">
        <f>HYPERLINK(CONCAT("http://leetcode.com/problems/",Github!C$1752), Github!B$1752)</f>
        <v>Maximum Number of Events That Can Be Attended II</v>
      </c>
      <c r="C1336" s="10">
        <f>Github!F$1752</f>
        <v>464</v>
      </c>
      <c r="D1336" s="10">
        <f>Github!G$1752</f>
        <v>10</v>
      </c>
      <c r="E1336" s="10">
        <f>Github!F$1752+Github!G$1752</f>
        <v>474</v>
      </c>
      <c r="F1336" s="12">
        <f t="shared" si="1"/>
        <v>46.4</v>
      </c>
      <c r="G1336" s="10" t="str">
        <f>Github!H$1752</f>
        <v>Algorithms</v>
      </c>
      <c r="H1336" s="13" t="str">
        <f>SUBSTITUTE(Github!L$1752, ";", ", ")</f>
        <v>Array, Binary Search, Dynamic Programming, </v>
      </c>
      <c r="I1336" s="10" t="str">
        <f>Github!E$1752</f>
        <v>Hard</v>
      </c>
      <c r="J1336" s="10" t="str">
        <f>IF(TRIM(Github!D$1752)="TRUE","FALSE","TRUE")</f>
        <v>TRUE</v>
      </c>
      <c r="K1336" s="10" t="b">
        <f>Github!M$1752</f>
        <v>0</v>
      </c>
      <c r="L1336" s="10" t="b">
        <f>Github!N$1752</f>
        <v>0</v>
      </c>
      <c r="M1336" s="10" t="str">
        <f>ROUND(Github!O$1752, 2)&amp;"%"</f>
        <v>54.7%</v>
      </c>
      <c r="N1336" s="10">
        <f>Github!P$1752</f>
        <v>14448</v>
      </c>
      <c r="O1336" s="10">
        <f>Github!Q$1752</f>
        <v>26407</v>
      </c>
    </row>
    <row r="1337">
      <c r="A1337" s="10">
        <f>Github!J$1532</f>
        <v>1531</v>
      </c>
      <c r="B1337" s="11" t="str">
        <f>HYPERLINK(CONCAT("http://leetcode.com/problems/",Github!C$1532), Github!B$1532)</f>
        <v>String Compression II</v>
      </c>
      <c r="C1337" s="10">
        <f>Github!F$1532</f>
        <v>461</v>
      </c>
      <c r="D1337" s="10">
        <f>Github!G$1532</f>
        <v>48</v>
      </c>
      <c r="E1337" s="10">
        <f>Github!F$1532+Github!G$1532</f>
        <v>509</v>
      </c>
      <c r="F1337" s="12">
        <f t="shared" si="1"/>
        <v>9.6</v>
      </c>
      <c r="G1337" s="10" t="str">
        <f>Github!H$1532</f>
        <v>Algorithms</v>
      </c>
      <c r="H1337" s="13" t="str">
        <f>SUBSTITUTE(Github!L$1532, ";", ", ")</f>
        <v>String, Dynamic Programming, </v>
      </c>
      <c r="I1337" s="10" t="str">
        <f>Github!E$1532</f>
        <v>Hard</v>
      </c>
      <c r="J1337" s="10" t="str">
        <f>IF(TRIM(Github!D$1532)="TRUE","FALSE","TRUE")</f>
        <v>TRUE</v>
      </c>
      <c r="K1337" s="10" t="b">
        <f>Github!M$1532</f>
        <v>0</v>
      </c>
      <c r="L1337" s="10" t="b">
        <f>Github!N$1532</f>
        <v>0</v>
      </c>
      <c r="M1337" s="10" t="str">
        <f>ROUND(Github!O$1532, 2)&amp;"%"</f>
        <v>37.99%</v>
      </c>
      <c r="N1337" s="10">
        <f>Github!P$1532</f>
        <v>11118</v>
      </c>
      <c r="O1337" s="10">
        <f>Github!Q$1532</f>
        <v>29266</v>
      </c>
    </row>
    <row r="1338">
      <c r="A1338" s="10">
        <f>Github!J$604</f>
        <v>603</v>
      </c>
      <c r="B1338" s="11" t="str">
        <f>HYPERLINK(CONCAT("http://leetcode.com/problems/",Github!C$604), Github!B$604)</f>
        <v>Consecutive Available Seats</v>
      </c>
      <c r="C1338" s="10">
        <f>Github!F$604</f>
        <v>467</v>
      </c>
      <c r="D1338" s="10">
        <f>Github!G$604</f>
        <v>40</v>
      </c>
      <c r="E1338" s="10">
        <f>Github!F$604+Github!G$604</f>
        <v>507</v>
      </c>
      <c r="F1338" s="12">
        <f t="shared" si="1"/>
        <v>11.68</v>
      </c>
      <c r="G1338" s="10" t="str">
        <f>Github!H$604</f>
        <v>Database</v>
      </c>
      <c r="H1338" s="13" t="str">
        <f>SUBSTITUTE(Github!L$604, ";", ", ")</f>
        <v>Database, </v>
      </c>
      <c r="I1338" s="10" t="str">
        <f>Github!E$604</f>
        <v>Easy</v>
      </c>
      <c r="J1338" s="10" t="str">
        <f>IF(TRIM(Github!D$604)="TRUE","FALSE","TRUE")</f>
        <v>FALSE</v>
      </c>
      <c r="K1338" s="10" t="b">
        <f>Github!M$604</f>
        <v>1</v>
      </c>
      <c r="L1338" s="10" t="b">
        <f>Github!N$604</f>
        <v>0</v>
      </c>
      <c r="M1338" s="10" t="str">
        <f>ROUND(Github!O$604, 2)&amp;"%"</f>
        <v>67.77%</v>
      </c>
      <c r="N1338" s="10">
        <f>Github!P$604</f>
        <v>55449</v>
      </c>
      <c r="O1338" s="10">
        <f>Github!Q$604</f>
        <v>81823</v>
      </c>
    </row>
    <row r="1339">
      <c r="A1339" s="10">
        <f>Github!J$1791</f>
        <v>1790</v>
      </c>
      <c r="B1339" s="11" t="str">
        <f>HYPERLINK(CONCAT("http://leetcode.com/problems/",Github!C$1791), Github!B$1791)</f>
        <v>Check if One String Swap Can Make Strings Equal</v>
      </c>
      <c r="C1339" s="10">
        <f>Github!F$1791</f>
        <v>466</v>
      </c>
      <c r="D1339" s="10">
        <f>Github!G$1791</f>
        <v>18</v>
      </c>
      <c r="E1339" s="10">
        <f>Github!F$1791+Github!G$1791</f>
        <v>484</v>
      </c>
      <c r="F1339" s="12">
        <f t="shared" si="1"/>
        <v>25.89</v>
      </c>
      <c r="G1339" s="10" t="str">
        <f>Github!H$1791</f>
        <v>Algorithms</v>
      </c>
      <c r="H1339" s="13" t="str">
        <f>SUBSTITUTE(Github!L$1791, ";", ", ")</f>
        <v>Hash Table, String, Counting, </v>
      </c>
      <c r="I1339" s="10" t="str">
        <f>Github!E$1791</f>
        <v>Easy</v>
      </c>
      <c r="J1339" s="10" t="str">
        <f>IF(TRIM(Github!D$1791)="TRUE","FALSE","TRUE")</f>
        <v>TRUE</v>
      </c>
      <c r="K1339" s="10" t="b">
        <f>Github!M$1791</f>
        <v>0</v>
      </c>
      <c r="L1339" s="10" t="b">
        <f>Github!N$1791</f>
        <v>0</v>
      </c>
      <c r="M1339" s="10" t="str">
        <f>ROUND(Github!O$1791, 2)&amp;"%"</f>
        <v>45.88%</v>
      </c>
      <c r="N1339" s="10">
        <f>Github!P$1791</f>
        <v>40108</v>
      </c>
      <c r="O1339" s="10">
        <f>Github!Q$1791</f>
        <v>87411</v>
      </c>
    </row>
    <row r="1340">
      <c r="A1340" s="10">
        <f>Github!J$1650</f>
        <v>1649</v>
      </c>
      <c r="B1340" s="11" t="str">
        <f>HYPERLINK(CONCAT("http://leetcode.com/problems/",Github!C$1650), Github!B$1650)</f>
        <v>Create Sorted Array through Instructions</v>
      </c>
      <c r="C1340" s="10">
        <f>Github!F$1650</f>
        <v>456</v>
      </c>
      <c r="D1340" s="10">
        <f>Github!G$1650</f>
        <v>61</v>
      </c>
      <c r="E1340" s="10">
        <f>Github!F$1650+Github!G$1650</f>
        <v>517</v>
      </c>
      <c r="F1340" s="12">
        <f t="shared" si="1"/>
        <v>7.48</v>
      </c>
      <c r="G1340" s="10" t="str">
        <f>Github!H$1650</f>
        <v>Algorithms</v>
      </c>
      <c r="H1340" s="13" t="str">
        <f>SUBSTITUTE(Github!L$1650, ";", ", ")</f>
        <v>Array, Binary Search, Divide and Conquer, Binary Indexed Tree, Segment Tree, Merge Sort, Ordered Set, </v>
      </c>
      <c r="I1340" s="10" t="str">
        <f>Github!E$1650</f>
        <v>Hard</v>
      </c>
      <c r="J1340" s="10" t="str">
        <f>IF(TRIM(Github!D$1650)="TRUE","FALSE","TRUE")</f>
        <v>TRUE</v>
      </c>
      <c r="K1340" s="10" t="b">
        <f>Github!M$1650</f>
        <v>1</v>
      </c>
      <c r="L1340" s="10" t="b">
        <f>Github!N$1650</f>
        <v>0</v>
      </c>
      <c r="M1340" s="10" t="str">
        <f>ROUND(Github!O$1650, 2)&amp;"%"</f>
        <v>37.2%</v>
      </c>
      <c r="N1340" s="10">
        <f>Github!P$1650</f>
        <v>19706</v>
      </c>
      <c r="O1340" s="10">
        <f>Github!Q$1650</f>
        <v>52967</v>
      </c>
    </row>
    <row r="1341">
      <c r="A1341" s="10">
        <f>Github!J$1927</f>
        <v>1926</v>
      </c>
      <c r="B1341" s="11" t="str">
        <f>HYPERLINK(CONCAT("http://leetcode.com/problems/",Github!C$1927), Github!B$1927)</f>
        <v>Nearest Exit from Entrance in Maze</v>
      </c>
      <c r="C1341" s="10">
        <f>Github!F$1927</f>
        <v>464</v>
      </c>
      <c r="D1341" s="10">
        <f>Github!G$1927</f>
        <v>21</v>
      </c>
      <c r="E1341" s="10">
        <f>Github!F$1927+Github!G$1927</f>
        <v>485</v>
      </c>
      <c r="F1341" s="12">
        <f t="shared" si="1"/>
        <v>22.1</v>
      </c>
      <c r="G1341" s="10" t="str">
        <f>Github!H$1927</f>
        <v>Algorithms</v>
      </c>
      <c r="H1341" s="13" t="str">
        <f>SUBSTITUTE(Github!L$1927, ";", ", ")</f>
        <v>Array, Breadth-First Search, Matrix, </v>
      </c>
      <c r="I1341" s="10" t="str">
        <f>Github!E$1927</f>
        <v>Medium</v>
      </c>
      <c r="J1341" s="10" t="str">
        <f>IF(TRIM(Github!D$1927)="TRUE","FALSE","TRUE")</f>
        <v>TRUE</v>
      </c>
      <c r="K1341" s="10" t="b">
        <f>Github!M$1927</f>
        <v>0</v>
      </c>
      <c r="L1341" s="10" t="b">
        <f>Github!N$1927</f>
        <v>0</v>
      </c>
      <c r="M1341" s="10" t="str">
        <f>ROUND(Github!O$1927, 2)&amp;"%"</f>
        <v>40.42%</v>
      </c>
      <c r="N1341" s="10">
        <f>Github!P$1927</f>
        <v>18287</v>
      </c>
      <c r="O1341" s="10">
        <f>Github!Q$1927</f>
        <v>45241</v>
      </c>
    </row>
    <row r="1342">
      <c r="A1342" s="10">
        <f>Github!J$1442</f>
        <v>1441</v>
      </c>
      <c r="B1342" s="11" t="str">
        <f>HYPERLINK(CONCAT("http://leetcode.com/problems/",Github!C$1442), Github!B$1442)</f>
        <v>Build an Array With Stack Operations</v>
      </c>
      <c r="C1342" s="10">
        <f>Github!F$1442</f>
        <v>463</v>
      </c>
      <c r="D1342" s="10">
        <f>Github!G$1442</f>
        <v>763</v>
      </c>
      <c r="E1342" s="10">
        <f>Github!F$1442+Github!G$1442</f>
        <v>1226</v>
      </c>
      <c r="F1342" s="12">
        <f t="shared" si="1"/>
        <v>0.61</v>
      </c>
      <c r="G1342" s="10" t="str">
        <f>Github!H$1442</f>
        <v>Algorithms</v>
      </c>
      <c r="H1342" s="13" t="str">
        <f>SUBSTITUTE(Github!L$1442, ";", ", ")</f>
        <v>Array, Stack, Simulation, </v>
      </c>
      <c r="I1342" s="10" t="str">
        <f>Github!E$1442</f>
        <v>Easy</v>
      </c>
      <c r="J1342" s="10" t="str">
        <f>IF(TRIM(Github!D$1442)="TRUE","FALSE","TRUE")</f>
        <v>TRUE</v>
      </c>
      <c r="K1342" s="10" t="b">
        <f>Github!M$1442</f>
        <v>0</v>
      </c>
      <c r="L1342" s="10" t="b">
        <f>Github!N$1442</f>
        <v>0</v>
      </c>
      <c r="M1342" s="10" t="str">
        <f>ROUND(Github!O$1442, 2)&amp;"%"</f>
        <v>70.97%</v>
      </c>
      <c r="N1342" s="10">
        <f>Github!P$1442</f>
        <v>59055</v>
      </c>
      <c r="O1342" s="10">
        <f>Github!Q$1442</f>
        <v>83208</v>
      </c>
    </row>
    <row r="1343">
      <c r="A1343" s="10">
        <f>Github!J$445</f>
        <v>444</v>
      </c>
      <c r="B1343" s="11" t="str">
        <f>HYPERLINK(CONCAT("http://leetcode.com/problems/",Github!C$445), Github!B$445)</f>
        <v>Sequence Reconstruction</v>
      </c>
      <c r="C1343" s="10">
        <f>Github!F$445</f>
        <v>455</v>
      </c>
      <c r="D1343" s="10">
        <f>Github!G$445</f>
        <v>1387</v>
      </c>
      <c r="E1343" s="10">
        <f>Github!F$445+Github!G$445</f>
        <v>1842</v>
      </c>
      <c r="F1343" s="12">
        <f t="shared" si="1"/>
        <v>0.33</v>
      </c>
      <c r="G1343" s="10" t="str">
        <f>Github!H$445</f>
        <v>Algorithms</v>
      </c>
      <c r="H1343" s="13" t="str">
        <f>SUBSTITUTE(Github!L$445, ";", ", ")</f>
        <v>Array, Graph, Topological Sort, </v>
      </c>
      <c r="I1343" s="10" t="str">
        <f>Github!E$445</f>
        <v>Medium</v>
      </c>
      <c r="J1343" s="10" t="str">
        <f>IF(TRIM(Github!D$445)="TRUE","FALSE","TRUE")</f>
        <v>FALSE</v>
      </c>
      <c r="K1343" s="10" t="b">
        <f>Github!M$445</f>
        <v>0</v>
      </c>
      <c r="L1343" s="10" t="b">
        <f>Github!N$445</f>
        <v>0</v>
      </c>
      <c r="M1343" s="10" t="str">
        <f>ROUND(Github!O$445, 2)&amp;"%"</f>
        <v>25.05%</v>
      </c>
      <c r="N1343" s="10">
        <f>Github!P$445</f>
        <v>44164</v>
      </c>
      <c r="O1343" s="10">
        <f>Github!Q$445</f>
        <v>176300</v>
      </c>
    </row>
    <row r="1344">
      <c r="A1344" s="10">
        <f>Github!J$763</f>
        <v>762</v>
      </c>
      <c r="B1344" s="11" t="str">
        <f>HYPERLINK(CONCAT("http://leetcode.com/problems/",Github!C$763), Github!B$763)</f>
        <v>Prime Number of Set Bits in Binary Representation</v>
      </c>
      <c r="C1344" s="10">
        <f>Github!F$763</f>
        <v>455</v>
      </c>
      <c r="D1344" s="10">
        <f>Github!G$763</f>
        <v>462</v>
      </c>
      <c r="E1344" s="10">
        <f>Github!F$763+Github!G$763</f>
        <v>917</v>
      </c>
      <c r="F1344" s="12">
        <f t="shared" si="1"/>
        <v>0.98</v>
      </c>
      <c r="G1344" s="10" t="str">
        <f>Github!H$763</f>
        <v>Algorithms</v>
      </c>
      <c r="H1344" s="13" t="str">
        <f>SUBSTITUTE(Github!L$763, ";", ", ")</f>
        <v>Math, Bit Manipulation, </v>
      </c>
      <c r="I1344" s="10" t="str">
        <f>Github!E$763</f>
        <v>Easy</v>
      </c>
      <c r="J1344" s="10" t="str">
        <f>IF(TRIM(Github!D$763)="TRUE","FALSE","TRUE")</f>
        <v>TRUE</v>
      </c>
      <c r="K1344" s="10" t="b">
        <f>Github!M$763</f>
        <v>0</v>
      </c>
      <c r="L1344" s="10" t="b">
        <f>Github!N$763</f>
        <v>0</v>
      </c>
      <c r="M1344" s="10" t="str">
        <f>ROUND(Github!O$763, 2)&amp;"%"</f>
        <v>66.75%</v>
      </c>
      <c r="N1344" s="10">
        <f>Github!P$763</f>
        <v>68498</v>
      </c>
      <c r="O1344" s="10">
        <f>Github!Q$763</f>
        <v>102615</v>
      </c>
    </row>
    <row r="1345">
      <c r="A1345" s="10">
        <f>Github!J$1037</f>
        <v>1036</v>
      </c>
      <c r="B1345" s="11" t="str">
        <f>HYPERLINK(CONCAT("http://leetcode.com/problems/",Github!C$1037), Github!B$1037)</f>
        <v>Escape a Large Maze</v>
      </c>
      <c r="C1345" s="10">
        <f>Github!F$1037</f>
        <v>455</v>
      </c>
      <c r="D1345" s="10">
        <f>Github!G$1037</f>
        <v>141</v>
      </c>
      <c r="E1345" s="10">
        <f>Github!F$1037+Github!G$1037</f>
        <v>596</v>
      </c>
      <c r="F1345" s="12">
        <f t="shared" si="1"/>
        <v>3.23</v>
      </c>
      <c r="G1345" s="10" t="str">
        <f>Github!H$1037</f>
        <v>Algorithms</v>
      </c>
      <c r="H1345" s="13" t="str">
        <f>SUBSTITUTE(Github!L$1037, ";", ", ")</f>
        <v>Array, Hash Table, Depth-First Search, Breadth-First Search, </v>
      </c>
      <c r="I1345" s="10" t="str">
        <f>Github!E$1037</f>
        <v>Hard</v>
      </c>
      <c r="J1345" s="10" t="str">
        <f>IF(TRIM(Github!D$1037)="TRUE","FALSE","TRUE")</f>
        <v>TRUE</v>
      </c>
      <c r="K1345" s="10" t="b">
        <f>Github!M$1037</f>
        <v>0</v>
      </c>
      <c r="L1345" s="10" t="b">
        <f>Github!N$1037</f>
        <v>0</v>
      </c>
      <c r="M1345" s="10" t="str">
        <f>ROUND(Github!O$1037, 2)&amp;"%"</f>
        <v>34.31%</v>
      </c>
      <c r="N1345" s="10">
        <f>Github!P$1037</f>
        <v>15695</v>
      </c>
      <c r="O1345" s="10">
        <f>Github!Q$1037</f>
        <v>45741</v>
      </c>
    </row>
    <row r="1346">
      <c r="A1346" s="10">
        <f>Github!J$1986</f>
        <v>1985</v>
      </c>
      <c r="B1346" s="11" t="str">
        <f>HYPERLINK(CONCAT("http://leetcode.com/problems/",Github!C$1986), Github!B$1986)</f>
        <v>Find the Kth Largest Integer in the Array</v>
      </c>
      <c r="C1346" s="10">
        <f>Github!F$1986</f>
        <v>455</v>
      </c>
      <c r="D1346" s="10">
        <f>Github!G$1986</f>
        <v>74</v>
      </c>
      <c r="E1346" s="10">
        <f>Github!F$1986+Github!G$1986</f>
        <v>529</v>
      </c>
      <c r="F1346" s="12">
        <f t="shared" si="1"/>
        <v>6.15</v>
      </c>
      <c r="G1346" s="10" t="str">
        <f>Github!H$1986</f>
        <v>Algorithms</v>
      </c>
      <c r="H1346" s="13" t="str">
        <f>SUBSTITUTE(Github!L$1986, ";", ", ")</f>
        <v>Array, String, Divide and Conquer, Sorting, Heap (Priority Queue), Quickselect, </v>
      </c>
      <c r="I1346" s="10" t="str">
        <f>Github!E$1986</f>
        <v>Medium</v>
      </c>
      <c r="J1346" s="10" t="str">
        <f>IF(TRIM(Github!D$1986)="TRUE","FALSE","TRUE")</f>
        <v>TRUE</v>
      </c>
      <c r="K1346" s="10" t="b">
        <f>Github!M$1986</f>
        <v>0</v>
      </c>
      <c r="L1346" s="10" t="b">
        <f>Github!N$1986</f>
        <v>0</v>
      </c>
      <c r="M1346" s="10" t="str">
        <f>ROUND(Github!O$1986, 2)&amp;"%"</f>
        <v>44.62%</v>
      </c>
      <c r="N1346" s="10">
        <f>Github!P$1986</f>
        <v>28057</v>
      </c>
      <c r="O1346" s="10">
        <f>Github!Q$1986</f>
        <v>62880</v>
      </c>
    </row>
    <row r="1347">
      <c r="A1347" s="10">
        <f>Github!J$757</f>
        <v>756</v>
      </c>
      <c r="B1347" s="11" t="str">
        <f>HYPERLINK(CONCAT("http://leetcode.com/problems/",Github!C$757), Github!B$757)</f>
        <v>Pyramid Transition Matrix</v>
      </c>
      <c r="C1347" s="10">
        <f>Github!F$757</f>
        <v>450</v>
      </c>
      <c r="D1347" s="10">
        <f>Github!G$757</f>
        <v>429</v>
      </c>
      <c r="E1347" s="10">
        <f>Github!F$757+Github!G$757</f>
        <v>879</v>
      </c>
      <c r="F1347" s="12">
        <f t="shared" si="1"/>
        <v>1.05</v>
      </c>
      <c r="G1347" s="10" t="str">
        <f>Github!H$757</f>
        <v>Algorithms</v>
      </c>
      <c r="H1347" s="13" t="str">
        <f>SUBSTITUTE(Github!L$757, ";", ", ")</f>
        <v>Bit Manipulation, Depth-First Search, Breadth-First Search, </v>
      </c>
      <c r="I1347" s="10" t="str">
        <f>Github!E$757</f>
        <v>Medium</v>
      </c>
      <c r="J1347" s="10" t="str">
        <f>IF(TRIM(Github!D$757)="TRUE","FALSE","TRUE")</f>
        <v>TRUE</v>
      </c>
      <c r="K1347" s="10" t="b">
        <f>Github!M$757</f>
        <v>0</v>
      </c>
      <c r="L1347" s="10" t="b">
        <f>Github!N$757</f>
        <v>0</v>
      </c>
      <c r="M1347" s="10" t="str">
        <f>ROUND(Github!O$757, 2)&amp;"%"</f>
        <v>54.59%</v>
      </c>
      <c r="N1347" s="10">
        <f>Github!P$757</f>
        <v>27119</v>
      </c>
      <c r="O1347" s="10">
        <f>Github!Q$757</f>
        <v>49674</v>
      </c>
    </row>
    <row r="1348">
      <c r="A1348" s="10">
        <f>Github!J$247</f>
        <v>246</v>
      </c>
      <c r="B1348" s="11" t="str">
        <f>HYPERLINK(CONCAT("http://leetcode.com/problems/",Github!C$247), Github!B$247)</f>
        <v>Strobogrammatic Number</v>
      </c>
      <c r="C1348" s="10">
        <f>Github!F$247</f>
        <v>451</v>
      </c>
      <c r="D1348" s="10">
        <f>Github!G$247</f>
        <v>762</v>
      </c>
      <c r="E1348" s="10">
        <f>Github!F$247+Github!G$247</f>
        <v>1213</v>
      </c>
      <c r="F1348" s="12">
        <f t="shared" si="1"/>
        <v>0.59</v>
      </c>
      <c r="G1348" s="10" t="str">
        <f>Github!H$247</f>
        <v>Algorithms</v>
      </c>
      <c r="H1348" s="13" t="str">
        <f>SUBSTITUTE(Github!L$247, ";", ", ")</f>
        <v>Hash Table, Two Pointers, String, </v>
      </c>
      <c r="I1348" s="10" t="str">
        <f>Github!E$247</f>
        <v>Easy</v>
      </c>
      <c r="J1348" s="10" t="str">
        <f>IF(TRIM(Github!D$247)="TRUE","FALSE","TRUE")</f>
        <v>FALSE</v>
      </c>
      <c r="K1348" s="10" t="b">
        <f>Github!M$247</f>
        <v>1</v>
      </c>
      <c r="L1348" s="10" t="b">
        <f>Github!N$247</f>
        <v>1</v>
      </c>
      <c r="M1348" s="10" t="str">
        <f>ROUND(Github!O$247, 2)&amp;"%"</f>
        <v>47.56%</v>
      </c>
      <c r="N1348" s="10">
        <f>Github!P$247</f>
        <v>137497</v>
      </c>
      <c r="O1348" s="10">
        <f>Github!Q$247</f>
        <v>289125</v>
      </c>
    </row>
    <row r="1349">
      <c r="A1349" s="10">
        <f>Github!J$1132</f>
        <v>1131</v>
      </c>
      <c r="B1349" s="11" t="str">
        <f>HYPERLINK(CONCAT("http://leetcode.com/problems/",Github!C$1132), Github!B$1132)</f>
        <v>Maximum of Absolute Value Expression</v>
      </c>
      <c r="C1349" s="10">
        <f>Github!F$1132</f>
        <v>452</v>
      </c>
      <c r="D1349" s="10">
        <f>Github!G$1132</f>
        <v>330</v>
      </c>
      <c r="E1349" s="10">
        <f>Github!F$1132+Github!G$1132</f>
        <v>782</v>
      </c>
      <c r="F1349" s="12">
        <f t="shared" si="1"/>
        <v>1.37</v>
      </c>
      <c r="G1349" s="10" t="str">
        <f>Github!H$1132</f>
        <v>Algorithms</v>
      </c>
      <c r="H1349" s="13" t="str">
        <f>SUBSTITUTE(Github!L$1132, ";", ", ")</f>
        <v>Array, Math, </v>
      </c>
      <c r="I1349" s="10" t="str">
        <f>Github!E$1132</f>
        <v>Medium</v>
      </c>
      <c r="J1349" s="10" t="str">
        <f>IF(TRIM(Github!D$1132)="TRUE","FALSE","TRUE")</f>
        <v>TRUE</v>
      </c>
      <c r="K1349" s="10" t="b">
        <f>Github!M$1132</f>
        <v>0</v>
      </c>
      <c r="L1349" s="10" t="b">
        <f>Github!N$1132</f>
        <v>0</v>
      </c>
      <c r="M1349" s="10" t="str">
        <f>ROUND(Github!O$1132, 2)&amp;"%"</f>
        <v>49.9%</v>
      </c>
      <c r="N1349" s="10">
        <f>Github!P$1132</f>
        <v>16038</v>
      </c>
      <c r="O1349" s="10">
        <f>Github!Q$1132</f>
        <v>32140</v>
      </c>
    </row>
    <row r="1350">
      <c r="A1350" s="10">
        <f>Github!J$1536</f>
        <v>1535</v>
      </c>
      <c r="B1350" s="11" t="str">
        <f>HYPERLINK(CONCAT("http://leetcode.com/problems/",Github!C$1536), Github!B$1536)</f>
        <v>Find the Winner of an Array Game</v>
      </c>
      <c r="C1350" s="10">
        <f>Github!F$1536</f>
        <v>452</v>
      </c>
      <c r="D1350" s="10">
        <f>Github!G$1536</f>
        <v>25</v>
      </c>
      <c r="E1350" s="10">
        <f>Github!F$1536+Github!G$1536</f>
        <v>477</v>
      </c>
      <c r="F1350" s="12">
        <f t="shared" si="1"/>
        <v>18.08</v>
      </c>
      <c r="G1350" s="10" t="str">
        <f>Github!H$1536</f>
        <v>Algorithms</v>
      </c>
      <c r="H1350" s="13" t="str">
        <f>SUBSTITUTE(Github!L$1536, ";", ", ")</f>
        <v>Array, Simulation, </v>
      </c>
      <c r="I1350" s="10" t="str">
        <f>Github!E$1536</f>
        <v>Medium</v>
      </c>
      <c r="J1350" s="10" t="str">
        <f>IF(TRIM(Github!D$1536)="TRUE","FALSE","TRUE")</f>
        <v>TRUE</v>
      </c>
      <c r="K1350" s="10" t="b">
        <f>Github!M$1536</f>
        <v>0</v>
      </c>
      <c r="L1350" s="10" t="b">
        <f>Github!N$1536</f>
        <v>0</v>
      </c>
      <c r="M1350" s="10" t="str">
        <f>ROUND(Github!O$1536, 2)&amp;"%"</f>
        <v>48.8%</v>
      </c>
      <c r="N1350" s="10">
        <f>Github!P$1536</f>
        <v>24351</v>
      </c>
      <c r="O1350" s="10">
        <f>Github!Q$1536</f>
        <v>49900</v>
      </c>
    </row>
    <row r="1351">
      <c r="A1351" s="10">
        <f>Github!J$904</f>
        <v>903</v>
      </c>
      <c r="B1351" s="11" t="str">
        <f>HYPERLINK(CONCAT("http://leetcode.com/problems/",Github!C$904), Github!B$904)</f>
        <v>Valid Permutations for DI Sequence</v>
      </c>
      <c r="C1351" s="10">
        <f>Github!F$904</f>
        <v>451</v>
      </c>
      <c r="D1351" s="10">
        <f>Github!G$904</f>
        <v>35</v>
      </c>
      <c r="E1351" s="10">
        <f>Github!F$904+Github!G$904</f>
        <v>486</v>
      </c>
      <c r="F1351" s="12">
        <f t="shared" si="1"/>
        <v>12.89</v>
      </c>
      <c r="G1351" s="10" t="str">
        <f>Github!H$904</f>
        <v>Algorithms</v>
      </c>
      <c r="H1351" s="13" t="str">
        <f>SUBSTITUTE(Github!L$904, ";", ", ")</f>
        <v>Dynamic Programming, </v>
      </c>
      <c r="I1351" s="10" t="str">
        <f>Github!E$904</f>
        <v>Hard</v>
      </c>
      <c r="J1351" s="10" t="str">
        <f>IF(TRIM(Github!D$904)="TRUE","FALSE","TRUE")</f>
        <v>TRUE</v>
      </c>
      <c r="K1351" s="10" t="b">
        <f>Github!M$904</f>
        <v>0</v>
      </c>
      <c r="L1351" s="10" t="b">
        <f>Github!N$904</f>
        <v>0</v>
      </c>
      <c r="M1351" s="10" t="str">
        <f>ROUND(Github!O$904, 2)&amp;"%"</f>
        <v>56.99%</v>
      </c>
      <c r="N1351" s="10">
        <f>Github!P$904</f>
        <v>10664</v>
      </c>
      <c r="O1351" s="10">
        <f>Github!Q$904</f>
        <v>18711</v>
      </c>
    </row>
    <row r="1352">
      <c r="A1352" s="10">
        <f>Github!J$1563</f>
        <v>1562</v>
      </c>
      <c r="B1352" s="11" t="str">
        <f>HYPERLINK(CONCAT("http://leetcode.com/problems/",Github!C$1563), Github!B$1563)</f>
        <v>Find Latest Group of Size M</v>
      </c>
      <c r="C1352" s="10">
        <f>Github!F$1563</f>
        <v>451</v>
      </c>
      <c r="D1352" s="10">
        <f>Github!G$1563</f>
        <v>94</v>
      </c>
      <c r="E1352" s="10">
        <f>Github!F$1563+Github!G$1563</f>
        <v>545</v>
      </c>
      <c r="F1352" s="12">
        <f t="shared" si="1"/>
        <v>4.8</v>
      </c>
      <c r="G1352" s="10" t="str">
        <f>Github!H$1563</f>
        <v>Algorithms</v>
      </c>
      <c r="H1352" s="13" t="str">
        <f>SUBSTITUTE(Github!L$1563, ";", ", ")</f>
        <v>Array, Binary Search, Simulation, </v>
      </c>
      <c r="I1352" s="10" t="str">
        <f>Github!E$1563</f>
        <v>Medium</v>
      </c>
      <c r="J1352" s="10" t="str">
        <f>IF(TRIM(Github!D$1563)="TRUE","FALSE","TRUE")</f>
        <v>TRUE</v>
      </c>
      <c r="K1352" s="10" t="b">
        <f>Github!M$1563</f>
        <v>0</v>
      </c>
      <c r="L1352" s="10" t="b">
        <f>Github!N$1563</f>
        <v>0</v>
      </c>
      <c r="M1352" s="10" t="str">
        <f>ROUND(Github!O$1563, 2)&amp;"%"</f>
        <v>40.7%</v>
      </c>
      <c r="N1352" s="10">
        <f>Github!P$1563</f>
        <v>12436</v>
      </c>
      <c r="O1352" s="10">
        <f>Github!Q$1563</f>
        <v>30558</v>
      </c>
    </row>
    <row r="1353">
      <c r="A1353" s="10">
        <f>Github!J$1574</f>
        <v>1573</v>
      </c>
      <c r="B1353" s="11" t="str">
        <f>HYPERLINK(CONCAT("http://leetcode.com/problems/",Github!C$1574), Github!B$1574)</f>
        <v>Number of Ways to Split a String</v>
      </c>
      <c r="C1353" s="10">
        <f>Github!F$1574</f>
        <v>449</v>
      </c>
      <c r="D1353" s="10">
        <f>Github!G$1574</f>
        <v>56</v>
      </c>
      <c r="E1353" s="10">
        <f>Github!F$1574+Github!G$1574</f>
        <v>505</v>
      </c>
      <c r="F1353" s="12">
        <f t="shared" si="1"/>
        <v>8.02</v>
      </c>
      <c r="G1353" s="10" t="str">
        <f>Github!H$1574</f>
        <v>Algorithms</v>
      </c>
      <c r="H1353" s="13" t="str">
        <f>SUBSTITUTE(Github!L$1574, ";", ", ")</f>
        <v>Math, String, </v>
      </c>
      <c r="I1353" s="10" t="str">
        <f>Github!E$1574</f>
        <v>Medium</v>
      </c>
      <c r="J1353" s="10" t="str">
        <f>IF(TRIM(Github!D$1574)="TRUE","FALSE","TRUE")</f>
        <v>TRUE</v>
      </c>
      <c r="K1353" s="10" t="b">
        <f>Github!M$1574</f>
        <v>0</v>
      </c>
      <c r="L1353" s="10" t="b">
        <f>Github!N$1574</f>
        <v>0</v>
      </c>
      <c r="M1353" s="10" t="str">
        <f>ROUND(Github!O$1574, 2)&amp;"%"</f>
        <v>32.05%</v>
      </c>
      <c r="N1353" s="10">
        <f>Github!P$1574</f>
        <v>19300</v>
      </c>
      <c r="O1353" s="10">
        <f>Github!Q$1574</f>
        <v>60227</v>
      </c>
    </row>
    <row r="1354">
      <c r="A1354" s="10">
        <f>Github!J$700</f>
        <v>699</v>
      </c>
      <c r="B1354" s="11" t="str">
        <f>HYPERLINK(CONCAT("http://leetcode.com/problems/",Github!C$700), Github!B$700)</f>
        <v>Falling Squares</v>
      </c>
      <c r="C1354" s="10">
        <f>Github!F$700</f>
        <v>449</v>
      </c>
      <c r="D1354" s="10">
        <f>Github!G$700</f>
        <v>70</v>
      </c>
      <c r="E1354" s="10">
        <f>Github!F$700+Github!G$700</f>
        <v>519</v>
      </c>
      <c r="F1354" s="12">
        <f t="shared" si="1"/>
        <v>6.41</v>
      </c>
      <c r="G1354" s="10" t="str">
        <f>Github!H$700</f>
        <v>Algorithms</v>
      </c>
      <c r="H1354" s="13" t="str">
        <f>SUBSTITUTE(Github!L$700, ";", ", ")</f>
        <v>Array, Segment Tree, Ordered Set, </v>
      </c>
      <c r="I1354" s="10" t="str">
        <f>Github!E$700</f>
        <v>Hard</v>
      </c>
      <c r="J1354" s="10" t="str">
        <f>IF(TRIM(Github!D$700)="TRUE","FALSE","TRUE")</f>
        <v>TRUE</v>
      </c>
      <c r="K1354" s="10" t="b">
        <f>Github!M$700</f>
        <v>1</v>
      </c>
      <c r="L1354" s="10" t="b">
        <f>Github!N$700</f>
        <v>0</v>
      </c>
      <c r="M1354" s="10" t="str">
        <f>ROUND(Github!O$700, 2)&amp;"%"</f>
        <v>43.81%</v>
      </c>
      <c r="N1354" s="10">
        <f>Github!P$700</f>
        <v>19511</v>
      </c>
      <c r="O1354" s="10">
        <f>Github!Q$700</f>
        <v>44532</v>
      </c>
    </row>
    <row r="1355">
      <c r="A1355" s="10">
        <f>Github!J$956</f>
        <v>955</v>
      </c>
      <c r="B1355" s="11" t="str">
        <f>HYPERLINK(CONCAT("http://leetcode.com/problems/",Github!C$956), Github!B$956)</f>
        <v>Delete Columns to Make Sorted II</v>
      </c>
      <c r="C1355" s="10">
        <f>Github!F$956</f>
        <v>448</v>
      </c>
      <c r="D1355" s="10">
        <f>Github!G$956</f>
        <v>69</v>
      </c>
      <c r="E1355" s="10">
        <f>Github!F$956+Github!G$956</f>
        <v>517</v>
      </c>
      <c r="F1355" s="12">
        <f t="shared" si="1"/>
        <v>6.49</v>
      </c>
      <c r="G1355" s="10" t="str">
        <f>Github!H$956</f>
        <v>Algorithms</v>
      </c>
      <c r="H1355" s="13" t="str">
        <f>SUBSTITUTE(Github!L$956, ";", ", ")</f>
        <v>Array, String, Greedy, </v>
      </c>
      <c r="I1355" s="10" t="str">
        <f>Github!E$956</f>
        <v>Medium</v>
      </c>
      <c r="J1355" s="10" t="str">
        <f>IF(TRIM(Github!D$956)="TRUE","FALSE","TRUE")</f>
        <v>TRUE</v>
      </c>
      <c r="K1355" s="10" t="b">
        <f>Github!M$956</f>
        <v>0</v>
      </c>
      <c r="L1355" s="10" t="b">
        <f>Github!N$956</f>
        <v>0</v>
      </c>
      <c r="M1355" s="10" t="str">
        <f>ROUND(Github!O$956, 2)&amp;"%"</f>
        <v>34.22%</v>
      </c>
      <c r="N1355" s="10">
        <f>Github!P$956</f>
        <v>15329</v>
      </c>
      <c r="O1355" s="10">
        <f>Github!Q$956</f>
        <v>44791</v>
      </c>
    </row>
    <row r="1356">
      <c r="A1356" s="10">
        <f>Github!J$758</f>
        <v>757</v>
      </c>
      <c r="B1356" s="11" t="str">
        <f>HYPERLINK(CONCAT("http://leetcode.com/problems/",Github!C$758), Github!B$758)</f>
        <v>Set Intersection Size At Least Two</v>
      </c>
      <c r="C1356" s="10">
        <f>Github!F$758</f>
        <v>448</v>
      </c>
      <c r="D1356" s="10">
        <f>Github!G$758</f>
        <v>59</v>
      </c>
      <c r="E1356" s="10">
        <f>Github!F$758+Github!G$758</f>
        <v>507</v>
      </c>
      <c r="F1356" s="12">
        <f t="shared" si="1"/>
        <v>7.59</v>
      </c>
      <c r="G1356" s="10" t="str">
        <f>Github!H$758</f>
        <v>Algorithms</v>
      </c>
      <c r="H1356" s="13" t="str">
        <f>SUBSTITUTE(Github!L$758, ";", ", ")</f>
        <v>Array, Greedy, Sorting, </v>
      </c>
      <c r="I1356" s="10" t="str">
        <f>Github!E$758</f>
        <v>Hard</v>
      </c>
      <c r="J1356" s="10" t="str">
        <f>IF(TRIM(Github!D$758)="TRUE","FALSE","TRUE")</f>
        <v>TRUE</v>
      </c>
      <c r="K1356" s="10" t="b">
        <f>Github!M$758</f>
        <v>0</v>
      </c>
      <c r="L1356" s="10" t="b">
        <f>Github!N$758</f>
        <v>0</v>
      </c>
      <c r="M1356" s="10" t="str">
        <f>ROUND(Github!O$758, 2)&amp;"%"</f>
        <v>43.1%</v>
      </c>
      <c r="N1356" s="10">
        <f>Github!P$758</f>
        <v>15501</v>
      </c>
      <c r="O1356" s="10">
        <f>Github!Q$758</f>
        <v>35967</v>
      </c>
    </row>
    <row r="1357">
      <c r="A1357" s="10">
        <f>Github!J$1851</f>
        <v>1850</v>
      </c>
      <c r="B1357" s="11" t="str">
        <f>HYPERLINK(CONCAT("http://leetcode.com/problems/",Github!C$1851), Github!B$1851)</f>
        <v>Minimum Adjacent Swaps to Reach the Kth Smallest Number</v>
      </c>
      <c r="C1357" s="10">
        <f>Github!F$1851</f>
        <v>451</v>
      </c>
      <c r="D1357" s="10">
        <f>Github!G$1851</f>
        <v>57</v>
      </c>
      <c r="E1357" s="10">
        <f>Github!F$1851+Github!G$1851</f>
        <v>508</v>
      </c>
      <c r="F1357" s="12">
        <f t="shared" si="1"/>
        <v>7.91</v>
      </c>
      <c r="G1357" s="10" t="str">
        <f>Github!H$1851</f>
        <v>Algorithms</v>
      </c>
      <c r="H1357" s="13" t="str">
        <f>SUBSTITUTE(Github!L$1851, ";", ", ")</f>
        <v>Two Pointers, String, Greedy, </v>
      </c>
      <c r="I1357" s="10" t="str">
        <f>Github!E$1851</f>
        <v>Medium</v>
      </c>
      <c r="J1357" s="10" t="str">
        <f>IF(TRIM(Github!D$1851)="TRUE","FALSE","TRUE")</f>
        <v>TRUE</v>
      </c>
      <c r="K1357" s="10" t="b">
        <f>Github!M$1851</f>
        <v>0</v>
      </c>
      <c r="L1357" s="10" t="b">
        <f>Github!N$1851</f>
        <v>0</v>
      </c>
      <c r="M1357" s="10" t="str">
        <f>ROUND(Github!O$1851, 2)&amp;"%"</f>
        <v>72.05%</v>
      </c>
      <c r="N1357" s="10">
        <f>Github!P$1851</f>
        <v>13913</v>
      </c>
      <c r="O1357" s="10">
        <f>Github!Q$1851</f>
        <v>19310</v>
      </c>
    </row>
    <row r="1358">
      <c r="A1358" s="10">
        <f>Github!J$2035</f>
        <v>2034</v>
      </c>
      <c r="B1358" s="11" t="str">
        <f>HYPERLINK(CONCAT("http://leetcode.com/problems/",Github!C$2035), Github!B$2035)</f>
        <v>Stock Price Fluctuation </v>
      </c>
      <c r="C1358" s="10">
        <f>Github!F$2035</f>
        <v>469</v>
      </c>
      <c r="D1358" s="10">
        <f>Github!G$2035</f>
        <v>30</v>
      </c>
      <c r="E1358" s="10">
        <f>Github!F$2035+Github!G$2035</f>
        <v>499</v>
      </c>
      <c r="F1358" s="12">
        <f t="shared" si="1"/>
        <v>15.63</v>
      </c>
      <c r="G1358" s="10" t="str">
        <f>Github!H$2035</f>
        <v>Algorithms</v>
      </c>
      <c r="H1358" s="13" t="str">
        <f>SUBSTITUTE(Github!L$2035, ";", ", ")</f>
        <v>Hash Table, Design, Heap (Priority Queue), Data Stream, Ordered Set, </v>
      </c>
      <c r="I1358" s="10" t="str">
        <f>Github!E$2035</f>
        <v>Medium</v>
      </c>
      <c r="J1358" s="10" t="str">
        <f>IF(TRIM(Github!D$2035)="TRUE","FALSE","TRUE")</f>
        <v>TRUE</v>
      </c>
      <c r="K1358" s="10" t="b">
        <f>Github!M$2035</f>
        <v>0</v>
      </c>
      <c r="L1358" s="10" t="b">
        <f>Github!N$2035</f>
        <v>0</v>
      </c>
      <c r="M1358" s="10" t="str">
        <f>ROUND(Github!O$2035, 2)&amp;"%"</f>
        <v>47.72%</v>
      </c>
      <c r="N1358" s="10">
        <f>Github!P$2035</f>
        <v>25599</v>
      </c>
      <c r="O1358" s="10">
        <f>Github!Q$2035</f>
        <v>53644</v>
      </c>
    </row>
    <row r="1359">
      <c r="A1359" s="10">
        <f>Github!J$1948</f>
        <v>1947</v>
      </c>
      <c r="B1359" s="11" t="str">
        <f>HYPERLINK(CONCAT("http://leetcode.com/problems/",Github!C$1948), Github!B$1948)</f>
        <v>Maximum Compatibility Score Sum</v>
      </c>
      <c r="C1359" s="10">
        <f>Github!F$1948</f>
        <v>451</v>
      </c>
      <c r="D1359" s="10">
        <f>Github!G$1948</f>
        <v>10</v>
      </c>
      <c r="E1359" s="10">
        <f>Github!F$1948+Github!G$1948</f>
        <v>461</v>
      </c>
      <c r="F1359" s="12">
        <f t="shared" si="1"/>
        <v>45.1</v>
      </c>
      <c r="G1359" s="10" t="str">
        <f>Github!H$1948</f>
        <v>Algorithms</v>
      </c>
      <c r="H1359" s="13" t="str">
        <f>SUBSTITUTE(Github!L$1948, ";", ", ")</f>
        <v>Array, Dynamic Programming, Backtracking, Bit Manipulation, Bitmask, </v>
      </c>
      <c r="I1359" s="10" t="str">
        <f>Github!E$1948</f>
        <v>Medium</v>
      </c>
      <c r="J1359" s="10" t="str">
        <f>IF(TRIM(Github!D$1948)="TRUE","FALSE","TRUE")</f>
        <v>TRUE</v>
      </c>
      <c r="K1359" s="10" t="b">
        <f>Github!M$1948</f>
        <v>0</v>
      </c>
      <c r="L1359" s="10" t="b">
        <f>Github!N$1948</f>
        <v>0</v>
      </c>
      <c r="M1359" s="10" t="str">
        <f>ROUND(Github!O$1948, 2)&amp;"%"</f>
        <v>60.06%</v>
      </c>
      <c r="N1359" s="10">
        <f>Github!P$1948</f>
        <v>14119</v>
      </c>
      <c r="O1359" s="10">
        <f>Github!Q$1948</f>
        <v>23509</v>
      </c>
    </row>
    <row r="1360">
      <c r="A1360" s="10">
        <f>Github!J$1698</f>
        <v>1697</v>
      </c>
      <c r="B1360" s="11" t="str">
        <f>HYPERLINK(CONCAT("http://leetcode.com/problems/",Github!C$1698), Github!B$1698)</f>
        <v>Checking Existence of Edge Length Limited Paths</v>
      </c>
      <c r="C1360" s="10">
        <f>Github!F$1698</f>
        <v>447</v>
      </c>
      <c r="D1360" s="10">
        <f>Github!G$1698</f>
        <v>10</v>
      </c>
      <c r="E1360" s="10">
        <f>Github!F$1698+Github!G$1698</f>
        <v>457</v>
      </c>
      <c r="F1360" s="12">
        <f t="shared" si="1"/>
        <v>44.7</v>
      </c>
      <c r="G1360" s="10" t="str">
        <f>Github!H$1698</f>
        <v>Algorithms</v>
      </c>
      <c r="H1360" s="13" t="str">
        <f>SUBSTITUTE(Github!L$1698, ";", ", ")</f>
        <v>Array, Union Find, Graph, Sorting, </v>
      </c>
      <c r="I1360" s="10" t="str">
        <f>Github!E$1698</f>
        <v>Hard</v>
      </c>
      <c r="J1360" s="10" t="str">
        <f>IF(TRIM(Github!D$1698)="TRUE","FALSE","TRUE")</f>
        <v>TRUE</v>
      </c>
      <c r="K1360" s="10" t="b">
        <f>Github!M$1698</f>
        <v>0</v>
      </c>
      <c r="L1360" s="10" t="b">
        <f>Github!N$1698</f>
        <v>0</v>
      </c>
      <c r="M1360" s="10" t="str">
        <f>ROUND(Github!O$1698, 2)&amp;"%"</f>
        <v>48.75%</v>
      </c>
      <c r="N1360" s="10">
        <f>Github!P$1698</f>
        <v>7829</v>
      </c>
      <c r="O1360" s="10">
        <f>Github!Q$1698</f>
        <v>16060</v>
      </c>
    </row>
    <row r="1361">
      <c r="A1361" s="10">
        <f>Github!J$409</f>
        <v>408</v>
      </c>
      <c r="B1361" s="11" t="str">
        <f>HYPERLINK(CONCAT("http://leetcode.com/problems/",Github!C$409), Github!B$409)</f>
        <v>Valid Word Abbreviation</v>
      </c>
      <c r="C1361" s="10">
        <f>Github!F$409</f>
        <v>451</v>
      </c>
      <c r="D1361" s="10">
        <f>Github!G$409</f>
        <v>1625</v>
      </c>
      <c r="E1361" s="10">
        <f>Github!F$409+Github!G$409</f>
        <v>2076</v>
      </c>
      <c r="F1361" s="12">
        <f t="shared" si="1"/>
        <v>0.28</v>
      </c>
      <c r="G1361" s="10" t="str">
        <f>Github!H$409</f>
        <v>Algorithms</v>
      </c>
      <c r="H1361" s="13" t="str">
        <f>SUBSTITUTE(Github!L$409, ";", ", ")</f>
        <v>Two Pointers, String, </v>
      </c>
      <c r="I1361" s="10" t="str">
        <f>Github!E$409</f>
        <v>Easy</v>
      </c>
      <c r="J1361" s="10" t="str">
        <f>IF(TRIM(Github!D$409)="TRUE","FALSE","TRUE")</f>
        <v>FALSE</v>
      </c>
      <c r="K1361" s="10" t="b">
        <f>Github!M$409</f>
        <v>0</v>
      </c>
      <c r="L1361" s="10" t="b">
        <f>Github!N$409</f>
        <v>0</v>
      </c>
      <c r="M1361" s="10" t="str">
        <f>ROUND(Github!O$409, 2)&amp;"%"</f>
        <v>34.75%</v>
      </c>
      <c r="N1361" s="10">
        <f>Github!P$409</f>
        <v>95521</v>
      </c>
      <c r="O1361" s="10">
        <f>Github!Q$409</f>
        <v>274853</v>
      </c>
    </row>
    <row r="1362">
      <c r="A1362" s="10">
        <f>Github!J$1158</f>
        <v>1157</v>
      </c>
      <c r="B1362" s="11" t="str">
        <f>HYPERLINK(CONCAT("http://leetcode.com/problems/",Github!C$1158), Github!B$1158)</f>
        <v>Online Majority Element In Subarray</v>
      </c>
      <c r="C1362" s="10">
        <f>Github!F$1158</f>
        <v>445</v>
      </c>
      <c r="D1362" s="10">
        <f>Github!G$1158</f>
        <v>47</v>
      </c>
      <c r="E1362" s="10">
        <f>Github!F$1158+Github!G$1158</f>
        <v>492</v>
      </c>
      <c r="F1362" s="12">
        <f t="shared" si="1"/>
        <v>9.47</v>
      </c>
      <c r="G1362" s="10" t="str">
        <f>Github!H$1158</f>
        <v>Algorithms</v>
      </c>
      <c r="H1362" s="13" t="str">
        <f>SUBSTITUTE(Github!L$1158, ";", ", ")</f>
        <v>Array, Binary Search, Design, Binary Indexed Tree, Segment Tree, </v>
      </c>
      <c r="I1362" s="10" t="str">
        <f>Github!E$1158</f>
        <v>Hard</v>
      </c>
      <c r="J1362" s="10" t="str">
        <f>IF(TRIM(Github!D$1158)="TRUE","FALSE","TRUE")</f>
        <v>TRUE</v>
      </c>
      <c r="K1362" s="10" t="b">
        <f>Github!M$1158</f>
        <v>0</v>
      </c>
      <c r="L1362" s="10" t="b">
        <f>Github!N$1158</f>
        <v>0</v>
      </c>
      <c r="M1362" s="10" t="str">
        <f>ROUND(Github!O$1158, 2)&amp;"%"</f>
        <v>42.12%</v>
      </c>
      <c r="N1362" s="10">
        <f>Github!P$1158</f>
        <v>12669</v>
      </c>
      <c r="O1362" s="10">
        <f>Github!Q$1158</f>
        <v>30076</v>
      </c>
    </row>
    <row r="1363">
      <c r="A1363" s="10">
        <f>Github!J$1000</f>
        <v>999</v>
      </c>
      <c r="B1363" s="11" t="str">
        <f>HYPERLINK(CONCAT("http://leetcode.com/problems/",Github!C$1000), Github!B$1000)</f>
        <v>Available Captures for Rook</v>
      </c>
      <c r="C1363" s="10">
        <f>Github!F$1000</f>
        <v>446</v>
      </c>
      <c r="D1363" s="10">
        <f>Github!G$1000</f>
        <v>560</v>
      </c>
      <c r="E1363" s="10">
        <f>Github!F$1000+Github!G$1000</f>
        <v>1006</v>
      </c>
      <c r="F1363" s="12">
        <f t="shared" si="1"/>
        <v>0.8</v>
      </c>
      <c r="G1363" s="10" t="str">
        <f>Github!H$1000</f>
        <v>Algorithms</v>
      </c>
      <c r="H1363" s="13" t="str">
        <f>SUBSTITUTE(Github!L$1000, ";", ", ")</f>
        <v>Array, Matrix, Simulation, </v>
      </c>
      <c r="I1363" s="10" t="str">
        <f>Github!E$1000</f>
        <v>Easy</v>
      </c>
      <c r="J1363" s="10" t="str">
        <f>IF(TRIM(Github!D$1000)="TRUE","FALSE","TRUE")</f>
        <v>TRUE</v>
      </c>
      <c r="K1363" s="10" t="b">
        <f>Github!M$1000</f>
        <v>0</v>
      </c>
      <c r="L1363" s="10" t="b">
        <f>Github!N$1000</f>
        <v>0</v>
      </c>
      <c r="M1363" s="10" t="str">
        <f>ROUND(Github!O$1000, 2)&amp;"%"</f>
        <v>67.54%</v>
      </c>
      <c r="N1363" s="10">
        <f>Github!P$1000</f>
        <v>49873</v>
      </c>
      <c r="O1363" s="10">
        <f>Github!Q$1000</f>
        <v>73843</v>
      </c>
    </row>
    <row r="1364">
      <c r="A1364" s="10">
        <f>Github!J$1490</f>
        <v>1489</v>
      </c>
      <c r="B1364" s="11" t="str">
        <f>HYPERLINK(CONCAT("http://leetcode.com/problems/",Github!C$1490), Github!B$1490)</f>
        <v>Find Critical and Pseudo-Critical Edges in Minimum Spanning Tree</v>
      </c>
      <c r="C1364" s="10">
        <f>Github!F$1490</f>
        <v>449</v>
      </c>
      <c r="D1364" s="10">
        <f>Github!G$1490</f>
        <v>43</v>
      </c>
      <c r="E1364" s="10">
        <f>Github!F$1490+Github!G$1490</f>
        <v>492</v>
      </c>
      <c r="F1364" s="12">
        <f t="shared" si="1"/>
        <v>10.44</v>
      </c>
      <c r="G1364" s="10" t="str">
        <f>Github!H$1490</f>
        <v>Algorithms</v>
      </c>
      <c r="H1364" s="13" t="str">
        <f>SUBSTITUTE(Github!L$1490, ";", ", ")</f>
        <v>Union Find, Graph, Sorting, Minimum Spanning Tree, Strongly Connected Component, </v>
      </c>
      <c r="I1364" s="10" t="str">
        <f>Github!E$1490</f>
        <v>Hard</v>
      </c>
      <c r="J1364" s="10" t="str">
        <f>IF(TRIM(Github!D$1490)="TRUE","FALSE","TRUE")</f>
        <v>TRUE</v>
      </c>
      <c r="K1364" s="10" t="b">
        <f>Github!M$1490</f>
        <v>0</v>
      </c>
      <c r="L1364" s="10" t="b">
        <f>Github!N$1490</f>
        <v>0</v>
      </c>
      <c r="M1364" s="10" t="str">
        <f>ROUND(Github!O$1490, 2)&amp;"%"</f>
        <v>53.01%</v>
      </c>
      <c r="N1364" s="10">
        <f>Github!P$1490</f>
        <v>7689</v>
      </c>
      <c r="O1364" s="10">
        <f>Github!Q$1490</f>
        <v>14505</v>
      </c>
    </row>
    <row r="1365">
      <c r="A1365" s="10">
        <f>Github!J$880</f>
        <v>879</v>
      </c>
      <c r="B1365" s="11" t="str">
        <f>HYPERLINK(CONCAT("http://leetcode.com/problems/",Github!C$880), Github!B$880)</f>
        <v>Profitable Schemes</v>
      </c>
      <c r="C1365" s="10">
        <f>Github!F$880</f>
        <v>444</v>
      </c>
      <c r="D1365" s="10">
        <f>Github!G$880</f>
        <v>40</v>
      </c>
      <c r="E1365" s="10">
        <f>Github!F$880+Github!G$880</f>
        <v>484</v>
      </c>
      <c r="F1365" s="12">
        <f t="shared" si="1"/>
        <v>11.1</v>
      </c>
      <c r="G1365" s="10" t="str">
        <f>Github!H$880</f>
        <v>Algorithms</v>
      </c>
      <c r="H1365" s="13" t="str">
        <f>SUBSTITUTE(Github!L$880, ";", ", ")</f>
        <v>Array, Dynamic Programming, </v>
      </c>
      <c r="I1365" s="10" t="str">
        <f>Github!E$880</f>
        <v>Hard</v>
      </c>
      <c r="J1365" s="10" t="str">
        <f>IF(TRIM(Github!D$880)="TRUE","FALSE","TRUE")</f>
        <v>TRUE</v>
      </c>
      <c r="K1365" s="10" t="b">
        <f>Github!M$880</f>
        <v>1</v>
      </c>
      <c r="L1365" s="10" t="b">
        <f>Github!N$880</f>
        <v>0</v>
      </c>
      <c r="M1365" s="10" t="str">
        <f>ROUND(Github!O$880, 2)&amp;"%"</f>
        <v>40.65%</v>
      </c>
      <c r="N1365" s="10">
        <f>Github!P$880</f>
        <v>14755</v>
      </c>
      <c r="O1365" s="10">
        <f>Github!Q$880</f>
        <v>36297</v>
      </c>
    </row>
    <row r="1366">
      <c r="A1366" s="10">
        <f>Github!J$1929</f>
        <v>1928</v>
      </c>
      <c r="B1366" s="11" t="str">
        <f>HYPERLINK(CONCAT("http://leetcode.com/problems/",Github!C$1929), Github!B$1929)</f>
        <v>Minimum Cost to Reach Destination in Time</v>
      </c>
      <c r="C1366" s="10">
        <f>Github!F$1929</f>
        <v>443</v>
      </c>
      <c r="D1366" s="10">
        <f>Github!G$1929</f>
        <v>7</v>
      </c>
      <c r="E1366" s="10">
        <f>Github!F$1929+Github!G$1929</f>
        <v>450</v>
      </c>
      <c r="F1366" s="12">
        <f t="shared" si="1"/>
        <v>63.29</v>
      </c>
      <c r="G1366" s="10" t="str">
        <f>Github!H$1929</f>
        <v>Algorithms</v>
      </c>
      <c r="H1366" s="13" t="str">
        <f>SUBSTITUTE(Github!L$1929, ";", ", ")</f>
        <v>Dynamic Programming, Graph, </v>
      </c>
      <c r="I1366" s="10" t="str">
        <f>Github!E$1929</f>
        <v>Hard</v>
      </c>
      <c r="J1366" s="10" t="str">
        <f>IF(TRIM(Github!D$1929)="TRUE","FALSE","TRUE")</f>
        <v>TRUE</v>
      </c>
      <c r="K1366" s="10" t="b">
        <f>Github!M$1929</f>
        <v>0</v>
      </c>
      <c r="L1366" s="10" t="b">
        <f>Github!N$1929</f>
        <v>0</v>
      </c>
      <c r="M1366" s="10" t="str">
        <f>ROUND(Github!O$1929, 2)&amp;"%"</f>
        <v>37.27%</v>
      </c>
      <c r="N1366" s="10">
        <f>Github!P$1929</f>
        <v>10019</v>
      </c>
      <c r="O1366" s="10">
        <f>Github!Q$1929</f>
        <v>26879</v>
      </c>
    </row>
    <row r="1367">
      <c r="A1367" s="10">
        <f>Github!J$2142</f>
        <v>2141</v>
      </c>
      <c r="B1367" s="11" t="str">
        <f>HYPERLINK(CONCAT("http://leetcode.com/problems/",Github!C$2142), Github!B$2142)</f>
        <v>Maximum Running Time of N Computers</v>
      </c>
      <c r="C1367" s="10">
        <f>Github!F$2142</f>
        <v>444</v>
      </c>
      <c r="D1367" s="10">
        <f>Github!G$2142</f>
        <v>10</v>
      </c>
      <c r="E1367" s="10">
        <f>Github!F$2142+Github!G$2142</f>
        <v>454</v>
      </c>
      <c r="F1367" s="12">
        <f t="shared" si="1"/>
        <v>44.4</v>
      </c>
      <c r="G1367" s="10" t="str">
        <f>Github!H$2142</f>
        <v>Algorithms</v>
      </c>
      <c r="H1367" s="13" t="str">
        <f>SUBSTITUTE(Github!L$2142, ";", ", ")</f>
        <v>Array, Binary Search, Greedy, Sorting, </v>
      </c>
      <c r="I1367" s="10" t="str">
        <f>Github!E$2142</f>
        <v>Hard</v>
      </c>
      <c r="J1367" s="10" t="str">
        <f>IF(TRIM(Github!D$2142)="TRUE","FALSE","TRUE")</f>
        <v>TRUE</v>
      </c>
      <c r="K1367" s="10" t="b">
        <f>Github!M$2142</f>
        <v>0</v>
      </c>
      <c r="L1367" s="10" t="b">
        <f>Github!N$2142</f>
        <v>0</v>
      </c>
      <c r="M1367" s="10" t="str">
        <f>ROUND(Github!O$2142, 2)&amp;"%"</f>
        <v>37.96%</v>
      </c>
      <c r="N1367" s="10">
        <f>Github!P$2142</f>
        <v>8012</v>
      </c>
      <c r="O1367" s="10">
        <f>Github!Q$2142</f>
        <v>21110</v>
      </c>
    </row>
    <row r="1368">
      <c r="A1368" s="10">
        <f>Github!J$1858</f>
        <v>1857</v>
      </c>
      <c r="B1368" s="11" t="str">
        <f>HYPERLINK(CONCAT("http://leetcode.com/problems/",Github!C$1858), Github!B$1858)</f>
        <v>Largest Color Value in a Directed Graph</v>
      </c>
      <c r="C1368" s="10">
        <f>Github!F$1858</f>
        <v>439</v>
      </c>
      <c r="D1368" s="10">
        <f>Github!G$1858</f>
        <v>16</v>
      </c>
      <c r="E1368" s="10">
        <f>Github!F$1858+Github!G$1858</f>
        <v>455</v>
      </c>
      <c r="F1368" s="12">
        <f t="shared" si="1"/>
        <v>27.44</v>
      </c>
      <c r="G1368" s="10" t="str">
        <f>Github!H$1858</f>
        <v>Algorithms</v>
      </c>
      <c r="H1368" s="13" t="str">
        <f>SUBSTITUTE(Github!L$1858, ";", ", ")</f>
        <v>Hash Table, Dynamic Programming, Graph, Topological Sort, Memoization, Counting, </v>
      </c>
      <c r="I1368" s="10" t="str">
        <f>Github!E$1858</f>
        <v>Hard</v>
      </c>
      <c r="J1368" s="10" t="str">
        <f>IF(TRIM(Github!D$1858)="TRUE","FALSE","TRUE")</f>
        <v>TRUE</v>
      </c>
      <c r="K1368" s="10" t="b">
        <f>Github!M$1858</f>
        <v>0</v>
      </c>
      <c r="L1368" s="10" t="b">
        <f>Github!N$1858</f>
        <v>0</v>
      </c>
      <c r="M1368" s="10" t="str">
        <f>ROUND(Github!O$1858, 2)&amp;"%"</f>
        <v>39.73%</v>
      </c>
      <c r="N1368" s="10">
        <f>Github!P$1858</f>
        <v>11042</v>
      </c>
      <c r="O1368" s="10">
        <f>Github!Q$1858</f>
        <v>27790</v>
      </c>
    </row>
    <row r="1369">
      <c r="A1369" s="10">
        <f>Github!J$2003</f>
        <v>2002</v>
      </c>
      <c r="B1369" s="11" t="str">
        <f>HYPERLINK(CONCAT("http://leetcode.com/problems/",Github!C$2003), Github!B$2003)</f>
        <v>Maximum Product of the Length of Two Palindromic Subsequences</v>
      </c>
      <c r="C1369" s="10">
        <f>Github!F$2003</f>
        <v>441</v>
      </c>
      <c r="D1369" s="10">
        <f>Github!G$2003</f>
        <v>30</v>
      </c>
      <c r="E1369" s="10">
        <f>Github!F$2003+Github!G$2003</f>
        <v>471</v>
      </c>
      <c r="F1369" s="12">
        <f t="shared" si="1"/>
        <v>14.7</v>
      </c>
      <c r="G1369" s="10" t="str">
        <f>Github!H$2003</f>
        <v>Algorithms</v>
      </c>
      <c r="H1369" s="13" t="str">
        <f>SUBSTITUTE(Github!L$2003, ";", ", ")</f>
        <v>String, Dynamic Programming, Backtracking, Bit Manipulation, Bitmask, </v>
      </c>
      <c r="I1369" s="10" t="str">
        <f>Github!E$2003</f>
        <v>Medium</v>
      </c>
      <c r="J1369" s="10" t="str">
        <f>IF(TRIM(Github!D$2003)="TRUE","FALSE","TRUE")</f>
        <v>TRUE</v>
      </c>
      <c r="K1369" s="10" t="b">
        <f>Github!M$2003</f>
        <v>0</v>
      </c>
      <c r="L1369" s="10" t="b">
        <f>Github!N$2003</f>
        <v>0</v>
      </c>
      <c r="M1369" s="10" t="str">
        <f>ROUND(Github!O$2003, 2)&amp;"%"</f>
        <v>52.89%</v>
      </c>
      <c r="N1369" s="10">
        <f>Github!P$2003</f>
        <v>11508</v>
      </c>
      <c r="O1369" s="10">
        <f>Github!Q$2003</f>
        <v>21760</v>
      </c>
    </row>
    <row r="1370">
      <c r="A1370" s="10">
        <f>Github!J$1164</f>
        <v>1163</v>
      </c>
      <c r="B1370" s="11" t="str">
        <f>HYPERLINK(CONCAT("http://leetcode.com/problems/",Github!C$1164), Github!B$1164)</f>
        <v>Last Substring in Lexicographical Order</v>
      </c>
      <c r="C1370" s="10">
        <f>Github!F$1164</f>
        <v>438</v>
      </c>
      <c r="D1370" s="10">
        <f>Github!G$1164</f>
        <v>408</v>
      </c>
      <c r="E1370" s="10">
        <f>Github!F$1164+Github!G$1164</f>
        <v>846</v>
      </c>
      <c r="F1370" s="12">
        <f t="shared" si="1"/>
        <v>1.07</v>
      </c>
      <c r="G1370" s="10" t="str">
        <f>Github!H$1164</f>
        <v>Algorithms</v>
      </c>
      <c r="H1370" s="13" t="str">
        <f>SUBSTITUTE(Github!L$1164, ";", ", ")</f>
        <v>Two Pointers, String, </v>
      </c>
      <c r="I1370" s="10" t="str">
        <f>Github!E$1164</f>
        <v>Hard</v>
      </c>
      <c r="J1370" s="10" t="str">
        <f>IF(TRIM(Github!D$1164)="TRUE","FALSE","TRUE")</f>
        <v>TRUE</v>
      </c>
      <c r="K1370" s="10" t="b">
        <f>Github!M$1164</f>
        <v>0</v>
      </c>
      <c r="L1370" s="10" t="b">
        <f>Github!N$1164</f>
        <v>0</v>
      </c>
      <c r="M1370" s="10" t="str">
        <f>ROUND(Github!O$1164, 2)&amp;"%"</f>
        <v>35.59%</v>
      </c>
      <c r="N1370" s="10">
        <f>Github!P$1164</f>
        <v>29453</v>
      </c>
      <c r="O1370" s="10">
        <f>Github!Q$1164</f>
        <v>82763</v>
      </c>
    </row>
    <row r="1371">
      <c r="A1371" s="10">
        <f>Github!J$1867</f>
        <v>1866</v>
      </c>
      <c r="B1371" s="11" t="str">
        <f>HYPERLINK(CONCAT("http://leetcode.com/problems/",Github!C$1867), Github!B$1867)</f>
        <v>Number of Ways to Rearrange Sticks With K Sticks Visible</v>
      </c>
      <c r="C1371" s="10">
        <f>Github!F$1867</f>
        <v>439</v>
      </c>
      <c r="D1371" s="10">
        <f>Github!G$1867</f>
        <v>10</v>
      </c>
      <c r="E1371" s="10">
        <f>Github!F$1867+Github!G$1867</f>
        <v>449</v>
      </c>
      <c r="F1371" s="12">
        <f t="shared" si="1"/>
        <v>43.9</v>
      </c>
      <c r="G1371" s="10" t="str">
        <f>Github!H$1867</f>
        <v>Algorithms</v>
      </c>
      <c r="H1371" s="13" t="str">
        <f>SUBSTITUTE(Github!L$1867, ";", ", ")</f>
        <v>Math, Dynamic Programming, Combinatorics, </v>
      </c>
      <c r="I1371" s="10" t="str">
        <f>Github!E$1867</f>
        <v>Hard</v>
      </c>
      <c r="J1371" s="10" t="str">
        <f>IF(TRIM(Github!D$1867)="TRUE","FALSE","TRUE")</f>
        <v>TRUE</v>
      </c>
      <c r="K1371" s="10" t="b">
        <f>Github!M$1867</f>
        <v>0</v>
      </c>
      <c r="L1371" s="10" t="b">
        <f>Github!N$1867</f>
        <v>0</v>
      </c>
      <c r="M1371" s="10" t="str">
        <f>ROUND(Github!O$1867, 2)&amp;"%"</f>
        <v>55.29%</v>
      </c>
      <c r="N1371" s="10">
        <f>Github!P$1867</f>
        <v>8012</v>
      </c>
      <c r="O1371" s="10">
        <f>Github!Q$1867</f>
        <v>14491</v>
      </c>
    </row>
    <row r="1372">
      <c r="A1372" s="10">
        <f>Github!J$1675</f>
        <v>1674</v>
      </c>
      <c r="B1372" s="11" t="str">
        <f>HYPERLINK(CONCAT("http://leetcode.com/problems/",Github!C$1675), Github!B$1675)</f>
        <v>Minimum Moves to Make Array Complementary</v>
      </c>
      <c r="C1372" s="10">
        <f>Github!F$1675</f>
        <v>438</v>
      </c>
      <c r="D1372" s="10">
        <f>Github!G$1675</f>
        <v>54</v>
      </c>
      <c r="E1372" s="10">
        <f>Github!F$1675+Github!G$1675</f>
        <v>492</v>
      </c>
      <c r="F1372" s="12">
        <f t="shared" si="1"/>
        <v>8.11</v>
      </c>
      <c r="G1372" s="10" t="str">
        <f>Github!H$1675</f>
        <v>Algorithms</v>
      </c>
      <c r="H1372" s="13" t="str">
        <f>SUBSTITUTE(Github!L$1675, ";", ", ")</f>
        <v>Array, Hash Table, Prefix Sum, </v>
      </c>
      <c r="I1372" s="10" t="str">
        <f>Github!E$1675</f>
        <v>Medium</v>
      </c>
      <c r="J1372" s="10" t="str">
        <f>IF(TRIM(Github!D$1675)="TRUE","FALSE","TRUE")</f>
        <v>TRUE</v>
      </c>
      <c r="K1372" s="10" t="b">
        <f>Github!M$1675</f>
        <v>0</v>
      </c>
      <c r="L1372" s="10" t="b">
        <f>Github!N$1675</f>
        <v>0</v>
      </c>
      <c r="M1372" s="10" t="str">
        <f>ROUND(Github!O$1675, 2)&amp;"%"</f>
        <v>37.26%</v>
      </c>
      <c r="N1372" s="10">
        <f>Github!P$1675</f>
        <v>5800</v>
      </c>
      <c r="O1372" s="10">
        <f>Github!Q$1675</f>
        <v>15566</v>
      </c>
    </row>
    <row r="1373">
      <c r="A1373" s="10">
        <f>Github!J$1756</f>
        <v>1755</v>
      </c>
      <c r="B1373" s="11" t="str">
        <f>HYPERLINK(CONCAT("http://leetcode.com/problems/",Github!C$1756), Github!B$1756)</f>
        <v>Closest Subsequence Sum</v>
      </c>
      <c r="C1373" s="10">
        <f>Github!F$1756</f>
        <v>438</v>
      </c>
      <c r="D1373" s="10">
        <f>Github!G$1756</f>
        <v>58</v>
      </c>
      <c r="E1373" s="10">
        <f>Github!F$1756+Github!G$1756</f>
        <v>496</v>
      </c>
      <c r="F1373" s="12">
        <f t="shared" si="1"/>
        <v>7.55</v>
      </c>
      <c r="G1373" s="10" t="str">
        <f>Github!H$1756</f>
        <v>Algorithms</v>
      </c>
      <c r="H1373" s="13" t="str">
        <f>SUBSTITUTE(Github!L$1756, ";", ", ")</f>
        <v>Array, Two Pointers, Dynamic Programming, Bit Manipulation, Bitmask, </v>
      </c>
      <c r="I1373" s="10" t="str">
        <f>Github!E$1756</f>
        <v>Hard</v>
      </c>
      <c r="J1373" s="10" t="str">
        <f>IF(TRIM(Github!D$1756)="TRUE","FALSE","TRUE")</f>
        <v>TRUE</v>
      </c>
      <c r="K1373" s="10" t="b">
        <f>Github!M$1756</f>
        <v>0</v>
      </c>
      <c r="L1373" s="10" t="b">
        <f>Github!N$1756</f>
        <v>0</v>
      </c>
      <c r="M1373" s="10" t="str">
        <f>ROUND(Github!O$1756, 2)&amp;"%"</f>
        <v>36.41%</v>
      </c>
      <c r="N1373" s="10">
        <f>Github!P$1756</f>
        <v>8642</v>
      </c>
      <c r="O1373" s="10">
        <f>Github!Q$1756</f>
        <v>23733</v>
      </c>
    </row>
    <row r="1374">
      <c r="A1374" s="10">
        <f>Github!J$1101</f>
        <v>1100</v>
      </c>
      <c r="B1374" s="11" t="str">
        <f>HYPERLINK(CONCAT("http://leetcode.com/problems/",Github!C$1101), Github!B$1101)</f>
        <v>Find K-Length Substrings With No Repeated Characters</v>
      </c>
      <c r="C1374" s="10">
        <f>Github!F$1101</f>
        <v>437</v>
      </c>
      <c r="D1374" s="10">
        <f>Github!G$1101</f>
        <v>9</v>
      </c>
      <c r="E1374" s="10">
        <f>Github!F$1101+Github!G$1101</f>
        <v>446</v>
      </c>
      <c r="F1374" s="12">
        <f t="shared" si="1"/>
        <v>48.56</v>
      </c>
      <c r="G1374" s="10" t="str">
        <f>Github!H$1101</f>
        <v>Algorithms</v>
      </c>
      <c r="H1374" s="13" t="str">
        <f>SUBSTITUTE(Github!L$1101, ";", ", ")</f>
        <v>Hash Table, String, Sliding Window, </v>
      </c>
      <c r="I1374" s="10" t="str">
        <f>Github!E$1101</f>
        <v>Medium</v>
      </c>
      <c r="J1374" s="10" t="str">
        <f>IF(TRIM(Github!D$1101)="TRUE","FALSE","TRUE")</f>
        <v>FALSE</v>
      </c>
      <c r="K1374" s="10" t="b">
        <f>Github!M$1101</f>
        <v>1</v>
      </c>
      <c r="L1374" s="10" t="b">
        <f>Github!N$1101</f>
        <v>0</v>
      </c>
      <c r="M1374" s="10" t="str">
        <f>ROUND(Github!O$1101, 2)&amp;"%"</f>
        <v>74.81%</v>
      </c>
      <c r="N1374" s="10">
        <f>Github!P$1101</f>
        <v>29691</v>
      </c>
      <c r="O1374" s="10">
        <f>Github!Q$1101</f>
        <v>39691</v>
      </c>
    </row>
    <row r="1375">
      <c r="A1375" s="10">
        <f>Github!J$435</f>
        <v>434</v>
      </c>
      <c r="B1375" s="11" t="str">
        <f>HYPERLINK(CONCAT("http://leetcode.com/problems/",Github!C$435), Github!B$435)</f>
        <v>Number of Segments in a String</v>
      </c>
      <c r="C1375" s="10">
        <f>Github!F$435</f>
        <v>440</v>
      </c>
      <c r="D1375" s="10">
        <f>Github!G$435</f>
        <v>1012</v>
      </c>
      <c r="E1375" s="10">
        <f>Github!F$435+Github!G$435</f>
        <v>1452</v>
      </c>
      <c r="F1375" s="12">
        <f t="shared" si="1"/>
        <v>0.43</v>
      </c>
      <c r="G1375" s="10" t="str">
        <f>Github!H$435</f>
        <v>Algorithms</v>
      </c>
      <c r="H1375" s="13" t="str">
        <f>SUBSTITUTE(Github!L$435, ";", ", ")</f>
        <v>String, </v>
      </c>
      <c r="I1375" s="10" t="str">
        <f>Github!E$435</f>
        <v>Easy</v>
      </c>
      <c r="J1375" s="10" t="str">
        <f>IF(TRIM(Github!D$435)="TRUE","FALSE","TRUE")</f>
        <v>TRUE</v>
      </c>
      <c r="K1375" s="10" t="b">
        <f>Github!M$435</f>
        <v>1</v>
      </c>
      <c r="L1375" s="10" t="b">
        <f>Github!N$435</f>
        <v>0</v>
      </c>
      <c r="M1375" s="10" t="str">
        <f>ROUND(Github!O$435, 2)&amp;"%"</f>
        <v>37.89%</v>
      </c>
      <c r="N1375" s="10">
        <f>Github!P$435</f>
        <v>114857</v>
      </c>
      <c r="O1375" s="10">
        <f>Github!Q$435</f>
        <v>303132</v>
      </c>
    </row>
    <row r="1376">
      <c r="A1376" s="10">
        <f>Github!J$1717</f>
        <v>1716</v>
      </c>
      <c r="B1376" s="11" t="str">
        <f>HYPERLINK(CONCAT("http://leetcode.com/problems/",Github!C$1717), Github!B$1717)</f>
        <v>Calculate Money in Leetcode Bank</v>
      </c>
      <c r="C1376" s="10">
        <f>Github!F$1717</f>
        <v>434</v>
      </c>
      <c r="D1376" s="10">
        <f>Github!G$1717</f>
        <v>14</v>
      </c>
      <c r="E1376" s="10">
        <f>Github!F$1717+Github!G$1717</f>
        <v>448</v>
      </c>
      <c r="F1376" s="12">
        <f t="shared" si="1"/>
        <v>31</v>
      </c>
      <c r="G1376" s="10" t="str">
        <f>Github!H$1717</f>
        <v>Algorithms</v>
      </c>
      <c r="H1376" s="13" t="str">
        <f>SUBSTITUTE(Github!L$1717, ";", ", ")</f>
        <v>Math, </v>
      </c>
      <c r="I1376" s="10" t="str">
        <f>Github!E$1717</f>
        <v>Easy</v>
      </c>
      <c r="J1376" s="10" t="str">
        <f>IF(TRIM(Github!D$1717)="TRUE","FALSE","TRUE")</f>
        <v>TRUE</v>
      </c>
      <c r="K1376" s="10" t="b">
        <f>Github!M$1717</f>
        <v>0</v>
      </c>
      <c r="L1376" s="10" t="b">
        <f>Github!N$1717</f>
        <v>0</v>
      </c>
      <c r="M1376" s="10" t="str">
        <f>ROUND(Github!O$1717, 2)&amp;"%"</f>
        <v>64.87%</v>
      </c>
      <c r="N1376" s="10">
        <f>Github!P$1717</f>
        <v>29430</v>
      </c>
      <c r="O1376" s="10">
        <f>Github!Q$1717</f>
        <v>45367</v>
      </c>
    </row>
    <row r="1377">
      <c r="A1377" s="10">
        <f>Github!J$597</f>
        <v>596</v>
      </c>
      <c r="B1377" s="11" t="str">
        <f>HYPERLINK(CONCAT("http://leetcode.com/problems/",Github!C$597), Github!B$597)</f>
        <v>Classes More Than 5 Students</v>
      </c>
      <c r="C1377" s="10">
        <f>Github!F$597</f>
        <v>437</v>
      </c>
      <c r="D1377" s="10">
        <f>Github!G$597</f>
        <v>911</v>
      </c>
      <c r="E1377" s="10">
        <f>Github!F$597+Github!G$597</f>
        <v>1348</v>
      </c>
      <c r="F1377" s="12">
        <f t="shared" si="1"/>
        <v>0.48</v>
      </c>
      <c r="G1377" s="10" t="str">
        <f>Github!H$597</f>
        <v>Database</v>
      </c>
      <c r="H1377" s="13" t="str">
        <f>SUBSTITUTE(Github!L$597, ";", ", ")</f>
        <v>Database, </v>
      </c>
      <c r="I1377" s="10" t="str">
        <f>Github!E$597</f>
        <v>Easy</v>
      </c>
      <c r="J1377" s="10" t="str">
        <f>IF(TRIM(Github!D$597)="TRUE","FALSE","TRUE")</f>
        <v>TRUE</v>
      </c>
      <c r="K1377" s="10" t="b">
        <f>Github!M$597</f>
        <v>1</v>
      </c>
      <c r="L1377" s="10" t="b">
        <f>Github!N$597</f>
        <v>0</v>
      </c>
      <c r="M1377" s="10" t="str">
        <f>ROUND(Github!O$597, 2)&amp;"%"</f>
        <v>42.67%</v>
      </c>
      <c r="N1377" s="10">
        <f>Github!P$597</f>
        <v>159305</v>
      </c>
      <c r="O1377" s="10">
        <f>Github!Q$597</f>
        <v>373365</v>
      </c>
    </row>
    <row r="1378">
      <c r="A1378" s="10">
        <f>Github!J$1445</f>
        <v>1444</v>
      </c>
      <c r="B1378" s="11" t="str">
        <f>HYPERLINK(CONCAT("http://leetcode.com/problems/",Github!C$1445), Github!B$1445)</f>
        <v>Number of Ways of Cutting a Pizza</v>
      </c>
      <c r="C1378" s="10">
        <f>Github!F$1445</f>
        <v>434</v>
      </c>
      <c r="D1378" s="10">
        <f>Github!G$1445</f>
        <v>17</v>
      </c>
      <c r="E1378" s="10">
        <f>Github!F$1445+Github!G$1445</f>
        <v>451</v>
      </c>
      <c r="F1378" s="12">
        <f t="shared" si="1"/>
        <v>25.53</v>
      </c>
      <c r="G1378" s="10" t="str">
        <f>Github!H$1445</f>
        <v>Algorithms</v>
      </c>
      <c r="H1378" s="13" t="str">
        <f>SUBSTITUTE(Github!L$1445, ";", ", ")</f>
        <v>Array, Dynamic Programming, Memoization, Matrix, </v>
      </c>
      <c r="I1378" s="10" t="str">
        <f>Github!E$1445</f>
        <v>Hard</v>
      </c>
      <c r="J1378" s="10" t="str">
        <f>IF(TRIM(Github!D$1445)="TRUE","FALSE","TRUE")</f>
        <v>TRUE</v>
      </c>
      <c r="K1378" s="10" t="b">
        <f>Github!M$1445</f>
        <v>0</v>
      </c>
      <c r="L1378" s="10" t="b">
        <f>Github!N$1445</f>
        <v>0</v>
      </c>
      <c r="M1378" s="10" t="str">
        <f>ROUND(Github!O$1445, 2)&amp;"%"</f>
        <v>55.23%</v>
      </c>
      <c r="N1378" s="10">
        <f>Github!P$1445</f>
        <v>11526</v>
      </c>
      <c r="O1378" s="10">
        <f>Github!Q$1445</f>
        <v>20868</v>
      </c>
    </row>
    <row r="1379">
      <c r="A1379" s="10">
        <f>Github!J$1214</f>
        <v>1213</v>
      </c>
      <c r="B1379" s="11" t="str">
        <f>HYPERLINK(CONCAT("http://leetcode.com/problems/",Github!C$1214), Github!B$1214)</f>
        <v>Intersection of Three Sorted Arrays</v>
      </c>
      <c r="C1379" s="10">
        <f>Github!F$1214</f>
        <v>436</v>
      </c>
      <c r="D1379" s="10">
        <f>Github!G$1214</f>
        <v>22</v>
      </c>
      <c r="E1379" s="10">
        <f>Github!F$1214+Github!G$1214</f>
        <v>458</v>
      </c>
      <c r="F1379" s="12">
        <f t="shared" si="1"/>
        <v>19.82</v>
      </c>
      <c r="G1379" s="10" t="str">
        <f>Github!H$1214</f>
        <v>Algorithms</v>
      </c>
      <c r="H1379" s="13" t="str">
        <f>SUBSTITUTE(Github!L$1214, ";", ", ")</f>
        <v>Array, Hash Table, Binary Search, Counting, </v>
      </c>
      <c r="I1379" s="10" t="str">
        <f>Github!E$1214</f>
        <v>Easy</v>
      </c>
      <c r="J1379" s="10" t="str">
        <f>IF(TRIM(Github!D$1214)="TRUE","FALSE","TRUE")</f>
        <v>FALSE</v>
      </c>
      <c r="K1379" s="10" t="b">
        <f>Github!M$1214</f>
        <v>1</v>
      </c>
      <c r="L1379" s="10" t="b">
        <f>Github!N$1214</f>
        <v>0</v>
      </c>
      <c r="M1379" s="10" t="str">
        <f>ROUND(Github!O$1214, 2)&amp;"%"</f>
        <v>79.94%</v>
      </c>
      <c r="N1379" s="10">
        <f>Github!P$1214</f>
        <v>65414</v>
      </c>
      <c r="O1379" s="10">
        <f>Github!Q$1214</f>
        <v>81827</v>
      </c>
    </row>
    <row r="1380">
      <c r="A1380" s="10">
        <f>Github!J$1430</f>
        <v>1429</v>
      </c>
      <c r="B1380" s="11" t="str">
        <f>HYPERLINK(CONCAT("http://leetcode.com/problems/",Github!C$1430), Github!B$1430)</f>
        <v>First Unique Number</v>
      </c>
      <c r="C1380" s="10">
        <f>Github!F$1430</f>
        <v>433</v>
      </c>
      <c r="D1380" s="10">
        <f>Github!G$1430</f>
        <v>21</v>
      </c>
      <c r="E1380" s="10">
        <f>Github!F$1430+Github!G$1430</f>
        <v>454</v>
      </c>
      <c r="F1380" s="12">
        <f t="shared" si="1"/>
        <v>20.62</v>
      </c>
      <c r="G1380" s="10" t="str">
        <f>Github!H$1430</f>
        <v>Algorithms</v>
      </c>
      <c r="H1380" s="13" t="str">
        <f>SUBSTITUTE(Github!L$1430, ";", ", ")</f>
        <v>Array, Hash Table, Design, Queue, Data Stream, </v>
      </c>
      <c r="I1380" s="10" t="str">
        <f>Github!E$1430</f>
        <v>Medium</v>
      </c>
      <c r="J1380" s="10" t="str">
        <f>IF(TRIM(Github!D$1430)="TRUE","FALSE","TRUE")</f>
        <v>FALSE</v>
      </c>
      <c r="K1380" s="10" t="b">
        <f>Github!M$1430</f>
        <v>1</v>
      </c>
      <c r="L1380" s="10" t="b">
        <f>Github!N$1430</f>
        <v>0</v>
      </c>
      <c r="M1380" s="10" t="str">
        <f>ROUND(Github!O$1430, 2)&amp;"%"</f>
        <v>52.29%</v>
      </c>
      <c r="N1380" s="10">
        <f>Github!P$1430</f>
        <v>71116</v>
      </c>
      <c r="O1380" s="10">
        <f>Github!Q$1430</f>
        <v>135992</v>
      </c>
    </row>
    <row r="1381">
      <c r="A1381" s="10">
        <f>Github!J$1325</f>
        <v>1324</v>
      </c>
      <c r="B1381" s="11" t="str">
        <f>HYPERLINK(CONCAT("http://leetcode.com/problems/",Github!C$1325), Github!B$1325)</f>
        <v>Print Words Vertically</v>
      </c>
      <c r="C1381" s="10">
        <f>Github!F$1325</f>
        <v>434</v>
      </c>
      <c r="D1381" s="10">
        <f>Github!G$1325</f>
        <v>88</v>
      </c>
      <c r="E1381" s="10">
        <f>Github!F$1325+Github!G$1325</f>
        <v>522</v>
      </c>
      <c r="F1381" s="12">
        <f t="shared" si="1"/>
        <v>4.93</v>
      </c>
      <c r="G1381" s="10" t="str">
        <f>Github!H$1325</f>
        <v>Algorithms</v>
      </c>
      <c r="H1381" s="13" t="str">
        <f>SUBSTITUTE(Github!L$1325, ";", ", ")</f>
        <v>Array, String, Simulation, </v>
      </c>
      <c r="I1381" s="10" t="str">
        <f>Github!E$1325</f>
        <v>Medium</v>
      </c>
      <c r="J1381" s="10" t="str">
        <f>IF(TRIM(Github!D$1325)="TRUE","FALSE","TRUE")</f>
        <v>TRUE</v>
      </c>
      <c r="K1381" s="10" t="b">
        <f>Github!M$1325</f>
        <v>0</v>
      </c>
      <c r="L1381" s="10" t="b">
        <f>Github!N$1325</f>
        <v>0</v>
      </c>
      <c r="M1381" s="10" t="str">
        <f>ROUND(Github!O$1325, 2)&amp;"%"</f>
        <v>59.64%</v>
      </c>
      <c r="N1381" s="10">
        <f>Github!P$1325</f>
        <v>26032</v>
      </c>
      <c r="O1381" s="10">
        <f>Github!Q$1325</f>
        <v>43647</v>
      </c>
    </row>
    <row r="1382">
      <c r="A1382" s="10">
        <f>Github!J$1052</f>
        <v>1051</v>
      </c>
      <c r="B1382" s="11" t="str">
        <f>HYPERLINK(CONCAT("http://leetcode.com/problems/",Github!C$1052), Github!B$1052)</f>
        <v>Height Checker</v>
      </c>
      <c r="C1382" s="10">
        <f>Github!F$1052</f>
        <v>437</v>
      </c>
      <c r="D1382" s="10">
        <f>Github!G$1052</f>
        <v>47</v>
      </c>
      <c r="E1382" s="10">
        <f>Github!F$1052+Github!G$1052</f>
        <v>484</v>
      </c>
      <c r="F1382" s="12">
        <f t="shared" si="1"/>
        <v>9.3</v>
      </c>
      <c r="G1382" s="10" t="str">
        <f>Github!H$1052</f>
        <v>Algorithms</v>
      </c>
      <c r="H1382" s="13" t="str">
        <f>SUBSTITUTE(Github!L$1052, ";", ", ")</f>
        <v>Array, Sorting, Counting Sort, </v>
      </c>
      <c r="I1382" s="10" t="str">
        <f>Github!E$1052</f>
        <v>Easy</v>
      </c>
      <c r="J1382" s="10" t="str">
        <f>IF(TRIM(Github!D$1052)="TRUE","FALSE","TRUE")</f>
        <v>TRUE</v>
      </c>
      <c r="K1382" s="10" t="b">
        <f>Github!M$1052</f>
        <v>0</v>
      </c>
      <c r="L1382" s="10" t="b">
        <f>Github!N$1052</f>
        <v>0</v>
      </c>
      <c r="M1382" s="10" t="str">
        <f>ROUND(Github!O$1052, 2)&amp;"%"</f>
        <v>74.31%</v>
      </c>
      <c r="N1382" s="10">
        <f>Github!P$1052</f>
        <v>196844</v>
      </c>
      <c r="O1382" s="10">
        <f>Github!Q$1052</f>
        <v>264898</v>
      </c>
    </row>
    <row r="1383">
      <c r="A1383" s="10">
        <f>Github!J$894</f>
        <v>893</v>
      </c>
      <c r="B1383" s="11" t="str">
        <f>HYPERLINK(CONCAT("http://leetcode.com/problems/",Github!C$894), Github!B$894)</f>
        <v>Groups of Special-Equivalent Strings</v>
      </c>
      <c r="C1383" s="10">
        <f>Github!F$894</f>
        <v>433</v>
      </c>
      <c r="D1383" s="10">
        <f>Github!G$894</f>
        <v>1389</v>
      </c>
      <c r="E1383" s="10">
        <f>Github!F$894+Github!G$894</f>
        <v>1822</v>
      </c>
      <c r="F1383" s="12">
        <f t="shared" si="1"/>
        <v>0.31</v>
      </c>
      <c r="G1383" s="10" t="str">
        <f>Github!H$894</f>
        <v>Algorithms</v>
      </c>
      <c r="H1383" s="13" t="str">
        <f>SUBSTITUTE(Github!L$894, ";", ", ")</f>
        <v>Array, Hash Table, String, </v>
      </c>
      <c r="I1383" s="10" t="str">
        <f>Github!E$894</f>
        <v>Medium</v>
      </c>
      <c r="J1383" s="10" t="str">
        <f>IF(TRIM(Github!D$894)="TRUE","FALSE","TRUE")</f>
        <v>TRUE</v>
      </c>
      <c r="K1383" s="10" t="b">
        <f>Github!M$894</f>
        <v>0</v>
      </c>
      <c r="L1383" s="10" t="b">
        <f>Github!N$894</f>
        <v>0</v>
      </c>
      <c r="M1383" s="10" t="str">
        <f>ROUND(Github!O$894, 2)&amp;"%"</f>
        <v>70.52%</v>
      </c>
      <c r="N1383" s="10">
        <f>Github!P$894</f>
        <v>41080</v>
      </c>
      <c r="O1383" s="10">
        <f>Github!Q$894</f>
        <v>58255</v>
      </c>
    </row>
    <row r="1384">
      <c r="A1384" s="10">
        <f>Github!J$1319</f>
        <v>1318</v>
      </c>
      <c r="B1384" s="11" t="str">
        <f>HYPERLINK(CONCAT("http://leetcode.com/problems/",Github!C$1319), Github!B$1319)</f>
        <v>Minimum Flips to Make a OR b Equal to c</v>
      </c>
      <c r="C1384" s="10">
        <f>Github!F$1319</f>
        <v>434</v>
      </c>
      <c r="D1384" s="10">
        <f>Github!G$1319</f>
        <v>37</v>
      </c>
      <c r="E1384" s="10">
        <f>Github!F$1319+Github!G$1319</f>
        <v>471</v>
      </c>
      <c r="F1384" s="12">
        <f t="shared" si="1"/>
        <v>11.73</v>
      </c>
      <c r="G1384" s="10" t="str">
        <f>Github!H$1319</f>
        <v>Algorithms</v>
      </c>
      <c r="H1384" s="13" t="str">
        <f>SUBSTITUTE(Github!L$1319, ";", ", ")</f>
        <v>Bit Manipulation, </v>
      </c>
      <c r="I1384" s="10" t="str">
        <f>Github!E$1319</f>
        <v>Medium</v>
      </c>
      <c r="J1384" s="10" t="str">
        <f>IF(TRIM(Github!D$1319)="TRUE","FALSE","TRUE")</f>
        <v>TRUE</v>
      </c>
      <c r="K1384" s="10" t="b">
        <f>Github!M$1319</f>
        <v>0</v>
      </c>
      <c r="L1384" s="10" t="b">
        <f>Github!N$1319</f>
        <v>0</v>
      </c>
      <c r="M1384" s="10" t="str">
        <f>ROUND(Github!O$1319, 2)&amp;"%"</f>
        <v>65.32%</v>
      </c>
      <c r="N1384" s="10">
        <f>Github!P$1319</f>
        <v>23996</v>
      </c>
      <c r="O1384" s="10">
        <f>Github!Q$1319</f>
        <v>36736</v>
      </c>
    </row>
    <row r="1385">
      <c r="A1385" s="10">
        <f>Github!J$2093</f>
        <v>2092</v>
      </c>
      <c r="B1385" s="11" t="str">
        <f>HYPERLINK(CONCAT("http://leetcode.com/problems/",Github!C$2093), Github!B$2093)</f>
        <v>Find All People With Secret</v>
      </c>
      <c r="C1385" s="10">
        <f>Github!F$2093</f>
        <v>442</v>
      </c>
      <c r="D1385" s="10">
        <f>Github!G$2093</f>
        <v>20</v>
      </c>
      <c r="E1385" s="10">
        <f>Github!F$2093+Github!G$2093</f>
        <v>462</v>
      </c>
      <c r="F1385" s="12">
        <f t="shared" si="1"/>
        <v>22.1</v>
      </c>
      <c r="G1385" s="10" t="str">
        <f>Github!H$2093</f>
        <v>Algorithms</v>
      </c>
      <c r="H1385" s="13" t="str">
        <f>SUBSTITUTE(Github!L$2093, ";", ", ")</f>
        <v>Depth-First Search, Breadth-First Search, Union Find, Graph, Sorting, </v>
      </c>
      <c r="I1385" s="10" t="str">
        <f>Github!E$2093</f>
        <v>Hard</v>
      </c>
      <c r="J1385" s="10" t="str">
        <f>IF(TRIM(Github!D$2093)="TRUE","FALSE","TRUE")</f>
        <v>TRUE</v>
      </c>
      <c r="K1385" s="10" t="b">
        <f>Github!M$2093</f>
        <v>0</v>
      </c>
      <c r="L1385" s="10" t="b">
        <f>Github!N$2093</f>
        <v>0</v>
      </c>
      <c r="M1385" s="10" t="str">
        <f>ROUND(Github!O$2093, 2)&amp;"%"</f>
        <v>33.23%</v>
      </c>
      <c r="N1385" s="10">
        <f>Github!P$2093</f>
        <v>13422</v>
      </c>
      <c r="O1385" s="10">
        <f>Github!Q$2093</f>
        <v>40390</v>
      </c>
    </row>
    <row r="1386">
      <c r="A1386" s="10">
        <f>Github!J$2018</f>
        <v>2017</v>
      </c>
      <c r="B1386" s="11" t="str">
        <f>HYPERLINK(CONCAT("http://leetcode.com/problems/",Github!C$2018), Github!B$2018)</f>
        <v>Grid Game</v>
      </c>
      <c r="C1386" s="10">
        <f>Github!F$2018</f>
        <v>433</v>
      </c>
      <c r="D1386" s="10">
        <f>Github!G$2018</f>
        <v>12</v>
      </c>
      <c r="E1386" s="10">
        <f>Github!F$2018+Github!G$2018</f>
        <v>445</v>
      </c>
      <c r="F1386" s="12">
        <f t="shared" si="1"/>
        <v>36.08</v>
      </c>
      <c r="G1386" s="10" t="str">
        <f>Github!H$2018</f>
        <v>Algorithms</v>
      </c>
      <c r="H1386" s="13" t="str">
        <f>SUBSTITUTE(Github!L$2018, ";", ", ")</f>
        <v>Array, Matrix, Prefix Sum, </v>
      </c>
      <c r="I1386" s="10" t="str">
        <f>Github!E$2018</f>
        <v>Medium</v>
      </c>
      <c r="J1386" s="10" t="str">
        <f>IF(TRIM(Github!D$2018)="TRUE","FALSE","TRUE")</f>
        <v>TRUE</v>
      </c>
      <c r="K1386" s="10" t="b">
        <f>Github!M$2018</f>
        <v>0</v>
      </c>
      <c r="L1386" s="10" t="b">
        <f>Github!N$2018</f>
        <v>0</v>
      </c>
      <c r="M1386" s="10" t="str">
        <f>ROUND(Github!O$2018, 2)&amp;"%"</f>
        <v>41.51%</v>
      </c>
      <c r="N1386" s="10">
        <f>Github!P$2018</f>
        <v>10216</v>
      </c>
      <c r="O1386" s="10">
        <f>Github!Q$2018</f>
        <v>24612</v>
      </c>
    </row>
    <row r="1387">
      <c r="A1387" s="10">
        <f>Github!J$1180</f>
        <v>1179</v>
      </c>
      <c r="B1387" s="11" t="str">
        <f>HYPERLINK(CONCAT("http://leetcode.com/problems/",Github!C$1180), Github!B$1180)</f>
        <v>Reformat Department Table</v>
      </c>
      <c r="C1387" s="10">
        <f>Github!F$1180</f>
        <v>433</v>
      </c>
      <c r="D1387" s="10">
        <f>Github!G$1180</f>
        <v>331</v>
      </c>
      <c r="E1387" s="10">
        <f>Github!F$1180+Github!G$1180</f>
        <v>764</v>
      </c>
      <c r="F1387" s="12">
        <f t="shared" si="1"/>
        <v>1.31</v>
      </c>
      <c r="G1387" s="10" t="str">
        <f>Github!H$1180</f>
        <v>Database</v>
      </c>
      <c r="H1387" s="13" t="str">
        <f>SUBSTITUTE(Github!L$1180, ";", ", ")</f>
        <v>Database, </v>
      </c>
      <c r="I1387" s="10" t="str">
        <f>Github!E$1180</f>
        <v>Easy</v>
      </c>
      <c r="J1387" s="10" t="str">
        <f>IF(TRIM(Github!D$1180)="TRUE","FALSE","TRUE")</f>
        <v>TRUE</v>
      </c>
      <c r="K1387" s="10" t="b">
        <f>Github!M$1180</f>
        <v>0</v>
      </c>
      <c r="L1387" s="10" t="b">
        <f>Github!N$1180</f>
        <v>0</v>
      </c>
      <c r="M1387" s="10" t="str">
        <f>ROUND(Github!O$1180, 2)&amp;"%"</f>
        <v>82.38%</v>
      </c>
      <c r="N1387" s="10">
        <f>Github!P$1180</f>
        <v>69219</v>
      </c>
      <c r="O1387" s="10">
        <f>Github!Q$1180</f>
        <v>84023</v>
      </c>
    </row>
    <row r="1388">
      <c r="A1388" s="10">
        <f>Github!J$664</f>
        <v>663</v>
      </c>
      <c r="B1388" s="11" t="str">
        <f>HYPERLINK(CONCAT("http://leetcode.com/problems/",Github!C$664), Github!B$664)</f>
        <v>Equal Tree Partition</v>
      </c>
      <c r="C1388" s="10">
        <f>Github!F$664</f>
        <v>429</v>
      </c>
      <c r="D1388" s="10">
        <f>Github!G$664</f>
        <v>33</v>
      </c>
      <c r="E1388" s="10">
        <f>Github!F$664+Github!G$664</f>
        <v>462</v>
      </c>
      <c r="F1388" s="12">
        <f t="shared" si="1"/>
        <v>13</v>
      </c>
      <c r="G1388" s="10" t="str">
        <f>Github!H$664</f>
        <v>Algorithms</v>
      </c>
      <c r="H1388" s="13" t="str">
        <f>SUBSTITUTE(Github!L$664, ";", ", ")</f>
        <v>Tree, Depth-First Search, Binary Tree, </v>
      </c>
      <c r="I1388" s="10" t="str">
        <f>Github!E$664</f>
        <v>Medium</v>
      </c>
      <c r="J1388" s="10" t="str">
        <f>IF(TRIM(Github!D$664)="TRUE","FALSE","TRUE")</f>
        <v>FALSE</v>
      </c>
      <c r="K1388" s="10" t="b">
        <f>Github!M$664</f>
        <v>1</v>
      </c>
      <c r="L1388" s="10" t="b">
        <f>Github!N$664</f>
        <v>0</v>
      </c>
      <c r="M1388" s="10" t="str">
        <f>ROUND(Github!O$664, 2)&amp;"%"</f>
        <v>41.2%</v>
      </c>
      <c r="N1388" s="10">
        <f>Github!P$664</f>
        <v>27407</v>
      </c>
      <c r="O1388" s="10">
        <f>Github!Q$664</f>
        <v>66529</v>
      </c>
    </row>
    <row r="1389">
      <c r="A1389" s="10">
        <f>Github!J$1523</f>
        <v>1522</v>
      </c>
      <c r="B1389" s="11" t="str">
        <f>HYPERLINK(CONCAT("http://leetcode.com/problems/",Github!C$1523), Github!B$1523)</f>
        <v>Diameter of N-Ary Tree</v>
      </c>
      <c r="C1389" s="10">
        <f>Github!F$1523</f>
        <v>434</v>
      </c>
      <c r="D1389" s="10">
        <f>Github!G$1523</f>
        <v>6</v>
      </c>
      <c r="E1389" s="10">
        <f>Github!F$1523+Github!G$1523</f>
        <v>440</v>
      </c>
      <c r="F1389" s="12">
        <f t="shared" si="1"/>
        <v>72.33</v>
      </c>
      <c r="G1389" s="10" t="str">
        <f>Github!H$1523</f>
        <v>Algorithms</v>
      </c>
      <c r="H1389" s="13" t="str">
        <f>SUBSTITUTE(Github!L$1523, ";", ", ")</f>
        <v>Tree, Depth-First Search, </v>
      </c>
      <c r="I1389" s="10" t="str">
        <f>Github!E$1523</f>
        <v>Medium</v>
      </c>
      <c r="J1389" s="10" t="str">
        <f>IF(TRIM(Github!D$1523)="TRUE","FALSE","TRUE")</f>
        <v>FALSE</v>
      </c>
      <c r="K1389" s="10" t="b">
        <f>Github!M$1523</f>
        <v>1</v>
      </c>
      <c r="L1389" s="10" t="b">
        <f>Github!N$1523</f>
        <v>0</v>
      </c>
      <c r="M1389" s="10" t="str">
        <f>ROUND(Github!O$1523, 2)&amp;"%"</f>
        <v>73.08%</v>
      </c>
      <c r="N1389" s="10">
        <f>Github!P$1523</f>
        <v>31160</v>
      </c>
      <c r="O1389" s="10">
        <f>Github!Q$1523</f>
        <v>42641</v>
      </c>
    </row>
    <row r="1390">
      <c r="A1390" s="10">
        <f>Github!J$1583</f>
        <v>1582</v>
      </c>
      <c r="B1390" s="11" t="str">
        <f>HYPERLINK(CONCAT("http://leetcode.com/problems/",Github!C$1583), Github!B$1583)</f>
        <v>Special Positions in a Binary Matrix</v>
      </c>
      <c r="C1390" s="10">
        <f>Github!F$1583</f>
        <v>432</v>
      </c>
      <c r="D1390" s="10">
        <f>Github!G$1583</f>
        <v>18</v>
      </c>
      <c r="E1390" s="10">
        <f>Github!F$1583+Github!G$1583</f>
        <v>450</v>
      </c>
      <c r="F1390" s="12">
        <f t="shared" si="1"/>
        <v>24</v>
      </c>
      <c r="G1390" s="10" t="str">
        <f>Github!H$1583</f>
        <v>Algorithms</v>
      </c>
      <c r="H1390" s="13" t="str">
        <f>SUBSTITUTE(Github!L$1583, ";", ", ")</f>
        <v>Array, Matrix, </v>
      </c>
      <c r="I1390" s="10" t="str">
        <f>Github!E$1583</f>
        <v>Easy</v>
      </c>
      <c r="J1390" s="10" t="str">
        <f>IF(TRIM(Github!D$1583)="TRUE","FALSE","TRUE")</f>
        <v>TRUE</v>
      </c>
      <c r="K1390" s="10" t="b">
        <f>Github!M$1583</f>
        <v>0</v>
      </c>
      <c r="L1390" s="10" t="b">
        <f>Github!N$1583</f>
        <v>0</v>
      </c>
      <c r="M1390" s="10" t="str">
        <f>ROUND(Github!O$1583, 2)&amp;"%"</f>
        <v>65.03%</v>
      </c>
      <c r="N1390" s="10">
        <f>Github!P$1583</f>
        <v>31055</v>
      </c>
      <c r="O1390" s="10">
        <f>Github!Q$1583</f>
        <v>47753</v>
      </c>
    </row>
    <row r="1391">
      <c r="A1391" s="10">
        <f>Github!J$1671</f>
        <v>1670</v>
      </c>
      <c r="B1391" s="11" t="str">
        <f>HYPERLINK(CONCAT("http://leetcode.com/problems/",Github!C$1671), Github!B$1671)</f>
        <v>Design Front Middle Back Queue</v>
      </c>
      <c r="C1391" s="10">
        <f>Github!F$1671</f>
        <v>431</v>
      </c>
      <c r="D1391" s="10">
        <f>Github!G$1671</f>
        <v>73</v>
      </c>
      <c r="E1391" s="10">
        <f>Github!F$1671+Github!G$1671</f>
        <v>504</v>
      </c>
      <c r="F1391" s="12">
        <f t="shared" si="1"/>
        <v>5.9</v>
      </c>
      <c r="G1391" s="10" t="str">
        <f>Github!H$1671</f>
        <v>Algorithms</v>
      </c>
      <c r="H1391" s="13" t="str">
        <f>SUBSTITUTE(Github!L$1671, ";", ", ")</f>
        <v>Array, Linked List, Design, Queue, Data Stream, </v>
      </c>
      <c r="I1391" s="10" t="str">
        <f>Github!E$1671</f>
        <v>Medium</v>
      </c>
      <c r="J1391" s="10" t="str">
        <f>IF(TRIM(Github!D$1671)="TRUE","FALSE","TRUE")</f>
        <v>TRUE</v>
      </c>
      <c r="K1391" s="10" t="b">
        <f>Github!M$1671</f>
        <v>0</v>
      </c>
      <c r="L1391" s="10" t="b">
        <f>Github!N$1671</f>
        <v>0</v>
      </c>
      <c r="M1391" s="10" t="str">
        <f>ROUND(Github!O$1671, 2)&amp;"%"</f>
        <v>55.56%</v>
      </c>
      <c r="N1391" s="10">
        <f>Github!P$1671</f>
        <v>14490</v>
      </c>
      <c r="O1391" s="10">
        <f>Github!Q$1671</f>
        <v>26082</v>
      </c>
    </row>
    <row r="1392">
      <c r="A1392" s="10">
        <f>Github!J$650</f>
        <v>649</v>
      </c>
      <c r="B1392" s="11" t="str">
        <f>HYPERLINK(CONCAT("http://leetcode.com/problems/",Github!C$650), Github!B$650)</f>
        <v>Dota2 Senate</v>
      </c>
      <c r="C1392" s="10">
        <f>Github!F$650</f>
        <v>427</v>
      </c>
      <c r="D1392" s="10">
        <f>Github!G$650</f>
        <v>305</v>
      </c>
      <c r="E1392" s="10">
        <f>Github!F$650+Github!G$650</f>
        <v>732</v>
      </c>
      <c r="F1392" s="12">
        <f t="shared" si="1"/>
        <v>1.4</v>
      </c>
      <c r="G1392" s="10" t="str">
        <f>Github!H$650</f>
        <v>Algorithms</v>
      </c>
      <c r="H1392" s="13" t="str">
        <f>SUBSTITUTE(Github!L$650, ";", ", ")</f>
        <v>String, Greedy, Queue, </v>
      </c>
      <c r="I1392" s="10" t="str">
        <f>Github!E$650</f>
        <v>Medium</v>
      </c>
      <c r="J1392" s="10" t="str">
        <f>IF(TRIM(Github!D$650)="TRUE","FALSE","TRUE")</f>
        <v>TRUE</v>
      </c>
      <c r="K1392" s="10" t="b">
        <f>Github!M$650</f>
        <v>0</v>
      </c>
      <c r="L1392" s="10" t="b">
        <f>Github!N$650</f>
        <v>0</v>
      </c>
      <c r="M1392" s="10" t="str">
        <f>ROUND(Github!O$650, 2)&amp;"%"</f>
        <v>39.9%</v>
      </c>
      <c r="N1392" s="10">
        <f>Github!P$650</f>
        <v>18957</v>
      </c>
      <c r="O1392" s="10">
        <f>Github!Q$650</f>
        <v>47517</v>
      </c>
    </row>
    <row r="1393">
      <c r="A1393" s="10">
        <f>Github!J$1266</f>
        <v>1265</v>
      </c>
      <c r="B1393" s="11" t="str">
        <f>HYPERLINK(CONCAT("http://leetcode.com/problems/",Github!C$1266), Github!B$1266)</f>
        <v>Print Immutable Linked List in Reverse</v>
      </c>
      <c r="C1393" s="10">
        <f>Github!F$1266</f>
        <v>429</v>
      </c>
      <c r="D1393" s="10">
        <f>Github!G$1266</f>
        <v>75</v>
      </c>
      <c r="E1393" s="10">
        <f>Github!F$1266+Github!G$1266</f>
        <v>504</v>
      </c>
      <c r="F1393" s="12">
        <f t="shared" si="1"/>
        <v>5.72</v>
      </c>
      <c r="G1393" s="10" t="str">
        <f>Github!H$1266</f>
        <v>Algorithms</v>
      </c>
      <c r="H1393" s="13" t="str">
        <f>SUBSTITUTE(Github!L$1266, ";", ", ")</f>
        <v>Linked List, Two Pointers, Stack, Recursion, </v>
      </c>
      <c r="I1393" s="10" t="str">
        <f>Github!E$1266</f>
        <v>Medium</v>
      </c>
      <c r="J1393" s="10" t="str">
        <f>IF(TRIM(Github!D$1266)="TRUE","FALSE","TRUE")</f>
        <v>FALSE</v>
      </c>
      <c r="K1393" s="10" t="b">
        <f>Github!M$1266</f>
        <v>0</v>
      </c>
      <c r="L1393" s="10" t="b">
        <f>Github!N$1266</f>
        <v>0</v>
      </c>
      <c r="M1393" s="10" t="str">
        <f>ROUND(Github!O$1266, 2)&amp;"%"</f>
        <v>94.28%</v>
      </c>
      <c r="N1393" s="10">
        <f>Github!P$1266</f>
        <v>40233</v>
      </c>
      <c r="O1393" s="10">
        <f>Github!Q$1266</f>
        <v>42674</v>
      </c>
    </row>
    <row r="1394">
      <c r="A1394" s="10">
        <f>Github!J$909</f>
        <v>908</v>
      </c>
      <c r="B1394" s="11" t="str">
        <f>HYPERLINK(CONCAT("http://leetcode.com/problems/",Github!C$909), Github!B$909)</f>
        <v>Smallest Range I</v>
      </c>
      <c r="C1394" s="10">
        <f>Github!F$909</f>
        <v>427</v>
      </c>
      <c r="D1394" s="10">
        <f>Github!G$909</f>
        <v>1606</v>
      </c>
      <c r="E1394" s="10">
        <f>Github!F$909+Github!G$909</f>
        <v>2033</v>
      </c>
      <c r="F1394" s="12">
        <f t="shared" si="1"/>
        <v>0.27</v>
      </c>
      <c r="G1394" s="10" t="str">
        <f>Github!H$909</f>
        <v>Algorithms</v>
      </c>
      <c r="H1394" s="13" t="str">
        <f>SUBSTITUTE(Github!L$909, ";", ", ")</f>
        <v>Array, Math, </v>
      </c>
      <c r="I1394" s="10" t="str">
        <f>Github!E$909</f>
        <v>Easy</v>
      </c>
      <c r="J1394" s="10" t="str">
        <f>IF(TRIM(Github!D$909)="TRUE","FALSE","TRUE")</f>
        <v>TRUE</v>
      </c>
      <c r="K1394" s="10" t="b">
        <f>Github!M$909</f>
        <v>0</v>
      </c>
      <c r="L1394" s="10" t="b">
        <f>Github!N$909</f>
        <v>0</v>
      </c>
      <c r="M1394" s="10" t="str">
        <f>ROUND(Github!O$909, 2)&amp;"%"</f>
        <v>67.26%</v>
      </c>
      <c r="N1394" s="10">
        <f>Github!P$909</f>
        <v>59824</v>
      </c>
      <c r="O1394" s="10">
        <f>Github!Q$909</f>
        <v>88945</v>
      </c>
    </row>
    <row r="1395">
      <c r="A1395" s="10">
        <f>Github!J$961</f>
        <v>960</v>
      </c>
      <c r="B1395" s="11" t="str">
        <f>HYPERLINK(CONCAT("http://leetcode.com/problems/",Github!C$961), Github!B$961)</f>
        <v>Delete Columns to Make Sorted III</v>
      </c>
      <c r="C1395" s="10">
        <f>Github!F$961</f>
        <v>423</v>
      </c>
      <c r="D1395" s="10">
        <f>Github!G$961</f>
        <v>11</v>
      </c>
      <c r="E1395" s="10">
        <f>Github!F$961+Github!G$961</f>
        <v>434</v>
      </c>
      <c r="F1395" s="12">
        <f t="shared" si="1"/>
        <v>38.45</v>
      </c>
      <c r="G1395" s="10" t="str">
        <f>Github!H$961</f>
        <v>Algorithms</v>
      </c>
      <c r="H1395" s="13" t="str">
        <f>SUBSTITUTE(Github!L$961, ";", ", ")</f>
        <v>Array, String, Dynamic Programming, </v>
      </c>
      <c r="I1395" s="10" t="str">
        <f>Github!E$961</f>
        <v>Hard</v>
      </c>
      <c r="J1395" s="10" t="str">
        <f>IF(TRIM(Github!D$961)="TRUE","FALSE","TRUE")</f>
        <v>TRUE</v>
      </c>
      <c r="K1395" s="10" t="b">
        <f>Github!M$961</f>
        <v>1</v>
      </c>
      <c r="L1395" s="10" t="b">
        <f>Github!N$961</f>
        <v>0</v>
      </c>
      <c r="M1395" s="10" t="str">
        <f>ROUND(Github!O$961, 2)&amp;"%"</f>
        <v>56.56%</v>
      </c>
      <c r="N1395" s="10">
        <f>Github!P$961</f>
        <v>10236</v>
      </c>
      <c r="O1395" s="10">
        <f>Github!Q$961</f>
        <v>18097</v>
      </c>
    </row>
    <row r="1396">
      <c r="A1396" s="10">
        <f>Github!J$869</f>
        <v>868</v>
      </c>
      <c r="B1396" s="11" t="str">
        <f>HYPERLINK(CONCAT("http://leetcode.com/problems/",Github!C$869), Github!B$869)</f>
        <v>Binary Gap</v>
      </c>
      <c r="C1396" s="10">
        <f>Github!F$869</f>
        <v>423</v>
      </c>
      <c r="D1396" s="10">
        <f>Github!G$869</f>
        <v>594</v>
      </c>
      <c r="E1396" s="10">
        <f>Github!F$869+Github!G$869</f>
        <v>1017</v>
      </c>
      <c r="F1396" s="12">
        <f t="shared" si="1"/>
        <v>0.71</v>
      </c>
      <c r="G1396" s="10" t="str">
        <f>Github!H$869</f>
        <v>Algorithms</v>
      </c>
      <c r="H1396" s="13" t="str">
        <f>SUBSTITUTE(Github!L$869, ";", ", ")</f>
        <v>Bit Manipulation, </v>
      </c>
      <c r="I1396" s="10" t="str">
        <f>Github!E$869</f>
        <v>Easy</v>
      </c>
      <c r="J1396" s="10" t="str">
        <f>IF(TRIM(Github!D$869)="TRUE","FALSE","TRUE")</f>
        <v>TRUE</v>
      </c>
      <c r="K1396" s="10" t="b">
        <f>Github!M$869</f>
        <v>1</v>
      </c>
      <c r="L1396" s="10" t="b">
        <f>Github!N$869</f>
        <v>0</v>
      </c>
      <c r="M1396" s="10" t="str">
        <f>ROUND(Github!O$869, 2)&amp;"%"</f>
        <v>61.83%</v>
      </c>
      <c r="N1396" s="10">
        <f>Github!P$869</f>
        <v>58390</v>
      </c>
      <c r="O1396" s="10">
        <f>Github!Q$869</f>
        <v>94433</v>
      </c>
    </row>
    <row r="1397">
      <c r="A1397" s="10">
        <f>Github!J$1148</f>
        <v>1147</v>
      </c>
      <c r="B1397" s="11" t="str">
        <f>HYPERLINK(CONCAT("http://leetcode.com/problems/",Github!C$1148), Github!B$1148)</f>
        <v>Longest Chunked Palindrome Decomposition</v>
      </c>
      <c r="C1397" s="10">
        <f>Github!F$1148</f>
        <v>423</v>
      </c>
      <c r="D1397" s="10">
        <f>Github!G$1148</f>
        <v>24</v>
      </c>
      <c r="E1397" s="10">
        <f>Github!F$1148+Github!G$1148</f>
        <v>447</v>
      </c>
      <c r="F1397" s="12">
        <f t="shared" si="1"/>
        <v>17.63</v>
      </c>
      <c r="G1397" s="10" t="str">
        <f>Github!H$1148</f>
        <v>Algorithms</v>
      </c>
      <c r="H1397" s="13" t="str">
        <f>SUBSTITUTE(Github!L$1148, ";", ", ")</f>
        <v>Two Pointers, String, Dynamic Programming, Greedy, Rolling Hash, Hash Function, </v>
      </c>
      <c r="I1397" s="10" t="str">
        <f>Github!E$1148</f>
        <v>Hard</v>
      </c>
      <c r="J1397" s="10" t="str">
        <f>IF(TRIM(Github!D$1148)="TRUE","FALSE","TRUE")</f>
        <v>TRUE</v>
      </c>
      <c r="K1397" s="10" t="b">
        <f>Github!M$1148</f>
        <v>0</v>
      </c>
      <c r="L1397" s="10" t="b">
        <f>Github!N$1148</f>
        <v>0</v>
      </c>
      <c r="M1397" s="10" t="str">
        <f>ROUND(Github!O$1148, 2)&amp;"%"</f>
        <v>60.22%</v>
      </c>
      <c r="N1397" s="10">
        <f>Github!P$1148</f>
        <v>16393</v>
      </c>
      <c r="O1397" s="10">
        <f>Github!Q$1148</f>
        <v>27220</v>
      </c>
    </row>
    <row r="1398">
      <c r="A1398" s="10">
        <f>Github!J$1971</f>
        <v>1970</v>
      </c>
      <c r="B1398" s="11" t="str">
        <f>HYPERLINK(CONCAT("http://leetcode.com/problems/",Github!C$1971), Github!B$1971)</f>
        <v>Last Day Where You Can Still Cross</v>
      </c>
      <c r="C1398" s="10">
        <f>Github!F$1971</f>
        <v>423</v>
      </c>
      <c r="D1398" s="10">
        <f>Github!G$1971</f>
        <v>8</v>
      </c>
      <c r="E1398" s="10">
        <f>Github!F$1971+Github!G$1971</f>
        <v>431</v>
      </c>
      <c r="F1398" s="12">
        <f t="shared" si="1"/>
        <v>52.88</v>
      </c>
      <c r="G1398" s="10" t="str">
        <f>Github!H$1971</f>
        <v>Algorithms</v>
      </c>
      <c r="H1398" s="13" t="str">
        <f>SUBSTITUTE(Github!L$1971, ";", ", ")</f>
        <v>Array, Binary Search, Depth-First Search, Breadth-First Search, Union Find, Matrix, </v>
      </c>
      <c r="I1398" s="10" t="str">
        <f>Github!E$1971</f>
        <v>Hard</v>
      </c>
      <c r="J1398" s="10" t="str">
        <f>IF(TRIM(Github!D$1971)="TRUE","FALSE","TRUE")</f>
        <v>TRUE</v>
      </c>
      <c r="K1398" s="10" t="b">
        <f>Github!M$1971</f>
        <v>0</v>
      </c>
      <c r="L1398" s="10" t="b">
        <f>Github!N$1971</f>
        <v>0</v>
      </c>
      <c r="M1398" s="10" t="str">
        <f>ROUND(Github!O$1971, 2)&amp;"%"</f>
        <v>48.73%</v>
      </c>
      <c r="N1398" s="10">
        <f>Github!P$1971</f>
        <v>8272</v>
      </c>
      <c r="O1398" s="10">
        <f>Github!Q$1971</f>
        <v>16976</v>
      </c>
    </row>
    <row r="1399">
      <c r="A1399" s="10">
        <f>Github!J$1704</f>
        <v>1703</v>
      </c>
      <c r="B1399" s="11" t="str">
        <f>HYPERLINK(CONCAT("http://leetcode.com/problems/",Github!C$1704), Github!B$1704)</f>
        <v>Minimum Adjacent Swaps for K Consecutive Ones</v>
      </c>
      <c r="C1399" s="10">
        <f>Github!F$1704</f>
        <v>424</v>
      </c>
      <c r="D1399" s="10">
        <f>Github!G$1704</f>
        <v>16</v>
      </c>
      <c r="E1399" s="10">
        <f>Github!F$1704+Github!G$1704</f>
        <v>440</v>
      </c>
      <c r="F1399" s="12">
        <f t="shared" si="1"/>
        <v>26.5</v>
      </c>
      <c r="G1399" s="10" t="str">
        <f>Github!H$1704</f>
        <v>Algorithms</v>
      </c>
      <c r="H1399" s="13" t="str">
        <f>SUBSTITUTE(Github!L$1704, ";", ", ")</f>
        <v>Array, Greedy, Sliding Window, Prefix Sum, </v>
      </c>
      <c r="I1399" s="10" t="str">
        <f>Github!E$1704</f>
        <v>Hard</v>
      </c>
      <c r="J1399" s="10" t="str">
        <f>IF(TRIM(Github!D$1704)="TRUE","FALSE","TRUE")</f>
        <v>TRUE</v>
      </c>
      <c r="K1399" s="10" t="b">
        <f>Github!M$1704</f>
        <v>0</v>
      </c>
      <c r="L1399" s="10" t="b">
        <f>Github!N$1704</f>
        <v>0</v>
      </c>
      <c r="M1399" s="10" t="str">
        <f>ROUND(Github!O$1704, 2)&amp;"%"</f>
        <v>41.39%</v>
      </c>
      <c r="N1399" s="10">
        <f>Github!P$1704</f>
        <v>6061</v>
      </c>
      <c r="O1399" s="10">
        <f>Github!Q$1704</f>
        <v>14645</v>
      </c>
    </row>
    <row r="1400">
      <c r="A1400" s="10">
        <f>Github!J$2140</f>
        <v>2139</v>
      </c>
      <c r="B1400" s="11" t="str">
        <f>HYPERLINK(CONCAT("http://leetcode.com/problems/",Github!C$2140), Github!B$2140)</f>
        <v>Minimum Moves to Reach Target Score</v>
      </c>
      <c r="C1400" s="10">
        <f>Github!F$2140</f>
        <v>425</v>
      </c>
      <c r="D1400" s="10">
        <f>Github!G$2140</f>
        <v>8</v>
      </c>
      <c r="E1400" s="10">
        <f>Github!F$2140+Github!G$2140</f>
        <v>433</v>
      </c>
      <c r="F1400" s="12">
        <f t="shared" si="1"/>
        <v>53.13</v>
      </c>
      <c r="G1400" s="10" t="str">
        <f>Github!H$2140</f>
        <v>Algorithms</v>
      </c>
      <c r="H1400" s="13" t="str">
        <f>SUBSTITUTE(Github!L$2140, ";", ", ")</f>
        <v>Math, Greedy, </v>
      </c>
      <c r="I1400" s="10" t="str">
        <f>Github!E$2140</f>
        <v>Medium</v>
      </c>
      <c r="J1400" s="10" t="str">
        <f>IF(TRIM(Github!D$2140)="TRUE","FALSE","TRUE")</f>
        <v>TRUE</v>
      </c>
      <c r="K1400" s="10" t="b">
        <f>Github!M$2140</f>
        <v>0</v>
      </c>
      <c r="L1400" s="10" t="b">
        <f>Github!N$2140</f>
        <v>0</v>
      </c>
      <c r="M1400" s="10" t="str">
        <f>ROUND(Github!O$2140, 2)&amp;"%"</f>
        <v>48.58%</v>
      </c>
      <c r="N1400" s="10">
        <f>Github!P$2140</f>
        <v>21073</v>
      </c>
      <c r="O1400" s="10">
        <f>Github!Q$2140</f>
        <v>43374</v>
      </c>
    </row>
    <row r="1401">
      <c r="A1401" s="10">
        <f>Github!J$1537</f>
        <v>1536</v>
      </c>
      <c r="B1401" s="11" t="str">
        <f>HYPERLINK(CONCAT("http://leetcode.com/problems/",Github!C$1537), Github!B$1537)</f>
        <v>Minimum Swaps to Arrange a Binary Grid</v>
      </c>
      <c r="C1401" s="10">
        <f>Github!F$1537</f>
        <v>421</v>
      </c>
      <c r="D1401" s="10">
        <f>Github!G$1537</f>
        <v>59</v>
      </c>
      <c r="E1401" s="10">
        <f>Github!F$1537+Github!G$1537</f>
        <v>480</v>
      </c>
      <c r="F1401" s="12">
        <f t="shared" si="1"/>
        <v>7.14</v>
      </c>
      <c r="G1401" s="10" t="str">
        <f>Github!H$1537</f>
        <v>Algorithms</v>
      </c>
      <c r="H1401" s="13" t="str">
        <f>SUBSTITUTE(Github!L$1537, ";", ", ")</f>
        <v>Array, Greedy, Matrix, </v>
      </c>
      <c r="I1401" s="10" t="str">
        <f>Github!E$1537</f>
        <v>Medium</v>
      </c>
      <c r="J1401" s="10" t="str">
        <f>IF(TRIM(Github!D$1537)="TRUE","FALSE","TRUE")</f>
        <v>TRUE</v>
      </c>
      <c r="K1401" s="10" t="b">
        <f>Github!M$1537</f>
        <v>0</v>
      </c>
      <c r="L1401" s="10" t="b">
        <f>Github!N$1537</f>
        <v>0</v>
      </c>
      <c r="M1401" s="10" t="str">
        <f>ROUND(Github!O$1537, 2)&amp;"%"</f>
        <v>45.74%</v>
      </c>
      <c r="N1401" s="10">
        <f>Github!P$1537</f>
        <v>11240</v>
      </c>
      <c r="O1401" s="10">
        <f>Github!Q$1537</f>
        <v>24571</v>
      </c>
    </row>
    <row r="1402">
      <c r="A1402" s="10">
        <f>Github!J$303</f>
        <v>302</v>
      </c>
      <c r="B1402" s="11" t="str">
        <f>HYPERLINK(CONCAT("http://leetcode.com/problems/",Github!C$303), Github!B$303)</f>
        <v>Smallest Rectangle Enclosing Black Pixels</v>
      </c>
      <c r="C1402" s="10">
        <f>Github!F$303</f>
        <v>424</v>
      </c>
      <c r="D1402" s="10">
        <f>Github!G$303</f>
        <v>85</v>
      </c>
      <c r="E1402" s="10">
        <f>Github!F$303+Github!G$303</f>
        <v>509</v>
      </c>
      <c r="F1402" s="12">
        <f t="shared" si="1"/>
        <v>4.99</v>
      </c>
      <c r="G1402" s="10" t="str">
        <f>Github!H$303</f>
        <v>Algorithms</v>
      </c>
      <c r="H1402" s="13" t="str">
        <f>SUBSTITUTE(Github!L$303, ";", ", ")</f>
        <v>Array, Binary Search, Depth-First Search, Breadth-First Search, Matrix, </v>
      </c>
      <c r="I1402" s="10" t="str">
        <f>Github!E$303</f>
        <v>Hard</v>
      </c>
      <c r="J1402" s="10" t="str">
        <f>IF(TRIM(Github!D$303)="TRUE","FALSE","TRUE")</f>
        <v>FALSE</v>
      </c>
      <c r="K1402" s="10" t="b">
        <f>Github!M$303</f>
        <v>1</v>
      </c>
      <c r="L1402" s="10" t="b">
        <f>Github!N$303</f>
        <v>0</v>
      </c>
      <c r="M1402" s="10" t="str">
        <f>ROUND(Github!O$303, 2)&amp;"%"</f>
        <v>56.85%</v>
      </c>
      <c r="N1402" s="10">
        <f>Github!P$303</f>
        <v>41409</v>
      </c>
      <c r="O1402" s="10">
        <f>Github!Q$303</f>
        <v>72833</v>
      </c>
    </row>
    <row r="1403">
      <c r="A1403" s="10">
        <f>Github!J$929</f>
        <v>928</v>
      </c>
      <c r="B1403" s="11" t="str">
        <f>HYPERLINK(CONCAT("http://leetcode.com/problems/",Github!C$929), Github!B$929)</f>
        <v>Minimize Malware Spread II</v>
      </c>
      <c r="C1403" s="10">
        <f>Github!F$929</f>
        <v>422</v>
      </c>
      <c r="D1403" s="10">
        <f>Github!G$929</f>
        <v>69</v>
      </c>
      <c r="E1403" s="10">
        <f>Github!F$929+Github!G$929</f>
        <v>491</v>
      </c>
      <c r="F1403" s="12">
        <f t="shared" si="1"/>
        <v>6.12</v>
      </c>
      <c r="G1403" s="10" t="str">
        <f>Github!H$929</f>
        <v>Algorithms</v>
      </c>
      <c r="H1403" s="13" t="str">
        <f>SUBSTITUTE(Github!L$929, ";", ", ")</f>
        <v>Array, Depth-First Search, Breadth-First Search, Union Find, Matrix, </v>
      </c>
      <c r="I1403" s="10" t="str">
        <f>Github!E$929</f>
        <v>Hard</v>
      </c>
      <c r="J1403" s="10" t="str">
        <f>IF(TRIM(Github!D$929)="TRUE","FALSE","TRUE")</f>
        <v>TRUE</v>
      </c>
      <c r="K1403" s="10" t="b">
        <f>Github!M$929</f>
        <v>1</v>
      </c>
      <c r="L1403" s="10" t="b">
        <f>Github!N$929</f>
        <v>0</v>
      </c>
      <c r="M1403" s="10" t="str">
        <f>ROUND(Github!O$929, 2)&amp;"%"</f>
        <v>42.23%</v>
      </c>
      <c r="N1403" s="10">
        <f>Github!P$929</f>
        <v>15321</v>
      </c>
      <c r="O1403" s="10">
        <f>Github!Q$929</f>
        <v>36276</v>
      </c>
    </row>
    <row r="1404">
      <c r="A1404" s="10">
        <f>Github!J$1535</f>
        <v>1534</v>
      </c>
      <c r="B1404" s="11" t="str">
        <f>HYPERLINK(CONCAT("http://leetcode.com/problems/",Github!C$1535), Github!B$1535)</f>
        <v>Count Good Triplets</v>
      </c>
      <c r="C1404" s="10">
        <f>Github!F$1535</f>
        <v>421</v>
      </c>
      <c r="D1404" s="10">
        <f>Github!G$1535</f>
        <v>867</v>
      </c>
      <c r="E1404" s="10">
        <f>Github!F$1535+Github!G$1535</f>
        <v>1288</v>
      </c>
      <c r="F1404" s="12">
        <f t="shared" si="1"/>
        <v>0.49</v>
      </c>
      <c r="G1404" s="10" t="str">
        <f>Github!H$1535</f>
        <v>Algorithms</v>
      </c>
      <c r="H1404" s="13" t="str">
        <f>SUBSTITUTE(Github!L$1535, ";", ", ")</f>
        <v>Array, Enumeration, </v>
      </c>
      <c r="I1404" s="10" t="str">
        <f>Github!E$1535</f>
        <v>Easy</v>
      </c>
      <c r="J1404" s="10" t="str">
        <f>IF(TRIM(Github!D$1535)="TRUE","FALSE","TRUE")</f>
        <v>TRUE</v>
      </c>
      <c r="K1404" s="10" t="b">
        <f>Github!M$1535</f>
        <v>0</v>
      </c>
      <c r="L1404" s="10" t="b">
        <f>Github!N$1535</f>
        <v>0</v>
      </c>
      <c r="M1404" s="10" t="str">
        <f>ROUND(Github!O$1535, 2)&amp;"%"</f>
        <v>80.61%</v>
      </c>
      <c r="N1404" s="10">
        <f>Github!P$1535</f>
        <v>74268</v>
      </c>
      <c r="O1404" s="10">
        <f>Github!Q$1535</f>
        <v>92134</v>
      </c>
    </row>
    <row r="1405">
      <c r="A1405" s="10">
        <f>Github!J$636</f>
        <v>635</v>
      </c>
      <c r="B1405" s="11" t="str">
        <f>HYPERLINK(CONCAT("http://leetcode.com/problems/",Github!C$636), Github!B$636)</f>
        <v>Design Log Storage System</v>
      </c>
      <c r="C1405" s="10">
        <f>Github!F$636</f>
        <v>419</v>
      </c>
      <c r="D1405" s="10">
        <f>Github!G$636</f>
        <v>174</v>
      </c>
      <c r="E1405" s="10">
        <f>Github!F$636+Github!G$636</f>
        <v>593</v>
      </c>
      <c r="F1405" s="12">
        <f t="shared" si="1"/>
        <v>2.41</v>
      </c>
      <c r="G1405" s="10" t="str">
        <f>Github!H$636</f>
        <v>Algorithms</v>
      </c>
      <c r="H1405" s="13" t="str">
        <f>SUBSTITUTE(Github!L$636, ";", ", ")</f>
        <v>Hash Table, String, Design, Ordered Set, </v>
      </c>
      <c r="I1405" s="10" t="str">
        <f>Github!E$636</f>
        <v>Medium</v>
      </c>
      <c r="J1405" s="10" t="str">
        <f>IF(TRIM(Github!D$636)="TRUE","FALSE","TRUE")</f>
        <v>FALSE</v>
      </c>
      <c r="K1405" s="10" t="b">
        <f>Github!M$636</f>
        <v>1</v>
      </c>
      <c r="L1405" s="10" t="b">
        <f>Github!N$636</f>
        <v>0</v>
      </c>
      <c r="M1405" s="10" t="str">
        <f>ROUND(Github!O$636, 2)&amp;"%"</f>
        <v>62.41%</v>
      </c>
      <c r="N1405" s="10">
        <f>Github!P$636</f>
        <v>30214</v>
      </c>
      <c r="O1405" s="10">
        <f>Github!Q$636</f>
        <v>48410</v>
      </c>
    </row>
    <row r="1406">
      <c r="A1406" s="10">
        <f>Github!J$2100</f>
        <v>2099</v>
      </c>
      <c r="B1406" s="11" t="str">
        <f>HYPERLINK(CONCAT("http://leetcode.com/problems/",Github!C$2100), Github!B$2100)</f>
        <v>Find Subsequence of Length K With the Largest Sum</v>
      </c>
      <c r="C1406" s="10">
        <f>Github!F$2100</f>
        <v>427</v>
      </c>
      <c r="D1406" s="10">
        <f>Github!G$2100</f>
        <v>39</v>
      </c>
      <c r="E1406" s="10">
        <f>Github!F$2100+Github!G$2100</f>
        <v>466</v>
      </c>
      <c r="F1406" s="12">
        <f t="shared" si="1"/>
        <v>10.95</v>
      </c>
      <c r="G1406" s="10" t="str">
        <f>Github!H$2100</f>
        <v>Algorithms</v>
      </c>
      <c r="H1406" s="13" t="str">
        <f>SUBSTITUTE(Github!L$2100, ";", ", ")</f>
        <v>Array, Hash Table, Sorting, Heap (Priority Queue), </v>
      </c>
      <c r="I1406" s="10" t="str">
        <f>Github!E$2100</f>
        <v>Easy</v>
      </c>
      <c r="J1406" s="10" t="str">
        <f>IF(TRIM(Github!D$2100)="TRUE","FALSE","TRUE")</f>
        <v>TRUE</v>
      </c>
      <c r="K1406" s="10" t="b">
        <f>Github!M$2100</f>
        <v>0</v>
      </c>
      <c r="L1406" s="10" t="b">
        <f>Github!N$2100</f>
        <v>0</v>
      </c>
      <c r="M1406" s="10" t="str">
        <f>ROUND(Github!O$2100, 2)&amp;"%"</f>
        <v>43.64%</v>
      </c>
      <c r="N1406" s="10">
        <f>Github!P$2100</f>
        <v>15607</v>
      </c>
      <c r="O1406" s="10">
        <f>Github!Q$2100</f>
        <v>35766</v>
      </c>
    </row>
    <row r="1407">
      <c r="A1407" s="10">
        <f>Github!J$1653</f>
        <v>1652</v>
      </c>
      <c r="B1407" s="11" t="str">
        <f>HYPERLINK(CONCAT("http://leetcode.com/problems/",Github!C$1653), Github!B$1653)</f>
        <v>Defuse the Bomb</v>
      </c>
      <c r="C1407" s="10">
        <f>Github!F$1653</f>
        <v>416</v>
      </c>
      <c r="D1407" s="10">
        <f>Github!G$1653</f>
        <v>45</v>
      </c>
      <c r="E1407" s="10">
        <f>Github!F$1653+Github!G$1653</f>
        <v>461</v>
      </c>
      <c r="F1407" s="12">
        <f t="shared" si="1"/>
        <v>9.24</v>
      </c>
      <c r="G1407" s="10" t="str">
        <f>Github!H$1653</f>
        <v>Algorithms</v>
      </c>
      <c r="H1407" s="13" t="str">
        <f>SUBSTITUTE(Github!L$1653, ";", ", ")</f>
        <v>Array, </v>
      </c>
      <c r="I1407" s="10" t="str">
        <f>Github!E$1653</f>
        <v>Easy</v>
      </c>
      <c r="J1407" s="10" t="str">
        <f>IF(TRIM(Github!D$1653)="TRUE","FALSE","TRUE")</f>
        <v>TRUE</v>
      </c>
      <c r="K1407" s="10" t="b">
        <f>Github!M$1653</f>
        <v>0</v>
      </c>
      <c r="L1407" s="10" t="b">
        <f>Github!N$1653</f>
        <v>0</v>
      </c>
      <c r="M1407" s="10" t="str">
        <f>ROUND(Github!O$1653, 2)&amp;"%"</f>
        <v>60.75%</v>
      </c>
      <c r="N1407" s="10">
        <f>Github!P$1653</f>
        <v>22820</v>
      </c>
      <c r="O1407" s="10">
        <f>Github!Q$1653</f>
        <v>37566</v>
      </c>
    </row>
    <row r="1408">
      <c r="A1408" s="10">
        <f>Github!J$1559</f>
        <v>1558</v>
      </c>
      <c r="B1408" s="11" t="str">
        <f>HYPERLINK(CONCAT("http://leetcode.com/problems/",Github!C$1559), Github!B$1559)</f>
        <v>Minimum Numbers of Function Calls to Make Target Array</v>
      </c>
      <c r="C1408" s="10">
        <f>Github!F$1559</f>
        <v>417</v>
      </c>
      <c r="D1408" s="10">
        <f>Github!G$1559</f>
        <v>22</v>
      </c>
      <c r="E1408" s="10">
        <f>Github!F$1559+Github!G$1559</f>
        <v>439</v>
      </c>
      <c r="F1408" s="12">
        <f t="shared" si="1"/>
        <v>18.95</v>
      </c>
      <c r="G1408" s="10" t="str">
        <f>Github!H$1559</f>
        <v>Algorithms</v>
      </c>
      <c r="H1408" s="13" t="str">
        <f>SUBSTITUTE(Github!L$1559, ";", ", ")</f>
        <v>Array, Greedy, </v>
      </c>
      <c r="I1408" s="10" t="str">
        <f>Github!E$1559</f>
        <v>Medium</v>
      </c>
      <c r="J1408" s="10" t="str">
        <f>IF(TRIM(Github!D$1559)="TRUE","FALSE","TRUE")</f>
        <v>TRUE</v>
      </c>
      <c r="K1408" s="10" t="b">
        <f>Github!M$1559</f>
        <v>0</v>
      </c>
      <c r="L1408" s="10" t="b">
        <f>Github!N$1559</f>
        <v>0</v>
      </c>
      <c r="M1408" s="10" t="str">
        <f>ROUND(Github!O$1559, 2)&amp;"%"</f>
        <v>64.01%</v>
      </c>
      <c r="N1408" s="10">
        <f>Github!P$1559</f>
        <v>15243</v>
      </c>
      <c r="O1408" s="10">
        <f>Github!Q$1559</f>
        <v>23814</v>
      </c>
    </row>
    <row r="1409">
      <c r="A1409" s="10">
        <f>Github!J$1189</f>
        <v>1188</v>
      </c>
      <c r="B1409" s="11" t="str">
        <f>HYPERLINK(CONCAT("http://leetcode.com/problems/",Github!C$1189), Github!B$1189)</f>
        <v>Design Bounded Blocking Queue</v>
      </c>
      <c r="C1409" s="10">
        <f>Github!F$1189</f>
        <v>413</v>
      </c>
      <c r="D1409" s="10">
        <f>Github!G$1189</f>
        <v>33</v>
      </c>
      <c r="E1409" s="10">
        <f>Github!F$1189+Github!G$1189</f>
        <v>446</v>
      </c>
      <c r="F1409" s="12">
        <f t="shared" si="1"/>
        <v>12.52</v>
      </c>
      <c r="G1409" s="10" t="str">
        <f>Github!H$1189</f>
        <v>Concurrency</v>
      </c>
      <c r="H1409" s="13" t="str">
        <f>SUBSTITUTE(Github!L$1189, ";", ", ")</f>
        <v>Concurrency, </v>
      </c>
      <c r="I1409" s="10" t="str">
        <f>Github!E$1189</f>
        <v>Medium</v>
      </c>
      <c r="J1409" s="10" t="str">
        <f>IF(TRIM(Github!D$1189)="TRUE","FALSE","TRUE")</f>
        <v>FALSE</v>
      </c>
      <c r="K1409" s="10" t="b">
        <f>Github!M$1189</f>
        <v>0</v>
      </c>
      <c r="L1409" s="10" t="b">
        <f>Github!N$1189</f>
        <v>0</v>
      </c>
      <c r="M1409" s="10" t="str">
        <f>ROUND(Github!O$1189, 2)&amp;"%"</f>
        <v>72.98%</v>
      </c>
      <c r="N1409" s="10">
        <f>Github!P$1189</f>
        <v>36058</v>
      </c>
      <c r="O1409" s="10">
        <f>Github!Q$1189</f>
        <v>49411</v>
      </c>
    </row>
    <row r="1410">
      <c r="A1410" s="10">
        <f>Github!J$1645</f>
        <v>1644</v>
      </c>
      <c r="B1410" s="11" t="str">
        <f>HYPERLINK(CONCAT("http://leetcode.com/problems/",Github!C$1645), Github!B$1645)</f>
        <v>Lowest Common Ancestor of a Binary Tree II</v>
      </c>
      <c r="C1410" s="10">
        <f>Github!F$1645</f>
        <v>417</v>
      </c>
      <c r="D1410" s="10">
        <f>Github!G$1645</f>
        <v>19</v>
      </c>
      <c r="E1410" s="10">
        <f>Github!F$1645+Github!G$1645</f>
        <v>436</v>
      </c>
      <c r="F1410" s="12">
        <f t="shared" si="1"/>
        <v>21.95</v>
      </c>
      <c r="G1410" s="10" t="str">
        <f>Github!H$1645</f>
        <v>Algorithms</v>
      </c>
      <c r="H1410" s="13" t="str">
        <f>SUBSTITUTE(Github!L$1645, ";", ", ")</f>
        <v>Tree, Depth-First Search, Binary Tree, </v>
      </c>
      <c r="I1410" s="10" t="str">
        <f>Github!E$1645</f>
        <v>Medium</v>
      </c>
      <c r="J1410" s="10" t="str">
        <f>IF(TRIM(Github!D$1645)="TRUE","FALSE","TRUE")</f>
        <v>FALSE</v>
      </c>
      <c r="K1410" s="10" t="b">
        <f>Github!M$1645</f>
        <v>0</v>
      </c>
      <c r="L1410" s="10" t="b">
        <f>Github!N$1645</f>
        <v>0</v>
      </c>
      <c r="M1410" s="10" t="str">
        <f>ROUND(Github!O$1645, 2)&amp;"%"</f>
        <v>58.85%</v>
      </c>
      <c r="N1410" s="10">
        <f>Github!P$1645</f>
        <v>42586</v>
      </c>
      <c r="O1410" s="10">
        <f>Github!Q$1645</f>
        <v>72370</v>
      </c>
    </row>
    <row r="1411">
      <c r="A1411" s="10">
        <f>Github!J$1818</f>
        <v>1817</v>
      </c>
      <c r="B1411" s="11" t="str">
        <f>HYPERLINK(CONCAT("http://leetcode.com/problems/",Github!C$1818), Github!B$1818)</f>
        <v>Finding the Users Active Minutes</v>
      </c>
      <c r="C1411" s="10">
        <f>Github!F$1818</f>
        <v>413</v>
      </c>
      <c r="D1411" s="10">
        <f>Github!G$1818</f>
        <v>161</v>
      </c>
      <c r="E1411" s="10">
        <f>Github!F$1818+Github!G$1818</f>
        <v>574</v>
      </c>
      <c r="F1411" s="12">
        <f t="shared" si="1"/>
        <v>2.57</v>
      </c>
      <c r="G1411" s="10" t="str">
        <f>Github!H$1818</f>
        <v>Algorithms</v>
      </c>
      <c r="H1411" s="13" t="str">
        <f>SUBSTITUTE(Github!L$1818, ";", ", ")</f>
        <v>Array, Hash Table, </v>
      </c>
      <c r="I1411" s="10" t="str">
        <f>Github!E$1818</f>
        <v>Medium</v>
      </c>
      <c r="J1411" s="10" t="str">
        <f>IF(TRIM(Github!D$1818)="TRUE","FALSE","TRUE")</f>
        <v>TRUE</v>
      </c>
      <c r="K1411" s="10" t="b">
        <f>Github!M$1818</f>
        <v>0</v>
      </c>
      <c r="L1411" s="10" t="b">
        <f>Github!N$1818</f>
        <v>0</v>
      </c>
      <c r="M1411" s="10" t="str">
        <f>ROUND(Github!O$1818, 2)&amp;"%"</f>
        <v>80.74%</v>
      </c>
      <c r="N1411" s="10">
        <f>Github!P$1818</f>
        <v>33128</v>
      </c>
      <c r="O1411" s="10">
        <f>Github!Q$1818</f>
        <v>41029</v>
      </c>
    </row>
    <row r="1412">
      <c r="A1412" s="10">
        <f>Github!J$1378</f>
        <v>1377</v>
      </c>
      <c r="B1412" s="11" t="str">
        <f>HYPERLINK(CONCAT("http://leetcode.com/problems/",Github!C$1378), Github!B$1378)</f>
        <v>Frog Position After T Seconds</v>
      </c>
      <c r="C1412" s="10">
        <f>Github!F$1378</f>
        <v>417</v>
      </c>
      <c r="D1412" s="10">
        <f>Github!G$1378</f>
        <v>95</v>
      </c>
      <c r="E1412" s="10">
        <f>Github!F$1378+Github!G$1378</f>
        <v>512</v>
      </c>
      <c r="F1412" s="12">
        <f t="shared" si="1"/>
        <v>4.39</v>
      </c>
      <c r="G1412" s="10" t="str">
        <f>Github!H$1378</f>
        <v>Algorithms</v>
      </c>
      <c r="H1412" s="13" t="str">
        <f>SUBSTITUTE(Github!L$1378, ";", ", ")</f>
        <v>Tree, Depth-First Search, Breadth-First Search, Graph, </v>
      </c>
      <c r="I1412" s="10" t="str">
        <f>Github!E$1378</f>
        <v>Hard</v>
      </c>
      <c r="J1412" s="10" t="str">
        <f>IF(TRIM(Github!D$1378)="TRUE","FALSE","TRUE")</f>
        <v>TRUE</v>
      </c>
      <c r="K1412" s="10" t="b">
        <f>Github!M$1378</f>
        <v>0</v>
      </c>
      <c r="L1412" s="10" t="b">
        <f>Github!N$1378</f>
        <v>0</v>
      </c>
      <c r="M1412" s="10" t="str">
        <f>ROUND(Github!O$1378, 2)&amp;"%"</f>
        <v>36.28%</v>
      </c>
      <c r="N1412" s="10">
        <f>Github!P$1378</f>
        <v>19399</v>
      </c>
      <c r="O1412" s="10">
        <f>Github!Q$1378</f>
        <v>53474</v>
      </c>
    </row>
    <row r="1413">
      <c r="A1413" s="10">
        <f>Github!J$795</f>
        <v>794</v>
      </c>
      <c r="B1413" s="11" t="str">
        <f>HYPERLINK(CONCAT("http://leetcode.com/problems/",Github!C$795), Github!B$795)</f>
        <v>Valid Tic-Tac-Toe State</v>
      </c>
      <c r="C1413" s="10">
        <f>Github!F$795</f>
        <v>414</v>
      </c>
      <c r="D1413" s="10">
        <f>Github!G$795</f>
        <v>967</v>
      </c>
      <c r="E1413" s="10">
        <f>Github!F$795+Github!G$795</f>
        <v>1381</v>
      </c>
      <c r="F1413" s="12">
        <f t="shared" si="1"/>
        <v>0.43</v>
      </c>
      <c r="G1413" s="10" t="str">
        <f>Github!H$795</f>
        <v>Algorithms</v>
      </c>
      <c r="H1413" s="13" t="str">
        <f>SUBSTITUTE(Github!L$795, ";", ", ")</f>
        <v>Array, String, </v>
      </c>
      <c r="I1413" s="10" t="str">
        <f>Github!E$795</f>
        <v>Medium</v>
      </c>
      <c r="J1413" s="10" t="str">
        <f>IF(TRIM(Github!D$795)="TRUE","FALSE","TRUE")</f>
        <v>TRUE</v>
      </c>
      <c r="K1413" s="10" t="b">
        <f>Github!M$795</f>
        <v>0</v>
      </c>
      <c r="L1413" s="10" t="b">
        <f>Github!N$795</f>
        <v>0</v>
      </c>
      <c r="M1413" s="10" t="str">
        <f>ROUND(Github!O$795, 2)&amp;"%"</f>
        <v>35.2%</v>
      </c>
      <c r="N1413" s="10">
        <f>Github!P$795</f>
        <v>46534</v>
      </c>
      <c r="O1413" s="10">
        <f>Github!Q$795</f>
        <v>132194</v>
      </c>
    </row>
    <row r="1414">
      <c r="A1414" s="10">
        <f>Github!J$1081</f>
        <v>1080</v>
      </c>
      <c r="B1414" s="11" t="str">
        <f>HYPERLINK(CONCAT("http://leetcode.com/problems/",Github!C$1081), Github!B$1081)</f>
        <v>Insufficient Nodes in Root to Leaf Paths</v>
      </c>
      <c r="C1414" s="10">
        <f>Github!F$1081</f>
        <v>413</v>
      </c>
      <c r="D1414" s="10">
        <f>Github!G$1081</f>
        <v>553</v>
      </c>
      <c r="E1414" s="10">
        <f>Github!F$1081+Github!G$1081</f>
        <v>966</v>
      </c>
      <c r="F1414" s="12">
        <f t="shared" si="1"/>
        <v>0.75</v>
      </c>
      <c r="G1414" s="10" t="str">
        <f>Github!H$1081</f>
        <v>Algorithms</v>
      </c>
      <c r="H1414" s="13" t="str">
        <f>SUBSTITUTE(Github!L$1081, ";", ", ")</f>
        <v>Tree, Depth-First Search, Binary Tree, </v>
      </c>
      <c r="I1414" s="10" t="str">
        <f>Github!E$1081</f>
        <v>Medium</v>
      </c>
      <c r="J1414" s="10" t="str">
        <f>IF(TRIM(Github!D$1081)="TRUE","FALSE","TRUE")</f>
        <v>TRUE</v>
      </c>
      <c r="K1414" s="10" t="b">
        <f>Github!M$1081</f>
        <v>0</v>
      </c>
      <c r="L1414" s="10" t="b">
        <f>Github!N$1081</f>
        <v>0</v>
      </c>
      <c r="M1414" s="10" t="str">
        <f>ROUND(Github!O$1081, 2)&amp;"%"</f>
        <v>51.92%</v>
      </c>
      <c r="N1414" s="10">
        <f>Github!P$1081</f>
        <v>25314</v>
      </c>
      <c r="O1414" s="10">
        <f>Github!Q$1081</f>
        <v>48757</v>
      </c>
    </row>
    <row r="1415">
      <c r="A1415" s="10">
        <f>Github!J$1931</f>
        <v>1930</v>
      </c>
      <c r="B1415" s="11" t="str">
        <f>HYPERLINK(CONCAT("http://leetcode.com/problems/",Github!C$1931), Github!B$1931)</f>
        <v>Unique Length-3 Palindromic Subsequences</v>
      </c>
      <c r="C1415" s="10">
        <f>Github!F$1931</f>
        <v>413</v>
      </c>
      <c r="D1415" s="10">
        <f>Github!G$1931</f>
        <v>11</v>
      </c>
      <c r="E1415" s="10">
        <f>Github!F$1931+Github!G$1931</f>
        <v>424</v>
      </c>
      <c r="F1415" s="12">
        <f t="shared" si="1"/>
        <v>37.55</v>
      </c>
      <c r="G1415" s="10" t="str">
        <f>Github!H$1931</f>
        <v>Algorithms</v>
      </c>
      <c r="H1415" s="13" t="str">
        <f>SUBSTITUTE(Github!L$1931, ";", ", ")</f>
        <v>Hash Table, String, Prefix Sum, </v>
      </c>
      <c r="I1415" s="10" t="str">
        <f>Github!E$1931</f>
        <v>Medium</v>
      </c>
      <c r="J1415" s="10" t="str">
        <f>IF(TRIM(Github!D$1931)="TRUE","FALSE","TRUE")</f>
        <v>TRUE</v>
      </c>
      <c r="K1415" s="10" t="b">
        <f>Github!M$1931</f>
        <v>0</v>
      </c>
      <c r="L1415" s="10" t="b">
        <f>Github!N$1931</f>
        <v>0</v>
      </c>
      <c r="M1415" s="10" t="str">
        <f>ROUND(Github!O$1931, 2)&amp;"%"</f>
        <v>51.1%</v>
      </c>
      <c r="N1415" s="10">
        <f>Github!P$1931</f>
        <v>15770</v>
      </c>
      <c r="O1415" s="10">
        <f>Github!Q$1931</f>
        <v>30864</v>
      </c>
    </row>
    <row r="1416">
      <c r="A1416" s="10">
        <f>Github!J$1714</f>
        <v>1713</v>
      </c>
      <c r="B1416" s="11" t="str">
        <f>HYPERLINK(CONCAT("http://leetcode.com/problems/",Github!C$1714), Github!B$1714)</f>
        <v>Minimum Operations to Make a Subsequence</v>
      </c>
      <c r="C1416" s="10">
        <f>Github!F$1714</f>
        <v>411</v>
      </c>
      <c r="D1416" s="10">
        <f>Github!G$1714</f>
        <v>8</v>
      </c>
      <c r="E1416" s="10">
        <f>Github!F$1714+Github!G$1714</f>
        <v>419</v>
      </c>
      <c r="F1416" s="12">
        <f t="shared" si="1"/>
        <v>51.38</v>
      </c>
      <c r="G1416" s="10" t="str">
        <f>Github!H$1714</f>
        <v>Algorithms</v>
      </c>
      <c r="H1416" s="13" t="str">
        <f>SUBSTITUTE(Github!L$1714, ";", ", ")</f>
        <v>Array, Hash Table, Binary Search, Greedy, </v>
      </c>
      <c r="I1416" s="10" t="str">
        <f>Github!E$1714</f>
        <v>Hard</v>
      </c>
      <c r="J1416" s="10" t="str">
        <f>IF(TRIM(Github!D$1714)="TRUE","FALSE","TRUE")</f>
        <v>TRUE</v>
      </c>
      <c r="K1416" s="10" t="b">
        <f>Github!M$1714</f>
        <v>0</v>
      </c>
      <c r="L1416" s="10" t="b">
        <f>Github!N$1714</f>
        <v>0</v>
      </c>
      <c r="M1416" s="10" t="str">
        <f>ROUND(Github!O$1714, 2)&amp;"%"</f>
        <v>48.92%</v>
      </c>
      <c r="N1416" s="10">
        <f>Github!P$1714</f>
        <v>7153</v>
      </c>
      <c r="O1416" s="10">
        <f>Github!Q$1714</f>
        <v>14622</v>
      </c>
    </row>
    <row r="1417">
      <c r="A1417" s="10">
        <f>Github!J$1815</f>
        <v>1814</v>
      </c>
      <c r="B1417" s="11" t="str">
        <f>HYPERLINK(CONCAT("http://leetcode.com/problems/",Github!C$1815), Github!B$1815)</f>
        <v>Count Nice Pairs in an Array</v>
      </c>
      <c r="C1417" s="10">
        <f>Github!F$1815</f>
        <v>413</v>
      </c>
      <c r="D1417" s="10">
        <f>Github!G$1815</f>
        <v>19</v>
      </c>
      <c r="E1417" s="10">
        <f>Github!F$1815+Github!G$1815</f>
        <v>432</v>
      </c>
      <c r="F1417" s="12">
        <f t="shared" si="1"/>
        <v>21.74</v>
      </c>
      <c r="G1417" s="10" t="str">
        <f>Github!H$1815</f>
        <v>Algorithms</v>
      </c>
      <c r="H1417" s="13" t="str">
        <f>SUBSTITUTE(Github!L$1815, ";", ", ")</f>
        <v>Array, Hash Table, Math, Counting, </v>
      </c>
      <c r="I1417" s="10" t="str">
        <f>Github!E$1815</f>
        <v>Medium</v>
      </c>
      <c r="J1417" s="10" t="str">
        <f>IF(TRIM(Github!D$1815)="TRUE","FALSE","TRUE")</f>
        <v>TRUE</v>
      </c>
      <c r="K1417" s="10" t="b">
        <f>Github!M$1815</f>
        <v>0</v>
      </c>
      <c r="L1417" s="10" t="b">
        <f>Github!N$1815</f>
        <v>0</v>
      </c>
      <c r="M1417" s="10" t="str">
        <f>ROUND(Github!O$1815, 2)&amp;"%"</f>
        <v>40.27%</v>
      </c>
      <c r="N1417" s="10">
        <f>Github!P$1815</f>
        <v>14557</v>
      </c>
      <c r="O1417" s="10">
        <f>Github!Q$1815</f>
        <v>36146</v>
      </c>
    </row>
    <row r="1418">
      <c r="A1418" s="10">
        <f>Github!J$1775</f>
        <v>1774</v>
      </c>
      <c r="B1418" s="11" t="str">
        <f>HYPERLINK(CONCAT("http://leetcode.com/problems/",Github!C$1775), Github!B$1775)</f>
        <v>Closest Dessert Cost</v>
      </c>
      <c r="C1418" s="10">
        <f>Github!F$1775</f>
        <v>411</v>
      </c>
      <c r="D1418" s="10">
        <f>Github!G$1775</f>
        <v>43</v>
      </c>
      <c r="E1418" s="10">
        <f>Github!F$1775+Github!G$1775</f>
        <v>454</v>
      </c>
      <c r="F1418" s="12">
        <f t="shared" si="1"/>
        <v>9.56</v>
      </c>
      <c r="G1418" s="10" t="str">
        <f>Github!H$1775</f>
        <v>Algorithms</v>
      </c>
      <c r="H1418" s="13" t="str">
        <f>SUBSTITUTE(Github!L$1775, ";", ", ")</f>
        <v>Array, Dynamic Programming, Backtracking, </v>
      </c>
      <c r="I1418" s="10" t="str">
        <f>Github!E$1775</f>
        <v>Medium</v>
      </c>
      <c r="J1418" s="10" t="str">
        <f>IF(TRIM(Github!D$1775)="TRUE","FALSE","TRUE")</f>
        <v>TRUE</v>
      </c>
      <c r="K1418" s="10" t="b">
        <f>Github!M$1775</f>
        <v>0</v>
      </c>
      <c r="L1418" s="10" t="b">
        <f>Github!N$1775</f>
        <v>0</v>
      </c>
      <c r="M1418" s="10" t="str">
        <f>ROUND(Github!O$1775, 2)&amp;"%"</f>
        <v>45.81%</v>
      </c>
      <c r="N1418" s="10">
        <f>Github!P$1775</f>
        <v>15606</v>
      </c>
      <c r="O1418" s="10">
        <f>Github!Q$1775</f>
        <v>34069</v>
      </c>
    </row>
    <row r="1419">
      <c r="A1419" s="10">
        <f>Github!J$2010</f>
        <v>2009</v>
      </c>
      <c r="B1419" s="11" t="str">
        <f>HYPERLINK(CONCAT("http://leetcode.com/problems/",Github!C$2010), Github!B$2010)</f>
        <v>Minimum Number of Operations to Make Array Continuous</v>
      </c>
      <c r="C1419" s="10">
        <f>Github!F$2010</f>
        <v>412</v>
      </c>
      <c r="D1419" s="10">
        <f>Github!G$2010</f>
        <v>4</v>
      </c>
      <c r="E1419" s="10">
        <f>Github!F$2010+Github!G$2010</f>
        <v>416</v>
      </c>
      <c r="F1419" s="12">
        <f t="shared" si="1"/>
        <v>103</v>
      </c>
      <c r="G1419" s="10" t="str">
        <f>Github!H$2010</f>
        <v>Algorithms</v>
      </c>
      <c r="H1419" s="13" t="str">
        <f>SUBSTITUTE(Github!L$2010, ";", ", ")</f>
        <v>Array, Binary Search, </v>
      </c>
      <c r="I1419" s="10" t="str">
        <f>Github!E$2010</f>
        <v>Hard</v>
      </c>
      <c r="J1419" s="10" t="str">
        <f>IF(TRIM(Github!D$2010)="TRUE","FALSE","TRUE")</f>
        <v>TRUE</v>
      </c>
      <c r="K1419" s="10" t="b">
        <f>Github!M$2010</f>
        <v>0</v>
      </c>
      <c r="L1419" s="10" t="b">
        <f>Github!N$2010</f>
        <v>0</v>
      </c>
      <c r="M1419" s="10" t="str">
        <f>ROUND(Github!O$2010, 2)&amp;"%"</f>
        <v>45.83%</v>
      </c>
      <c r="N1419" s="10">
        <f>Github!P$2010</f>
        <v>6499</v>
      </c>
      <c r="O1419" s="10">
        <f>Github!Q$2010</f>
        <v>14182</v>
      </c>
    </row>
    <row r="1420">
      <c r="A1420" s="10">
        <f>Github!J$1727</f>
        <v>1726</v>
      </c>
      <c r="B1420" s="11" t="str">
        <f>HYPERLINK(CONCAT("http://leetcode.com/problems/",Github!C$1727), Github!B$1727)</f>
        <v>Tuple with Same Product</v>
      </c>
      <c r="C1420" s="10">
        <f>Github!F$1727</f>
        <v>406</v>
      </c>
      <c r="D1420" s="10">
        <f>Github!G$1727</f>
        <v>19</v>
      </c>
      <c r="E1420" s="10">
        <f>Github!F$1727+Github!G$1727</f>
        <v>425</v>
      </c>
      <c r="F1420" s="12">
        <f t="shared" si="1"/>
        <v>21.37</v>
      </c>
      <c r="G1420" s="10" t="str">
        <f>Github!H$1727</f>
        <v>Algorithms</v>
      </c>
      <c r="H1420" s="13" t="str">
        <f>SUBSTITUTE(Github!L$1727, ";", ", ")</f>
        <v>Array, Hash Table, </v>
      </c>
      <c r="I1420" s="10" t="str">
        <f>Github!E$1727</f>
        <v>Medium</v>
      </c>
      <c r="J1420" s="10" t="str">
        <f>IF(TRIM(Github!D$1727)="TRUE","FALSE","TRUE")</f>
        <v>TRUE</v>
      </c>
      <c r="K1420" s="10" t="b">
        <f>Github!M$1727</f>
        <v>0</v>
      </c>
      <c r="L1420" s="10" t="b">
        <f>Github!N$1727</f>
        <v>0</v>
      </c>
      <c r="M1420" s="10" t="str">
        <f>ROUND(Github!O$1727, 2)&amp;"%"</f>
        <v>60.48%</v>
      </c>
      <c r="N1420" s="10">
        <f>Github!P$1727</f>
        <v>18536</v>
      </c>
      <c r="O1420" s="10">
        <f>Github!Q$1727</f>
        <v>30646</v>
      </c>
    </row>
    <row r="1421">
      <c r="A1421" s="10">
        <f>Github!J$1914</f>
        <v>1913</v>
      </c>
      <c r="B1421" s="11" t="str">
        <f>HYPERLINK(CONCAT("http://leetcode.com/problems/",Github!C$1914), Github!B$1914)</f>
        <v>Maximum Product Difference Between Two Pairs</v>
      </c>
      <c r="C1421" s="10">
        <f>Github!F$1914</f>
        <v>414</v>
      </c>
      <c r="D1421" s="10">
        <f>Github!G$1914</f>
        <v>21</v>
      </c>
      <c r="E1421" s="10">
        <f>Github!F$1914+Github!G$1914</f>
        <v>435</v>
      </c>
      <c r="F1421" s="12">
        <f t="shared" si="1"/>
        <v>19.71</v>
      </c>
      <c r="G1421" s="10" t="str">
        <f>Github!H$1914</f>
        <v>Algorithms</v>
      </c>
      <c r="H1421" s="13" t="str">
        <f>SUBSTITUTE(Github!L$1914, ";", ", ")</f>
        <v>Array, Sorting, </v>
      </c>
      <c r="I1421" s="10" t="str">
        <f>Github!E$1914</f>
        <v>Easy</v>
      </c>
      <c r="J1421" s="10" t="str">
        <f>IF(TRIM(Github!D$1914)="TRUE","FALSE","TRUE")</f>
        <v>TRUE</v>
      </c>
      <c r="K1421" s="10" t="b">
        <f>Github!M$1914</f>
        <v>0</v>
      </c>
      <c r="L1421" s="10" t="b">
        <f>Github!N$1914</f>
        <v>0</v>
      </c>
      <c r="M1421" s="10" t="str">
        <f>ROUND(Github!O$1914, 2)&amp;"%"</f>
        <v>81.31%</v>
      </c>
      <c r="N1421" s="10">
        <f>Github!P$1914</f>
        <v>48870</v>
      </c>
      <c r="O1421" s="10">
        <f>Github!Q$1914</f>
        <v>60106</v>
      </c>
    </row>
    <row r="1422">
      <c r="A1422" s="10">
        <f>Github!J$1035</f>
        <v>1034</v>
      </c>
      <c r="B1422" s="11" t="str">
        <f>HYPERLINK(CONCAT("http://leetcode.com/problems/",Github!C$1035), Github!B$1035)</f>
        <v>Coloring A Border</v>
      </c>
      <c r="C1422" s="10">
        <f>Github!F$1035</f>
        <v>408</v>
      </c>
      <c r="D1422" s="10">
        <f>Github!G$1035</f>
        <v>604</v>
      </c>
      <c r="E1422" s="10">
        <f>Github!F$1035+Github!G$1035</f>
        <v>1012</v>
      </c>
      <c r="F1422" s="12">
        <f t="shared" si="1"/>
        <v>0.68</v>
      </c>
      <c r="G1422" s="10" t="str">
        <f>Github!H$1035</f>
        <v>Algorithms</v>
      </c>
      <c r="H1422" s="13" t="str">
        <f>SUBSTITUTE(Github!L$1035, ";", ", ")</f>
        <v>Array, Depth-First Search, Breadth-First Search, Matrix, </v>
      </c>
      <c r="I1422" s="10" t="str">
        <f>Github!E$1035</f>
        <v>Medium</v>
      </c>
      <c r="J1422" s="10" t="str">
        <f>IF(TRIM(Github!D$1035)="TRUE","FALSE","TRUE")</f>
        <v>TRUE</v>
      </c>
      <c r="K1422" s="10" t="b">
        <f>Github!M$1035</f>
        <v>0</v>
      </c>
      <c r="L1422" s="10" t="b">
        <f>Github!N$1035</f>
        <v>0</v>
      </c>
      <c r="M1422" s="10" t="str">
        <f>ROUND(Github!O$1035, 2)&amp;"%"</f>
        <v>48.44%</v>
      </c>
      <c r="N1422" s="10">
        <f>Github!P$1035</f>
        <v>22478</v>
      </c>
      <c r="O1422" s="10">
        <f>Github!Q$1035</f>
        <v>46403</v>
      </c>
    </row>
    <row r="1423">
      <c r="A1423" s="10">
        <f>Github!J$893</f>
        <v>892</v>
      </c>
      <c r="B1423" s="11" t="str">
        <f>HYPERLINK(CONCAT("http://leetcode.com/problems/",Github!C$893), Github!B$893)</f>
        <v>Surface Area of 3D Shapes</v>
      </c>
      <c r="C1423" s="10">
        <f>Github!F$893</f>
        <v>406</v>
      </c>
      <c r="D1423" s="10">
        <f>Github!G$893</f>
        <v>569</v>
      </c>
      <c r="E1423" s="10">
        <f>Github!F$893+Github!G$893</f>
        <v>975</v>
      </c>
      <c r="F1423" s="12">
        <f t="shared" si="1"/>
        <v>0.71</v>
      </c>
      <c r="G1423" s="10" t="str">
        <f>Github!H$893</f>
        <v>Algorithms</v>
      </c>
      <c r="H1423" s="13" t="str">
        <f>SUBSTITUTE(Github!L$893, ";", ", ")</f>
        <v>Array, Math, Geometry, Matrix, </v>
      </c>
      <c r="I1423" s="10" t="str">
        <f>Github!E$893</f>
        <v>Easy</v>
      </c>
      <c r="J1423" s="10" t="str">
        <f>IF(TRIM(Github!D$893)="TRUE","FALSE","TRUE")</f>
        <v>TRUE</v>
      </c>
      <c r="K1423" s="10" t="b">
        <f>Github!M$893</f>
        <v>0</v>
      </c>
      <c r="L1423" s="10" t="b">
        <f>Github!N$893</f>
        <v>0</v>
      </c>
      <c r="M1423" s="10" t="str">
        <f>ROUND(Github!O$893, 2)&amp;"%"</f>
        <v>61.84%</v>
      </c>
      <c r="N1423" s="10">
        <f>Github!P$893</f>
        <v>28361</v>
      </c>
      <c r="O1423" s="10">
        <f>Github!Q$893</f>
        <v>45864</v>
      </c>
    </row>
    <row r="1424">
      <c r="A1424" s="10">
        <f>Github!J$1813</f>
        <v>1812</v>
      </c>
      <c r="B1424" s="11" t="str">
        <f>HYPERLINK(CONCAT("http://leetcode.com/problems/",Github!C$1813), Github!B$1813)</f>
        <v>Determine Color of a Chessboard Square</v>
      </c>
      <c r="C1424" s="10">
        <f>Github!F$1813</f>
        <v>409</v>
      </c>
      <c r="D1424" s="10">
        <f>Github!G$1813</f>
        <v>13</v>
      </c>
      <c r="E1424" s="10">
        <f>Github!F$1813+Github!G$1813</f>
        <v>422</v>
      </c>
      <c r="F1424" s="12">
        <f t="shared" si="1"/>
        <v>31.46</v>
      </c>
      <c r="G1424" s="10" t="str">
        <f>Github!H$1813</f>
        <v>Algorithms</v>
      </c>
      <c r="H1424" s="13" t="str">
        <f>SUBSTITUTE(Github!L$1813, ";", ", ")</f>
        <v>Math, String, </v>
      </c>
      <c r="I1424" s="10" t="str">
        <f>Github!E$1813</f>
        <v>Easy</v>
      </c>
      <c r="J1424" s="10" t="str">
        <f>IF(TRIM(Github!D$1813)="TRUE","FALSE","TRUE")</f>
        <v>TRUE</v>
      </c>
      <c r="K1424" s="10" t="b">
        <f>Github!M$1813</f>
        <v>0</v>
      </c>
      <c r="L1424" s="10" t="b">
        <f>Github!N$1813</f>
        <v>0</v>
      </c>
      <c r="M1424" s="10" t="str">
        <f>ROUND(Github!O$1813, 2)&amp;"%"</f>
        <v>77.67%</v>
      </c>
      <c r="N1424" s="10">
        <f>Github!P$1813</f>
        <v>36085</v>
      </c>
      <c r="O1424" s="10">
        <f>Github!Q$1813</f>
        <v>46461</v>
      </c>
    </row>
    <row r="1425">
      <c r="A1425" s="10">
        <f>Github!J$1207</f>
        <v>1206</v>
      </c>
      <c r="B1425" s="11" t="str">
        <f>HYPERLINK(CONCAT("http://leetcode.com/problems/",Github!C$1207), Github!B$1207)</f>
        <v>Design Skiplist</v>
      </c>
      <c r="C1425" s="10">
        <f>Github!F$1207</f>
        <v>427</v>
      </c>
      <c r="D1425" s="10">
        <f>Github!G$1207</f>
        <v>51</v>
      </c>
      <c r="E1425" s="10">
        <f>Github!F$1207+Github!G$1207</f>
        <v>478</v>
      </c>
      <c r="F1425" s="12">
        <f t="shared" si="1"/>
        <v>8.37</v>
      </c>
      <c r="G1425" s="10" t="str">
        <f>Github!H$1207</f>
        <v>Algorithms</v>
      </c>
      <c r="H1425" s="13" t="str">
        <f>SUBSTITUTE(Github!L$1207, ";", ", ")</f>
        <v>Linked List, Design, </v>
      </c>
      <c r="I1425" s="10" t="str">
        <f>Github!E$1207</f>
        <v>Hard</v>
      </c>
      <c r="J1425" s="10" t="str">
        <f>IF(TRIM(Github!D$1207)="TRUE","FALSE","TRUE")</f>
        <v>TRUE</v>
      </c>
      <c r="K1425" s="10" t="b">
        <f>Github!M$1207</f>
        <v>0</v>
      </c>
      <c r="L1425" s="10" t="b">
        <f>Github!N$1207</f>
        <v>0</v>
      </c>
      <c r="M1425" s="10" t="str">
        <f>ROUND(Github!O$1207, 2)&amp;"%"</f>
        <v>59.84%</v>
      </c>
      <c r="N1425" s="10">
        <f>Github!P$1207</f>
        <v>12598</v>
      </c>
      <c r="O1425" s="10">
        <f>Github!Q$1207</f>
        <v>21053</v>
      </c>
    </row>
    <row r="1426">
      <c r="A1426" s="10">
        <f>Github!J$1880</f>
        <v>1879</v>
      </c>
      <c r="B1426" s="11" t="str">
        <f>HYPERLINK(CONCAT("http://leetcode.com/problems/",Github!C$1880), Github!B$1880)</f>
        <v>Minimum XOR Sum of Two Arrays</v>
      </c>
      <c r="C1426" s="10">
        <f>Github!F$1880</f>
        <v>405</v>
      </c>
      <c r="D1426" s="10">
        <f>Github!G$1880</f>
        <v>8</v>
      </c>
      <c r="E1426" s="10">
        <f>Github!F$1880+Github!G$1880</f>
        <v>413</v>
      </c>
      <c r="F1426" s="12">
        <f t="shared" si="1"/>
        <v>50.63</v>
      </c>
      <c r="G1426" s="10" t="str">
        <f>Github!H$1880</f>
        <v>Algorithms</v>
      </c>
      <c r="H1426" s="13" t="str">
        <f>SUBSTITUTE(Github!L$1880, ";", ", ")</f>
        <v>Array, Dynamic Programming, Bit Manipulation, Bitmask, </v>
      </c>
      <c r="I1426" s="10" t="str">
        <f>Github!E$1880</f>
        <v>Hard</v>
      </c>
      <c r="J1426" s="10" t="str">
        <f>IF(TRIM(Github!D$1880)="TRUE","FALSE","TRUE")</f>
        <v>TRUE</v>
      </c>
      <c r="K1426" s="10" t="b">
        <f>Github!M$1880</f>
        <v>0</v>
      </c>
      <c r="L1426" s="10" t="b">
        <f>Github!N$1880</f>
        <v>0</v>
      </c>
      <c r="M1426" s="10" t="str">
        <f>ROUND(Github!O$1880, 2)&amp;"%"</f>
        <v>42.27%</v>
      </c>
      <c r="N1426" s="10">
        <f>Github!P$1880</f>
        <v>7734</v>
      </c>
      <c r="O1426" s="10">
        <f>Github!Q$1880</f>
        <v>18295</v>
      </c>
    </row>
    <row r="1427">
      <c r="A1427" s="10">
        <f>Github!J$1472</f>
        <v>1471</v>
      </c>
      <c r="B1427" s="11" t="str">
        <f>HYPERLINK(CONCAT("http://leetcode.com/problems/",Github!C$1472), Github!B$1472)</f>
        <v>The k Strongest Values in an Array</v>
      </c>
      <c r="C1427" s="10">
        <f>Github!F$1472</f>
        <v>409</v>
      </c>
      <c r="D1427" s="10">
        <f>Github!G$1472</f>
        <v>94</v>
      </c>
      <c r="E1427" s="10">
        <f>Github!F$1472+Github!G$1472</f>
        <v>503</v>
      </c>
      <c r="F1427" s="12">
        <f t="shared" si="1"/>
        <v>4.35</v>
      </c>
      <c r="G1427" s="10" t="str">
        <f>Github!H$1472</f>
        <v>Algorithms</v>
      </c>
      <c r="H1427" s="13" t="str">
        <f>SUBSTITUTE(Github!L$1472, ";", ", ")</f>
        <v>Array, Two Pointers, Sorting, </v>
      </c>
      <c r="I1427" s="10" t="str">
        <f>Github!E$1472</f>
        <v>Medium</v>
      </c>
      <c r="J1427" s="10" t="str">
        <f>IF(TRIM(Github!D$1472)="TRUE","FALSE","TRUE")</f>
        <v>TRUE</v>
      </c>
      <c r="K1427" s="10" t="b">
        <f>Github!M$1472</f>
        <v>0</v>
      </c>
      <c r="L1427" s="10" t="b">
        <f>Github!N$1472</f>
        <v>0</v>
      </c>
      <c r="M1427" s="10" t="str">
        <f>ROUND(Github!O$1472, 2)&amp;"%"</f>
        <v>59.76%</v>
      </c>
      <c r="N1427" s="10">
        <f>Github!P$1472</f>
        <v>27321</v>
      </c>
      <c r="O1427" s="10">
        <f>Github!Q$1472</f>
        <v>45715</v>
      </c>
    </row>
    <row r="1428">
      <c r="A1428" s="10">
        <f>Github!J$2065</f>
        <v>2064</v>
      </c>
      <c r="B1428" s="11" t="str">
        <f>HYPERLINK(CONCAT("http://leetcode.com/problems/",Github!C$2065), Github!B$2065)</f>
        <v>Minimized Maximum of Products Distributed to Any Store</v>
      </c>
      <c r="C1428" s="10">
        <f>Github!F$2065</f>
        <v>412</v>
      </c>
      <c r="D1428" s="10">
        <f>Github!G$2065</f>
        <v>16</v>
      </c>
      <c r="E1428" s="10">
        <f>Github!F$2065+Github!G$2065</f>
        <v>428</v>
      </c>
      <c r="F1428" s="12">
        <f t="shared" si="1"/>
        <v>25.75</v>
      </c>
      <c r="G1428" s="10" t="str">
        <f>Github!H$2065</f>
        <v>Algorithms</v>
      </c>
      <c r="H1428" s="13" t="str">
        <f>SUBSTITUTE(Github!L$2065, ";", ", ")</f>
        <v>Array, Binary Search, </v>
      </c>
      <c r="I1428" s="10" t="str">
        <f>Github!E$2065</f>
        <v>Medium</v>
      </c>
      <c r="J1428" s="10" t="str">
        <f>IF(TRIM(Github!D$2065)="TRUE","FALSE","TRUE")</f>
        <v>TRUE</v>
      </c>
      <c r="K1428" s="10" t="b">
        <f>Github!M$2065</f>
        <v>0</v>
      </c>
      <c r="L1428" s="10" t="b">
        <f>Github!N$2065</f>
        <v>0</v>
      </c>
      <c r="M1428" s="10" t="str">
        <f>ROUND(Github!O$2065, 2)&amp;"%"</f>
        <v>48.95%</v>
      </c>
      <c r="N1428" s="10">
        <f>Github!P$2065</f>
        <v>11825</v>
      </c>
      <c r="O1428" s="10">
        <f>Github!Q$2065</f>
        <v>24157</v>
      </c>
    </row>
    <row r="1429">
      <c r="A1429" s="10">
        <f>Github!J$1421</f>
        <v>1420</v>
      </c>
      <c r="B1429" s="11" t="str">
        <f>HYPERLINK(CONCAT("http://leetcode.com/problems/",Github!C$1421), Github!B$1421)</f>
        <v>Build Array Where You Can Find The Maximum Exactly K Comparisons</v>
      </c>
      <c r="C1429" s="10">
        <f>Github!F$1421</f>
        <v>404</v>
      </c>
      <c r="D1429" s="10">
        <f>Github!G$1421</f>
        <v>10</v>
      </c>
      <c r="E1429" s="10">
        <f>Github!F$1421+Github!G$1421</f>
        <v>414</v>
      </c>
      <c r="F1429" s="12">
        <f t="shared" si="1"/>
        <v>40.4</v>
      </c>
      <c r="G1429" s="10" t="str">
        <f>Github!H$1421</f>
        <v>Algorithms</v>
      </c>
      <c r="H1429" s="13" t="str">
        <f>SUBSTITUTE(Github!L$1421, ";", ", ")</f>
        <v>Dynamic Programming, </v>
      </c>
      <c r="I1429" s="10" t="str">
        <f>Github!E$1421</f>
        <v>Hard</v>
      </c>
      <c r="J1429" s="10" t="str">
        <f>IF(TRIM(Github!D$1421)="TRUE","FALSE","TRUE")</f>
        <v>TRUE</v>
      </c>
      <c r="K1429" s="10" t="b">
        <f>Github!M$1421</f>
        <v>0</v>
      </c>
      <c r="L1429" s="10" t="b">
        <f>Github!N$1421</f>
        <v>0</v>
      </c>
      <c r="M1429" s="10" t="str">
        <f>ROUND(Github!O$1421, 2)&amp;"%"</f>
        <v>64.38%</v>
      </c>
      <c r="N1429" s="10">
        <f>Github!P$1421</f>
        <v>9525</v>
      </c>
      <c r="O1429" s="10">
        <f>Github!Q$1421</f>
        <v>14796</v>
      </c>
    </row>
    <row r="1430">
      <c r="A1430" s="10">
        <f>Github!J$493</f>
        <v>492</v>
      </c>
      <c r="B1430" s="11" t="str">
        <f>HYPERLINK(CONCAT("http://leetcode.com/problems/",Github!C$493), Github!B$493)</f>
        <v>Construct the Rectangle</v>
      </c>
      <c r="C1430" s="10">
        <f>Github!F$493</f>
        <v>405</v>
      </c>
      <c r="D1430" s="10">
        <f>Github!G$493</f>
        <v>324</v>
      </c>
      <c r="E1430" s="10">
        <f>Github!F$493+Github!G$493</f>
        <v>729</v>
      </c>
      <c r="F1430" s="12">
        <f t="shared" si="1"/>
        <v>1.25</v>
      </c>
      <c r="G1430" s="10" t="str">
        <f>Github!H$493</f>
        <v>Algorithms</v>
      </c>
      <c r="H1430" s="13" t="str">
        <f>SUBSTITUTE(Github!L$493, ";", ", ")</f>
        <v>Math, </v>
      </c>
      <c r="I1430" s="10" t="str">
        <f>Github!E$493</f>
        <v>Easy</v>
      </c>
      <c r="J1430" s="10" t="str">
        <f>IF(TRIM(Github!D$493)="TRUE","FALSE","TRUE")</f>
        <v>TRUE</v>
      </c>
      <c r="K1430" s="10" t="b">
        <f>Github!M$493</f>
        <v>0</v>
      </c>
      <c r="L1430" s="10" t="b">
        <f>Github!N$493</f>
        <v>0</v>
      </c>
      <c r="M1430" s="10" t="str">
        <f>ROUND(Github!O$493, 2)&amp;"%"</f>
        <v>52.62%</v>
      </c>
      <c r="N1430" s="10">
        <f>Github!P$493</f>
        <v>77930</v>
      </c>
      <c r="O1430" s="10">
        <f>Github!Q$493</f>
        <v>148096</v>
      </c>
    </row>
    <row r="1431">
      <c r="A1431" s="10">
        <f>Github!J$1570</f>
        <v>1569</v>
      </c>
      <c r="B1431" s="11" t="str">
        <f>HYPERLINK(CONCAT("http://leetcode.com/problems/",Github!C$1570), Github!B$1570)</f>
        <v>Number of Ways to Reorder Array to Get Same BST</v>
      </c>
      <c r="C1431" s="10">
        <f>Github!F$1570</f>
        <v>405</v>
      </c>
      <c r="D1431" s="10">
        <f>Github!G$1570</f>
        <v>43</v>
      </c>
      <c r="E1431" s="10">
        <f>Github!F$1570+Github!G$1570</f>
        <v>448</v>
      </c>
      <c r="F1431" s="12">
        <f t="shared" si="1"/>
        <v>9.42</v>
      </c>
      <c r="G1431" s="10" t="str">
        <f>Github!H$1570</f>
        <v>Algorithms</v>
      </c>
      <c r="H1431" s="13" t="str">
        <f>SUBSTITUTE(Github!L$1570, ";", ", ")</f>
        <v>Array, Math, Divide and Conquer, Dynamic Programming, Tree, Union Find, Binary Search Tree, Memoization, Combinatorics, Binary Tree, </v>
      </c>
      <c r="I1431" s="10" t="str">
        <f>Github!E$1570</f>
        <v>Hard</v>
      </c>
      <c r="J1431" s="10" t="str">
        <f>IF(TRIM(Github!D$1570)="TRUE","FALSE","TRUE")</f>
        <v>TRUE</v>
      </c>
      <c r="K1431" s="10" t="b">
        <f>Github!M$1570</f>
        <v>0</v>
      </c>
      <c r="L1431" s="10" t="b">
        <f>Github!N$1570</f>
        <v>0</v>
      </c>
      <c r="M1431" s="10" t="str">
        <f>ROUND(Github!O$1570, 2)&amp;"%"</f>
        <v>49.16%</v>
      </c>
      <c r="N1431" s="10">
        <f>Github!P$1570</f>
        <v>9456</v>
      </c>
      <c r="O1431" s="10">
        <f>Github!Q$1570</f>
        <v>19237</v>
      </c>
    </row>
    <row r="1432">
      <c r="A1432" s="10">
        <f>Github!J$1759</f>
        <v>1758</v>
      </c>
      <c r="B1432" s="11" t="str">
        <f>HYPERLINK(CONCAT("http://leetcode.com/problems/",Github!C$1759), Github!B$1759)</f>
        <v>Minimum Changes To Make Alternating Binary String</v>
      </c>
      <c r="C1432" s="10">
        <f>Github!F$1759</f>
        <v>403</v>
      </c>
      <c r="D1432" s="10">
        <f>Github!G$1759</f>
        <v>14</v>
      </c>
      <c r="E1432" s="10">
        <f>Github!F$1759+Github!G$1759</f>
        <v>417</v>
      </c>
      <c r="F1432" s="12">
        <f t="shared" si="1"/>
        <v>28.79</v>
      </c>
      <c r="G1432" s="10" t="str">
        <f>Github!H$1759</f>
        <v>Algorithms</v>
      </c>
      <c r="H1432" s="13" t="str">
        <f>SUBSTITUTE(Github!L$1759, ";", ", ")</f>
        <v>String, </v>
      </c>
      <c r="I1432" s="10" t="str">
        <f>Github!E$1759</f>
        <v>Easy</v>
      </c>
      <c r="J1432" s="10" t="str">
        <f>IF(TRIM(Github!D$1759)="TRUE","FALSE","TRUE")</f>
        <v>TRUE</v>
      </c>
      <c r="K1432" s="10" t="b">
        <f>Github!M$1759</f>
        <v>0</v>
      </c>
      <c r="L1432" s="10" t="b">
        <f>Github!N$1759</f>
        <v>0</v>
      </c>
      <c r="M1432" s="10" t="str">
        <f>ROUND(Github!O$1759, 2)&amp;"%"</f>
        <v>59.22%</v>
      </c>
      <c r="N1432" s="10">
        <f>Github!P$1759</f>
        <v>26999</v>
      </c>
      <c r="O1432" s="10">
        <f>Github!Q$1759</f>
        <v>45594</v>
      </c>
    </row>
    <row r="1433">
      <c r="A1433" s="10">
        <f>Github!J$496</f>
        <v>495</v>
      </c>
      <c r="B1433" s="11" t="str">
        <f>HYPERLINK(CONCAT("http://leetcode.com/problems/",Github!C$496), Github!B$496)</f>
        <v>Teemo Attacking</v>
      </c>
      <c r="C1433" s="10">
        <f>Github!F$496</f>
        <v>404</v>
      </c>
      <c r="D1433" s="10">
        <f>Github!G$496</f>
        <v>38</v>
      </c>
      <c r="E1433" s="10">
        <f>Github!F$496+Github!G$496</f>
        <v>442</v>
      </c>
      <c r="F1433" s="12">
        <f t="shared" si="1"/>
        <v>10.63</v>
      </c>
      <c r="G1433" s="10" t="str">
        <f>Github!H$496</f>
        <v>Algorithms</v>
      </c>
      <c r="H1433" s="13" t="str">
        <f>SUBSTITUTE(Github!L$496, ";", ", ")</f>
        <v>Array, Simulation, </v>
      </c>
      <c r="I1433" s="10" t="str">
        <f>Github!E$496</f>
        <v>Easy</v>
      </c>
      <c r="J1433" s="10" t="str">
        <f>IF(TRIM(Github!D$496)="TRUE","FALSE","TRUE")</f>
        <v>TRUE</v>
      </c>
      <c r="K1433" s="10" t="b">
        <f>Github!M$496</f>
        <v>1</v>
      </c>
      <c r="L1433" s="10" t="b">
        <f>Github!N$496</f>
        <v>0</v>
      </c>
      <c r="M1433" s="10" t="str">
        <f>ROUND(Github!O$496, 2)&amp;"%"</f>
        <v>56.85%</v>
      </c>
      <c r="N1433" s="10">
        <f>Github!P$496</f>
        <v>98215</v>
      </c>
      <c r="O1433" s="10">
        <f>Github!Q$496</f>
        <v>172760</v>
      </c>
    </row>
    <row r="1434">
      <c r="A1434" s="10">
        <f>Github!J$1718</f>
        <v>1717</v>
      </c>
      <c r="B1434" s="11" t="str">
        <f>HYPERLINK(CONCAT("http://leetcode.com/problems/",Github!C$1718), Github!B$1718)</f>
        <v>Maximum Score From Removing Substrings</v>
      </c>
      <c r="C1434" s="10">
        <f>Github!F$1718</f>
        <v>396</v>
      </c>
      <c r="D1434" s="10">
        <f>Github!G$1718</f>
        <v>18</v>
      </c>
      <c r="E1434" s="10">
        <f>Github!F$1718+Github!G$1718</f>
        <v>414</v>
      </c>
      <c r="F1434" s="12">
        <f t="shared" si="1"/>
        <v>22</v>
      </c>
      <c r="G1434" s="10" t="str">
        <f>Github!H$1718</f>
        <v>Algorithms</v>
      </c>
      <c r="H1434" s="13" t="str">
        <f>SUBSTITUTE(Github!L$1718, ";", ", ")</f>
        <v>String, Stack, Greedy, </v>
      </c>
      <c r="I1434" s="10" t="str">
        <f>Github!E$1718</f>
        <v>Medium</v>
      </c>
      <c r="J1434" s="10" t="str">
        <f>IF(TRIM(Github!D$1718)="TRUE","FALSE","TRUE")</f>
        <v>TRUE</v>
      </c>
      <c r="K1434" s="10" t="b">
        <f>Github!M$1718</f>
        <v>0</v>
      </c>
      <c r="L1434" s="10" t="b">
        <f>Github!N$1718</f>
        <v>0</v>
      </c>
      <c r="M1434" s="10" t="str">
        <f>ROUND(Github!O$1718, 2)&amp;"%"</f>
        <v>44.98%</v>
      </c>
      <c r="N1434" s="10">
        <f>Github!P$1718</f>
        <v>9481</v>
      </c>
      <c r="O1434" s="10">
        <f>Github!Q$1718</f>
        <v>21077</v>
      </c>
    </row>
    <row r="1435">
      <c r="A1435" s="10">
        <f>Github!J$1830</f>
        <v>1829</v>
      </c>
      <c r="B1435" s="11" t="str">
        <f>HYPERLINK(CONCAT("http://leetcode.com/problems/",Github!C$1830), Github!B$1830)</f>
        <v>Maximum XOR for Each Query</v>
      </c>
      <c r="C1435" s="10">
        <f>Github!F$1830</f>
        <v>397</v>
      </c>
      <c r="D1435" s="10">
        <f>Github!G$1830</f>
        <v>33</v>
      </c>
      <c r="E1435" s="10">
        <f>Github!F$1830+Github!G$1830</f>
        <v>430</v>
      </c>
      <c r="F1435" s="12">
        <f t="shared" si="1"/>
        <v>12.03</v>
      </c>
      <c r="G1435" s="10" t="str">
        <f>Github!H$1830</f>
        <v>Algorithms</v>
      </c>
      <c r="H1435" s="13" t="str">
        <f>SUBSTITUTE(Github!L$1830, ";", ", ")</f>
        <v>Array, Bit Manipulation, Prefix Sum, </v>
      </c>
      <c r="I1435" s="10" t="str">
        <f>Github!E$1830</f>
        <v>Medium</v>
      </c>
      <c r="J1435" s="10" t="str">
        <f>IF(TRIM(Github!D$1830)="TRUE","FALSE","TRUE")</f>
        <v>TRUE</v>
      </c>
      <c r="K1435" s="10" t="b">
        <f>Github!M$1830</f>
        <v>0</v>
      </c>
      <c r="L1435" s="10" t="b">
        <f>Github!N$1830</f>
        <v>0</v>
      </c>
      <c r="M1435" s="10" t="str">
        <f>ROUND(Github!O$1830, 2)&amp;"%"</f>
        <v>76.15%</v>
      </c>
      <c r="N1435" s="10">
        <f>Github!P$1830</f>
        <v>15548</v>
      </c>
      <c r="O1435" s="10">
        <f>Github!Q$1830</f>
        <v>20417</v>
      </c>
    </row>
    <row r="1436">
      <c r="A1436" s="10">
        <f>Github!J$1418</f>
        <v>1417</v>
      </c>
      <c r="B1436" s="11" t="str">
        <f>HYPERLINK(CONCAT("http://leetcode.com/problems/",Github!C$1418), Github!B$1418)</f>
        <v>Reformat The String</v>
      </c>
      <c r="C1436" s="10">
        <f>Github!F$1418</f>
        <v>397</v>
      </c>
      <c r="D1436" s="10">
        <f>Github!G$1418</f>
        <v>76</v>
      </c>
      <c r="E1436" s="10">
        <f>Github!F$1418+Github!G$1418</f>
        <v>473</v>
      </c>
      <c r="F1436" s="12">
        <f t="shared" si="1"/>
        <v>5.22</v>
      </c>
      <c r="G1436" s="10" t="str">
        <f>Github!H$1418</f>
        <v>Algorithms</v>
      </c>
      <c r="H1436" s="13" t="str">
        <f>SUBSTITUTE(Github!L$1418, ";", ", ")</f>
        <v>String, </v>
      </c>
      <c r="I1436" s="10" t="str">
        <f>Github!E$1418</f>
        <v>Easy</v>
      </c>
      <c r="J1436" s="10" t="str">
        <f>IF(TRIM(Github!D$1418)="TRUE","FALSE","TRUE")</f>
        <v>TRUE</v>
      </c>
      <c r="K1436" s="10" t="b">
        <f>Github!M$1418</f>
        <v>0</v>
      </c>
      <c r="L1436" s="10" t="b">
        <f>Github!N$1418</f>
        <v>0</v>
      </c>
      <c r="M1436" s="10" t="str">
        <f>ROUND(Github!O$1418, 2)&amp;"%"</f>
        <v>56.31%</v>
      </c>
      <c r="N1436" s="10">
        <f>Github!P$1418</f>
        <v>42529</v>
      </c>
      <c r="O1436" s="10">
        <f>Github!Q$1418</f>
        <v>75525</v>
      </c>
    </row>
    <row r="1437">
      <c r="A1437" s="10">
        <f>Github!J$1013</f>
        <v>1012</v>
      </c>
      <c r="B1437" s="11" t="str">
        <f>HYPERLINK(CONCAT("http://leetcode.com/problems/",Github!C$1013), Github!B$1013)</f>
        <v>Numbers With Repeated Digits</v>
      </c>
      <c r="C1437" s="10">
        <f>Github!F$1013</f>
        <v>396</v>
      </c>
      <c r="D1437" s="10">
        <f>Github!G$1013</f>
        <v>64</v>
      </c>
      <c r="E1437" s="10">
        <f>Github!F$1013+Github!G$1013</f>
        <v>460</v>
      </c>
      <c r="F1437" s="12">
        <f t="shared" si="1"/>
        <v>6.19</v>
      </c>
      <c r="G1437" s="10" t="str">
        <f>Github!H$1013</f>
        <v>Algorithms</v>
      </c>
      <c r="H1437" s="13" t="str">
        <f>SUBSTITUTE(Github!L$1013, ";", ", ")</f>
        <v>Math, Dynamic Programming, </v>
      </c>
      <c r="I1437" s="10" t="str">
        <f>Github!E$1013</f>
        <v>Hard</v>
      </c>
      <c r="J1437" s="10" t="str">
        <f>IF(TRIM(Github!D$1013)="TRUE","FALSE","TRUE")</f>
        <v>TRUE</v>
      </c>
      <c r="K1437" s="10" t="b">
        <f>Github!M$1013</f>
        <v>0</v>
      </c>
      <c r="L1437" s="10" t="b">
        <f>Github!N$1013</f>
        <v>0</v>
      </c>
      <c r="M1437" s="10" t="str">
        <f>ROUND(Github!O$1013, 2)&amp;"%"</f>
        <v>38.51%</v>
      </c>
      <c r="N1437" s="10">
        <f>Github!P$1013</f>
        <v>9062</v>
      </c>
      <c r="O1437" s="10">
        <f>Github!Q$1013</f>
        <v>23534</v>
      </c>
    </row>
    <row r="1438">
      <c r="A1438" s="10">
        <f>Github!J$1364</f>
        <v>1363</v>
      </c>
      <c r="B1438" s="11" t="str">
        <f>HYPERLINK(CONCAT("http://leetcode.com/problems/",Github!C$1364), Github!B$1364)</f>
        <v>Largest Multiple of Three</v>
      </c>
      <c r="C1438" s="10">
        <f>Github!F$1364</f>
        <v>396</v>
      </c>
      <c r="D1438" s="10">
        <f>Github!G$1364</f>
        <v>56</v>
      </c>
      <c r="E1438" s="10">
        <f>Github!F$1364+Github!G$1364</f>
        <v>452</v>
      </c>
      <c r="F1438" s="12">
        <f t="shared" si="1"/>
        <v>7.07</v>
      </c>
      <c r="G1438" s="10" t="str">
        <f>Github!H$1364</f>
        <v>Algorithms</v>
      </c>
      <c r="H1438" s="13" t="str">
        <f>SUBSTITUTE(Github!L$1364, ";", ", ")</f>
        <v>Array, Dynamic Programming, Greedy, </v>
      </c>
      <c r="I1438" s="10" t="str">
        <f>Github!E$1364</f>
        <v>Hard</v>
      </c>
      <c r="J1438" s="10" t="str">
        <f>IF(TRIM(Github!D$1364)="TRUE","FALSE","TRUE")</f>
        <v>TRUE</v>
      </c>
      <c r="K1438" s="10" t="b">
        <f>Github!M$1364</f>
        <v>0</v>
      </c>
      <c r="L1438" s="10" t="b">
        <f>Github!N$1364</f>
        <v>0</v>
      </c>
      <c r="M1438" s="10" t="str">
        <f>ROUND(Github!O$1364, 2)&amp;"%"</f>
        <v>34.14%</v>
      </c>
      <c r="N1438" s="10">
        <f>Github!P$1364</f>
        <v>13768</v>
      </c>
      <c r="O1438" s="10">
        <f>Github!Q$1364</f>
        <v>40327</v>
      </c>
    </row>
    <row r="1439">
      <c r="A1439" s="10">
        <f>Github!J$1992</f>
        <v>1991</v>
      </c>
      <c r="B1439" s="11" t="str">
        <f>HYPERLINK(CONCAT("http://leetcode.com/problems/",Github!C$1992), Github!B$1992)</f>
        <v>Find the Middle Index in Array</v>
      </c>
      <c r="C1439" s="10">
        <f>Github!F$1992</f>
        <v>407</v>
      </c>
      <c r="D1439" s="10">
        <f>Github!G$1992</f>
        <v>19</v>
      </c>
      <c r="E1439" s="10">
        <f>Github!F$1992+Github!G$1992</f>
        <v>426</v>
      </c>
      <c r="F1439" s="12">
        <f t="shared" si="1"/>
        <v>21.42</v>
      </c>
      <c r="G1439" s="10" t="str">
        <f>Github!H$1992</f>
        <v>Algorithms</v>
      </c>
      <c r="H1439" s="13" t="str">
        <f>SUBSTITUTE(Github!L$1992, ";", ", ")</f>
        <v>Array, Prefix Sum, </v>
      </c>
      <c r="I1439" s="10" t="str">
        <f>Github!E$1992</f>
        <v>Easy</v>
      </c>
      <c r="J1439" s="10" t="str">
        <f>IF(TRIM(Github!D$1992)="TRUE","FALSE","TRUE")</f>
        <v>TRUE</v>
      </c>
      <c r="K1439" s="10" t="b">
        <f>Github!M$1992</f>
        <v>0</v>
      </c>
      <c r="L1439" s="10" t="b">
        <f>Github!N$1992</f>
        <v>0</v>
      </c>
      <c r="M1439" s="10" t="str">
        <f>ROUND(Github!O$1992, 2)&amp;"%"</f>
        <v>66.18%</v>
      </c>
      <c r="N1439" s="10">
        <f>Github!P$1992</f>
        <v>26885</v>
      </c>
      <c r="O1439" s="10">
        <f>Github!Q$1992</f>
        <v>40620</v>
      </c>
    </row>
    <row r="1440">
      <c r="A1440" s="10">
        <f>Github!J$2184</f>
        <v>2183</v>
      </c>
      <c r="B1440" s="11" t="str">
        <f>HYPERLINK(CONCAT("http://leetcode.com/problems/",Github!C$2184), Github!B$2184)</f>
        <v>Count Array Pairs Divisible by K</v>
      </c>
      <c r="C1440" s="10">
        <f>Github!F$2184</f>
        <v>397</v>
      </c>
      <c r="D1440" s="10">
        <f>Github!G$2184</f>
        <v>21</v>
      </c>
      <c r="E1440" s="10">
        <f>Github!F$2184+Github!G$2184</f>
        <v>418</v>
      </c>
      <c r="F1440" s="12">
        <f t="shared" si="1"/>
        <v>18.9</v>
      </c>
      <c r="G1440" s="10" t="str">
        <f>Github!H$2184</f>
        <v>Algorithms</v>
      </c>
      <c r="H1440" s="13" t="str">
        <f>SUBSTITUTE(Github!L$2184, ";", ", ")</f>
        <v>Array, Math, Number Theory, </v>
      </c>
      <c r="I1440" s="10" t="str">
        <f>Github!E$2184</f>
        <v>Hard</v>
      </c>
      <c r="J1440" s="10" t="str">
        <f>IF(TRIM(Github!D$2184)="TRUE","FALSE","TRUE")</f>
        <v>TRUE</v>
      </c>
      <c r="K1440" s="10" t="b">
        <f>Github!M$2184</f>
        <v>0</v>
      </c>
      <c r="L1440" s="10" t="b">
        <f>Github!N$2184</f>
        <v>0</v>
      </c>
      <c r="M1440" s="10" t="str">
        <f>ROUND(Github!O$2184, 2)&amp;"%"</f>
        <v>26.64%</v>
      </c>
      <c r="N1440" s="10">
        <f>Github!P$2184</f>
        <v>7743</v>
      </c>
      <c r="O1440" s="10">
        <f>Github!Q$2184</f>
        <v>29069</v>
      </c>
    </row>
    <row r="1441">
      <c r="A1441" s="10">
        <f>Github!J$1840</f>
        <v>1839</v>
      </c>
      <c r="B1441" s="11" t="str">
        <f>HYPERLINK(CONCAT("http://leetcode.com/problems/",Github!C$1840), Github!B$1840)</f>
        <v>Longest Substring Of All Vowels in Order</v>
      </c>
      <c r="C1441" s="10">
        <f>Github!F$1840</f>
        <v>396</v>
      </c>
      <c r="D1441" s="10">
        <f>Github!G$1840</f>
        <v>13</v>
      </c>
      <c r="E1441" s="10">
        <f>Github!F$1840+Github!G$1840</f>
        <v>409</v>
      </c>
      <c r="F1441" s="12">
        <f t="shared" si="1"/>
        <v>30.46</v>
      </c>
      <c r="G1441" s="10" t="str">
        <f>Github!H$1840</f>
        <v>Algorithms</v>
      </c>
      <c r="H1441" s="13" t="str">
        <f>SUBSTITUTE(Github!L$1840, ";", ", ")</f>
        <v>String, Sliding Window, </v>
      </c>
      <c r="I1441" s="10" t="str">
        <f>Github!E$1840</f>
        <v>Medium</v>
      </c>
      <c r="J1441" s="10" t="str">
        <f>IF(TRIM(Github!D$1840)="TRUE","FALSE","TRUE")</f>
        <v>TRUE</v>
      </c>
      <c r="K1441" s="10" t="b">
        <f>Github!M$1840</f>
        <v>0</v>
      </c>
      <c r="L1441" s="10" t="b">
        <f>Github!N$1840</f>
        <v>0</v>
      </c>
      <c r="M1441" s="10" t="str">
        <f>ROUND(Github!O$1840, 2)&amp;"%"</f>
        <v>47.94%</v>
      </c>
      <c r="N1441" s="10">
        <f>Github!P$1840</f>
        <v>18202</v>
      </c>
      <c r="O1441" s="10">
        <f>Github!Q$1840</f>
        <v>37967</v>
      </c>
    </row>
    <row r="1442">
      <c r="A1442" s="10">
        <f>Github!J$1438</f>
        <v>1437</v>
      </c>
      <c r="B1442" s="11" t="str">
        <f>HYPERLINK(CONCAT("http://leetcode.com/problems/",Github!C$1438), Github!B$1438)</f>
        <v>Check If All 1's Are at Least Length K Places Away</v>
      </c>
      <c r="C1442" s="10">
        <f>Github!F$1438</f>
        <v>398</v>
      </c>
      <c r="D1442" s="10">
        <f>Github!G$1438</f>
        <v>193</v>
      </c>
      <c r="E1442" s="10">
        <f>Github!F$1438+Github!G$1438</f>
        <v>591</v>
      </c>
      <c r="F1442" s="12">
        <f t="shared" si="1"/>
        <v>2.06</v>
      </c>
      <c r="G1442" s="10" t="str">
        <f>Github!H$1438</f>
        <v>Algorithms</v>
      </c>
      <c r="H1442" s="13" t="str">
        <f>SUBSTITUTE(Github!L$1438, ";", ", ")</f>
        <v>Array, </v>
      </c>
      <c r="I1442" s="10" t="str">
        <f>Github!E$1438</f>
        <v>Easy</v>
      </c>
      <c r="J1442" s="10" t="str">
        <f>IF(TRIM(Github!D$1438)="TRUE","FALSE","TRUE")</f>
        <v>TRUE</v>
      </c>
      <c r="K1442" s="10" t="b">
        <f>Github!M$1438</f>
        <v>1</v>
      </c>
      <c r="L1442" s="10" t="b">
        <f>Github!N$1438</f>
        <v>0</v>
      </c>
      <c r="M1442" s="10" t="str">
        <f>ROUND(Github!O$1438, 2)&amp;"%"</f>
        <v>59.95%</v>
      </c>
      <c r="N1442" s="10">
        <f>Github!P$1438</f>
        <v>57556</v>
      </c>
      <c r="O1442" s="10">
        <f>Github!Q$1438</f>
        <v>96001</v>
      </c>
    </row>
    <row r="1443">
      <c r="A1443" s="10">
        <f>Github!J$2050</f>
        <v>2049</v>
      </c>
      <c r="B1443" s="11" t="str">
        <f>HYPERLINK(CONCAT("http://leetcode.com/problems/",Github!C$2050), Github!B$2050)</f>
        <v>Count Nodes With the Highest Score</v>
      </c>
      <c r="C1443" s="10">
        <f>Github!F$2050</f>
        <v>400</v>
      </c>
      <c r="D1443" s="10">
        <f>Github!G$2050</f>
        <v>26</v>
      </c>
      <c r="E1443" s="10">
        <f>Github!F$2050+Github!G$2050</f>
        <v>426</v>
      </c>
      <c r="F1443" s="12">
        <f t="shared" si="1"/>
        <v>15.38</v>
      </c>
      <c r="G1443" s="10" t="str">
        <f>Github!H$2050</f>
        <v>Algorithms</v>
      </c>
      <c r="H1443" s="13" t="str">
        <f>SUBSTITUTE(Github!L$2050, ";", ", ")</f>
        <v>Array, Tree, Depth-First Search, Binary Tree, </v>
      </c>
      <c r="I1443" s="10" t="str">
        <f>Github!E$2050</f>
        <v>Medium</v>
      </c>
      <c r="J1443" s="10" t="str">
        <f>IF(TRIM(Github!D$2050)="TRUE","FALSE","TRUE")</f>
        <v>TRUE</v>
      </c>
      <c r="K1443" s="10" t="b">
        <f>Github!M$2050</f>
        <v>0</v>
      </c>
      <c r="L1443" s="10" t="b">
        <f>Github!N$2050</f>
        <v>0</v>
      </c>
      <c r="M1443" s="10" t="str">
        <f>ROUND(Github!O$2050, 2)&amp;"%"</f>
        <v>46.31%</v>
      </c>
      <c r="N1443" s="10">
        <f>Github!P$2050</f>
        <v>9747</v>
      </c>
      <c r="O1443" s="10">
        <f>Github!Q$2050</f>
        <v>21050</v>
      </c>
    </row>
    <row r="1444">
      <c r="A1444" s="10">
        <f>Github!J$1002</f>
        <v>1001</v>
      </c>
      <c r="B1444" s="11" t="str">
        <f>HYPERLINK(CONCAT("http://leetcode.com/problems/",Github!C$1002), Github!B$1002)</f>
        <v>Grid Illumination</v>
      </c>
      <c r="C1444" s="10">
        <f>Github!F$1002</f>
        <v>394</v>
      </c>
      <c r="D1444" s="10">
        <f>Github!G$1002</f>
        <v>104</v>
      </c>
      <c r="E1444" s="10">
        <f>Github!F$1002+Github!G$1002</f>
        <v>498</v>
      </c>
      <c r="F1444" s="12">
        <f t="shared" si="1"/>
        <v>3.79</v>
      </c>
      <c r="G1444" s="10" t="str">
        <f>Github!H$1002</f>
        <v>Algorithms</v>
      </c>
      <c r="H1444" s="13" t="str">
        <f>SUBSTITUTE(Github!L$1002, ";", ", ")</f>
        <v>Array, Hash Table, </v>
      </c>
      <c r="I1444" s="10" t="str">
        <f>Github!E$1002</f>
        <v>Hard</v>
      </c>
      <c r="J1444" s="10" t="str">
        <f>IF(TRIM(Github!D$1002)="TRUE","FALSE","TRUE")</f>
        <v>TRUE</v>
      </c>
      <c r="K1444" s="10" t="b">
        <f>Github!M$1002</f>
        <v>0</v>
      </c>
      <c r="L1444" s="10" t="b">
        <f>Github!N$1002</f>
        <v>0</v>
      </c>
      <c r="M1444" s="10" t="str">
        <f>ROUND(Github!O$1002, 2)&amp;"%"</f>
        <v>36.14%</v>
      </c>
      <c r="N1444" s="10">
        <f>Github!P$1002</f>
        <v>15005</v>
      </c>
      <c r="O1444" s="10">
        <f>Github!Q$1002</f>
        <v>41519</v>
      </c>
    </row>
    <row r="1445">
      <c r="A1445" s="10">
        <f>Github!J$1243</f>
        <v>1242</v>
      </c>
      <c r="B1445" s="11" t="str">
        <f>HYPERLINK(CONCAT("http://leetcode.com/problems/",Github!C$1243), Github!B$1243)</f>
        <v>Web Crawler Multithreaded</v>
      </c>
      <c r="C1445" s="10">
        <f>Github!F$1243</f>
        <v>396</v>
      </c>
      <c r="D1445" s="10">
        <f>Github!G$1243</f>
        <v>71</v>
      </c>
      <c r="E1445" s="10">
        <f>Github!F$1243+Github!G$1243</f>
        <v>467</v>
      </c>
      <c r="F1445" s="12">
        <f t="shared" si="1"/>
        <v>5.58</v>
      </c>
      <c r="G1445" s="10" t="str">
        <f>Github!H$1243</f>
        <v>Concurrency</v>
      </c>
      <c r="H1445" s="13" t="str">
        <f>SUBSTITUTE(Github!L$1243, ";", ", ")</f>
        <v>Depth-First Search, Breadth-First Search, Concurrency, </v>
      </c>
      <c r="I1445" s="10" t="str">
        <f>Github!E$1243</f>
        <v>Medium</v>
      </c>
      <c r="J1445" s="10" t="str">
        <f>IF(TRIM(Github!D$1243)="TRUE","FALSE","TRUE")</f>
        <v>FALSE</v>
      </c>
      <c r="K1445" s="10" t="b">
        <f>Github!M$1243</f>
        <v>0</v>
      </c>
      <c r="L1445" s="10" t="b">
        <f>Github!N$1243</f>
        <v>0</v>
      </c>
      <c r="M1445" s="10" t="str">
        <f>ROUND(Github!O$1243, 2)&amp;"%"</f>
        <v>48.59%</v>
      </c>
      <c r="N1445" s="10">
        <f>Github!P$1243</f>
        <v>32978</v>
      </c>
      <c r="O1445" s="10">
        <f>Github!Q$1243</f>
        <v>67863</v>
      </c>
    </row>
    <row r="1446">
      <c r="A1446" s="10">
        <f>Github!J$884</f>
        <v>883</v>
      </c>
      <c r="B1446" s="11" t="str">
        <f>HYPERLINK(CONCAT("http://leetcode.com/problems/",Github!C$884), Github!B$884)</f>
        <v>Projection Area of 3D Shapes</v>
      </c>
      <c r="C1446" s="10">
        <f>Github!F$884</f>
        <v>393</v>
      </c>
      <c r="D1446" s="10">
        <f>Github!G$884</f>
        <v>1142</v>
      </c>
      <c r="E1446" s="10">
        <f>Github!F$884+Github!G$884</f>
        <v>1535</v>
      </c>
      <c r="F1446" s="12">
        <f t="shared" si="1"/>
        <v>0.34</v>
      </c>
      <c r="G1446" s="10" t="str">
        <f>Github!H$884</f>
        <v>Algorithms</v>
      </c>
      <c r="H1446" s="13" t="str">
        <f>SUBSTITUTE(Github!L$884, ";", ", ")</f>
        <v>Array, Math, Geometry, Matrix, </v>
      </c>
      <c r="I1446" s="10" t="str">
        <f>Github!E$884</f>
        <v>Easy</v>
      </c>
      <c r="J1446" s="10" t="str">
        <f>IF(TRIM(Github!D$884)="TRUE","FALSE","TRUE")</f>
        <v>TRUE</v>
      </c>
      <c r="K1446" s="10" t="b">
        <f>Github!M$884</f>
        <v>1</v>
      </c>
      <c r="L1446" s="10" t="b">
        <f>Github!N$884</f>
        <v>0</v>
      </c>
      <c r="M1446" s="10" t="str">
        <f>ROUND(Github!O$884, 2)&amp;"%"</f>
        <v>70.09%</v>
      </c>
      <c r="N1446" s="10">
        <f>Github!P$884</f>
        <v>40442</v>
      </c>
      <c r="O1446" s="10">
        <f>Github!Q$884</f>
        <v>57703</v>
      </c>
    </row>
    <row r="1447">
      <c r="A1447" s="10">
        <f>Github!J$2055</f>
        <v>2054</v>
      </c>
      <c r="B1447" s="11" t="str">
        <f>HYPERLINK(CONCAT("http://leetcode.com/problems/",Github!C$2055), Github!B$2055)</f>
        <v>Two Best Non-Overlapping Events</v>
      </c>
      <c r="C1447" s="10">
        <f>Github!F$2055</f>
        <v>394</v>
      </c>
      <c r="D1447" s="10">
        <f>Github!G$2055</f>
        <v>7</v>
      </c>
      <c r="E1447" s="10">
        <f>Github!F$2055+Github!G$2055</f>
        <v>401</v>
      </c>
      <c r="F1447" s="12">
        <f t="shared" si="1"/>
        <v>56.29</v>
      </c>
      <c r="G1447" s="10" t="str">
        <f>Github!H$2055</f>
        <v>Algorithms</v>
      </c>
      <c r="H1447" s="13" t="str">
        <f>SUBSTITUTE(Github!L$2055, ";", ", ")</f>
        <v>Array, Binary Search, Dynamic Programming, Sorting, Heap (Priority Queue), </v>
      </c>
      <c r="I1447" s="10" t="str">
        <f>Github!E$2055</f>
        <v>Medium</v>
      </c>
      <c r="J1447" s="10" t="str">
        <f>IF(TRIM(Github!D$2055)="TRUE","FALSE","TRUE")</f>
        <v>TRUE</v>
      </c>
      <c r="K1447" s="10" t="b">
        <f>Github!M$2055</f>
        <v>0</v>
      </c>
      <c r="L1447" s="10" t="b">
        <f>Github!N$2055</f>
        <v>0</v>
      </c>
      <c r="M1447" s="10" t="str">
        <f>ROUND(Github!O$2055, 2)&amp;"%"</f>
        <v>43.27%</v>
      </c>
      <c r="N1447" s="10">
        <f>Github!P$2055</f>
        <v>8521</v>
      </c>
      <c r="O1447" s="10">
        <f>Github!Q$2055</f>
        <v>19692</v>
      </c>
    </row>
    <row r="1448">
      <c r="A1448" s="10">
        <f>Github!J$2182</f>
        <v>2181</v>
      </c>
      <c r="B1448" s="11" t="str">
        <f>HYPERLINK(CONCAT("http://leetcode.com/problems/",Github!C$2182), Github!B$2182)</f>
        <v>Merge Nodes in Between Zeros</v>
      </c>
      <c r="C1448" s="10">
        <f>Github!F$2182</f>
        <v>409</v>
      </c>
      <c r="D1448" s="10">
        <f>Github!G$2182</f>
        <v>11</v>
      </c>
      <c r="E1448" s="10">
        <f>Github!F$2182+Github!G$2182</f>
        <v>420</v>
      </c>
      <c r="F1448" s="12">
        <f t="shared" si="1"/>
        <v>37.18</v>
      </c>
      <c r="G1448" s="10" t="str">
        <f>Github!H$2182</f>
        <v>Algorithms</v>
      </c>
      <c r="H1448" s="13" t="str">
        <f>SUBSTITUTE(Github!L$2182, ";", ", ")</f>
        <v>Linked List, Simulation, </v>
      </c>
      <c r="I1448" s="10" t="str">
        <f>Github!E$2182</f>
        <v>Medium</v>
      </c>
      <c r="J1448" s="10" t="str">
        <f>IF(TRIM(Github!D$2182)="TRUE","FALSE","TRUE")</f>
        <v>TRUE</v>
      </c>
      <c r="K1448" s="10" t="b">
        <f>Github!M$2182</f>
        <v>0</v>
      </c>
      <c r="L1448" s="10" t="b">
        <f>Github!N$2182</f>
        <v>0</v>
      </c>
      <c r="M1448" s="10" t="str">
        <f>ROUND(Github!O$2182, 2)&amp;"%"</f>
        <v>87.06%</v>
      </c>
      <c r="N1448" s="10">
        <f>Github!P$2182</f>
        <v>28583</v>
      </c>
      <c r="O1448" s="10">
        <f>Github!Q$2182</f>
        <v>32830</v>
      </c>
    </row>
    <row r="1449">
      <c r="A1449" s="10">
        <f>Github!J$1954</f>
        <v>1953</v>
      </c>
      <c r="B1449" s="11" t="str">
        <f>HYPERLINK(CONCAT("http://leetcode.com/problems/",Github!C$1954), Github!B$1954)</f>
        <v>Maximum Number of Weeks for Which You Can Work</v>
      </c>
      <c r="C1449" s="10">
        <f>Github!F$1954</f>
        <v>390</v>
      </c>
      <c r="D1449" s="10">
        <f>Github!G$1954</f>
        <v>98</v>
      </c>
      <c r="E1449" s="10">
        <f>Github!F$1954+Github!G$1954</f>
        <v>488</v>
      </c>
      <c r="F1449" s="12">
        <f t="shared" si="1"/>
        <v>3.98</v>
      </c>
      <c r="G1449" s="10" t="str">
        <f>Github!H$1954</f>
        <v>Algorithms</v>
      </c>
      <c r="H1449" s="13" t="str">
        <f>SUBSTITUTE(Github!L$1954, ";", ", ")</f>
        <v>Array, Greedy, </v>
      </c>
      <c r="I1449" s="10" t="str">
        <f>Github!E$1954</f>
        <v>Medium</v>
      </c>
      <c r="J1449" s="10" t="str">
        <f>IF(TRIM(Github!D$1954)="TRUE","FALSE","TRUE")</f>
        <v>TRUE</v>
      </c>
      <c r="K1449" s="10" t="b">
        <f>Github!M$1954</f>
        <v>0</v>
      </c>
      <c r="L1449" s="10" t="b">
        <f>Github!N$1954</f>
        <v>0</v>
      </c>
      <c r="M1449" s="10" t="str">
        <f>ROUND(Github!O$1954, 2)&amp;"%"</f>
        <v>37.54%</v>
      </c>
      <c r="N1449" s="10">
        <f>Github!P$1954</f>
        <v>14412</v>
      </c>
      <c r="O1449" s="10">
        <f>Github!Q$1954</f>
        <v>38389</v>
      </c>
    </row>
    <row r="1450">
      <c r="A1450" s="10">
        <f>Github!J$432</f>
        <v>431</v>
      </c>
      <c r="B1450" s="11" t="str">
        <f>HYPERLINK(CONCAT("http://leetcode.com/problems/",Github!C$432), Github!B$432)</f>
        <v>Encode N-ary Tree to Binary Tree</v>
      </c>
      <c r="C1450" s="10">
        <f>Github!F$432</f>
        <v>387</v>
      </c>
      <c r="D1450" s="10">
        <f>Github!G$432</f>
        <v>21</v>
      </c>
      <c r="E1450" s="10">
        <f>Github!F$432+Github!G$432</f>
        <v>408</v>
      </c>
      <c r="F1450" s="12">
        <f t="shared" si="1"/>
        <v>18.43</v>
      </c>
      <c r="G1450" s="10" t="str">
        <f>Github!H$432</f>
        <v>Algorithms</v>
      </c>
      <c r="H1450" s="13" t="str">
        <f>SUBSTITUTE(Github!L$432, ";", ", ")</f>
        <v>Tree, Depth-First Search, Breadth-First Search, Design, Binary Tree, </v>
      </c>
      <c r="I1450" s="10" t="str">
        <f>Github!E$432</f>
        <v>Hard</v>
      </c>
      <c r="J1450" s="10" t="str">
        <f>IF(TRIM(Github!D$432)="TRUE","FALSE","TRUE")</f>
        <v>FALSE</v>
      </c>
      <c r="K1450" s="10" t="b">
        <f>Github!M$432</f>
        <v>1</v>
      </c>
      <c r="L1450" s="10" t="b">
        <f>Github!N$432</f>
        <v>0</v>
      </c>
      <c r="M1450" s="10" t="str">
        <f>ROUND(Github!O$432, 2)&amp;"%"</f>
        <v>76.5%</v>
      </c>
      <c r="N1450" s="10">
        <f>Github!P$432</f>
        <v>15097</v>
      </c>
      <c r="O1450" s="10">
        <f>Github!Q$432</f>
        <v>19734</v>
      </c>
    </row>
    <row r="1451">
      <c r="A1451" s="10">
        <f>Github!J$1215</f>
        <v>1214</v>
      </c>
      <c r="B1451" s="11" t="str">
        <f>HYPERLINK(CONCAT("http://leetcode.com/problems/",Github!C$1215), Github!B$1215)</f>
        <v>Two Sum BSTs</v>
      </c>
      <c r="C1451" s="10">
        <f>Github!F$1215</f>
        <v>389</v>
      </c>
      <c r="D1451" s="10">
        <f>Github!G$1215</f>
        <v>37</v>
      </c>
      <c r="E1451" s="10">
        <f>Github!F$1215+Github!G$1215</f>
        <v>426</v>
      </c>
      <c r="F1451" s="12">
        <f t="shared" si="1"/>
        <v>10.51</v>
      </c>
      <c r="G1451" s="10" t="str">
        <f>Github!H$1215</f>
        <v>Algorithms</v>
      </c>
      <c r="H1451" s="13" t="str">
        <f>SUBSTITUTE(Github!L$1215, ";", ", ")</f>
        <v>Two Pointers, Binary Search, Stack, Tree, Depth-First Search, Binary Search Tree, Binary Tree, </v>
      </c>
      <c r="I1451" s="10" t="str">
        <f>Github!E$1215</f>
        <v>Medium</v>
      </c>
      <c r="J1451" s="10" t="str">
        <f>IF(TRIM(Github!D$1215)="TRUE","FALSE","TRUE")</f>
        <v>FALSE</v>
      </c>
      <c r="K1451" s="10" t="b">
        <f>Github!M$1215</f>
        <v>1</v>
      </c>
      <c r="L1451" s="10" t="b">
        <f>Github!N$1215</f>
        <v>0</v>
      </c>
      <c r="M1451" s="10" t="str">
        <f>ROUND(Github!O$1215, 2)&amp;"%"</f>
        <v>66.54%</v>
      </c>
      <c r="N1451" s="10">
        <f>Github!P$1215</f>
        <v>32655</v>
      </c>
      <c r="O1451" s="10">
        <f>Github!Q$1215</f>
        <v>49079</v>
      </c>
    </row>
    <row r="1452">
      <c r="A1452" s="10">
        <f>Github!J$737</f>
        <v>736</v>
      </c>
      <c r="B1452" s="11" t="str">
        <f>HYPERLINK(CONCAT("http://leetcode.com/problems/",Github!C$737), Github!B$737)</f>
        <v>Parse Lisp Expression</v>
      </c>
      <c r="C1452" s="10">
        <f>Github!F$737</f>
        <v>386</v>
      </c>
      <c r="D1452" s="10">
        <f>Github!G$737</f>
        <v>306</v>
      </c>
      <c r="E1452" s="10">
        <f>Github!F$737+Github!G$737</f>
        <v>692</v>
      </c>
      <c r="F1452" s="12">
        <f t="shared" si="1"/>
        <v>1.26</v>
      </c>
      <c r="G1452" s="10" t="str">
        <f>Github!H$737</f>
        <v>Algorithms</v>
      </c>
      <c r="H1452" s="13" t="str">
        <f>SUBSTITUTE(Github!L$737, ";", ", ")</f>
        <v>Hash Table, String, Stack, Recursion, </v>
      </c>
      <c r="I1452" s="10" t="str">
        <f>Github!E$737</f>
        <v>Hard</v>
      </c>
      <c r="J1452" s="10" t="str">
        <f>IF(TRIM(Github!D$737)="TRUE","FALSE","TRUE")</f>
        <v>TRUE</v>
      </c>
      <c r="K1452" s="10" t="b">
        <f>Github!M$737</f>
        <v>0</v>
      </c>
      <c r="L1452" s="10" t="b">
        <f>Github!N$737</f>
        <v>0</v>
      </c>
      <c r="M1452" s="10" t="str">
        <f>ROUND(Github!O$737, 2)&amp;"%"</f>
        <v>51.15%</v>
      </c>
      <c r="N1452" s="10">
        <f>Github!P$737</f>
        <v>18456</v>
      </c>
      <c r="O1452" s="10">
        <f>Github!Q$737</f>
        <v>36080</v>
      </c>
    </row>
    <row r="1453">
      <c r="A1453" s="10">
        <f>Github!J$2079</f>
        <v>2078</v>
      </c>
      <c r="B1453" s="11" t="str">
        <f>HYPERLINK(CONCAT("http://leetcode.com/problems/",Github!C$2079), Github!B$2079)</f>
        <v>Two Furthest Houses With Different Colors</v>
      </c>
      <c r="C1453" s="10">
        <f>Github!F$2079</f>
        <v>398</v>
      </c>
      <c r="D1453" s="10">
        <f>Github!G$2079</f>
        <v>11</v>
      </c>
      <c r="E1453" s="10">
        <f>Github!F$2079+Github!G$2079</f>
        <v>409</v>
      </c>
      <c r="F1453" s="12">
        <f t="shared" si="1"/>
        <v>36.18</v>
      </c>
      <c r="G1453" s="10" t="str">
        <f>Github!H$2079</f>
        <v>Algorithms</v>
      </c>
      <c r="H1453" s="13" t="str">
        <f>SUBSTITUTE(Github!L$2079, ";", ", ")</f>
        <v>Array, Greedy, </v>
      </c>
      <c r="I1453" s="10" t="str">
        <f>Github!E$2079</f>
        <v>Easy</v>
      </c>
      <c r="J1453" s="10" t="str">
        <f>IF(TRIM(Github!D$2079)="TRUE","FALSE","TRUE")</f>
        <v>TRUE</v>
      </c>
      <c r="K1453" s="10" t="b">
        <f>Github!M$2079</f>
        <v>0</v>
      </c>
      <c r="L1453" s="10" t="b">
        <f>Github!N$2079</f>
        <v>0</v>
      </c>
      <c r="M1453" s="10" t="str">
        <f>ROUND(Github!O$2079, 2)&amp;"%"</f>
        <v>68.55%</v>
      </c>
      <c r="N1453" s="10">
        <f>Github!P$2079</f>
        <v>23965</v>
      </c>
      <c r="O1453" s="10">
        <f>Github!Q$2079</f>
        <v>34960</v>
      </c>
    </row>
    <row r="1454">
      <c r="A1454" s="10">
        <f>Github!J$2132</f>
        <v>2131</v>
      </c>
      <c r="B1454" s="11" t="str">
        <f>HYPERLINK(CONCAT("http://leetcode.com/problems/",Github!C$2132), Github!B$2132)</f>
        <v>Longest Palindrome by Concatenating Two Letter Words</v>
      </c>
      <c r="C1454" s="10">
        <f>Github!F$2132</f>
        <v>388</v>
      </c>
      <c r="D1454" s="10">
        <f>Github!G$2132</f>
        <v>8</v>
      </c>
      <c r="E1454" s="10">
        <f>Github!F$2132+Github!G$2132</f>
        <v>396</v>
      </c>
      <c r="F1454" s="12">
        <f t="shared" si="1"/>
        <v>48.5</v>
      </c>
      <c r="G1454" s="10" t="str">
        <f>Github!H$2132</f>
        <v>Algorithms</v>
      </c>
      <c r="H1454" s="13" t="str">
        <f>SUBSTITUTE(Github!L$2132, ";", ", ")</f>
        <v>Array, Hash Table, String, Greedy, Counting, </v>
      </c>
      <c r="I1454" s="10" t="str">
        <f>Github!E$2132</f>
        <v>Medium</v>
      </c>
      <c r="J1454" s="10" t="str">
        <f>IF(TRIM(Github!D$2132)="TRUE","FALSE","TRUE")</f>
        <v>TRUE</v>
      </c>
      <c r="K1454" s="10" t="b">
        <f>Github!M$2132</f>
        <v>0</v>
      </c>
      <c r="L1454" s="10" t="b">
        <f>Github!N$2132</f>
        <v>0</v>
      </c>
      <c r="M1454" s="10" t="str">
        <f>ROUND(Github!O$2132, 2)&amp;"%"</f>
        <v>38.41%</v>
      </c>
      <c r="N1454" s="10">
        <f>Github!P$2132</f>
        <v>13244</v>
      </c>
      <c r="O1454" s="10">
        <f>Github!Q$2132</f>
        <v>34485</v>
      </c>
    </row>
    <row r="1455">
      <c r="A1455" s="10">
        <f>Github!J$1520</f>
        <v>1519</v>
      </c>
      <c r="B1455" s="11" t="str">
        <f>HYPERLINK(CONCAT("http://leetcode.com/problems/",Github!C$1520), Github!B$1520)</f>
        <v>Number of Nodes in the Sub-Tree With the Same Label</v>
      </c>
      <c r="C1455" s="10">
        <f>Github!F$1520</f>
        <v>386</v>
      </c>
      <c r="D1455" s="10">
        <f>Github!G$1520</f>
        <v>359</v>
      </c>
      <c r="E1455" s="10">
        <f>Github!F$1520+Github!G$1520</f>
        <v>745</v>
      </c>
      <c r="F1455" s="12">
        <f t="shared" si="1"/>
        <v>1.08</v>
      </c>
      <c r="G1455" s="10" t="str">
        <f>Github!H$1520</f>
        <v>Algorithms</v>
      </c>
      <c r="H1455" s="13" t="str">
        <f>SUBSTITUTE(Github!L$1520, ";", ", ")</f>
        <v>Hash Table, Tree, Depth-First Search, Breadth-First Search, Counting, </v>
      </c>
      <c r="I1455" s="10" t="str">
        <f>Github!E$1520</f>
        <v>Medium</v>
      </c>
      <c r="J1455" s="10" t="str">
        <f>IF(TRIM(Github!D$1520)="TRUE","FALSE","TRUE")</f>
        <v>TRUE</v>
      </c>
      <c r="K1455" s="10" t="b">
        <f>Github!M$1520</f>
        <v>0</v>
      </c>
      <c r="L1455" s="10" t="b">
        <f>Github!N$1520</f>
        <v>0</v>
      </c>
      <c r="M1455" s="10" t="str">
        <f>ROUND(Github!O$1520, 2)&amp;"%"</f>
        <v>39.87%</v>
      </c>
      <c r="N1455" s="10">
        <f>Github!P$1520</f>
        <v>16618</v>
      </c>
      <c r="O1455" s="10">
        <f>Github!Q$1520</f>
        <v>41681</v>
      </c>
    </row>
    <row r="1456">
      <c r="A1456" s="10">
        <f>Github!J$549</f>
        <v>548</v>
      </c>
      <c r="B1456" s="11" t="str">
        <f>HYPERLINK(CONCAT("http://leetcode.com/problems/",Github!C$549), Github!B$549)</f>
        <v>Split Array with Equal Sum</v>
      </c>
      <c r="C1456" s="10">
        <f>Github!F$549</f>
        <v>383</v>
      </c>
      <c r="D1456" s="10">
        <f>Github!G$549</f>
        <v>127</v>
      </c>
      <c r="E1456" s="10">
        <f>Github!F$549+Github!G$549</f>
        <v>510</v>
      </c>
      <c r="F1456" s="12">
        <f t="shared" si="1"/>
        <v>3.02</v>
      </c>
      <c r="G1456" s="10" t="str">
        <f>Github!H$549</f>
        <v>Algorithms</v>
      </c>
      <c r="H1456" s="13" t="str">
        <f>SUBSTITUTE(Github!L$549, ";", ", ")</f>
        <v>Array, Prefix Sum, </v>
      </c>
      <c r="I1456" s="10" t="str">
        <f>Github!E$549</f>
        <v>Hard</v>
      </c>
      <c r="J1456" s="10" t="str">
        <f>IF(TRIM(Github!D$549)="TRUE","FALSE","TRUE")</f>
        <v>FALSE</v>
      </c>
      <c r="K1456" s="10" t="b">
        <f>Github!M$549</f>
        <v>1</v>
      </c>
      <c r="L1456" s="10" t="b">
        <f>Github!N$549</f>
        <v>0</v>
      </c>
      <c r="M1456" s="10" t="str">
        <f>ROUND(Github!O$549, 2)&amp;"%"</f>
        <v>49.78%</v>
      </c>
      <c r="N1456" s="10">
        <f>Github!P$549</f>
        <v>22093</v>
      </c>
      <c r="O1456" s="10">
        <f>Github!Q$549</f>
        <v>44383</v>
      </c>
    </row>
    <row r="1457">
      <c r="A1457" s="10">
        <f>Github!J$1960</f>
        <v>1959</v>
      </c>
      <c r="B1457" s="11" t="str">
        <f>HYPERLINK(CONCAT("http://leetcode.com/problems/",Github!C$1960), Github!B$1960)</f>
        <v>Minimum Total Space Wasted With K Resizing Operations</v>
      </c>
      <c r="C1457" s="10">
        <f>Github!F$1960</f>
        <v>385</v>
      </c>
      <c r="D1457" s="10">
        <f>Github!G$1960</f>
        <v>32</v>
      </c>
      <c r="E1457" s="10">
        <f>Github!F$1960+Github!G$1960</f>
        <v>417</v>
      </c>
      <c r="F1457" s="12">
        <f t="shared" si="1"/>
        <v>12.03</v>
      </c>
      <c r="G1457" s="10" t="str">
        <f>Github!H$1960</f>
        <v>Algorithms</v>
      </c>
      <c r="H1457" s="13" t="str">
        <f>SUBSTITUTE(Github!L$1960, ";", ", ")</f>
        <v>Array, Dynamic Programming, </v>
      </c>
      <c r="I1457" s="10" t="str">
        <f>Github!E$1960</f>
        <v>Medium</v>
      </c>
      <c r="J1457" s="10" t="str">
        <f>IF(TRIM(Github!D$1960)="TRUE","FALSE","TRUE")</f>
        <v>TRUE</v>
      </c>
      <c r="K1457" s="10" t="b">
        <f>Github!M$1960</f>
        <v>0</v>
      </c>
      <c r="L1457" s="10" t="b">
        <f>Github!N$1960</f>
        <v>0</v>
      </c>
      <c r="M1457" s="10" t="str">
        <f>ROUND(Github!O$1960, 2)&amp;"%"</f>
        <v>41.67%</v>
      </c>
      <c r="N1457" s="10">
        <f>Github!P$1960</f>
        <v>5217</v>
      </c>
      <c r="O1457" s="10">
        <f>Github!Q$1960</f>
        <v>12520</v>
      </c>
    </row>
    <row r="1458">
      <c r="A1458" s="10">
        <f>Github!J$1845</f>
        <v>1844</v>
      </c>
      <c r="B1458" s="11" t="str">
        <f>HYPERLINK(CONCAT("http://leetcode.com/problems/",Github!C$1845), Github!B$1845)</f>
        <v>Replace All Digits with Characters</v>
      </c>
      <c r="C1458" s="10">
        <f>Github!F$1845</f>
        <v>386</v>
      </c>
      <c r="D1458" s="10">
        <f>Github!G$1845</f>
        <v>47</v>
      </c>
      <c r="E1458" s="10">
        <f>Github!F$1845+Github!G$1845</f>
        <v>433</v>
      </c>
      <c r="F1458" s="12">
        <f t="shared" si="1"/>
        <v>8.21</v>
      </c>
      <c r="G1458" s="10" t="str">
        <f>Github!H$1845</f>
        <v>Algorithms</v>
      </c>
      <c r="H1458" s="13" t="str">
        <f>SUBSTITUTE(Github!L$1845, ";", ", ")</f>
        <v>String, </v>
      </c>
      <c r="I1458" s="10" t="str">
        <f>Github!E$1845</f>
        <v>Easy</v>
      </c>
      <c r="J1458" s="10" t="str">
        <f>IF(TRIM(Github!D$1845)="TRUE","FALSE","TRUE")</f>
        <v>TRUE</v>
      </c>
      <c r="K1458" s="10" t="b">
        <f>Github!M$1845</f>
        <v>0</v>
      </c>
      <c r="L1458" s="10" t="b">
        <f>Github!N$1845</f>
        <v>0</v>
      </c>
      <c r="M1458" s="10" t="str">
        <f>ROUND(Github!O$1845, 2)&amp;"%"</f>
        <v>80.04%</v>
      </c>
      <c r="N1458" s="10">
        <f>Github!P$1845</f>
        <v>39349</v>
      </c>
      <c r="O1458" s="10">
        <f>Github!Q$1845</f>
        <v>49160</v>
      </c>
    </row>
    <row r="1459">
      <c r="A1459" s="10">
        <f>Github!J$1577</f>
        <v>1576</v>
      </c>
      <c r="B1459" s="11" t="str">
        <f>HYPERLINK(CONCAT("http://leetcode.com/problems/",Github!C$1577), Github!B$1577)</f>
        <v>Replace All ?'s to Avoid Consecutive Repeating Characters</v>
      </c>
      <c r="C1459" s="10">
        <f>Github!F$1577</f>
        <v>383</v>
      </c>
      <c r="D1459" s="10">
        <f>Github!G$1577</f>
        <v>144</v>
      </c>
      <c r="E1459" s="10">
        <f>Github!F$1577+Github!G$1577</f>
        <v>527</v>
      </c>
      <c r="F1459" s="12">
        <f t="shared" si="1"/>
        <v>2.66</v>
      </c>
      <c r="G1459" s="10" t="str">
        <f>Github!H$1577</f>
        <v>Algorithms</v>
      </c>
      <c r="H1459" s="13" t="str">
        <f>SUBSTITUTE(Github!L$1577, ";", ", ")</f>
        <v>String, </v>
      </c>
      <c r="I1459" s="10" t="str">
        <f>Github!E$1577</f>
        <v>Easy</v>
      </c>
      <c r="J1459" s="10" t="str">
        <f>IF(TRIM(Github!D$1577)="TRUE","FALSE","TRUE")</f>
        <v>TRUE</v>
      </c>
      <c r="K1459" s="10" t="b">
        <f>Github!M$1577</f>
        <v>0</v>
      </c>
      <c r="L1459" s="10" t="b">
        <f>Github!N$1577</f>
        <v>0</v>
      </c>
      <c r="M1459" s="10" t="str">
        <f>ROUND(Github!O$1577, 2)&amp;"%"</f>
        <v>49.77%</v>
      </c>
      <c r="N1459" s="10">
        <f>Github!P$1577</f>
        <v>43899</v>
      </c>
      <c r="O1459" s="10">
        <f>Github!Q$1577</f>
        <v>88209</v>
      </c>
    </row>
    <row r="1460">
      <c r="A1460" s="10">
        <f>Github!J$2056</f>
        <v>2055</v>
      </c>
      <c r="B1460" s="11" t="str">
        <f>HYPERLINK(CONCAT("http://leetcode.com/problems/",Github!C$2056), Github!B$2056)</f>
        <v>Plates Between Candles</v>
      </c>
      <c r="C1460" s="10">
        <f>Github!F$2056</f>
        <v>388</v>
      </c>
      <c r="D1460" s="10">
        <f>Github!G$2056</f>
        <v>10</v>
      </c>
      <c r="E1460" s="10">
        <f>Github!F$2056+Github!G$2056</f>
        <v>398</v>
      </c>
      <c r="F1460" s="12">
        <f t="shared" si="1"/>
        <v>38.8</v>
      </c>
      <c r="G1460" s="10" t="str">
        <f>Github!H$2056</f>
        <v>Algorithms</v>
      </c>
      <c r="H1460" s="13" t="str">
        <f>SUBSTITUTE(Github!L$2056, ";", ", ")</f>
        <v>Array, String, Binary Search, Prefix Sum, </v>
      </c>
      <c r="I1460" s="10" t="str">
        <f>Github!E$2056</f>
        <v>Medium</v>
      </c>
      <c r="J1460" s="10" t="str">
        <f>IF(TRIM(Github!D$2056)="TRUE","FALSE","TRUE")</f>
        <v>TRUE</v>
      </c>
      <c r="K1460" s="10" t="b">
        <f>Github!M$2056</f>
        <v>0</v>
      </c>
      <c r="L1460" s="10" t="b">
        <f>Github!N$2056</f>
        <v>0</v>
      </c>
      <c r="M1460" s="10" t="str">
        <f>ROUND(Github!O$2056, 2)&amp;"%"</f>
        <v>45.63%</v>
      </c>
      <c r="N1460" s="10">
        <f>Github!P$2056</f>
        <v>10585</v>
      </c>
      <c r="O1460" s="10">
        <f>Github!Q$2056</f>
        <v>23196</v>
      </c>
    </row>
    <row r="1461">
      <c r="A1461" s="10">
        <f>Github!J$1780</f>
        <v>1779</v>
      </c>
      <c r="B1461" s="11" t="str">
        <f>HYPERLINK(CONCAT("http://leetcode.com/problems/",Github!C$1780), Github!B$1780)</f>
        <v>Find Nearest Point That Has the Same X or Y Coordinate</v>
      </c>
      <c r="C1461" s="10">
        <f>Github!F$1780</f>
        <v>390</v>
      </c>
      <c r="D1461" s="10">
        <f>Github!G$1780</f>
        <v>74</v>
      </c>
      <c r="E1461" s="10">
        <f>Github!F$1780+Github!G$1780</f>
        <v>464</v>
      </c>
      <c r="F1461" s="12">
        <f t="shared" si="1"/>
        <v>5.27</v>
      </c>
      <c r="G1461" s="10" t="str">
        <f>Github!H$1780</f>
        <v>Algorithms</v>
      </c>
      <c r="H1461" s="13" t="str">
        <f>SUBSTITUTE(Github!L$1780, ";", ", ")</f>
        <v>Array, </v>
      </c>
      <c r="I1461" s="10" t="str">
        <f>Github!E$1780</f>
        <v>Easy</v>
      </c>
      <c r="J1461" s="10" t="str">
        <f>IF(TRIM(Github!D$1780)="TRUE","FALSE","TRUE")</f>
        <v>TRUE</v>
      </c>
      <c r="K1461" s="10" t="b">
        <f>Github!M$1780</f>
        <v>0</v>
      </c>
      <c r="L1461" s="10" t="b">
        <f>Github!N$1780</f>
        <v>0</v>
      </c>
      <c r="M1461" s="10" t="str">
        <f>ROUND(Github!O$1780, 2)&amp;"%"</f>
        <v>68.09%</v>
      </c>
      <c r="N1461" s="10">
        <f>Github!P$1780</f>
        <v>46228</v>
      </c>
      <c r="O1461" s="10">
        <f>Github!Q$1780</f>
        <v>67890</v>
      </c>
    </row>
    <row r="1462">
      <c r="A1462" s="10">
        <f>Github!J$1569</f>
        <v>1568</v>
      </c>
      <c r="B1462" s="11" t="str">
        <f>HYPERLINK(CONCAT("http://leetcode.com/problems/",Github!C$1569), Github!B$1569)</f>
        <v>Minimum Number of Days to Disconnect Island</v>
      </c>
      <c r="C1462" s="10">
        <f>Github!F$1569</f>
        <v>385</v>
      </c>
      <c r="D1462" s="10">
        <f>Github!G$1569</f>
        <v>121</v>
      </c>
      <c r="E1462" s="10">
        <f>Github!F$1569+Github!G$1569</f>
        <v>506</v>
      </c>
      <c r="F1462" s="12">
        <f t="shared" si="1"/>
        <v>3.18</v>
      </c>
      <c r="G1462" s="10" t="str">
        <f>Github!H$1569</f>
        <v>Algorithms</v>
      </c>
      <c r="H1462" s="13" t="str">
        <f>SUBSTITUTE(Github!L$1569, ";", ", ")</f>
        <v>Array, Depth-First Search, Breadth-First Search, Matrix, Strongly Connected Component, </v>
      </c>
      <c r="I1462" s="10" t="str">
        <f>Github!E$1569</f>
        <v>Hard</v>
      </c>
      <c r="J1462" s="10" t="str">
        <f>IF(TRIM(Github!D$1569)="TRUE","FALSE","TRUE")</f>
        <v>TRUE</v>
      </c>
      <c r="K1462" s="10" t="b">
        <f>Github!M$1569</f>
        <v>0</v>
      </c>
      <c r="L1462" s="10" t="b">
        <f>Github!N$1569</f>
        <v>0</v>
      </c>
      <c r="M1462" s="10" t="str">
        <f>ROUND(Github!O$1569, 2)&amp;"%"</f>
        <v>48.59%</v>
      </c>
      <c r="N1462" s="10">
        <f>Github!P$1569</f>
        <v>8296</v>
      </c>
      <c r="O1462" s="10">
        <f>Github!Q$1569</f>
        <v>17075</v>
      </c>
    </row>
    <row r="1463">
      <c r="A1463" s="10">
        <f>Github!J$498</f>
        <v>497</v>
      </c>
      <c r="B1463" s="11" t="str">
        <f>HYPERLINK(CONCAT("http://leetcode.com/problems/",Github!C$498), Github!B$498)</f>
        <v>Random Point in Non-overlapping Rectangles</v>
      </c>
      <c r="C1463" s="10">
        <f>Github!F$498</f>
        <v>379</v>
      </c>
      <c r="D1463" s="10">
        <f>Github!G$498</f>
        <v>596</v>
      </c>
      <c r="E1463" s="10">
        <f>Github!F$498+Github!G$498</f>
        <v>975</v>
      </c>
      <c r="F1463" s="12">
        <f t="shared" si="1"/>
        <v>0.64</v>
      </c>
      <c r="G1463" s="10" t="str">
        <f>Github!H$498</f>
        <v>Algorithms</v>
      </c>
      <c r="H1463" s="13" t="str">
        <f>SUBSTITUTE(Github!L$498, ";", ", ")</f>
        <v>Math, Binary Search, Reservoir Sampling, Prefix Sum, Ordered Set, Randomized, </v>
      </c>
      <c r="I1463" s="10" t="str">
        <f>Github!E$498</f>
        <v>Medium</v>
      </c>
      <c r="J1463" s="10" t="str">
        <f>IF(TRIM(Github!D$498)="TRUE","FALSE","TRUE")</f>
        <v>TRUE</v>
      </c>
      <c r="K1463" s="10" t="b">
        <f>Github!M$498</f>
        <v>0</v>
      </c>
      <c r="L1463" s="10" t="b">
        <f>Github!N$498</f>
        <v>0</v>
      </c>
      <c r="M1463" s="10" t="str">
        <f>ROUND(Github!O$498, 2)&amp;"%"</f>
        <v>39.13%</v>
      </c>
      <c r="N1463" s="10">
        <f>Github!P$498</f>
        <v>33957</v>
      </c>
      <c r="O1463" s="10">
        <f>Github!Q$498</f>
        <v>86790</v>
      </c>
    </row>
    <row r="1464">
      <c r="A1464" s="10">
        <f>Github!J$1625</f>
        <v>1624</v>
      </c>
      <c r="B1464" s="11" t="str">
        <f>HYPERLINK(CONCAT("http://leetcode.com/problems/",Github!C$1625), Github!B$1625)</f>
        <v>Largest Substring Between Two Equal Characters</v>
      </c>
      <c r="C1464" s="10">
        <f>Github!F$1625</f>
        <v>380</v>
      </c>
      <c r="D1464" s="10">
        <f>Github!G$1625</f>
        <v>24</v>
      </c>
      <c r="E1464" s="10">
        <f>Github!F$1625+Github!G$1625</f>
        <v>404</v>
      </c>
      <c r="F1464" s="12">
        <f t="shared" si="1"/>
        <v>15.83</v>
      </c>
      <c r="G1464" s="10" t="str">
        <f>Github!H$1625</f>
        <v>Algorithms</v>
      </c>
      <c r="H1464" s="13" t="str">
        <f>SUBSTITUTE(Github!L$1625, ";", ", ")</f>
        <v>Hash Table, String, </v>
      </c>
      <c r="I1464" s="10" t="str">
        <f>Github!E$1625</f>
        <v>Easy</v>
      </c>
      <c r="J1464" s="10" t="str">
        <f>IF(TRIM(Github!D$1625)="TRUE","FALSE","TRUE")</f>
        <v>TRUE</v>
      </c>
      <c r="K1464" s="10" t="b">
        <f>Github!M$1625</f>
        <v>0</v>
      </c>
      <c r="L1464" s="10" t="b">
        <f>Github!N$1625</f>
        <v>0</v>
      </c>
      <c r="M1464" s="10" t="str">
        <f>ROUND(Github!O$1625, 2)&amp;"%"</f>
        <v>59.28%</v>
      </c>
      <c r="N1464" s="10">
        <f>Github!P$1625</f>
        <v>31826</v>
      </c>
      <c r="O1464" s="10">
        <f>Github!Q$1625</f>
        <v>53686</v>
      </c>
    </row>
    <row r="1465">
      <c r="A1465" s="10">
        <f>Github!J$1760</f>
        <v>1759</v>
      </c>
      <c r="B1465" s="11" t="str">
        <f>HYPERLINK(CONCAT("http://leetcode.com/problems/",Github!C$1760), Github!B$1760)</f>
        <v>Count Number of Homogenous Substrings</v>
      </c>
      <c r="C1465" s="10">
        <f>Github!F$1760</f>
        <v>381</v>
      </c>
      <c r="D1465" s="10">
        <f>Github!G$1760</f>
        <v>38</v>
      </c>
      <c r="E1465" s="10">
        <f>Github!F$1760+Github!G$1760</f>
        <v>419</v>
      </c>
      <c r="F1465" s="12">
        <f t="shared" si="1"/>
        <v>10.03</v>
      </c>
      <c r="G1465" s="10" t="str">
        <f>Github!H$1760</f>
        <v>Algorithms</v>
      </c>
      <c r="H1465" s="13" t="str">
        <f>SUBSTITUTE(Github!L$1760, ";", ", ")</f>
        <v>Math, String, </v>
      </c>
      <c r="I1465" s="10" t="str">
        <f>Github!E$1760</f>
        <v>Medium</v>
      </c>
      <c r="J1465" s="10" t="str">
        <f>IF(TRIM(Github!D$1760)="TRUE","FALSE","TRUE")</f>
        <v>TRUE</v>
      </c>
      <c r="K1465" s="10" t="b">
        <f>Github!M$1760</f>
        <v>0</v>
      </c>
      <c r="L1465" s="10" t="b">
        <f>Github!N$1760</f>
        <v>0</v>
      </c>
      <c r="M1465" s="10" t="str">
        <f>ROUND(Github!O$1760, 2)&amp;"%"</f>
        <v>46.46%</v>
      </c>
      <c r="N1465" s="10">
        <f>Github!P$1760</f>
        <v>18152</v>
      </c>
      <c r="O1465" s="10">
        <f>Github!Q$1760</f>
        <v>39074</v>
      </c>
    </row>
    <row r="1466">
      <c r="A1466" s="10">
        <f>Github!J$1647</f>
        <v>1646</v>
      </c>
      <c r="B1466" s="11" t="str">
        <f>HYPERLINK(CONCAT("http://leetcode.com/problems/",Github!C$1647), Github!B$1647)</f>
        <v>Get Maximum in Generated Array</v>
      </c>
      <c r="C1466" s="10">
        <f>Github!F$1647</f>
        <v>380</v>
      </c>
      <c r="D1466" s="10">
        <f>Github!G$1647</f>
        <v>535</v>
      </c>
      <c r="E1466" s="10">
        <f>Github!F$1647+Github!G$1647</f>
        <v>915</v>
      </c>
      <c r="F1466" s="12">
        <f t="shared" si="1"/>
        <v>0.71</v>
      </c>
      <c r="G1466" s="10" t="str">
        <f>Github!H$1647</f>
        <v>Algorithms</v>
      </c>
      <c r="H1466" s="13" t="str">
        <f>SUBSTITUTE(Github!L$1647, ";", ", ")</f>
        <v>Array, Dynamic Programming, Simulation, </v>
      </c>
      <c r="I1466" s="10" t="str">
        <f>Github!E$1647</f>
        <v>Easy</v>
      </c>
      <c r="J1466" s="10" t="str">
        <f>IF(TRIM(Github!D$1647)="TRUE","FALSE","TRUE")</f>
        <v>TRUE</v>
      </c>
      <c r="K1466" s="10" t="b">
        <f>Github!M$1647</f>
        <v>1</v>
      </c>
      <c r="L1466" s="10" t="b">
        <f>Github!N$1647</f>
        <v>0</v>
      </c>
      <c r="M1466" s="10" t="str">
        <f>ROUND(Github!O$1647, 2)&amp;"%"</f>
        <v>50.84%</v>
      </c>
      <c r="N1466" s="10">
        <f>Github!P$1647</f>
        <v>58766</v>
      </c>
      <c r="O1466" s="10">
        <f>Github!Q$1647</f>
        <v>115594</v>
      </c>
    </row>
    <row r="1467">
      <c r="A1467" s="10">
        <f>Github!J$2102</f>
        <v>2101</v>
      </c>
      <c r="B1467" s="11" t="str">
        <f>HYPERLINK(CONCAT("http://leetcode.com/problems/",Github!C$2102), Github!B$2102)</f>
        <v>Detonate the Maximum Bombs</v>
      </c>
      <c r="C1467" s="10">
        <f>Github!F$2102</f>
        <v>386</v>
      </c>
      <c r="D1467" s="10">
        <f>Github!G$2102</f>
        <v>41</v>
      </c>
      <c r="E1467" s="10">
        <f>Github!F$2102+Github!G$2102</f>
        <v>427</v>
      </c>
      <c r="F1467" s="12">
        <f t="shared" si="1"/>
        <v>9.41</v>
      </c>
      <c r="G1467" s="10" t="str">
        <f>Github!H$2102</f>
        <v>Algorithms</v>
      </c>
      <c r="H1467" s="13" t="str">
        <f>SUBSTITUTE(Github!L$2102, ";", ", ")</f>
        <v>Array, Math, Depth-First Search, Breadth-First Search, Graph, Geometry, </v>
      </c>
      <c r="I1467" s="10" t="str">
        <f>Github!E$2102</f>
        <v>Medium</v>
      </c>
      <c r="J1467" s="10" t="str">
        <f>IF(TRIM(Github!D$2102)="TRUE","FALSE","TRUE")</f>
        <v>TRUE</v>
      </c>
      <c r="K1467" s="10" t="b">
        <f>Github!M$2102</f>
        <v>0</v>
      </c>
      <c r="L1467" s="10" t="b">
        <f>Github!N$2102</f>
        <v>0</v>
      </c>
      <c r="M1467" s="10" t="str">
        <f>ROUND(Github!O$2102, 2)&amp;"%"</f>
        <v>40.02%</v>
      </c>
      <c r="N1467" s="10">
        <f>Github!P$2102</f>
        <v>10442</v>
      </c>
      <c r="O1467" s="10">
        <f>Github!Q$2102</f>
        <v>26092</v>
      </c>
    </row>
    <row r="1468">
      <c r="A1468" s="10">
        <f>Github!J$807</f>
        <v>806</v>
      </c>
      <c r="B1468" s="11" t="str">
        <f>HYPERLINK(CONCAT("http://leetcode.com/problems/",Github!C$807), Github!B$807)</f>
        <v>Number of Lines To Write String</v>
      </c>
      <c r="C1468" s="10">
        <f>Github!F$807</f>
        <v>381</v>
      </c>
      <c r="D1468" s="10">
        <f>Github!G$807</f>
        <v>1117</v>
      </c>
      <c r="E1468" s="10">
        <f>Github!F$807+Github!G$807</f>
        <v>1498</v>
      </c>
      <c r="F1468" s="12">
        <f t="shared" si="1"/>
        <v>0.34</v>
      </c>
      <c r="G1468" s="10" t="str">
        <f>Github!H$807</f>
        <v>Algorithms</v>
      </c>
      <c r="H1468" s="13" t="str">
        <f>SUBSTITUTE(Github!L$807, ";", ", ")</f>
        <v>Array, String, </v>
      </c>
      <c r="I1468" s="10" t="str">
        <f>Github!E$807</f>
        <v>Easy</v>
      </c>
      <c r="J1468" s="10" t="str">
        <f>IF(TRIM(Github!D$807)="TRUE","FALSE","TRUE")</f>
        <v>TRUE</v>
      </c>
      <c r="K1468" s="10" t="b">
        <f>Github!M$807</f>
        <v>1</v>
      </c>
      <c r="L1468" s="10" t="b">
        <f>Github!N$807</f>
        <v>0</v>
      </c>
      <c r="M1468" s="10" t="str">
        <f>ROUND(Github!O$807, 2)&amp;"%"</f>
        <v>66.02%</v>
      </c>
      <c r="N1468" s="10">
        <f>Github!P$807</f>
        <v>53736</v>
      </c>
      <c r="O1468" s="10">
        <f>Github!Q$807</f>
        <v>81396</v>
      </c>
    </row>
    <row r="1469">
      <c r="A1469" s="10">
        <f>Github!J$662</f>
        <v>661</v>
      </c>
      <c r="B1469" s="11" t="str">
        <f>HYPERLINK(CONCAT("http://leetcode.com/problems/",Github!C$662), Github!B$662)</f>
        <v>Image Smoother</v>
      </c>
      <c r="C1469" s="10">
        <f>Github!F$662</f>
        <v>379</v>
      </c>
      <c r="D1469" s="10">
        <f>Github!G$662</f>
        <v>1585</v>
      </c>
      <c r="E1469" s="10">
        <f>Github!F$662+Github!G$662</f>
        <v>1964</v>
      </c>
      <c r="F1469" s="12">
        <f t="shared" si="1"/>
        <v>0.24</v>
      </c>
      <c r="G1469" s="10" t="str">
        <f>Github!H$662</f>
        <v>Algorithms</v>
      </c>
      <c r="H1469" s="13" t="str">
        <f>SUBSTITUTE(Github!L$662, ";", ", ")</f>
        <v>Array, Matrix, </v>
      </c>
      <c r="I1469" s="10" t="str">
        <f>Github!E$662</f>
        <v>Easy</v>
      </c>
      <c r="J1469" s="10" t="str">
        <f>IF(TRIM(Github!D$662)="TRUE","FALSE","TRUE")</f>
        <v>TRUE</v>
      </c>
      <c r="K1469" s="10" t="b">
        <f>Github!M$662</f>
        <v>0</v>
      </c>
      <c r="L1469" s="10" t="b">
        <f>Github!N$662</f>
        <v>0</v>
      </c>
      <c r="M1469" s="10" t="str">
        <f>ROUND(Github!O$662, 2)&amp;"%"</f>
        <v>54.25%</v>
      </c>
      <c r="N1469" s="10">
        <f>Github!P$662</f>
        <v>64026</v>
      </c>
      <c r="O1469" s="10">
        <f>Github!Q$662</f>
        <v>118014</v>
      </c>
    </row>
    <row r="1470">
      <c r="A1470" s="10">
        <f>Github!J$1801</f>
        <v>1800</v>
      </c>
      <c r="B1470" s="11" t="str">
        <f>HYPERLINK(CONCAT("http://leetcode.com/problems/",Github!C$1801), Github!B$1801)</f>
        <v>Maximum Ascending Subarray Sum</v>
      </c>
      <c r="C1470" s="10">
        <f>Github!F$1801</f>
        <v>376</v>
      </c>
      <c r="D1470" s="10">
        <f>Github!G$1801</f>
        <v>13</v>
      </c>
      <c r="E1470" s="10">
        <f>Github!F$1801+Github!G$1801</f>
        <v>389</v>
      </c>
      <c r="F1470" s="12">
        <f t="shared" si="1"/>
        <v>28.92</v>
      </c>
      <c r="G1470" s="10" t="str">
        <f>Github!H$1801</f>
        <v>Algorithms</v>
      </c>
      <c r="H1470" s="13" t="str">
        <f>SUBSTITUTE(Github!L$1801, ";", ", ")</f>
        <v>Array, </v>
      </c>
      <c r="I1470" s="10" t="str">
        <f>Github!E$1801</f>
        <v>Easy</v>
      </c>
      <c r="J1470" s="10" t="str">
        <f>IF(TRIM(Github!D$1801)="TRUE","FALSE","TRUE")</f>
        <v>TRUE</v>
      </c>
      <c r="K1470" s="10" t="b">
        <f>Github!M$1801</f>
        <v>0</v>
      </c>
      <c r="L1470" s="10" t="b">
        <f>Github!N$1801</f>
        <v>0</v>
      </c>
      <c r="M1470" s="10" t="str">
        <f>ROUND(Github!O$1801, 2)&amp;"%"</f>
        <v>64.35%</v>
      </c>
      <c r="N1470" s="10">
        <f>Github!P$1801</f>
        <v>29433</v>
      </c>
      <c r="O1470" s="10">
        <f>Github!Q$1801</f>
        <v>45741</v>
      </c>
    </row>
    <row r="1471">
      <c r="A1471" s="10">
        <f>Github!J$1386</f>
        <v>1385</v>
      </c>
      <c r="B1471" s="11" t="str">
        <f>HYPERLINK(CONCAT("http://leetcode.com/problems/",Github!C$1386), Github!B$1386)</f>
        <v>Find the Distance Value Between Two Arrays</v>
      </c>
      <c r="C1471" s="10">
        <f>Github!F$1386</f>
        <v>385</v>
      </c>
      <c r="D1471" s="10">
        <f>Github!G$1386</f>
        <v>1442</v>
      </c>
      <c r="E1471" s="10">
        <f>Github!F$1386+Github!G$1386</f>
        <v>1827</v>
      </c>
      <c r="F1471" s="12">
        <f t="shared" si="1"/>
        <v>0.27</v>
      </c>
      <c r="G1471" s="10" t="str">
        <f>Github!H$1386</f>
        <v>Algorithms</v>
      </c>
      <c r="H1471" s="13" t="str">
        <f>SUBSTITUTE(Github!L$1386, ";", ", ")</f>
        <v>Array, Two Pointers, Binary Search, Sorting, </v>
      </c>
      <c r="I1471" s="10" t="str">
        <f>Github!E$1386</f>
        <v>Easy</v>
      </c>
      <c r="J1471" s="10" t="str">
        <f>IF(TRIM(Github!D$1386)="TRUE","FALSE","TRUE")</f>
        <v>TRUE</v>
      </c>
      <c r="K1471" s="10" t="b">
        <f>Github!M$1386</f>
        <v>0</v>
      </c>
      <c r="L1471" s="10" t="b">
        <f>Github!N$1386</f>
        <v>0</v>
      </c>
      <c r="M1471" s="10" t="str">
        <f>ROUND(Github!O$1386, 2)&amp;"%"</f>
        <v>65.9%</v>
      </c>
      <c r="N1471" s="10">
        <f>Github!P$1386</f>
        <v>45155</v>
      </c>
      <c r="O1471" s="10">
        <f>Github!Q$1386</f>
        <v>68520</v>
      </c>
    </row>
    <row r="1472">
      <c r="A1472" s="10">
        <f>Github!J$609</f>
        <v>608</v>
      </c>
      <c r="B1472" s="11" t="str">
        <f>HYPERLINK(CONCAT("http://leetcode.com/problems/",Github!C$609), Github!B$609)</f>
        <v>Tree Node</v>
      </c>
      <c r="C1472" s="10">
        <f>Github!F$609</f>
        <v>385</v>
      </c>
      <c r="D1472" s="10">
        <f>Github!G$609</f>
        <v>32</v>
      </c>
      <c r="E1472" s="10">
        <f>Github!F$609+Github!G$609</f>
        <v>417</v>
      </c>
      <c r="F1472" s="12">
        <f t="shared" si="1"/>
        <v>12.03</v>
      </c>
      <c r="G1472" s="10" t="str">
        <f>Github!H$609</f>
        <v>Database</v>
      </c>
      <c r="H1472" s="13" t="str">
        <f>SUBSTITUTE(Github!L$609, ";", ", ")</f>
        <v>Database, </v>
      </c>
      <c r="I1472" s="10" t="str">
        <f>Github!E$609</f>
        <v>Medium</v>
      </c>
      <c r="J1472" s="10" t="str">
        <f>IF(TRIM(Github!D$609)="TRUE","FALSE","TRUE")</f>
        <v>TRUE</v>
      </c>
      <c r="K1472" s="10" t="b">
        <f>Github!M$609</f>
        <v>1</v>
      </c>
      <c r="L1472" s="10" t="b">
        <f>Github!N$609</f>
        <v>0</v>
      </c>
      <c r="M1472" s="10" t="str">
        <f>ROUND(Github!O$609, 2)&amp;"%"</f>
        <v>72.41%</v>
      </c>
      <c r="N1472" s="10">
        <f>Github!P$609</f>
        <v>47314</v>
      </c>
      <c r="O1472" s="10">
        <f>Github!Q$609</f>
        <v>65345</v>
      </c>
    </row>
    <row r="1473">
      <c r="A1473" s="10">
        <f>Github!J$1611</f>
        <v>1610</v>
      </c>
      <c r="B1473" s="11" t="str">
        <f>HYPERLINK(CONCAT("http://leetcode.com/problems/",Github!C$1611), Github!B$1611)</f>
        <v>Maximum Number of Visible Points</v>
      </c>
      <c r="C1473" s="10">
        <f>Github!F$1611</f>
        <v>382</v>
      </c>
      <c r="D1473" s="10">
        <f>Github!G$1611</f>
        <v>522</v>
      </c>
      <c r="E1473" s="10">
        <f>Github!F$1611+Github!G$1611</f>
        <v>904</v>
      </c>
      <c r="F1473" s="12">
        <f t="shared" si="1"/>
        <v>0.73</v>
      </c>
      <c r="G1473" s="10" t="str">
        <f>Github!H$1611</f>
        <v>Algorithms</v>
      </c>
      <c r="H1473" s="13" t="str">
        <f>SUBSTITUTE(Github!L$1611, ";", ", ")</f>
        <v>Array, Math, Geometry, Sliding Window, Sorting, </v>
      </c>
      <c r="I1473" s="10" t="str">
        <f>Github!E$1611</f>
        <v>Hard</v>
      </c>
      <c r="J1473" s="10" t="str">
        <f>IF(TRIM(Github!D$1611)="TRUE","FALSE","TRUE")</f>
        <v>TRUE</v>
      </c>
      <c r="K1473" s="10" t="b">
        <f>Github!M$1611</f>
        <v>0</v>
      </c>
      <c r="L1473" s="10" t="b">
        <f>Github!N$1611</f>
        <v>0</v>
      </c>
      <c r="M1473" s="10" t="str">
        <f>ROUND(Github!O$1611, 2)&amp;"%"</f>
        <v>36.67%</v>
      </c>
      <c r="N1473" s="10">
        <f>Github!P$1611</f>
        <v>26105</v>
      </c>
      <c r="O1473" s="10">
        <f>Github!Q$1611</f>
        <v>71192</v>
      </c>
    </row>
    <row r="1474">
      <c r="A1474" s="10">
        <f>Github!J$2017</f>
        <v>2016</v>
      </c>
      <c r="B1474" s="11" t="str">
        <f>HYPERLINK(CONCAT("http://leetcode.com/problems/",Github!C$2017), Github!B$2017)</f>
        <v>Maximum Difference Between Increasing Elements</v>
      </c>
      <c r="C1474" s="10">
        <f>Github!F$2017</f>
        <v>381</v>
      </c>
      <c r="D1474" s="10">
        <f>Github!G$2017</f>
        <v>15</v>
      </c>
      <c r="E1474" s="10">
        <f>Github!F$2017+Github!G$2017</f>
        <v>396</v>
      </c>
      <c r="F1474" s="12">
        <f t="shared" si="1"/>
        <v>25.4</v>
      </c>
      <c r="G1474" s="10" t="str">
        <f>Github!H$2017</f>
        <v>Algorithms</v>
      </c>
      <c r="H1474" s="13" t="str">
        <f>SUBSTITUTE(Github!L$2017, ";", ", ")</f>
        <v>Array, </v>
      </c>
      <c r="I1474" s="10" t="str">
        <f>Github!E$2017</f>
        <v>Easy</v>
      </c>
      <c r="J1474" s="10" t="str">
        <f>IF(TRIM(Github!D$2017)="TRUE","FALSE","TRUE")</f>
        <v>TRUE</v>
      </c>
      <c r="K1474" s="10" t="b">
        <f>Github!M$2017</f>
        <v>0</v>
      </c>
      <c r="L1474" s="10" t="b">
        <f>Github!N$2017</f>
        <v>0</v>
      </c>
      <c r="M1474" s="10" t="str">
        <f>ROUND(Github!O$2017, 2)&amp;"%"</f>
        <v>54.59%</v>
      </c>
      <c r="N1474" s="10">
        <f>Github!P$2017</f>
        <v>30883</v>
      </c>
      <c r="O1474" s="10">
        <f>Github!Q$2017</f>
        <v>56574</v>
      </c>
    </row>
    <row r="1475">
      <c r="A1475" s="10">
        <f>Github!J$1943</f>
        <v>1942</v>
      </c>
      <c r="B1475" s="11" t="str">
        <f>HYPERLINK(CONCAT("http://leetcode.com/problems/",Github!C$1943), Github!B$1943)</f>
        <v>The Number of the Smallest Unoccupied Chair</v>
      </c>
      <c r="C1475" s="10">
        <f>Github!F$1943</f>
        <v>377</v>
      </c>
      <c r="D1475" s="10">
        <f>Github!G$1943</f>
        <v>19</v>
      </c>
      <c r="E1475" s="10">
        <f>Github!F$1943+Github!G$1943</f>
        <v>396</v>
      </c>
      <c r="F1475" s="12">
        <f t="shared" si="1"/>
        <v>19.84</v>
      </c>
      <c r="G1475" s="10" t="str">
        <f>Github!H$1943</f>
        <v>Algorithms</v>
      </c>
      <c r="H1475" s="13" t="str">
        <f>SUBSTITUTE(Github!L$1943, ";", ", ")</f>
        <v>Array, Heap (Priority Queue), Ordered Set, </v>
      </c>
      <c r="I1475" s="10" t="str">
        <f>Github!E$1943</f>
        <v>Medium</v>
      </c>
      <c r="J1475" s="10" t="str">
        <f>IF(TRIM(Github!D$1943)="TRUE","FALSE","TRUE")</f>
        <v>TRUE</v>
      </c>
      <c r="K1475" s="10" t="b">
        <f>Github!M$1943</f>
        <v>0</v>
      </c>
      <c r="L1475" s="10" t="b">
        <f>Github!N$1943</f>
        <v>0</v>
      </c>
      <c r="M1475" s="10" t="str">
        <f>ROUND(Github!O$1943, 2)&amp;"%"</f>
        <v>38.99%</v>
      </c>
      <c r="N1475" s="10">
        <f>Github!P$1943</f>
        <v>10975</v>
      </c>
      <c r="O1475" s="10">
        <f>Github!Q$1943</f>
        <v>28147</v>
      </c>
    </row>
    <row r="1476">
      <c r="A1476" s="10">
        <f>Github!J$2204</f>
        <v>2203</v>
      </c>
      <c r="B1476" s="11" t="str">
        <f>HYPERLINK(CONCAT("http://leetcode.com/problems/",Github!C$2204), Github!B$2204)</f>
        <v>Minimum Weighted Subgraph With the Required Paths</v>
      </c>
      <c r="C1476" s="10">
        <f>Github!F$2204</f>
        <v>376</v>
      </c>
      <c r="D1476" s="10">
        <f>Github!G$2204</f>
        <v>11</v>
      </c>
      <c r="E1476" s="10">
        <f>Github!F$2204+Github!G$2204</f>
        <v>387</v>
      </c>
      <c r="F1476" s="12">
        <f t="shared" si="1"/>
        <v>34.18</v>
      </c>
      <c r="G1476" s="10" t="str">
        <f>Github!H$2204</f>
        <v>Algorithms</v>
      </c>
      <c r="H1476" s="13" t="str">
        <f>SUBSTITUTE(Github!L$2204, ";", ", ")</f>
        <v>Graph, Shortest Path, </v>
      </c>
      <c r="I1476" s="10" t="str">
        <f>Github!E$2204</f>
        <v>Hard</v>
      </c>
      <c r="J1476" s="10" t="str">
        <f>IF(TRIM(Github!D$2204)="TRUE","FALSE","TRUE")</f>
        <v>TRUE</v>
      </c>
      <c r="K1476" s="10" t="b">
        <f>Github!M$2204</f>
        <v>0</v>
      </c>
      <c r="L1476" s="10" t="b">
        <f>Github!N$2204</f>
        <v>0</v>
      </c>
      <c r="M1476" s="10" t="str">
        <f>ROUND(Github!O$2204, 2)&amp;"%"</f>
        <v>35.2%</v>
      </c>
      <c r="N1476" s="10">
        <f>Github!P$2204</f>
        <v>5999</v>
      </c>
      <c r="O1476" s="10">
        <f>Github!Q$2204</f>
        <v>17042</v>
      </c>
    </row>
    <row r="1477">
      <c r="A1477" s="10">
        <f>Github!J$1719</f>
        <v>1718</v>
      </c>
      <c r="B1477" s="11" t="str">
        <f>HYPERLINK(CONCAT("http://leetcode.com/problems/",Github!C$1719), Github!B$1719)</f>
        <v>Construct the Lexicographically Largest Valid Sequence</v>
      </c>
      <c r="C1477" s="10">
        <f>Github!F$1719</f>
        <v>372</v>
      </c>
      <c r="D1477" s="10">
        <f>Github!G$1719</f>
        <v>35</v>
      </c>
      <c r="E1477" s="10">
        <f>Github!F$1719+Github!G$1719</f>
        <v>407</v>
      </c>
      <c r="F1477" s="12">
        <f t="shared" si="1"/>
        <v>10.63</v>
      </c>
      <c r="G1477" s="10" t="str">
        <f>Github!H$1719</f>
        <v>Algorithms</v>
      </c>
      <c r="H1477" s="13" t="str">
        <f>SUBSTITUTE(Github!L$1719, ";", ", ")</f>
        <v>Array, Backtracking, </v>
      </c>
      <c r="I1477" s="10" t="str">
        <f>Github!E$1719</f>
        <v>Medium</v>
      </c>
      <c r="J1477" s="10" t="str">
        <f>IF(TRIM(Github!D$1719)="TRUE","FALSE","TRUE")</f>
        <v>TRUE</v>
      </c>
      <c r="K1477" s="10" t="b">
        <f>Github!M$1719</f>
        <v>0</v>
      </c>
      <c r="L1477" s="10" t="b">
        <f>Github!N$1719</f>
        <v>0</v>
      </c>
      <c r="M1477" s="10" t="str">
        <f>ROUND(Github!O$1719, 2)&amp;"%"</f>
        <v>51.34%</v>
      </c>
      <c r="N1477" s="10">
        <f>Github!P$1719</f>
        <v>8731</v>
      </c>
      <c r="O1477" s="10">
        <f>Github!Q$1719</f>
        <v>17007</v>
      </c>
    </row>
    <row r="1478">
      <c r="A1478" s="10">
        <f>Github!J$1988</f>
        <v>1987</v>
      </c>
      <c r="B1478" s="11" t="str">
        <f>HYPERLINK(CONCAT("http://leetcode.com/problems/",Github!C$1988), Github!B$1988)</f>
        <v>Number of Unique Good Subsequences</v>
      </c>
      <c r="C1478" s="10">
        <f>Github!F$1988</f>
        <v>370</v>
      </c>
      <c r="D1478" s="10">
        <f>Github!G$1988</f>
        <v>7</v>
      </c>
      <c r="E1478" s="10">
        <f>Github!F$1988+Github!G$1988</f>
        <v>377</v>
      </c>
      <c r="F1478" s="12">
        <f t="shared" si="1"/>
        <v>52.86</v>
      </c>
      <c r="G1478" s="10" t="str">
        <f>Github!H$1988</f>
        <v>Algorithms</v>
      </c>
      <c r="H1478" s="13" t="str">
        <f>SUBSTITUTE(Github!L$1988, ";", ", ")</f>
        <v>String, Dynamic Programming, </v>
      </c>
      <c r="I1478" s="10" t="str">
        <f>Github!E$1988</f>
        <v>Hard</v>
      </c>
      <c r="J1478" s="10" t="str">
        <f>IF(TRIM(Github!D$1988)="TRUE","FALSE","TRUE")</f>
        <v>TRUE</v>
      </c>
      <c r="K1478" s="10" t="b">
        <f>Github!M$1988</f>
        <v>0</v>
      </c>
      <c r="L1478" s="10" t="b">
        <f>Github!N$1988</f>
        <v>0</v>
      </c>
      <c r="M1478" s="10" t="str">
        <f>ROUND(Github!O$1988, 2)&amp;"%"</f>
        <v>52.04%</v>
      </c>
      <c r="N1478" s="10">
        <f>Github!P$1988</f>
        <v>6935</v>
      </c>
      <c r="O1478" s="10">
        <f>Github!Q$1988</f>
        <v>13326</v>
      </c>
    </row>
    <row r="1479">
      <c r="A1479" s="10">
        <f>Github!J$1800</f>
        <v>1799</v>
      </c>
      <c r="B1479" s="11" t="str">
        <f>HYPERLINK(CONCAT("http://leetcode.com/problems/",Github!C$1800), Github!B$1800)</f>
        <v>Maximize Score After N Operations</v>
      </c>
      <c r="C1479" s="10">
        <f>Github!F$1800</f>
        <v>378</v>
      </c>
      <c r="D1479" s="10">
        <f>Github!G$1800</f>
        <v>36</v>
      </c>
      <c r="E1479" s="10">
        <f>Github!F$1800+Github!G$1800</f>
        <v>414</v>
      </c>
      <c r="F1479" s="12">
        <f t="shared" si="1"/>
        <v>10.5</v>
      </c>
      <c r="G1479" s="10" t="str">
        <f>Github!H$1800</f>
        <v>Algorithms</v>
      </c>
      <c r="H1479" s="13" t="str">
        <f>SUBSTITUTE(Github!L$1800, ";", ", ")</f>
        <v>Array, Math, Dynamic Programming, Backtracking, Bit Manipulation, Number Theory, Bitmask, </v>
      </c>
      <c r="I1479" s="10" t="str">
        <f>Github!E$1800</f>
        <v>Hard</v>
      </c>
      <c r="J1479" s="10" t="str">
        <f>IF(TRIM(Github!D$1800)="TRUE","FALSE","TRUE")</f>
        <v>TRUE</v>
      </c>
      <c r="K1479" s="10" t="b">
        <f>Github!M$1800</f>
        <v>0</v>
      </c>
      <c r="L1479" s="10" t="b">
        <f>Github!N$1800</f>
        <v>0</v>
      </c>
      <c r="M1479" s="10" t="str">
        <f>ROUND(Github!O$1800, 2)&amp;"%"</f>
        <v>46.6%</v>
      </c>
      <c r="N1479" s="10">
        <f>Github!P$1800</f>
        <v>11945</v>
      </c>
      <c r="O1479" s="10">
        <f>Github!Q$1800</f>
        <v>25635</v>
      </c>
    </row>
    <row r="1480">
      <c r="A1480" s="10">
        <f>Github!J$2150</f>
        <v>2149</v>
      </c>
      <c r="B1480" s="11" t="str">
        <f>HYPERLINK(CONCAT("http://leetcode.com/problems/",Github!C$2150), Github!B$2150)</f>
        <v>Rearrange Array Elements by Sign</v>
      </c>
      <c r="C1480" s="10">
        <f>Github!F$2150</f>
        <v>380</v>
      </c>
      <c r="D1480" s="10">
        <f>Github!G$2150</f>
        <v>23</v>
      </c>
      <c r="E1480" s="10">
        <f>Github!F$2150+Github!G$2150</f>
        <v>403</v>
      </c>
      <c r="F1480" s="12">
        <f t="shared" si="1"/>
        <v>16.52</v>
      </c>
      <c r="G1480" s="10" t="str">
        <f>Github!H$2150</f>
        <v>Algorithms</v>
      </c>
      <c r="H1480" s="13" t="str">
        <f>SUBSTITUTE(Github!L$2150, ";", ", ")</f>
        <v>Array, Two Pointers, Simulation, </v>
      </c>
      <c r="I1480" s="10" t="str">
        <f>Github!E$2150</f>
        <v>Medium</v>
      </c>
      <c r="J1480" s="10" t="str">
        <f>IF(TRIM(Github!D$2150)="TRUE","FALSE","TRUE")</f>
        <v>TRUE</v>
      </c>
      <c r="K1480" s="10" t="b">
        <f>Github!M$2150</f>
        <v>0</v>
      </c>
      <c r="L1480" s="10" t="b">
        <f>Github!N$2150</f>
        <v>0</v>
      </c>
      <c r="M1480" s="10" t="str">
        <f>ROUND(Github!O$2150, 2)&amp;"%"</f>
        <v>82.14%</v>
      </c>
      <c r="N1480" s="10">
        <f>Github!P$2150</f>
        <v>28143</v>
      </c>
      <c r="O1480" s="10">
        <f>Github!Q$2150</f>
        <v>34261</v>
      </c>
    </row>
    <row r="1481">
      <c r="A1481" s="10">
        <f>Github!J$1669</f>
        <v>1668</v>
      </c>
      <c r="B1481" s="11" t="str">
        <f>HYPERLINK(CONCAT("http://leetcode.com/problems/",Github!C$1669), Github!B$1669)</f>
        <v>Maximum Repeating Substring</v>
      </c>
      <c r="C1481" s="10">
        <f>Github!F$1669</f>
        <v>376</v>
      </c>
      <c r="D1481" s="10">
        <f>Github!G$1669</f>
        <v>127</v>
      </c>
      <c r="E1481" s="10">
        <f>Github!F$1669+Github!G$1669</f>
        <v>503</v>
      </c>
      <c r="F1481" s="12">
        <f t="shared" si="1"/>
        <v>2.96</v>
      </c>
      <c r="G1481" s="10" t="str">
        <f>Github!H$1669</f>
        <v>Algorithms</v>
      </c>
      <c r="H1481" s="13" t="str">
        <f>SUBSTITUTE(Github!L$1669, ";", ", ")</f>
        <v>String, String Matching, </v>
      </c>
      <c r="I1481" s="10" t="str">
        <f>Github!E$1669</f>
        <v>Easy</v>
      </c>
      <c r="J1481" s="10" t="str">
        <f>IF(TRIM(Github!D$1669)="TRUE","FALSE","TRUE")</f>
        <v>TRUE</v>
      </c>
      <c r="K1481" s="10" t="b">
        <f>Github!M$1669</f>
        <v>0</v>
      </c>
      <c r="L1481" s="10" t="b">
        <f>Github!N$1669</f>
        <v>0</v>
      </c>
      <c r="M1481" s="10" t="str">
        <f>ROUND(Github!O$1669, 2)&amp;"%"</f>
        <v>39.56%</v>
      </c>
      <c r="N1481" s="10">
        <f>Github!P$1669</f>
        <v>24000</v>
      </c>
      <c r="O1481" s="10">
        <f>Github!Q$1669</f>
        <v>60672</v>
      </c>
    </row>
    <row r="1482">
      <c r="A1482" s="10">
        <f>Github!J$2183</f>
        <v>2182</v>
      </c>
      <c r="B1482" s="11" t="str">
        <f>HYPERLINK(CONCAT("http://leetcode.com/problems/",Github!C$2183), Github!B$2183)</f>
        <v>Construct String With Repeat Limit</v>
      </c>
      <c r="C1482" s="10">
        <f>Github!F$2183</f>
        <v>371</v>
      </c>
      <c r="D1482" s="10">
        <f>Github!G$2183</f>
        <v>21</v>
      </c>
      <c r="E1482" s="10">
        <f>Github!F$2183+Github!G$2183</f>
        <v>392</v>
      </c>
      <c r="F1482" s="12">
        <f t="shared" si="1"/>
        <v>17.67</v>
      </c>
      <c r="G1482" s="10" t="str">
        <f>Github!H$2183</f>
        <v>Algorithms</v>
      </c>
      <c r="H1482" s="13" t="str">
        <f>SUBSTITUTE(Github!L$2183, ";", ", ")</f>
        <v>String, Greedy, Heap (Priority Queue), Counting, </v>
      </c>
      <c r="I1482" s="10" t="str">
        <f>Github!E$2183</f>
        <v>Medium</v>
      </c>
      <c r="J1482" s="10" t="str">
        <f>IF(TRIM(Github!D$2183)="TRUE","FALSE","TRUE")</f>
        <v>TRUE</v>
      </c>
      <c r="K1482" s="10" t="b">
        <f>Github!M$2183</f>
        <v>0</v>
      </c>
      <c r="L1482" s="10" t="b">
        <f>Github!N$2183</f>
        <v>0</v>
      </c>
      <c r="M1482" s="10" t="str">
        <f>ROUND(Github!O$2183, 2)&amp;"%"</f>
        <v>50.96%</v>
      </c>
      <c r="N1482" s="10">
        <f>Github!P$2183</f>
        <v>12858</v>
      </c>
      <c r="O1482" s="10">
        <f>Github!Q$2183</f>
        <v>25230</v>
      </c>
    </row>
    <row r="1483">
      <c r="A1483" s="10">
        <f>Github!J$1097</f>
        <v>1096</v>
      </c>
      <c r="B1483" s="11" t="str">
        <f>HYPERLINK(CONCAT("http://leetcode.com/problems/",Github!C$1097), Github!B$1097)</f>
        <v>Brace Expansion II</v>
      </c>
      <c r="C1483" s="10">
        <f>Github!F$1097</f>
        <v>368</v>
      </c>
      <c r="D1483" s="10">
        <f>Github!G$1097</f>
        <v>231</v>
      </c>
      <c r="E1483" s="10">
        <f>Github!F$1097+Github!G$1097</f>
        <v>599</v>
      </c>
      <c r="F1483" s="12">
        <f t="shared" si="1"/>
        <v>1.59</v>
      </c>
      <c r="G1483" s="10" t="str">
        <f>Github!H$1097</f>
        <v>Algorithms</v>
      </c>
      <c r="H1483" s="13" t="str">
        <f>SUBSTITUTE(Github!L$1097, ";", ", ")</f>
        <v>String, Backtracking, Stack, Breadth-First Search, </v>
      </c>
      <c r="I1483" s="10" t="str">
        <f>Github!E$1097</f>
        <v>Hard</v>
      </c>
      <c r="J1483" s="10" t="str">
        <f>IF(TRIM(Github!D$1097)="TRUE","FALSE","TRUE")</f>
        <v>TRUE</v>
      </c>
      <c r="K1483" s="10" t="b">
        <f>Github!M$1097</f>
        <v>0</v>
      </c>
      <c r="L1483" s="10" t="b">
        <f>Github!N$1097</f>
        <v>0</v>
      </c>
      <c r="M1483" s="10" t="str">
        <f>ROUND(Github!O$1097, 2)&amp;"%"</f>
        <v>62.58%</v>
      </c>
      <c r="N1483" s="10">
        <f>Github!P$1097</f>
        <v>19147</v>
      </c>
      <c r="O1483" s="10">
        <f>Github!Q$1097</f>
        <v>30595</v>
      </c>
    </row>
    <row r="1484">
      <c r="A1484" s="10">
        <f>Github!J$523</f>
        <v>522</v>
      </c>
      <c r="B1484" s="11" t="str">
        <f>HYPERLINK(CONCAT("http://leetcode.com/problems/",Github!C$523), Github!B$523)</f>
        <v>Longest Uncommon Subsequence II</v>
      </c>
      <c r="C1484" s="10">
        <f>Github!F$523</f>
        <v>367</v>
      </c>
      <c r="D1484" s="10">
        <f>Github!G$523</f>
        <v>1068</v>
      </c>
      <c r="E1484" s="10">
        <f>Github!F$523+Github!G$523</f>
        <v>1435</v>
      </c>
      <c r="F1484" s="12">
        <f t="shared" si="1"/>
        <v>0.34</v>
      </c>
      <c r="G1484" s="10" t="str">
        <f>Github!H$523</f>
        <v>Algorithms</v>
      </c>
      <c r="H1484" s="13" t="str">
        <f>SUBSTITUTE(Github!L$523, ";", ", ")</f>
        <v>Array, Hash Table, Two Pointers, String, Sorting, </v>
      </c>
      <c r="I1484" s="10" t="str">
        <f>Github!E$523</f>
        <v>Medium</v>
      </c>
      <c r="J1484" s="10" t="str">
        <f>IF(TRIM(Github!D$523)="TRUE","FALSE","TRUE")</f>
        <v>TRUE</v>
      </c>
      <c r="K1484" s="10" t="b">
        <f>Github!M$523</f>
        <v>1</v>
      </c>
      <c r="L1484" s="10" t="b">
        <f>Github!N$523</f>
        <v>0</v>
      </c>
      <c r="M1484" s="10" t="str">
        <f>ROUND(Github!O$523, 2)&amp;"%"</f>
        <v>40.1%</v>
      </c>
      <c r="N1484" s="10">
        <f>Github!P$523</f>
        <v>42889</v>
      </c>
      <c r="O1484" s="10">
        <f>Github!Q$523</f>
        <v>106968</v>
      </c>
    </row>
    <row r="1485">
      <c r="A1485" s="10">
        <f>Github!J$641</f>
        <v>640</v>
      </c>
      <c r="B1485" s="11" t="str">
        <f>HYPERLINK(CONCAT("http://leetcode.com/problems/",Github!C$641), Github!B$641)</f>
        <v>Solve the Equation</v>
      </c>
      <c r="C1485" s="10">
        <f>Github!F$641</f>
        <v>367</v>
      </c>
      <c r="D1485" s="10">
        <f>Github!G$641</f>
        <v>693</v>
      </c>
      <c r="E1485" s="10">
        <f>Github!F$641+Github!G$641</f>
        <v>1060</v>
      </c>
      <c r="F1485" s="12">
        <f t="shared" si="1"/>
        <v>0.53</v>
      </c>
      <c r="G1485" s="10" t="str">
        <f>Github!H$641</f>
        <v>Algorithms</v>
      </c>
      <c r="H1485" s="13" t="str">
        <f>SUBSTITUTE(Github!L$641, ";", ", ")</f>
        <v>Math, String, Simulation, </v>
      </c>
      <c r="I1485" s="10" t="str">
        <f>Github!E$641</f>
        <v>Medium</v>
      </c>
      <c r="J1485" s="10" t="str">
        <f>IF(TRIM(Github!D$641)="TRUE","FALSE","TRUE")</f>
        <v>TRUE</v>
      </c>
      <c r="K1485" s="10" t="b">
        <f>Github!M$641</f>
        <v>1</v>
      </c>
      <c r="L1485" s="10" t="b">
        <f>Github!N$641</f>
        <v>0</v>
      </c>
      <c r="M1485" s="10" t="str">
        <f>ROUND(Github!O$641, 2)&amp;"%"</f>
        <v>43.29%</v>
      </c>
      <c r="N1485" s="10">
        <f>Github!P$641</f>
        <v>32166</v>
      </c>
      <c r="O1485" s="10">
        <f>Github!Q$641</f>
        <v>74299</v>
      </c>
    </row>
    <row r="1486">
      <c r="A1486" s="10">
        <f>Github!J$1470</f>
        <v>1469</v>
      </c>
      <c r="B1486" s="11" t="str">
        <f>HYPERLINK(CONCAT("http://leetcode.com/problems/",Github!C$1470), Github!B$1470)</f>
        <v>Find All The Lonely Nodes</v>
      </c>
      <c r="C1486" s="10">
        <f>Github!F$1470</f>
        <v>368</v>
      </c>
      <c r="D1486" s="10">
        <f>Github!G$1470</f>
        <v>9</v>
      </c>
      <c r="E1486" s="10">
        <f>Github!F$1470+Github!G$1470</f>
        <v>377</v>
      </c>
      <c r="F1486" s="12">
        <f t="shared" si="1"/>
        <v>40.89</v>
      </c>
      <c r="G1486" s="10" t="str">
        <f>Github!H$1470</f>
        <v>Algorithms</v>
      </c>
      <c r="H1486" s="13" t="str">
        <f>SUBSTITUTE(Github!L$1470, ";", ", ")</f>
        <v>Tree, Depth-First Search, Breadth-First Search, Binary Tree, </v>
      </c>
      <c r="I1486" s="10" t="str">
        <f>Github!E$1470</f>
        <v>Easy</v>
      </c>
      <c r="J1486" s="10" t="str">
        <f>IF(TRIM(Github!D$1470)="TRUE","FALSE","TRUE")</f>
        <v>FALSE</v>
      </c>
      <c r="K1486" s="10" t="b">
        <f>Github!M$1470</f>
        <v>0</v>
      </c>
      <c r="L1486" s="10" t="b">
        <f>Github!N$1470</f>
        <v>0</v>
      </c>
      <c r="M1486" s="10" t="str">
        <f>ROUND(Github!O$1470, 2)&amp;"%"</f>
        <v>81.66%</v>
      </c>
      <c r="N1486" s="10">
        <f>Github!P$1470</f>
        <v>33787</v>
      </c>
      <c r="O1486" s="10">
        <f>Github!Q$1470</f>
        <v>41376</v>
      </c>
    </row>
    <row r="1487">
      <c r="A1487" s="10">
        <f>Github!J$2063</f>
        <v>2062</v>
      </c>
      <c r="B1487" s="11" t="str">
        <f>HYPERLINK(CONCAT("http://leetcode.com/problems/",Github!C$2063), Github!B$2063)</f>
        <v>Count Vowel Substrings of a String</v>
      </c>
      <c r="C1487" s="10">
        <f>Github!F$2063</f>
        <v>370</v>
      </c>
      <c r="D1487" s="10">
        <f>Github!G$2063</f>
        <v>111</v>
      </c>
      <c r="E1487" s="10">
        <f>Github!F$2063+Github!G$2063</f>
        <v>481</v>
      </c>
      <c r="F1487" s="12">
        <f t="shared" si="1"/>
        <v>3.33</v>
      </c>
      <c r="G1487" s="10" t="str">
        <f>Github!H$2063</f>
        <v>Algorithms</v>
      </c>
      <c r="H1487" s="13" t="str">
        <f>SUBSTITUTE(Github!L$2063, ";", ", ")</f>
        <v>Hash Table, String, </v>
      </c>
      <c r="I1487" s="10" t="str">
        <f>Github!E$2063</f>
        <v>Easy</v>
      </c>
      <c r="J1487" s="10" t="str">
        <f>IF(TRIM(Github!D$2063)="TRUE","FALSE","TRUE")</f>
        <v>TRUE</v>
      </c>
      <c r="K1487" s="10" t="b">
        <f>Github!M$2063</f>
        <v>0</v>
      </c>
      <c r="L1487" s="10" t="b">
        <f>Github!N$2063</f>
        <v>0</v>
      </c>
      <c r="M1487" s="10" t="str">
        <f>ROUND(Github!O$2063, 2)&amp;"%"</f>
        <v>65.77%</v>
      </c>
      <c r="N1487" s="10">
        <f>Github!P$2063</f>
        <v>16595</v>
      </c>
      <c r="O1487" s="10">
        <f>Github!Q$2063</f>
        <v>25230</v>
      </c>
    </row>
    <row r="1488">
      <c r="A1488" s="10">
        <f>Github!J$859</f>
        <v>858</v>
      </c>
      <c r="B1488" s="11" t="str">
        <f>HYPERLINK(CONCAT("http://leetcode.com/problems/",Github!C$859), Github!B$859)</f>
        <v>Mirror Reflection</v>
      </c>
      <c r="C1488" s="10">
        <f>Github!F$859</f>
        <v>366</v>
      </c>
      <c r="D1488" s="10">
        <f>Github!G$859</f>
        <v>713</v>
      </c>
      <c r="E1488" s="10">
        <f>Github!F$859+Github!G$859</f>
        <v>1079</v>
      </c>
      <c r="F1488" s="12">
        <f t="shared" si="1"/>
        <v>0.51</v>
      </c>
      <c r="G1488" s="10" t="str">
        <f>Github!H$859</f>
        <v>Algorithms</v>
      </c>
      <c r="H1488" s="13" t="str">
        <f>SUBSTITUTE(Github!L$859, ";", ", ")</f>
        <v>Math, Geometry, </v>
      </c>
      <c r="I1488" s="10" t="str">
        <f>Github!E$859</f>
        <v>Medium</v>
      </c>
      <c r="J1488" s="10" t="str">
        <f>IF(TRIM(Github!D$859)="TRUE","FALSE","TRUE")</f>
        <v>TRUE</v>
      </c>
      <c r="K1488" s="10" t="b">
        <f>Github!M$859</f>
        <v>0</v>
      </c>
      <c r="L1488" s="10" t="b">
        <f>Github!N$859</f>
        <v>0</v>
      </c>
      <c r="M1488" s="10" t="str">
        <f>ROUND(Github!O$859, 2)&amp;"%"</f>
        <v>59.62%</v>
      </c>
      <c r="N1488" s="10">
        <f>Github!P$859</f>
        <v>26303</v>
      </c>
      <c r="O1488" s="10">
        <f>Github!Q$859</f>
        <v>44120</v>
      </c>
    </row>
    <row r="1489">
      <c r="A1489" s="10">
        <f>Github!J$1477</f>
        <v>1476</v>
      </c>
      <c r="B1489" s="11" t="str">
        <f>HYPERLINK(CONCAT("http://leetcode.com/problems/",Github!C$1477), Github!B$1477)</f>
        <v>Subrectangle Queries</v>
      </c>
      <c r="C1489" s="10">
        <f>Github!F$1477</f>
        <v>368</v>
      </c>
      <c r="D1489" s="10">
        <f>Github!G$1477</f>
        <v>989</v>
      </c>
      <c r="E1489" s="10">
        <f>Github!F$1477+Github!G$1477</f>
        <v>1357</v>
      </c>
      <c r="F1489" s="12">
        <f t="shared" si="1"/>
        <v>0.37</v>
      </c>
      <c r="G1489" s="10" t="str">
        <f>Github!H$1477</f>
        <v>Algorithms</v>
      </c>
      <c r="H1489" s="13" t="str">
        <f>SUBSTITUTE(Github!L$1477, ";", ", ")</f>
        <v>Array, Design, Matrix, </v>
      </c>
      <c r="I1489" s="10" t="str">
        <f>Github!E$1477</f>
        <v>Medium</v>
      </c>
      <c r="J1489" s="10" t="str">
        <f>IF(TRIM(Github!D$1477)="TRUE","FALSE","TRUE")</f>
        <v>TRUE</v>
      </c>
      <c r="K1489" s="10" t="b">
        <f>Github!M$1477</f>
        <v>0</v>
      </c>
      <c r="L1489" s="10" t="b">
        <f>Github!N$1477</f>
        <v>0</v>
      </c>
      <c r="M1489" s="10" t="str">
        <f>ROUND(Github!O$1477, 2)&amp;"%"</f>
        <v>88.15%</v>
      </c>
      <c r="N1489" s="10">
        <f>Github!P$1477</f>
        <v>69517</v>
      </c>
      <c r="O1489" s="10">
        <f>Github!Q$1477</f>
        <v>78859</v>
      </c>
    </row>
    <row r="1490">
      <c r="A1490" s="10">
        <f>Github!J$1228</f>
        <v>1227</v>
      </c>
      <c r="B1490" s="11" t="str">
        <f>HYPERLINK(CONCAT("http://leetcode.com/problems/",Github!C$1228), Github!B$1228)</f>
        <v>Airplane Seat Assignment Probability</v>
      </c>
      <c r="C1490" s="10">
        <f>Github!F$1228</f>
        <v>367</v>
      </c>
      <c r="D1490" s="10">
        <f>Github!G$1228</f>
        <v>667</v>
      </c>
      <c r="E1490" s="10">
        <f>Github!F$1228+Github!G$1228</f>
        <v>1034</v>
      </c>
      <c r="F1490" s="12">
        <f t="shared" si="1"/>
        <v>0.55</v>
      </c>
      <c r="G1490" s="10" t="str">
        <f>Github!H$1228</f>
        <v>Algorithms</v>
      </c>
      <c r="H1490" s="13" t="str">
        <f>SUBSTITUTE(Github!L$1228, ";", ", ")</f>
        <v>Math, Dynamic Programming, Brainteaser, Probability and Statistics, </v>
      </c>
      <c r="I1490" s="10" t="str">
        <f>Github!E$1228</f>
        <v>Medium</v>
      </c>
      <c r="J1490" s="10" t="str">
        <f>IF(TRIM(Github!D$1228)="TRUE","FALSE","TRUE")</f>
        <v>TRUE</v>
      </c>
      <c r="K1490" s="10" t="b">
        <f>Github!M$1228</f>
        <v>0</v>
      </c>
      <c r="L1490" s="10" t="b">
        <f>Github!N$1228</f>
        <v>0</v>
      </c>
      <c r="M1490" s="10" t="str">
        <f>ROUND(Github!O$1228, 2)&amp;"%"</f>
        <v>64.14%</v>
      </c>
      <c r="N1490" s="10">
        <f>Github!P$1228</f>
        <v>25059</v>
      </c>
      <c r="O1490" s="10">
        <f>Github!Q$1228</f>
        <v>39070</v>
      </c>
    </row>
    <row r="1491">
      <c r="A1491" s="10">
        <f>Github!J$394</f>
        <v>393</v>
      </c>
      <c r="B1491" s="11" t="str">
        <f>HYPERLINK(CONCAT("http://leetcode.com/problems/",Github!C$394), Github!B$394)</f>
        <v>UTF-8 Validation</v>
      </c>
      <c r="C1491" s="10">
        <f>Github!F$394</f>
        <v>367</v>
      </c>
      <c r="D1491" s="10">
        <f>Github!G$394</f>
        <v>1512</v>
      </c>
      <c r="E1491" s="10">
        <f>Github!F$394+Github!G$394</f>
        <v>1879</v>
      </c>
      <c r="F1491" s="12">
        <f t="shared" si="1"/>
        <v>0.24</v>
      </c>
      <c r="G1491" s="10" t="str">
        <f>Github!H$394</f>
        <v>Algorithms</v>
      </c>
      <c r="H1491" s="13" t="str">
        <f>SUBSTITUTE(Github!L$394, ";", ", ")</f>
        <v>Array, Bit Manipulation, </v>
      </c>
      <c r="I1491" s="10" t="str">
        <f>Github!E$394</f>
        <v>Medium</v>
      </c>
      <c r="J1491" s="10" t="str">
        <f>IF(TRIM(Github!D$394)="TRUE","FALSE","TRUE")</f>
        <v>TRUE</v>
      </c>
      <c r="K1491" s="10" t="b">
        <f>Github!M$394</f>
        <v>1</v>
      </c>
      <c r="L1491" s="10" t="b">
        <f>Github!N$394</f>
        <v>0</v>
      </c>
      <c r="M1491" s="10" t="str">
        <f>ROUND(Github!O$394, 2)&amp;"%"</f>
        <v>39.17%</v>
      </c>
      <c r="N1491" s="10">
        <f>Github!P$394</f>
        <v>67222</v>
      </c>
      <c r="O1491" s="10">
        <f>Github!Q$394</f>
        <v>171608</v>
      </c>
    </row>
    <row r="1492">
      <c r="A1492" s="10">
        <f>Github!J$1275</f>
        <v>1274</v>
      </c>
      <c r="B1492" s="11" t="str">
        <f>HYPERLINK(CONCAT("http://leetcode.com/problems/",Github!C$1275), Github!B$1275)</f>
        <v>Number of Ships in a Rectangle</v>
      </c>
      <c r="C1492" s="10">
        <f>Github!F$1275</f>
        <v>366</v>
      </c>
      <c r="D1492" s="10">
        <f>Github!G$1275</f>
        <v>43</v>
      </c>
      <c r="E1492" s="10">
        <f>Github!F$1275+Github!G$1275</f>
        <v>409</v>
      </c>
      <c r="F1492" s="12">
        <f t="shared" si="1"/>
        <v>8.51</v>
      </c>
      <c r="G1492" s="10" t="str">
        <f>Github!H$1275</f>
        <v>Algorithms</v>
      </c>
      <c r="H1492" s="13" t="str">
        <f>SUBSTITUTE(Github!L$1275, ";", ", ")</f>
        <v>Array, Divide and Conquer, Interactive, </v>
      </c>
      <c r="I1492" s="10" t="str">
        <f>Github!E$1275</f>
        <v>Hard</v>
      </c>
      <c r="J1492" s="10" t="str">
        <f>IF(TRIM(Github!D$1275)="TRUE","FALSE","TRUE")</f>
        <v>FALSE</v>
      </c>
      <c r="K1492" s="10" t="b">
        <f>Github!M$1275</f>
        <v>1</v>
      </c>
      <c r="L1492" s="10" t="b">
        <f>Github!N$1275</f>
        <v>0</v>
      </c>
      <c r="M1492" s="10" t="str">
        <f>ROUND(Github!O$1275, 2)&amp;"%"</f>
        <v>68.66%</v>
      </c>
      <c r="N1492" s="10">
        <f>Github!P$1275</f>
        <v>17508</v>
      </c>
      <c r="O1492" s="10">
        <f>Github!Q$1275</f>
        <v>25499</v>
      </c>
    </row>
    <row r="1493">
      <c r="A1493" s="10">
        <f>Github!J$1731</f>
        <v>1730</v>
      </c>
      <c r="B1493" s="11" t="str">
        <f>HYPERLINK(CONCAT("http://leetcode.com/problems/",Github!C$1731), Github!B$1731)</f>
        <v>Shortest Path to Get Food</v>
      </c>
      <c r="C1493" s="10">
        <f>Github!F$1731</f>
        <v>373</v>
      </c>
      <c r="D1493" s="10">
        <f>Github!G$1731</f>
        <v>17</v>
      </c>
      <c r="E1493" s="10">
        <f>Github!F$1731+Github!G$1731</f>
        <v>390</v>
      </c>
      <c r="F1493" s="12">
        <f t="shared" si="1"/>
        <v>21.94</v>
      </c>
      <c r="G1493" s="10" t="str">
        <f>Github!H$1731</f>
        <v>Algorithms</v>
      </c>
      <c r="H1493" s="13" t="str">
        <f>SUBSTITUTE(Github!L$1731, ";", ", ")</f>
        <v>Array, Breadth-First Search, Matrix, </v>
      </c>
      <c r="I1493" s="10" t="str">
        <f>Github!E$1731</f>
        <v>Medium</v>
      </c>
      <c r="J1493" s="10" t="str">
        <f>IF(TRIM(Github!D$1731)="TRUE","FALSE","TRUE")</f>
        <v>FALSE</v>
      </c>
      <c r="K1493" s="10" t="b">
        <f>Github!M$1731</f>
        <v>0</v>
      </c>
      <c r="L1493" s="10" t="b">
        <f>Github!N$1731</f>
        <v>0</v>
      </c>
      <c r="M1493" s="10" t="str">
        <f>ROUND(Github!O$1731, 2)&amp;"%"</f>
        <v>54.36%</v>
      </c>
      <c r="N1493" s="10">
        <f>Github!P$1731</f>
        <v>30072</v>
      </c>
      <c r="O1493" s="10">
        <f>Github!Q$1731</f>
        <v>55319</v>
      </c>
    </row>
    <row r="1494">
      <c r="A1494" s="10">
        <f>Github!J$1892</f>
        <v>1891</v>
      </c>
      <c r="B1494" s="11" t="str">
        <f>HYPERLINK(CONCAT("http://leetcode.com/problems/",Github!C$1892), Github!B$1892)</f>
        <v>Cutting Ribbons</v>
      </c>
      <c r="C1494" s="10">
        <f>Github!F$1892</f>
        <v>370</v>
      </c>
      <c r="D1494" s="10">
        <f>Github!G$1892</f>
        <v>23</v>
      </c>
      <c r="E1494" s="10">
        <f>Github!F$1892+Github!G$1892</f>
        <v>393</v>
      </c>
      <c r="F1494" s="12">
        <f t="shared" si="1"/>
        <v>16.09</v>
      </c>
      <c r="G1494" s="10" t="str">
        <f>Github!H$1892</f>
        <v>Algorithms</v>
      </c>
      <c r="H1494" s="13" t="str">
        <f>SUBSTITUTE(Github!L$1892, ";", ", ")</f>
        <v>Array, Binary Search, </v>
      </c>
      <c r="I1494" s="10" t="str">
        <f>Github!E$1892</f>
        <v>Medium</v>
      </c>
      <c r="J1494" s="10" t="str">
        <f>IF(TRIM(Github!D$1892)="TRUE","FALSE","TRUE")</f>
        <v>FALSE</v>
      </c>
      <c r="K1494" s="10" t="b">
        <f>Github!M$1892</f>
        <v>0</v>
      </c>
      <c r="L1494" s="10" t="b">
        <f>Github!N$1892</f>
        <v>0</v>
      </c>
      <c r="M1494" s="10" t="str">
        <f>ROUND(Github!O$1892, 2)&amp;"%"</f>
        <v>48.05%</v>
      </c>
      <c r="N1494" s="10">
        <f>Github!P$1892</f>
        <v>38339</v>
      </c>
      <c r="O1494" s="10">
        <f>Github!Q$1892</f>
        <v>79785</v>
      </c>
    </row>
    <row r="1495">
      <c r="A1495" s="10">
        <f>Github!J$193</f>
        <v>192</v>
      </c>
      <c r="B1495" s="11" t="str">
        <f>HYPERLINK(CONCAT("http://leetcode.com/problems/",Github!C$193), Github!B$193)</f>
        <v>Word Frequency</v>
      </c>
      <c r="C1495" s="10">
        <f>Github!F$193</f>
        <v>367</v>
      </c>
      <c r="D1495" s="10">
        <f>Github!G$193</f>
        <v>240</v>
      </c>
      <c r="E1495" s="10">
        <f>Github!F$193+Github!G$193</f>
        <v>607</v>
      </c>
      <c r="F1495" s="12">
        <f t="shared" si="1"/>
        <v>1.53</v>
      </c>
      <c r="G1495" s="10" t="str">
        <f>Github!H$193</f>
        <v>Shell</v>
      </c>
      <c r="H1495" s="13" t="str">
        <f>SUBSTITUTE(Github!L$193, ";", ", ")</f>
        <v>Shell, </v>
      </c>
      <c r="I1495" s="10" t="str">
        <f>Github!E$193</f>
        <v>Medium</v>
      </c>
      <c r="J1495" s="10" t="str">
        <f>IF(TRIM(Github!D$193)="TRUE","FALSE","TRUE")</f>
        <v>TRUE</v>
      </c>
      <c r="K1495" s="10" t="b">
        <f>Github!M$193</f>
        <v>0</v>
      </c>
      <c r="L1495" s="10" t="b">
        <f>Github!N$193</f>
        <v>0</v>
      </c>
      <c r="M1495" s="10" t="str">
        <f>ROUND(Github!O$193, 2)&amp;"%"</f>
        <v>25.6%</v>
      </c>
      <c r="N1495" s="10">
        <f>Github!P$193</f>
        <v>37015</v>
      </c>
      <c r="O1495" s="10">
        <f>Github!Q$193</f>
        <v>144618</v>
      </c>
    </row>
    <row r="1496">
      <c r="A1496" s="10">
        <f>Github!J$479</f>
        <v>478</v>
      </c>
      <c r="B1496" s="11" t="str">
        <f>HYPERLINK(CONCAT("http://leetcode.com/problems/",Github!C$479), Github!B$479)</f>
        <v>Generate Random Point in a Circle</v>
      </c>
      <c r="C1496" s="10">
        <f>Github!F$479</f>
        <v>363</v>
      </c>
      <c r="D1496" s="10">
        <f>Github!G$479</f>
        <v>676</v>
      </c>
      <c r="E1496" s="10">
        <f>Github!F$479+Github!G$479</f>
        <v>1039</v>
      </c>
      <c r="F1496" s="12">
        <f t="shared" si="1"/>
        <v>0.54</v>
      </c>
      <c r="G1496" s="10" t="str">
        <f>Github!H$479</f>
        <v>Algorithms</v>
      </c>
      <c r="H1496" s="13" t="str">
        <f>SUBSTITUTE(Github!L$479, ";", ", ")</f>
        <v>Math, Geometry, Rejection Sampling, Randomized, </v>
      </c>
      <c r="I1496" s="10" t="str">
        <f>Github!E$479</f>
        <v>Medium</v>
      </c>
      <c r="J1496" s="10" t="str">
        <f>IF(TRIM(Github!D$479)="TRUE","FALSE","TRUE")</f>
        <v>TRUE</v>
      </c>
      <c r="K1496" s="10" t="b">
        <f>Github!M$479</f>
        <v>1</v>
      </c>
      <c r="L1496" s="10" t="b">
        <f>Github!N$479</f>
        <v>0</v>
      </c>
      <c r="M1496" s="10" t="str">
        <f>ROUND(Github!O$479, 2)&amp;"%"</f>
        <v>39.33%</v>
      </c>
      <c r="N1496" s="10">
        <f>Github!P$479</f>
        <v>33293</v>
      </c>
      <c r="O1496" s="10">
        <f>Github!Q$479</f>
        <v>84659</v>
      </c>
    </row>
    <row r="1497">
      <c r="A1497" s="10">
        <f>Github!J$386</f>
        <v>385</v>
      </c>
      <c r="B1497" s="11" t="str">
        <f>HYPERLINK(CONCAT("http://leetcode.com/problems/",Github!C$386), Github!B$386)</f>
        <v>Mini Parser</v>
      </c>
      <c r="C1497" s="10">
        <f>Github!F$386</f>
        <v>363</v>
      </c>
      <c r="D1497" s="10">
        <f>Github!G$386</f>
        <v>1134</v>
      </c>
      <c r="E1497" s="10">
        <f>Github!F$386+Github!G$386</f>
        <v>1497</v>
      </c>
      <c r="F1497" s="12">
        <f t="shared" si="1"/>
        <v>0.32</v>
      </c>
      <c r="G1497" s="10" t="str">
        <f>Github!H$386</f>
        <v>Algorithms</v>
      </c>
      <c r="H1497" s="13" t="str">
        <f>SUBSTITUTE(Github!L$386, ";", ", ")</f>
        <v>String, Stack, Depth-First Search, </v>
      </c>
      <c r="I1497" s="10" t="str">
        <f>Github!E$386</f>
        <v>Medium</v>
      </c>
      <c r="J1497" s="10" t="str">
        <f>IF(TRIM(Github!D$386)="TRUE","FALSE","TRUE")</f>
        <v>TRUE</v>
      </c>
      <c r="K1497" s="10" t="b">
        <f>Github!M$386</f>
        <v>0</v>
      </c>
      <c r="L1497" s="10" t="b">
        <f>Github!N$386</f>
        <v>0</v>
      </c>
      <c r="M1497" s="10" t="str">
        <f>ROUND(Github!O$386, 2)&amp;"%"</f>
        <v>35.85%</v>
      </c>
      <c r="N1497" s="10">
        <f>Github!P$386</f>
        <v>47801</v>
      </c>
      <c r="O1497" s="10">
        <f>Github!Q$386</f>
        <v>133348</v>
      </c>
    </row>
    <row r="1498">
      <c r="A1498" s="10">
        <f>Github!J$1743</f>
        <v>1742</v>
      </c>
      <c r="B1498" s="11" t="str">
        <f>HYPERLINK(CONCAT("http://leetcode.com/problems/",Github!C$1743), Github!B$1743)</f>
        <v>Maximum Number of Balls in a Box</v>
      </c>
      <c r="C1498" s="10">
        <f>Github!F$1743</f>
        <v>364</v>
      </c>
      <c r="D1498" s="10">
        <f>Github!G$1743</f>
        <v>85</v>
      </c>
      <c r="E1498" s="10">
        <f>Github!F$1743+Github!G$1743</f>
        <v>449</v>
      </c>
      <c r="F1498" s="12">
        <f t="shared" si="1"/>
        <v>4.28</v>
      </c>
      <c r="G1498" s="10" t="str">
        <f>Github!H$1743</f>
        <v>Algorithms</v>
      </c>
      <c r="H1498" s="13" t="str">
        <f>SUBSTITUTE(Github!L$1743, ";", ", ")</f>
        <v>Hash Table, Math, Counting, </v>
      </c>
      <c r="I1498" s="10" t="str">
        <f>Github!E$1743</f>
        <v>Easy</v>
      </c>
      <c r="J1498" s="10" t="str">
        <f>IF(TRIM(Github!D$1743)="TRUE","FALSE","TRUE")</f>
        <v>TRUE</v>
      </c>
      <c r="K1498" s="10" t="b">
        <f>Github!M$1743</f>
        <v>0</v>
      </c>
      <c r="L1498" s="10" t="b">
        <f>Github!N$1743</f>
        <v>0</v>
      </c>
      <c r="M1498" s="10" t="str">
        <f>ROUND(Github!O$1743, 2)&amp;"%"</f>
        <v>73.71%</v>
      </c>
      <c r="N1498" s="10">
        <f>Github!P$1743</f>
        <v>38241</v>
      </c>
      <c r="O1498" s="10">
        <f>Github!Q$1743</f>
        <v>51879</v>
      </c>
    </row>
    <row r="1499">
      <c r="A1499" s="10">
        <f>Github!J$1089</f>
        <v>1088</v>
      </c>
      <c r="B1499" s="11" t="str">
        <f>HYPERLINK(CONCAT("http://leetcode.com/problems/",Github!C$1089), Github!B$1089)</f>
        <v>Confusing Number II</v>
      </c>
      <c r="C1499" s="10">
        <f>Github!F$1089</f>
        <v>362</v>
      </c>
      <c r="D1499" s="10">
        <f>Github!G$1089</f>
        <v>102</v>
      </c>
      <c r="E1499" s="10">
        <f>Github!F$1089+Github!G$1089</f>
        <v>464</v>
      </c>
      <c r="F1499" s="12">
        <f t="shared" si="1"/>
        <v>3.55</v>
      </c>
      <c r="G1499" s="10" t="str">
        <f>Github!H$1089</f>
        <v>Algorithms</v>
      </c>
      <c r="H1499" s="13" t="str">
        <f>SUBSTITUTE(Github!L$1089, ";", ", ")</f>
        <v>Math, Backtracking, </v>
      </c>
      <c r="I1499" s="10" t="str">
        <f>Github!E$1089</f>
        <v>Hard</v>
      </c>
      <c r="J1499" s="10" t="str">
        <f>IF(TRIM(Github!D$1089)="TRUE","FALSE","TRUE")</f>
        <v>FALSE</v>
      </c>
      <c r="K1499" s="10" t="b">
        <f>Github!M$1089</f>
        <v>0</v>
      </c>
      <c r="L1499" s="10" t="b">
        <f>Github!N$1089</f>
        <v>0</v>
      </c>
      <c r="M1499" s="10" t="str">
        <f>ROUND(Github!O$1089, 2)&amp;"%"</f>
        <v>46.38%</v>
      </c>
      <c r="N1499" s="10">
        <f>Github!P$1089</f>
        <v>29123</v>
      </c>
      <c r="O1499" s="10">
        <f>Github!Q$1089</f>
        <v>62796</v>
      </c>
    </row>
    <row r="1500">
      <c r="A1500" s="10">
        <f>Github!J$2104</f>
        <v>2103</v>
      </c>
      <c r="B1500" s="11" t="str">
        <f>HYPERLINK(CONCAT("http://leetcode.com/problems/",Github!C$2104), Github!B$2104)</f>
        <v>Rings and Rods</v>
      </c>
      <c r="C1500" s="10">
        <f>Github!F$2104</f>
        <v>369</v>
      </c>
      <c r="D1500" s="10">
        <f>Github!G$2104</f>
        <v>10</v>
      </c>
      <c r="E1500" s="10">
        <f>Github!F$2104+Github!G$2104</f>
        <v>379</v>
      </c>
      <c r="F1500" s="12">
        <f t="shared" si="1"/>
        <v>36.9</v>
      </c>
      <c r="G1500" s="10" t="str">
        <f>Github!H$2104</f>
        <v>Algorithms</v>
      </c>
      <c r="H1500" s="13" t="str">
        <f>SUBSTITUTE(Github!L$2104, ";", ", ")</f>
        <v>Hash Table, String, </v>
      </c>
      <c r="I1500" s="10" t="str">
        <f>Github!E$2104</f>
        <v>Easy</v>
      </c>
      <c r="J1500" s="10" t="str">
        <f>IF(TRIM(Github!D$2104)="TRUE","FALSE","TRUE")</f>
        <v>TRUE</v>
      </c>
      <c r="K1500" s="10" t="b">
        <f>Github!M$2104</f>
        <v>0</v>
      </c>
      <c r="L1500" s="10" t="b">
        <f>Github!N$2104</f>
        <v>0</v>
      </c>
      <c r="M1500" s="10" t="str">
        <f>ROUND(Github!O$2104, 2)&amp;"%"</f>
        <v>81.74%</v>
      </c>
      <c r="N1500" s="10">
        <f>Github!P$2104</f>
        <v>29279</v>
      </c>
      <c r="O1500" s="10">
        <f>Github!Q$2104</f>
        <v>35818</v>
      </c>
    </row>
    <row r="1501">
      <c r="A1501" s="10">
        <f>Github!J$2109</f>
        <v>2108</v>
      </c>
      <c r="B1501" s="11" t="str">
        <f>HYPERLINK(CONCAT("http://leetcode.com/problems/",Github!C$2109), Github!B$2109)</f>
        <v>Find First Palindromic String in the Array</v>
      </c>
      <c r="C1501" s="10">
        <f>Github!F$2109</f>
        <v>367</v>
      </c>
      <c r="D1501" s="10">
        <f>Github!G$2109</f>
        <v>12</v>
      </c>
      <c r="E1501" s="10">
        <f>Github!F$2109+Github!G$2109</f>
        <v>379</v>
      </c>
      <c r="F1501" s="12">
        <f t="shared" si="1"/>
        <v>30.58</v>
      </c>
      <c r="G1501" s="10" t="str">
        <f>Github!H$2109</f>
        <v>Algorithms</v>
      </c>
      <c r="H1501" s="13" t="str">
        <f>SUBSTITUTE(Github!L$2109, ";", ", ")</f>
        <v>Array, Two Pointers, String, </v>
      </c>
      <c r="I1501" s="10" t="str">
        <f>Github!E$2109</f>
        <v>Easy</v>
      </c>
      <c r="J1501" s="10" t="str">
        <f>IF(TRIM(Github!D$2109)="TRUE","FALSE","TRUE")</f>
        <v>TRUE</v>
      </c>
      <c r="K1501" s="10" t="b">
        <f>Github!M$2109</f>
        <v>0</v>
      </c>
      <c r="L1501" s="10" t="b">
        <f>Github!N$2109</f>
        <v>0</v>
      </c>
      <c r="M1501" s="10" t="str">
        <f>ROUND(Github!O$2109, 2)&amp;"%"</f>
        <v>79.33%</v>
      </c>
      <c r="N1501" s="10">
        <f>Github!P$2109</f>
        <v>41768</v>
      </c>
      <c r="O1501" s="10">
        <f>Github!Q$2109</f>
        <v>52649</v>
      </c>
    </row>
    <row r="1502">
      <c r="A1502" s="10">
        <f>Github!J$1225</f>
        <v>1224</v>
      </c>
      <c r="B1502" s="11" t="str">
        <f>HYPERLINK(CONCAT("http://leetcode.com/problems/",Github!C$1225), Github!B$1225)</f>
        <v>Maximum Equal Frequency</v>
      </c>
      <c r="C1502" s="10">
        <f>Github!F$1225</f>
        <v>360</v>
      </c>
      <c r="D1502" s="10">
        <f>Github!G$1225</f>
        <v>42</v>
      </c>
      <c r="E1502" s="10">
        <f>Github!F$1225+Github!G$1225</f>
        <v>402</v>
      </c>
      <c r="F1502" s="12">
        <f t="shared" si="1"/>
        <v>8.57</v>
      </c>
      <c r="G1502" s="10" t="str">
        <f>Github!H$1225</f>
        <v>Algorithms</v>
      </c>
      <c r="H1502" s="13" t="str">
        <f>SUBSTITUTE(Github!L$1225, ";", ", ")</f>
        <v>Array, Hash Table, </v>
      </c>
      <c r="I1502" s="10" t="str">
        <f>Github!E$1225</f>
        <v>Hard</v>
      </c>
      <c r="J1502" s="10" t="str">
        <f>IF(TRIM(Github!D$1225)="TRUE","FALSE","TRUE")</f>
        <v>TRUE</v>
      </c>
      <c r="K1502" s="10" t="b">
        <f>Github!M$1225</f>
        <v>0</v>
      </c>
      <c r="L1502" s="10" t="b">
        <f>Github!N$1225</f>
        <v>0</v>
      </c>
      <c r="M1502" s="10" t="str">
        <f>ROUND(Github!O$1225, 2)&amp;"%"</f>
        <v>36.56%</v>
      </c>
      <c r="N1502" s="10">
        <f>Github!P$1225</f>
        <v>10680</v>
      </c>
      <c r="O1502" s="10">
        <f>Github!Q$1225</f>
        <v>29212</v>
      </c>
    </row>
    <row r="1503">
      <c r="A1503" s="10">
        <f>Github!J$605</f>
        <v>604</v>
      </c>
      <c r="B1503" s="11" t="str">
        <f>HYPERLINK(CONCAT("http://leetcode.com/problems/",Github!C$605), Github!B$605)</f>
        <v>Design Compressed String Iterator</v>
      </c>
      <c r="C1503" s="10">
        <f>Github!F$605</f>
        <v>360</v>
      </c>
      <c r="D1503" s="10">
        <f>Github!G$605</f>
        <v>124</v>
      </c>
      <c r="E1503" s="10">
        <f>Github!F$605+Github!G$605</f>
        <v>484</v>
      </c>
      <c r="F1503" s="12">
        <f t="shared" si="1"/>
        <v>2.9</v>
      </c>
      <c r="G1503" s="10" t="str">
        <f>Github!H$605</f>
        <v>Algorithms</v>
      </c>
      <c r="H1503" s="13" t="str">
        <f>SUBSTITUTE(Github!L$605, ";", ", ")</f>
        <v>Array, Hash Table, String, Design, Iterator, </v>
      </c>
      <c r="I1503" s="10" t="str">
        <f>Github!E$605</f>
        <v>Easy</v>
      </c>
      <c r="J1503" s="10" t="str">
        <f>IF(TRIM(Github!D$605)="TRUE","FALSE","TRUE")</f>
        <v>FALSE</v>
      </c>
      <c r="K1503" s="10" t="b">
        <f>Github!M$605</f>
        <v>1</v>
      </c>
      <c r="L1503" s="10" t="b">
        <f>Github!N$605</f>
        <v>0</v>
      </c>
      <c r="M1503" s="10" t="str">
        <f>ROUND(Github!O$605, 2)&amp;"%"</f>
        <v>39.09%</v>
      </c>
      <c r="N1503" s="10">
        <f>Github!P$605</f>
        <v>26230</v>
      </c>
      <c r="O1503" s="10">
        <f>Github!Q$605</f>
        <v>67108</v>
      </c>
    </row>
    <row r="1504">
      <c r="A1504" s="10">
        <f>Github!J$1666</f>
        <v>1665</v>
      </c>
      <c r="B1504" s="11" t="str">
        <f>HYPERLINK(CONCAT("http://leetcode.com/problems/",Github!C$1666), Github!B$1666)</f>
        <v>Minimum Initial Energy to Finish Tasks</v>
      </c>
      <c r="C1504" s="10">
        <f>Github!F$1666</f>
        <v>360</v>
      </c>
      <c r="D1504" s="10">
        <f>Github!G$1666</f>
        <v>28</v>
      </c>
      <c r="E1504" s="10">
        <f>Github!F$1666+Github!G$1666</f>
        <v>388</v>
      </c>
      <c r="F1504" s="12">
        <f t="shared" si="1"/>
        <v>12.86</v>
      </c>
      <c r="G1504" s="10" t="str">
        <f>Github!H$1666</f>
        <v>Algorithms</v>
      </c>
      <c r="H1504" s="13" t="str">
        <f>SUBSTITUTE(Github!L$1666, ";", ", ")</f>
        <v>Array, Greedy, Sorting, </v>
      </c>
      <c r="I1504" s="10" t="str">
        <f>Github!E$1666</f>
        <v>Hard</v>
      </c>
      <c r="J1504" s="10" t="str">
        <f>IF(TRIM(Github!D$1666)="TRUE","FALSE","TRUE")</f>
        <v>TRUE</v>
      </c>
      <c r="K1504" s="10" t="b">
        <f>Github!M$1666</f>
        <v>0</v>
      </c>
      <c r="L1504" s="10" t="b">
        <f>Github!N$1666</f>
        <v>0</v>
      </c>
      <c r="M1504" s="10" t="str">
        <f>ROUND(Github!O$1666, 2)&amp;"%"</f>
        <v>55.79%</v>
      </c>
      <c r="N1504" s="10">
        <f>Github!P$1666</f>
        <v>11452</v>
      </c>
      <c r="O1504" s="10">
        <f>Github!Q$1666</f>
        <v>20527</v>
      </c>
    </row>
    <row r="1505">
      <c r="A1505" s="10">
        <f>Github!J$1564</f>
        <v>1563</v>
      </c>
      <c r="B1505" s="11" t="str">
        <f>HYPERLINK(CONCAT("http://leetcode.com/problems/",Github!C$1564), Github!B$1564)</f>
        <v>Stone Game V</v>
      </c>
      <c r="C1505" s="10">
        <f>Github!F$1564</f>
        <v>362</v>
      </c>
      <c r="D1505" s="10">
        <f>Github!G$1564</f>
        <v>59</v>
      </c>
      <c r="E1505" s="10">
        <f>Github!F$1564+Github!G$1564</f>
        <v>421</v>
      </c>
      <c r="F1505" s="12">
        <f t="shared" si="1"/>
        <v>6.14</v>
      </c>
      <c r="G1505" s="10" t="str">
        <f>Github!H$1564</f>
        <v>Algorithms</v>
      </c>
      <c r="H1505" s="13" t="str">
        <f>SUBSTITUTE(Github!L$1564, ";", ", ")</f>
        <v>Array, Math, Dynamic Programming, Game Theory, </v>
      </c>
      <c r="I1505" s="10" t="str">
        <f>Github!E$1564</f>
        <v>Hard</v>
      </c>
      <c r="J1505" s="10" t="str">
        <f>IF(TRIM(Github!D$1564)="TRUE","FALSE","TRUE")</f>
        <v>TRUE</v>
      </c>
      <c r="K1505" s="10" t="b">
        <f>Github!M$1564</f>
        <v>0</v>
      </c>
      <c r="L1505" s="10" t="b">
        <f>Github!N$1564</f>
        <v>0</v>
      </c>
      <c r="M1505" s="10" t="str">
        <f>ROUND(Github!O$1564, 2)&amp;"%"</f>
        <v>40.88%</v>
      </c>
      <c r="N1505" s="10">
        <f>Github!P$1564</f>
        <v>12730</v>
      </c>
      <c r="O1505" s="10">
        <f>Github!Q$1564</f>
        <v>31137</v>
      </c>
    </row>
    <row r="1506">
      <c r="A1506" s="10">
        <f>Github!J$1199</f>
        <v>1198</v>
      </c>
      <c r="B1506" s="11" t="str">
        <f>HYPERLINK(CONCAT("http://leetcode.com/problems/",Github!C$1199), Github!B$1199)</f>
        <v>Find Smallest Common Element in All Rows</v>
      </c>
      <c r="C1506" s="10">
        <f>Github!F$1199</f>
        <v>363</v>
      </c>
      <c r="D1506" s="10">
        <f>Github!G$1199</f>
        <v>25</v>
      </c>
      <c r="E1506" s="10">
        <f>Github!F$1199+Github!G$1199</f>
        <v>388</v>
      </c>
      <c r="F1506" s="12">
        <f t="shared" si="1"/>
        <v>14.52</v>
      </c>
      <c r="G1506" s="10" t="str">
        <f>Github!H$1199</f>
        <v>Algorithms</v>
      </c>
      <c r="H1506" s="13" t="str">
        <f>SUBSTITUTE(Github!L$1199, ";", ", ")</f>
        <v>Array, Hash Table, Binary Search, Matrix, Counting, </v>
      </c>
      <c r="I1506" s="10" t="str">
        <f>Github!E$1199</f>
        <v>Medium</v>
      </c>
      <c r="J1506" s="10" t="str">
        <f>IF(TRIM(Github!D$1199)="TRUE","FALSE","TRUE")</f>
        <v>FALSE</v>
      </c>
      <c r="K1506" s="10" t="b">
        <f>Github!M$1199</f>
        <v>1</v>
      </c>
      <c r="L1506" s="10" t="b">
        <f>Github!N$1199</f>
        <v>1</v>
      </c>
      <c r="M1506" s="10" t="str">
        <f>ROUND(Github!O$1199, 2)&amp;"%"</f>
        <v>75.91%</v>
      </c>
      <c r="N1506" s="10">
        <f>Github!P$1199</f>
        <v>27239</v>
      </c>
      <c r="O1506" s="10">
        <f>Github!Q$1199</f>
        <v>35882</v>
      </c>
    </row>
    <row r="1507">
      <c r="A1507" s="10">
        <f>Github!J$1980</f>
        <v>1979</v>
      </c>
      <c r="B1507" s="11" t="str">
        <f>HYPERLINK(CONCAT("http://leetcode.com/problems/",Github!C$1980), Github!B$1980)</f>
        <v>Find Greatest Common Divisor of Array</v>
      </c>
      <c r="C1507" s="10">
        <f>Github!F$1980</f>
        <v>363</v>
      </c>
      <c r="D1507" s="10">
        <f>Github!G$1980</f>
        <v>15</v>
      </c>
      <c r="E1507" s="10">
        <f>Github!F$1980+Github!G$1980</f>
        <v>378</v>
      </c>
      <c r="F1507" s="12">
        <f t="shared" si="1"/>
        <v>24.2</v>
      </c>
      <c r="G1507" s="10" t="str">
        <f>Github!H$1980</f>
        <v>Algorithms</v>
      </c>
      <c r="H1507" s="13" t="str">
        <f>SUBSTITUTE(Github!L$1980, ";", ", ")</f>
        <v>Array, Math, Number Theory, </v>
      </c>
      <c r="I1507" s="10" t="str">
        <f>Github!E$1980</f>
        <v>Easy</v>
      </c>
      <c r="J1507" s="10" t="str">
        <f>IF(TRIM(Github!D$1980)="TRUE","FALSE","TRUE")</f>
        <v>TRUE</v>
      </c>
      <c r="K1507" s="10" t="b">
        <f>Github!M$1980</f>
        <v>0</v>
      </c>
      <c r="L1507" s="10" t="b">
        <f>Github!N$1980</f>
        <v>0</v>
      </c>
      <c r="M1507" s="10" t="str">
        <f>ROUND(Github!O$1980, 2)&amp;"%"</f>
        <v>77.92%</v>
      </c>
      <c r="N1507" s="10">
        <f>Github!P$1980</f>
        <v>40112</v>
      </c>
      <c r="O1507" s="10">
        <f>Github!Q$1980</f>
        <v>51480</v>
      </c>
    </row>
    <row r="1508">
      <c r="A1508" s="10">
        <f>Github!J$2146</f>
        <v>2145</v>
      </c>
      <c r="B1508" s="11" t="str">
        <f>HYPERLINK(CONCAT("http://leetcode.com/problems/",Github!C$2146), Github!B$2146)</f>
        <v>Count the Hidden Sequences</v>
      </c>
      <c r="C1508" s="10">
        <f>Github!F$2146</f>
        <v>359</v>
      </c>
      <c r="D1508" s="10">
        <f>Github!G$2146</f>
        <v>37</v>
      </c>
      <c r="E1508" s="10">
        <f>Github!F$2146+Github!G$2146</f>
        <v>396</v>
      </c>
      <c r="F1508" s="12">
        <f t="shared" si="1"/>
        <v>9.7</v>
      </c>
      <c r="G1508" s="10" t="str">
        <f>Github!H$2146</f>
        <v>Algorithms</v>
      </c>
      <c r="H1508" s="13" t="str">
        <f>SUBSTITUTE(Github!L$2146, ";", ", ")</f>
        <v>Array, Prefix Sum, </v>
      </c>
      <c r="I1508" s="10" t="str">
        <f>Github!E$2146</f>
        <v>Medium</v>
      </c>
      <c r="J1508" s="10" t="str">
        <f>IF(TRIM(Github!D$2146)="TRUE","FALSE","TRUE")</f>
        <v>TRUE</v>
      </c>
      <c r="K1508" s="10" t="b">
        <f>Github!M$2146</f>
        <v>0</v>
      </c>
      <c r="L1508" s="10" t="b">
        <f>Github!N$2146</f>
        <v>0</v>
      </c>
      <c r="M1508" s="10" t="str">
        <f>ROUND(Github!O$2146, 2)&amp;"%"</f>
        <v>35.2%</v>
      </c>
      <c r="N1508" s="10">
        <f>Github!P$2146</f>
        <v>11472</v>
      </c>
      <c r="O1508" s="10">
        <f>Github!Q$2146</f>
        <v>32593</v>
      </c>
    </row>
    <row r="1509">
      <c r="A1509" s="10">
        <f>Github!J$1417</f>
        <v>1416</v>
      </c>
      <c r="B1509" s="11" t="str">
        <f>HYPERLINK(CONCAT("http://leetcode.com/problems/",Github!C$1417), Github!B$1417)</f>
        <v>Restore The Array</v>
      </c>
      <c r="C1509" s="10">
        <f>Github!F$1417</f>
        <v>358</v>
      </c>
      <c r="D1509" s="10">
        <f>Github!G$1417</f>
        <v>14</v>
      </c>
      <c r="E1509" s="10">
        <f>Github!F$1417+Github!G$1417</f>
        <v>372</v>
      </c>
      <c r="F1509" s="12">
        <f t="shared" si="1"/>
        <v>25.57</v>
      </c>
      <c r="G1509" s="10" t="str">
        <f>Github!H$1417</f>
        <v>Algorithms</v>
      </c>
      <c r="H1509" s="13" t="str">
        <f>SUBSTITUTE(Github!L$1417, ";", ", ")</f>
        <v>String, Dynamic Programming, </v>
      </c>
      <c r="I1509" s="10" t="str">
        <f>Github!E$1417</f>
        <v>Hard</v>
      </c>
      <c r="J1509" s="10" t="str">
        <f>IF(TRIM(Github!D$1417)="TRUE","FALSE","TRUE")</f>
        <v>TRUE</v>
      </c>
      <c r="K1509" s="10" t="b">
        <f>Github!M$1417</f>
        <v>0</v>
      </c>
      <c r="L1509" s="10" t="b">
        <f>Github!N$1417</f>
        <v>0</v>
      </c>
      <c r="M1509" s="10" t="str">
        <f>ROUND(Github!O$1417, 2)&amp;"%"</f>
        <v>37.93%</v>
      </c>
      <c r="N1509" s="10">
        <f>Github!P$1417</f>
        <v>12068</v>
      </c>
      <c r="O1509" s="10">
        <f>Github!Q$1417</f>
        <v>31816</v>
      </c>
    </row>
    <row r="1510">
      <c r="A1510" s="10">
        <f>Github!J$545</f>
        <v>544</v>
      </c>
      <c r="B1510" s="11" t="str">
        <f>HYPERLINK(CONCAT("http://leetcode.com/problems/",Github!C$545), Github!B$545)</f>
        <v>Output Contest Matches</v>
      </c>
      <c r="C1510" s="10">
        <f>Github!F$545</f>
        <v>356</v>
      </c>
      <c r="D1510" s="10">
        <f>Github!G$545</f>
        <v>116</v>
      </c>
      <c r="E1510" s="10">
        <f>Github!F$545+Github!G$545</f>
        <v>472</v>
      </c>
      <c r="F1510" s="12">
        <f t="shared" si="1"/>
        <v>3.07</v>
      </c>
      <c r="G1510" s="10" t="str">
        <f>Github!H$545</f>
        <v>Algorithms</v>
      </c>
      <c r="H1510" s="13" t="str">
        <f>SUBSTITUTE(Github!L$545, ";", ", ")</f>
        <v>String, Recursion, Simulation, </v>
      </c>
      <c r="I1510" s="10" t="str">
        <f>Github!E$545</f>
        <v>Medium</v>
      </c>
      <c r="J1510" s="10" t="str">
        <f>IF(TRIM(Github!D$545)="TRUE","FALSE","TRUE")</f>
        <v>FALSE</v>
      </c>
      <c r="K1510" s="10" t="b">
        <f>Github!M$545</f>
        <v>0</v>
      </c>
      <c r="L1510" s="10" t="b">
        <f>Github!N$545</f>
        <v>0</v>
      </c>
      <c r="M1510" s="10" t="str">
        <f>ROUND(Github!O$545, 2)&amp;"%"</f>
        <v>76.48%</v>
      </c>
      <c r="N1510" s="10">
        <f>Github!P$545</f>
        <v>24718</v>
      </c>
      <c r="O1510" s="10">
        <f>Github!Q$545</f>
        <v>32321</v>
      </c>
    </row>
    <row r="1511">
      <c r="A1511" s="10">
        <f>Github!J$2193</f>
        <v>2192</v>
      </c>
      <c r="B1511" s="11" t="str">
        <f>HYPERLINK(CONCAT("http://leetcode.com/problems/",Github!C$2193), Github!B$2193)</f>
        <v>All Ancestors of a Node in a Directed Acyclic Graph</v>
      </c>
      <c r="C1511" s="10">
        <f>Github!F$2193</f>
        <v>361</v>
      </c>
      <c r="D1511" s="10">
        <f>Github!G$2193</f>
        <v>4</v>
      </c>
      <c r="E1511" s="10">
        <f>Github!F$2193+Github!G$2193</f>
        <v>365</v>
      </c>
      <c r="F1511" s="12">
        <f t="shared" si="1"/>
        <v>90.25</v>
      </c>
      <c r="G1511" s="10" t="str">
        <f>Github!H$2193</f>
        <v>Algorithms</v>
      </c>
      <c r="H1511" s="13" t="str">
        <f>SUBSTITUTE(Github!L$2193, ";", ", ")</f>
        <v>Depth-First Search, Breadth-First Search, Graph, Topological Sort, </v>
      </c>
      <c r="I1511" s="10" t="str">
        <f>Github!E$2193</f>
        <v>Medium</v>
      </c>
      <c r="J1511" s="10" t="str">
        <f>IF(TRIM(Github!D$2193)="TRUE","FALSE","TRUE")</f>
        <v>TRUE</v>
      </c>
      <c r="K1511" s="10" t="b">
        <f>Github!M$2193</f>
        <v>0</v>
      </c>
      <c r="L1511" s="10" t="b">
        <f>Github!N$2193</f>
        <v>0</v>
      </c>
      <c r="M1511" s="10" t="str">
        <f>ROUND(Github!O$2193, 2)&amp;"%"</f>
        <v>46.53%</v>
      </c>
      <c r="N1511" s="10">
        <f>Github!P$2193</f>
        <v>9892</v>
      </c>
      <c r="O1511" s="10">
        <f>Github!Q$2193</f>
        <v>21260</v>
      </c>
    </row>
    <row r="1512">
      <c r="A1512" s="10">
        <f>Github!J$999</f>
        <v>998</v>
      </c>
      <c r="B1512" s="11" t="str">
        <f>HYPERLINK(CONCAT("http://leetcode.com/problems/",Github!C$999), Github!B$999)</f>
        <v>Maximum Binary Tree II</v>
      </c>
      <c r="C1512" s="10">
        <f>Github!F$999</f>
        <v>356</v>
      </c>
      <c r="D1512" s="10">
        <f>Github!G$999</f>
        <v>646</v>
      </c>
      <c r="E1512" s="10">
        <f>Github!F$999+Github!G$999</f>
        <v>1002</v>
      </c>
      <c r="F1512" s="12">
        <f t="shared" si="1"/>
        <v>0.55</v>
      </c>
      <c r="G1512" s="10" t="str">
        <f>Github!H$999</f>
        <v>Algorithms</v>
      </c>
      <c r="H1512" s="13" t="str">
        <f>SUBSTITUTE(Github!L$999, ";", ", ")</f>
        <v>Tree, Binary Tree, </v>
      </c>
      <c r="I1512" s="10" t="str">
        <f>Github!E$999</f>
        <v>Medium</v>
      </c>
      <c r="J1512" s="10" t="str">
        <f>IF(TRIM(Github!D$999)="TRUE","FALSE","TRUE")</f>
        <v>TRUE</v>
      </c>
      <c r="K1512" s="10" t="b">
        <f>Github!M$999</f>
        <v>0</v>
      </c>
      <c r="L1512" s="10" t="b">
        <f>Github!N$999</f>
        <v>0</v>
      </c>
      <c r="M1512" s="10" t="str">
        <f>ROUND(Github!O$999, 2)&amp;"%"</f>
        <v>65.62%</v>
      </c>
      <c r="N1512" s="10">
        <f>Github!P$999</f>
        <v>26422</v>
      </c>
      <c r="O1512" s="10">
        <f>Github!Q$999</f>
        <v>40265</v>
      </c>
    </row>
    <row r="1513">
      <c r="A1513" s="10">
        <f>Github!J$1907</f>
        <v>1906</v>
      </c>
      <c r="B1513" s="11" t="str">
        <f>HYPERLINK(CONCAT("http://leetcode.com/problems/",Github!C$1907), Github!B$1907)</f>
        <v>Minimum Absolute Difference Queries</v>
      </c>
      <c r="C1513" s="10">
        <f>Github!F$1907</f>
        <v>355</v>
      </c>
      <c r="D1513" s="10">
        <f>Github!G$1907</f>
        <v>28</v>
      </c>
      <c r="E1513" s="10">
        <f>Github!F$1907+Github!G$1907</f>
        <v>383</v>
      </c>
      <c r="F1513" s="12">
        <f t="shared" si="1"/>
        <v>12.68</v>
      </c>
      <c r="G1513" s="10" t="str">
        <f>Github!H$1907</f>
        <v>Algorithms</v>
      </c>
      <c r="H1513" s="13" t="str">
        <f>SUBSTITUTE(Github!L$1907, ";", ", ")</f>
        <v>Array, Hash Table, </v>
      </c>
      <c r="I1513" s="10" t="str">
        <f>Github!E$1907</f>
        <v>Medium</v>
      </c>
      <c r="J1513" s="10" t="str">
        <f>IF(TRIM(Github!D$1907)="TRUE","FALSE","TRUE")</f>
        <v>TRUE</v>
      </c>
      <c r="K1513" s="10" t="b">
        <f>Github!M$1907</f>
        <v>0</v>
      </c>
      <c r="L1513" s="10" t="b">
        <f>Github!N$1907</f>
        <v>0</v>
      </c>
      <c r="M1513" s="10" t="str">
        <f>ROUND(Github!O$1907, 2)&amp;"%"</f>
        <v>42.8%</v>
      </c>
      <c r="N1513" s="10">
        <f>Github!P$1907</f>
        <v>7499</v>
      </c>
      <c r="O1513" s="10">
        <f>Github!Q$1907</f>
        <v>17522</v>
      </c>
    </row>
    <row r="1514">
      <c r="A1514" s="10">
        <f>Github!J$1904</f>
        <v>1903</v>
      </c>
      <c r="B1514" s="11" t="str">
        <f>HYPERLINK(CONCAT("http://leetcode.com/problems/",Github!C$1904), Github!B$1904)</f>
        <v>Largest Odd Number in String</v>
      </c>
      <c r="C1514" s="10">
        <f>Github!F$1904</f>
        <v>359</v>
      </c>
      <c r="D1514" s="10">
        <f>Github!G$1904</f>
        <v>30</v>
      </c>
      <c r="E1514" s="10">
        <f>Github!F$1904+Github!G$1904</f>
        <v>389</v>
      </c>
      <c r="F1514" s="12">
        <f t="shared" si="1"/>
        <v>11.97</v>
      </c>
      <c r="G1514" s="10" t="str">
        <f>Github!H$1904</f>
        <v>Algorithms</v>
      </c>
      <c r="H1514" s="13" t="str">
        <f>SUBSTITUTE(Github!L$1904, ";", ", ")</f>
        <v>Math, String, Greedy, </v>
      </c>
      <c r="I1514" s="10" t="str">
        <f>Github!E$1904</f>
        <v>Easy</v>
      </c>
      <c r="J1514" s="10" t="str">
        <f>IF(TRIM(Github!D$1904)="TRUE","FALSE","TRUE")</f>
        <v>TRUE</v>
      </c>
      <c r="K1514" s="10" t="b">
        <f>Github!M$1904</f>
        <v>0</v>
      </c>
      <c r="L1514" s="10" t="b">
        <f>Github!N$1904</f>
        <v>0</v>
      </c>
      <c r="M1514" s="10" t="str">
        <f>ROUND(Github!O$1904, 2)&amp;"%"</f>
        <v>56.82%</v>
      </c>
      <c r="N1514" s="10">
        <f>Github!P$1904</f>
        <v>31664</v>
      </c>
      <c r="O1514" s="10">
        <f>Github!Q$1904</f>
        <v>55731</v>
      </c>
    </row>
    <row r="1515">
      <c r="A1515" s="10">
        <f>Github!J$1576</f>
        <v>1575</v>
      </c>
      <c r="B1515" s="11" t="str">
        <f>HYPERLINK(CONCAT("http://leetcode.com/problems/",Github!C$1576), Github!B$1576)</f>
        <v>Count All Possible Routes</v>
      </c>
      <c r="C1515" s="10">
        <f>Github!F$1576</f>
        <v>359</v>
      </c>
      <c r="D1515" s="10">
        <f>Github!G$1576</f>
        <v>19</v>
      </c>
      <c r="E1515" s="10">
        <f>Github!F$1576+Github!G$1576</f>
        <v>378</v>
      </c>
      <c r="F1515" s="12">
        <f t="shared" si="1"/>
        <v>18.89</v>
      </c>
      <c r="G1515" s="10" t="str">
        <f>Github!H$1576</f>
        <v>Algorithms</v>
      </c>
      <c r="H1515" s="13" t="str">
        <f>SUBSTITUTE(Github!L$1576, ";", ", ")</f>
        <v>Array, Dynamic Programming, Memoization, </v>
      </c>
      <c r="I1515" s="10" t="str">
        <f>Github!E$1576</f>
        <v>Hard</v>
      </c>
      <c r="J1515" s="10" t="str">
        <f>IF(TRIM(Github!D$1576)="TRUE","FALSE","TRUE")</f>
        <v>TRUE</v>
      </c>
      <c r="K1515" s="10" t="b">
        <f>Github!M$1576</f>
        <v>0</v>
      </c>
      <c r="L1515" s="10" t="b">
        <f>Github!N$1576</f>
        <v>0</v>
      </c>
      <c r="M1515" s="10" t="str">
        <f>ROUND(Github!O$1576, 2)&amp;"%"</f>
        <v>57.57%</v>
      </c>
      <c r="N1515" s="10">
        <f>Github!P$1576</f>
        <v>9838</v>
      </c>
      <c r="O1515" s="10">
        <f>Github!Q$1576</f>
        <v>17088</v>
      </c>
    </row>
    <row r="1516">
      <c r="A1516" s="10">
        <f>Github!J$1196</f>
        <v>1195</v>
      </c>
      <c r="B1516" s="11" t="str">
        <f>HYPERLINK(CONCAT("http://leetcode.com/problems/",Github!C$1196), Github!B$1196)</f>
        <v>Fizz Buzz Multithreaded</v>
      </c>
      <c r="C1516" s="10">
        <f>Github!F$1196</f>
        <v>353</v>
      </c>
      <c r="D1516" s="10">
        <f>Github!G$1196</f>
        <v>272</v>
      </c>
      <c r="E1516" s="10">
        <f>Github!F$1196+Github!G$1196</f>
        <v>625</v>
      </c>
      <c r="F1516" s="12">
        <f t="shared" si="1"/>
        <v>1.3</v>
      </c>
      <c r="G1516" s="10" t="str">
        <f>Github!H$1196</f>
        <v>Concurrency</v>
      </c>
      <c r="H1516" s="13" t="str">
        <f>SUBSTITUTE(Github!L$1196, ";", ", ")</f>
        <v>Concurrency, </v>
      </c>
      <c r="I1516" s="10" t="str">
        <f>Github!E$1196</f>
        <v>Medium</v>
      </c>
      <c r="J1516" s="10" t="str">
        <f>IF(TRIM(Github!D$1196)="TRUE","FALSE","TRUE")</f>
        <v>TRUE</v>
      </c>
      <c r="K1516" s="10" t="b">
        <f>Github!M$1196</f>
        <v>0</v>
      </c>
      <c r="L1516" s="10" t="b">
        <f>Github!N$1196</f>
        <v>0</v>
      </c>
      <c r="M1516" s="10" t="str">
        <f>ROUND(Github!O$1196, 2)&amp;"%"</f>
        <v>72.17%</v>
      </c>
      <c r="N1516" s="10">
        <f>Github!P$1196</f>
        <v>28058</v>
      </c>
      <c r="O1516" s="10">
        <f>Github!Q$1196</f>
        <v>38878</v>
      </c>
    </row>
    <row r="1517">
      <c r="A1517" s="10">
        <f>Github!J$500</f>
        <v>499</v>
      </c>
      <c r="B1517" s="11" t="str">
        <f>HYPERLINK(CONCAT("http://leetcode.com/problems/",Github!C$500), Github!B$500)</f>
        <v>The Maze III</v>
      </c>
      <c r="C1517" s="10">
        <f>Github!F$500</f>
        <v>356</v>
      </c>
      <c r="D1517" s="10">
        <f>Github!G$500</f>
        <v>62</v>
      </c>
      <c r="E1517" s="10">
        <f>Github!F$500+Github!G$500</f>
        <v>418</v>
      </c>
      <c r="F1517" s="12">
        <f t="shared" si="1"/>
        <v>5.74</v>
      </c>
      <c r="G1517" s="10" t="str">
        <f>Github!H$500</f>
        <v>Algorithms</v>
      </c>
      <c r="H1517" s="13" t="str">
        <f>SUBSTITUTE(Github!L$500, ";", ", ")</f>
        <v>Depth-First Search, Breadth-First Search, Graph, Heap (Priority Queue), Shortest Path, </v>
      </c>
      <c r="I1517" s="10" t="str">
        <f>Github!E$500</f>
        <v>Hard</v>
      </c>
      <c r="J1517" s="10" t="str">
        <f>IF(TRIM(Github!D$500)="TRUE","FALSE","TRUE")</f>
        <v>FALSE</v>
      </c>
      <c r="K1517" s="10" t="b">
        <f>Github!M$500</f>
        <v>0</v>
      </c>
      <c r="L1517" s="10" t="b">
        <f>Github!N$500</f>
        <v>0</v>
      </c>
      <c r="M1517" s="10" t="str">
        <f>ROUND(Github!O$500, 2)&amp;"%"</f>
        <v>45.28%</v>
      </c>
      <c r="N1517" s="10">
        <f>Github!P$500</f>
        <v>22759</v>
      </c>
      <c r="O1517" s="10">
        <f>Github!Q$500</f>
        <v>50259</v>
      </c>
    </row>
    <row r="1518">
      <c r="A1518" s="10">
        <f>Github!J$1551</f>
        <v>1550</v>
      </c>
      <c r="B1518" s="11" t="str">
        <f>HYPERLINK(CONCAT("http://leetcode.com/problems/",Github!C$1551), Github!B$1551)</f>
        <v>Three Consecutive Odds</v>
      </c>
      <c r="C1518" s="10">
        <f>Github!F$1551</f>
        <v>354</v>
      </c>
      <c r="D1518" s="10">
        <f>Github!G$1551</f>
        <v>46</v>
      </c>
      <c r="E1518" s="10">
        <f>Github!F$1551+Github!G$1551</f>
        <v>400</v>
      </c>
      <c r="F1518" s="12">
        <f t="shared" si="1"/>
        <v>7.7</v>
      </c>
      <c r="G1518" s="10" t="str">
        <f>Github!H$1551</f>
        <v>Algorithms</v>
      </c>
      <c r="H1518" s="13" t="str">
        <f>SUBSTITUTE(Github!L$1551, ";", ", ")</f>
        <v>Array, </v>
      </c>
      <c r="I1518" s="10" t="str">
        <f>Github!E$1551</f>
        <v>Easy</v>
      </c>
      <c r="J1518" s="10" t="str">
        <f>IF(TRIM(Github!D$1551)="TRUE","FALSE","TRUE")</f>
        <v>TRUE</v>
      </c>
      <c r="K1518" s="10" t="b">
        <f>Github!M$1551</f>
        <v>0</v>
      </c>
      <c r="L1518" s="10" t="b">
        <f>Github!N$1551</f>
        <v>0</v>
      </c>
      <c r="M1518" s="10" t="str">
        <f>ROUND(Github!O$1551, 2)&amp;"%"</f>
        <v>64.09%</v>
      </c>
      <c r="N1518" s="10">
        <f>Github!P$1551</f>
        <v>49845</v>
      </c>
      <c r="O1518" s="10">
        <f>Github!Q$1551</f>
        <v>77769</v>
      </c>
    </row>
    <row r="1519">
      <c r="A1519" s="10">
        <f>Github!J$2064</f>
        <v>2063</v>
      </c>
      <c r="B1519" s="11" t="str">
        <f>HYPERLINK(CONCAT("http://leetcode.com/problems/",Github!C$2064), Github!B$2064)</f>
        <v>Vowels of All Substrings</v>
      </c>
      <c r="C1519" s="10">
        <f>Github!F$2064</f>
        <v>357</v>
      </c>
      <c r="D1519" s="10">
        <f>Github!G$2064</f>
        <v>14</v>
      </c>
      <c r="E1519" s="10">
        <f>Github!F$2064+Github!G$2064</f>
        <v>371</v>
      </c>
      <c r="F1519" s="12">
        <f t="shared" si="1"/>
        <v>25.5</v>
      </c>
      <c r="G1519" s="10" t="str">
        <f>Github!H$2064</f>
        <v>Algorithms</v>
      </c>
      <c r="H1519" s="13" t="str">
        <f>SUBSTITUTE(Github!L$2064, ";", ", ")</f>
        <v>Math, String, Dynamic Programming, Combinatorics, </v>
      </c>
      <c r="I1519" s="10" t="str">
        <f>Github!E$2064</f>
        <v>Medium</v>
      </c>
      <c r="J1519" s="10" t="str">
        <f>IF(TRIM(Github!D$2064)="TRUE","FALSE","TRUE")</f>
        <v>TRUE</v>
      </c>
      <c r="K1519" s="10" t="b">
        <f>Github!M$2064</f>
        <v>0</v>
      </c>
      <c r="L1519" s="10" t="b">
        <f>Github!N$2064</f>
        <v>0</v>
      </c>
      <c r="M1519" s="10" t="str">
        <f>ROUND(Github!O$2064, 2)&amp;"%"</f>
        <v>54.08%</v>
      </c>
      <c r="N1519" s="10">
        <f>Github!P$2064</f>
        <v>13192</v>
      </c>
      <c r="O1519" s="10">
        <f>Github!Q$2064</f>
        <v>24394</v>
      </c>
    </row>
    <row r="1520">
      <c r="A1520" s="10">
        <f>Github!J$2167</f>
        <v>2166</v>
      </c>
      <c r="B1520" s="11" t="str">
        <f>HYPERLINK(CONCAT("http://leetcode.com/problems/",Github!C$2167), Github!B$2167)</f>
        <v>Design Bitset</v>
      </c>
      <c r="C1520" s="10">
        <f>Github!F$2167</f>
        <v>368</v>
      </c>
      <c r="D1520" s="10">
        <f>Github!G$2167</f>
        <v>35</v>
      </c>
      <c r="E1520" s="10">
        <f>Github!F$2167+Github!G$2167</f>
        <v>403</v>
      </c>
      <c r="F1520" s="12">
        <f t="shared" si="1"/>
        <v>10.51</v>
      </c>
      <c r="G1520" s="10" t="str">
        <f>Github!H$2167</f>
        <v>Algorithms</v>
      </c>
      <c r="H1520" s="13" t="str">
        <f>SUBSTITUTE(Github!L$2167, ";", ", ")</f>
        <v>Array, Hash Table, Design, </v>
      </c>
      <c r="I1520" s="10" t="str">
        <f>Github!E$2167</f>
        <v>Medium</v>
      </c>
      <c r="J1520" s="10" t="str">
        <f>IF(TRIM(Github!D$2167)="TRUE","FALSE","TRUE")</f>
        <v>TRUE</v>
      </c>
      <c r="K1520" s="10" t="b">
        <f>Github!M$2167</f>
        <v>0</v>
      </c>
      <c r="L1520" s="10" t="b">
        <f>Github!N$2167</f>
        <v>0</v>
      </c>
      <c r="M1520" s="10" t="str">
        <f>ROUND(Github!O$2167, 2)&amp;"%"</f>
        <v>29.69%</v>
      </c>
      <c r="N1520" s="10">
        <f>Github!P$2167</f>
        <v>13651</v>
      </c>
      <c r="O1520" s="10">
        <f>Github!Q$2167</f>
        <v>45977</v>
      </c>
    </row>
    <row r="1521">
      <c r="A1521" s="10">
        <f>Github!J$799</f>
        <v>798</v>
      </c>
      <c r="B1521" s="11" t="str">
        <f>HYPERLINK(CONCAT("http://leetcode.com/problems/",Github!C$799), Github!B$799)</f>
        <v>Smallest Rotation with Highest Score</v>
      </c>
      <c r="C1521" s="10">
        <f>Github!F$799</f>
        <v>353</v>
      </c>
      <c r="D1521" s="10">
        <f>Github!G$799</f>
        <v>22</v>
      </c>
      <c r="E1521" s="10">
        <f>Github!F$799+Github!G$799</f>
        <v>375</v>
      </c>
      <c r="F1521" s="12">
        <f t="shared" si="1"/>
        <v>16.05</v>
      </c>
      <c r="G1521" s="10" t="str">
        <f>Github!H$799</f>
        <v>Algorithms</v>
      </c>
      <c r="H1521" s="13" t="str">
        <f>SUBSTITUTE(Github!L$799, ";", ", ")</f>
        <v>Array, Prefix Sum, </v>
      </c>
      <c r="I1521" s="10" t="str">
        <f>Github!E$799</f>
        <v>Hard</v>
      </c>
      <c r="J1521" s="10" t="str">
        <f>IF(TRIM(Github!D$799)="TRUE","FALSE","TRUE")</f>
        <v>TRUE</v>
      </c>
      <c r="K1521" s="10" t="b">
        <f>Github!M$799</f>
        <v>1</v>
      </c>
      <c r="L1521" s="10" t="b">
        <f>Github!N$799</f>
        <v>0</v>
      </c>
      <c r="M1521" s="10" t="str">
        <f>ROUND(Github!O$799, 2)&amp;"%"</f>
        <v>47.41%</v>
      </c>
      <c r="N1521" s="10">
        <f>Github!P$799</f>
        <v>8760</v>
      </c>
      <c r="O1521" s="10">
        <f>Github!Q$799</f>
        <v>18479</v>
      </c>
    </row>
    <row r="1522">
      <c r="A1522" s="10">
        <f>Github!J$1965</f>
        <v>1964</v>
      </c>
      <c r="B1522" s="11" t="str">
        <f>HYPERLINK(CONCAT("http://leetcode.com/problems/",Github!C$1965), Github!B$1965)</f>
        <v>Find the Longest Valid Obstacle Course at Each Position</v>
      </c>
      <c r="C1522" s="10">
        <f>Github!F$1965</f>
        <v>351</v>
      </c>
      <c r="D1522" s="10">
        <f>Github!G$1965</f>
        <v>5</v>
      </c>
      <c r="E1522" s="10">
        <f>Github!F$1965+Github!G$1965</f>
        <v>356</v>
      </c>
      <c r="F1522" s="12">
        <f t="shared" si="1"/>
        <v>70.2</v>
      </c>
      <c r="G1522" s="10" t="str">
        <f>Github!H$1965</f>
        <v>Algorithms</v>
      </c>
      <c r="H1522" s="13" t="str">
        <f>SUBSTITUTE(Github!L$1965, ";", ", ")</f>
        <v>Array, Binary Search, Binary Indexed Tree, </v>
      </c>
      <c r="I1522" s="10" t="str">
        <f>Github!E$1965</f>
        <v>Hard</v>
      </c>
      <c r="J1522" s="10" t="str">
        <f>IF(TRIM(Github!D$1965)="TRUE","FALSE","TRUE")</f>
        <v>TRUE</v>
      </c>
      <c r="K1522" s="10" t="b">
        <f>Github!M$1965</f>
        <v>0</v>
      </c>
      <c r="L1522" s="10" t="b">
        <f>Github!N$1965</f>
        <v>0</v>
      </c>
      <c r="M1522" s="10" t="str">
        <f>ROUND(Github!O$1965, 2)&amp;"%"</f>
        <v>45.36%</v>
      </c>
      <c r="N1522" s="10">
        <f>Github!P$1965</f>
        <v>8226</v>
      </c>
      <c r="O1522" s="10">
        <f>Github!Q$1965</f>
        <v>18134</v>
      </c>
    </row>
    <row r="1523">
      <c r="A1523" s="10">
        <f>Github!J$1183</f>
        <v>1182</v>
      </c>
      <c r="B1523" s="11" t="str">
        <f>HYPERLINK(CONCAT("http://leetcode.com/problems/",Github!C$1183), Github!B$1183)</f>
        <v>Shortest Distance to Target Color</v>
      </c>
      <c r="C1523" s="10">
        <f>Github!F$1183</f>
        <v>353</v>
      </c>
      <c r="D1523" s="10">
        <f>Github!G$1183</f>
        <v>15</v>
      </c>
      <c r="E1523" s="10">
        <f>Github!F$1183+Github!G$1183</f>
        <v>368</v>
      </c>
      <c r="F1523" s="12">
        <f t="shared" si="1"/>
        <v>23.53</v>
      </c>
      <c r="G1523" s="10" t="str">
        <f>Github!H$1183</f>
        <v>Algorithms</v>
      </c>
      <c r="H1523" s="13" t="str">
        <f>SUBSTITUTE(Github!L$1183, ";", ", ")</f>
        <v>Array, Binary Search, Dynamic Programming, </v>
      </c>
      <c r="I1523" s="10" t="str">
        <f>Github!E$1183</f>
        <v>Medium</v>
      </c>
      <c r="J1523" s="10" t="str">
        <f>IF(TRIM(Github!D$1183)="TRUE","FALSE","TRUE")</f>
        <v>FALSE</v>
      </c>
      <c r="K1523" s="10" t="b">
        <f>Github!M$1183</f>
        <v>1</v>
      </c>
      <c r="L1523" s="10" t="b">
        <f>Github!N$1183</f>
        <v>0</v>
      </c>
      <c r="M1523" s="10" t="str">
        <f>ROUND(Github!O$1183, 2)&amp;"%"</f>
        <v>54.21%</v>
      </c>
      <c r="N1523" s="10">
        <f>Github!P$1183</f>
        <v>23118</v>
      </c>
      <c r="O1523" s="10">
        <f>Github!Q$1183</f>
        <v>42644</v>
      </c>
    </row>
    <row r="1524">
      <c r="A1524" s="10">
        <f>Github!J$2171</f>
        <v>2170</v>
      </c>
      <c r="B1524" s="11" t="str">
        <f>HYPERLINK(CONCAT("http://leetcode.com/problems/",Github!C$2171), Github!B$2171)</f>
        <v>Minimum Operations to Make the Array Alternating</v>
      </c>
      <c r="C1524" s="10">
        <f>Github!F$2171</f>
        <v>352</v>
      </c>
      <c r="D1524" s="10">
        <f>Github!G$2171</f>
        <v>258</v>
      </c>
      <c r="E1524" s="10">
        <f>Github!F$2171+Github!G$2171</f>
        <v>610</v>
      </c>
      <c r="F1524" s="12">
        <f t="shared" si="1"/>
        <v>1.36</v>
      </c>
      <c r="G1524" s="10" t="str">
        <f>Github!H$2171</f>
        <v>Algorithms</v>
      </c>
      <c r="H1524" s="13" t="str">
        <f>SUBSTITUTE(Github!L$2171, ";", ", ")</f>
        <v>Array, Hash Table, Greedy, Counting, </v>
      </c>
      <c r="I1524" s="10" t="str">
        <f>Github!E$2171</f>
        <v>Medium</v>
      </c>
      <c r="J1524" s="10" t="str">
        <f>IF(TRIM(Github!D$2171)="TRUE","FALSE","TRUE")</f>
        <v>TRUE</v>
      </c>
      <c r="K1524" s="10" t="b">
        <f>Github!M$2171</f>
        <v>0</v>
      </c>
      <c r="L1524" s="10" t="b">
        <f>Github!N$2171</f>
        <v>0</v>
      </c>
      <c r="M1524" s="10" t="str">
        <f>ROUND(Github!O$2171, 2)&amp;"%"</f>
        <v>32.83%</v>
      </c>
      <c r="N1524" s="10">
        <f>Github!P$2171</f>
        <v>15410</v>
      </c>
      <c r="O1524" s="10">
        <f>Github!Q$2171</f>
        <v>46938</v>
      </c>
    </row>
    <row r="1525">
      <c r="A1525" s="10">
        <f>Github!J$2080</f>
        <v>2079</v>
      </c>
      <c r="B1525" s="11" t="str">
        <f>HYPERLINK(CONCAT("http://leetcode.com/problems/",Github!C$2080), Github!B$2080)</f>
        <v>Watering Plants</v>
      </c>
      <c r="C1525" s="10">
        <f>Github!F$2080</f>
        <v>354</v>
      </c>
      <c r="D1525" s="10">
        <f>Github!G$2080</f>
        <v>27</v>
      </c>
      <c r="E1525" s="10">
        <f>Github!F$2080+Github!G$2080</f>
        <v>381</v>
      </c>
      <c r="F1525" s="12">
        <f t="shared" si="1"/>
        <v>13.11</v>
      </c>
      <c r="G1525" s="10" t="str">
        <f>Github!H$2080</f>
        <v>Algorithms</v>
      </c>
      <c r="H1525" s="13" t="str">
        <f>SUBSTITUTE(Github!L$2080, ";", ", ")</f>
        <v>Array, </v>
      </c>
      <c r="I1525" s="10" t="str">
        <f>Github!E$2080</f>
        <v>Medium</v>
      </c>
      <c r="J1525" s="10" t="str">
        <f>IF(TRIM(Github!D$2080)="TRUE","FALSE","TRUE")</f>
        <v>TRUE</v>
      </c>
      <c r="K1525" s="10" t="b">
        <f>Github!M$2080</f>
        <v>0</v>
      </c>
      <c r="L1525" s="10" t="b">
        <f>Github!N$2080</f>
        <v>0</v>
      </c>
      <c r="M1525" s="10" t="str">
        <f>ROUND(Github!O$2080, 2)&amp;"%"</f>
        <v>80.48%</v>
      </c>
      <c r="N1525" s="10">
        <f>Github!P$2080</f>
        <v>19458</v>
      </c>
      <c r="O1525" s="10">
        <f>Github!Q$2080</f>
        <v>24179</v>
      </c>
    </row>
    <row r="1526">
      <c r="A1526" s="10">
        <f>Github!J$1404</f>
        <v>1403</v>
      </c>
      <c r="B1526" s="11" t="str">
        <f>HYPERLINK(CONCAT("http://leetcode.com/problems/",Github!C$1404), Github!B$1404)</f>
        <v>Minimum Subsequence in Non-Increasing Order</v>
      </c>
      <c r="C1526" s="10">
        <f>Github!F$1404</f>
        <v>352</v>
      </c>
      <c r="D1526" s="10">
        <f>Github!G$1404</f>
        <v>378</v>
      </c>
      <c r="E1526" s="10">
        <f>Github!F$1404+Github!G$1404</f>
        <v>730</v>
      </c>
      <c r="F1526" s="12">
        <f t="shared" si="1"/>
        <v>0.93</v>
      </c>
      <c r="G1526" s="10" t="str">
        <f>Github!H$1404</f>
        <v>Algorithms</v>
      </c>
      <c r="H1526" s="13" t="str">
        <f>SUBSTITUTE(Github!L$1404, ";", ", ")</f>
        <v>Array, Greedy, Sorting, </v>
      </c>
      <c r="I1526" s="10" t="str">
        <f>Github!E$1404</f>
        <v>Easy</v>
      </c>
      <c r="J1526" s="10" t="str">
        <f>IF(TRIM(Github!D$1404)="TRUE","FALSE","TRUE")</f>
        <v>TRUE</v>
      </c>
      <c r="K1526" s="10" t="b">
        <f>Github!M$1404</f>
        <v>0</v>
      </c>
      <c r="L1526" s="10" t="b">
        <f>Github!N$1404</f>
        <v>0</v>
      </c>
      <c r="M1526" s="10" t="str">
        <f>ROUND(Github!O$1404, 2)&amp;"%"</f>
        <v>72.17%</v>
      </c>
      <c r="N1526" s="10">
        <f>Github!P$1404</f>
        <v>49795</v>
      </c>
      <c r="O1526" s="10">
        <f>Github!Q$1404</f>
        <v>68993</v>
      </c>
    </row>
    <row r="1527">
      <c r="A1527" s="10">
        <f>Github!J$1772</f>
        <v>1771</v>
      </c>
      <c r="B1527" s="11" t="str">
        <f>HYPERLINK(CONCAT("http://leetcode.com/problems/",Github!C$1772), Github!B$1772)</f>
        <v>Maximize Palindrome Length From Subsequences</v>
      </c>
      <c r="C1527" s="10">
        <f>Github!F$1772</f>
        <v>352</v>
      </c>
      <c r="D1527" s="10">
        <f>Github!G$1772</f>
        <v>7</v>
      </c>
      <c r="E1527" s="10">
        <f>Github!F$1772+Github!G$1772</f>
        <v>359</v>
      </c>
      <c r="F1527" s="12">
        <f t="shared" si="1"/>
        <v>50.29</v>
      </c>
      <c r="G1527" s="10" t="str">
        <f>Github!H$1772</f>
        <v>Algorithms</v>
      </c>
      <c r="H1527" s="13" t="str">
        <f>SUBSTITUTE(Github!L$1772, ";", ", ")</f>
        <v>String, Dynamic Programming, </v>
      </c>
      <c r="I1527" s="10" t="str">
        <f>Github!E$1772</f>
        <v>Hard</v>
      </c>
      <c r="J1527" s="10" t="str">
        <f>IF(TRIM(Github!D$1772)="TRUE","FALSE","TRUE")</f>
        <v>TRUE</v>
      </c>
      <c r="K1527" s="10" t="b">
        <f>Github!M$1772</f>
        <v>0</v>
      </c>
      <c r="L1527" s="10" t="b">
        <f>Github!N$1772</f>
        <v>0</v>
      </c>
      <c r="M1527" s="10" t="str">
        <f>ROUND(Github!O$1772, 2)&amp;"%"</f>
        <v>34.71%</v>
      </c>
      <c r="N1527" s="10">
        <f>Github!P$1772</f>
        <v>7359</v>
      </c>
      <c r="O1527" s="10">
        <f>Github!Q$1772</f>
        <v>21202</v>
      </c>
    </row>
    <row r="1528">
      <c r="A1528" s="10">
        <f>Github!J$1993</f>
        <v>1992</v>
      </c>
      <c r="B1528" s="11" t="str">
        <f>HYPERLINK(CONCAT("http://leetcode.com/problems/",Github!C$1993), Github!B$1993)</f>
        <v>Find All Groups of Farmland</v>
      </c>
      <c r="C1528" s="10">
        <f>Github!F$1993</f>
        <v>354</v>
      </c>
      <c r="D1528" s="10">
        <f>Github!G$1993</f>
        <v>17</v>
      </c>
      <c r="E1528" s="10">
        <f>Github!F$1993+Github!G$1993</f>
        <v>371</v>
      </c>
      <c r="F1528" s="12">
        <f t="shared" si="1"/>
        <v>20.82</v>
      </c>
      <c r="G1528" s="10" t="str">
        <f>Github!H$1993</f>
        <v>Algorithms</v>
      </c>
      <c r="H1528" s="13" t="str">
        <f>SUBSTITUTE(Github!L$1993, ";", ", ")</f>
        <v>Array, Depth-First Search, Breadth-First Search, Matrix, </v>
      </c>
      <c r="I1528" s="10" t="str">
        <f>Github!E$1993</f>
        <v>Medium</v>
      </c>
      <c r="J1528" s="10" t="str">
        <f>IF(TRIM(Github!D$1993)="TRUE","FALSE","TRUE")</f>
        <v>TRUE</v>
      </c>
      <c r="K1528" s="10" t="b">
        <f>Github!M$1993</f>
        <v>0</v>
      </c>
      <c r="L1528" s="10" t="b">
        <f>Github!N$1993</f>
        <v>0</v>
      </c>
      <c r="M1528" s="10" t="str">
        <f>ROUND(Github!O$1993, 2)&amp;"%"</f>
        <v>67.24%</v>
      </c>
      <c r="N1528" s="10">
        <f>Github!P$1993</f>
        <v>13500</v>
      </c>
      <c r="O1528" s="10">
        <f>Github!Q$1993</f>
        <v>20076</v>
      </c>
    </row>
    <row r="1529">
      <c r="A1529" s="10">
        <f>Github!J$2060</f>
        <v>2059</v>
      </c>
      <c r="B1529" s="11" t="str">
        <f>HYPERLINK(CONCAT("http://leetcode.com/problems/",Github!C$2060), Github!B$2060)</f>
        <v>Minimum Operations to Convert Number</v>
      </c>
      <c r="C1529" s="10">
        <f>Github!F$2060</f>
        <v>350</v>
      </c>
      <c r="D1529" s="10">
        <f>Github!G$2060</f>
        <v>19</v>
      </c>
      <c r="E1529" s="10">
        <f>Github!F$2060+Github!G$2060</f>
        <v>369</v>
      </c>
      <c r="F1529" s="12">
        <f t="shared" si="1"/>
        <v>18.42</v>
      </c>
      <c r="G1529" s="10" t="str">
        <f>Github!H$2060</f>
        <v>Algorithms</v>
      </c>
      <c r="H1529" s="13" t="str">
        <f>SUBSTITUTE(Github!L$2060, ";", ", ")</f>
        <v>Array, Breadth-First Search, </v>
      </c>
      <c r="I1529" s="10" t="str">
        <f>Github!E$2060</f>
        <v>Medium</v>
      </c>
      <c r="J1529" s="10" t="str">
        <f>IF(TRIM(Github!D$2060)="TRUE","FALSE","TRUE")</f>
        <v>TRUE</v>
      </c>
      <c r="K1529" s="10" t="b">
        <f>Github!M$2060</f>
        <v>0</v>
      </c>
      <c r="L1529" s="10" t="b">
        <f>Github!N$2060</f>
        <v>0</v>
      </c>
      <c r="M1529" s="10" t="str">
        <f>ROUND(Github!O$2060, 2)&amp;"%"</f>
        <v>46.16%</v>
      </c>
      <c r="N1529" s="10">
        <f>Github!P$2060</f>
        <v>9643</v>
      </c>
      <c r="O1529" s="10">
        <f>Github!Q$2060</f>
        <v>20890</v>
      </c>
    </row>
    <row r="1530">
      <c r="A1530" s="10">
        <f>Github!J$945</f>
        <v>944</v>
      </c>
      <c r="B1530" s="11" t="str">
        <f>HYPERLINK(CONCAT("http://leetcode.com/problems/",Github!C$945), Github!B$945)</f>
        <v>Delete Columns to Make Sorted</v>
      </c>
      <c r="C1530" s="10">
        <f>Github!F$945</f>
        <v>348</v>
      </c>
      <c r="D1530" s="10">
        <f>Github!G$945</f>
        <v>2008</v>
      </c>
      <c r="E1530" s="10">
        <f>Github!F$945+Github!G$945</f>
        <v>2356</v>
      </c>
      <c r="F1530" s="12">
        <f t="shared" si="1"/>
        <v>0.17</v>
      </c>
      <c r="G1530" s="10" t="str">
        <f>Github!H$945</f>
        <v>Algorithms</v>
      </c>
      <c r="H1530" s="13" t="str">
        <f>SUBSTITUTE(Github!L$945, ";", ", ")</f>
        <v>Array, String, </v>
      </c>
      <c r="I1530" s="10" t="str">
        <f>Github!E$945</f>
        <v>Easy</v>
      </c>
      <c r="J1530" s="10" t="str">
        <f>IF(TRIM(Github!D$945)="TRUE","FALSE","TRUE")</f>
        <v>TRUE</v>
      </c>
      <c r="K1530" s="10" t="b">
        <f>Github!M$945</f>
        <v>0</v>
      </c>
      <c r="L1530" s="10" t="b">
        <f>Github!N$945</f>
        <v>0</v>
      </c>
      <c r="M1530" s="10" t="str">
        <f>ROUND(Github!O$945, 2)&amp;"%"</f>
        <v>69.91%</v>
      </c>
      <c r="N1530" s="10">
        <f>Github!P$945</f>
        <v>66104</v>
      </c>
      <c r="O1530" s="10">
        <f>Github!Q$945</f>
        <v>94556</v>
      </c>
    </row>
    <row r="1531">
      <c r="A1531" s="10">
        <f>Github!J$1166</f>
        <v>1165</v>
      </c>
      <c r="B1531" s="11" t="str">
        <f>HYPERLINK(CONCAT("http://leetcode.com/problems/",Github!C$1166), Github!B$1166)</f>
        <v>Single-Row Keyboard</v>
      </c>
      <c r="C1531" s="10">
        <f>Github!F$1166</f>
        <v>349</v>
      </c>
      <c r="D1531" s="10">
        <f>Github!G$1166</f>
        <v>17</v>
      </c>
      <c r="E1531" s="10">
        <f>Github!F$1166+Github!G$1166</f>
        <v>366</v>
      </c>
      <c r="F1531" s="12">
        <f t="shared" si="1"/>
        <v>20.53</v>
      </c>
      <c r="G1531" s="10" t="str">
        <f>Github!H$1166</f>
        <v>Algorithms</v>
      </c>
      <c r="H1531" s="13" t="str">
        <f>SUBSTITUTE(Github!L$1166, ";", ", ")</f>
        <v>Hash Table, String, </v>
      </c>
      <c r="I1531" s="10" t="str">
        <f>Github!E$1166</f>
        <v>Easy</v>
      </c>
      <c r="J1531" s="10" t="str">
        <f>IF(TRIM(Github!D$1166)="TRUE","FALSE","TRUE")</f>
        <v>FALSE</v>
      </c>
      <c r="K1531" s="10" t="b">
        <f>Github!M$1166</f>
        <v>1</v>
      </c>
      <c r="L1531" s="10" t="b">
        <f>Github!N$1166</f>
        <v>0</v>
      </c>
      <c r="M1531" s="10" t="str">
        <f>ROUND(Github!O$1166, 2)&amp;"%"</f>
        <v>85.64%</v>
      </c>
      <c r="N1531" s="10">
        <f>Github!P$1166</f>
        <v>58618</v>
      </c>
      <c r="O1531" s="10">
        <f>Github!Q$1166</f>
        <v>68447</v>
      </c>
    </row>
    <row r="1532">
      <c r="A1532" s="10">
        <f>Github!J$1018</f>
        <v>1017</v>
      </c>
      <c r="B1532" s="11" t="str">
        <f>HYPERLINK(CONCAT("http://leetcode.com/problems/",Github!C$1018), Github!B$1018)</f>
        <v>Convert to Base -2</v>
      </c>
      <c r="C1532" s="10">
        <f>Github!F$1018</f>
        <v>349</v>
      </c>
      <c r="D1532" s="10">
        <f>Github!G$1018</f>
        <v>228</v>
      </c>
      <c r="E1532" s="10">
        <f>Github!F$1018+Github!G$1018</f>
        <v>577</v>
      </c>
      <c r="F1532" s="12">
        <f t="shared" si="1"/>
        <v>1.53</v>
      </c>
      <c r="G1532" s="10" t="str">
        <f>Github!H$1018</f>
        <v>Algorithms</v>
      </c>
      <c r="H1532" s="13" t="str">
        <f>SUBSTITUTE(Github!L$1018, ";", ", ")</f>
        <v>Math, </v>
      </c>
      <c r="I1532" s="10" t="str">
        <f>Github!E$1018</f>
        <v>Medium</v>
      </c>
      <c r="J1532" s="10" t="str">
        <f>IF(TRIM(Github!D$1018)="TRUE","FALSE","TRUE")</f>
        <v>TRUE</v>
      </c>
      <c r="K1532" s="10" t="b">
        <f>Github!M$1018</f>
        <v>0</v>
      </c>
      <c r="L1532" s="10" t="b">
        <f>Github!N$1018</f>
        <v>0</v>
      </c>
      <c r="M1532" s="10" t="str">
        <f>ROUND(Github!O$1018, 2)&amp;"%"</f>
        <v>60.31%</v>
      </c>
      <c r="N1532" s="10">
        <f>Github!P$1018</f>
        <v>18404</v>
      </c>
      <c r="O1532" s="10">
        <f>Github!Q$1018</f>
        <v>30514</v>
      </c>
    </row>
    <row r="1533">
      <c r="A1533" s="10">
        <f>Github!J$458</f>
        <v>457</v>
      </c>
      <c r="B1533" s="11" t="str">
        <f>HYPERLINK(CONCAT("http://leetcode.com/problems/",Github!C$458), Github!B$458)</f>
        <v>Circular Array Loop</v>
      </c>
      <c r="C1533" s="10">
        <f>Github!F$458</f>
        <v>349</v>
      </c>
      <c r="D1533" s="10">
        <f>Github!G$458</f>
        <v>309</v>
      </c>
      <c r="E1533" s="10">
        <f>Github!F$458+Github!G$458</f>
        <v>658</v>
      </c>
      <c r="F1533" s="12">
        <f t="shared" si="1"/>
        <v>1.13</v>
      </c>
      <c r="G1533" s="10" t="str">
        <f>Github!H$458</f>
        <v>Algorithms</v>
      </c>
      <c r="H1533" s="13" t="str">
        <f>SUBSTITUTE(Github!L$458, ";", ", ")</f>
        <v>Array, Hash Table, Two Pointers, </v>
      </c>
      <c r="I1533" s="10" t="str">
        <f>Github!E$458</f>
        <v>Medium</v>
      </c>
      <c r="J1533" s="10" t="str">
        <f>IF(TRIM(Github!D$458)="TRUE","FALSE","TRUE")</f>
        <v>TRUE</v>
      </c>
      <c r="K1533" s="10" t="b">
        <f>Github!M$458</f>
        <v>0</v>
      </c>
      <c r="L1533" s="10" t="b">
        <f>Github!N$458</f>
        <v>0</v>
      </c>
      <c r="M1533" s="10" t="str">
        <f>ROUND(Github!O$458, 2)&amp;"%"</f>
        <v>31.67%</v>
      </c>
      <c r="N1533" s="10">
        <f>Github!P$458</f>
        <v>58749</v>
      </c>
      <c r="O1533" s="10">
        <f>Github!Q$458</f>
        <v>185486</v>
      </c>
    </row>
    <row r="1534">
      <c r="A1534" s="10">
        <f>Github!J$2179</f>
        <v>2178</v>
      </c>
      <c r="B1534" s="11" t="str">
        <f>HYPERLINK(CONCAT("http://leetcode.com/problems/",Github!C$2179), Github!B$2179)</f>
        <v>Maximum Split of Positive Even Integers</v>
      </c>
      <c r="C1534" s="10">
        <f>Github!F$2179</f>
        <v>354</v>
      </c>
      <c r="D1534" s="10">
        <f>Github!G$2179</f>
        <v>40</v>
      </c>
      <c r="E1534" s="10">
        <f>Github!F$2179+Github!G$2179</f>
        <v>394</v>
      </c>
      <c r="F1534" s="12">
        <f t="shared" si="1"/>
        <v>8.85</v>
      </c>
      <c r="G1534" s="10" t="str">
        <f>Github!H$2179</f>
        <v>Algorithms</v>
      </c>
      <c r="H1534" s="13" t="str">
        <f>SUBSTITUTE(Github!L$2179, ";", ", ")</f>
        <v>Math, Greedy, </v>
      </c>
      <c r="I1534" s="10" t="str">
        <f>Github!E$2179</f>
        <v>Medium</v>
      </c>
      <c r="J1534" s="10" t="str">
        <f>IF(TRIM(Github!D$2179)="TRUE","FALSE","TRUE")</f>
        <v>TRUE</v>
      </c>
      <c r="K1534" s="10" t="b">
        <f>Github!M$2179</f>
        <v>0</v>
      </c>
      <c r="L1534" s="10" t="b">
        <f>Github!N$2179</f>
        <v>0</v>
      </c>
      <c r="M1534" s="10" t="str">
        <f>ROUND(Github!O$2179, 2)&amp;"%"</f>
        <v>55.6%</v>
      </c>
      <c r="N1534" s="10">
        <f>Github!P$2179</f>
        <v>15801</v>
      </c>
      <c r="O1534" s="10">
        <f>Github!Q$2179</f>
        <v>28417</v>
      </c>
    </row>
    <row r="1535">
      <c r="A1535" s="10">
        <f>Github!J$2197</f>
        <v>2196</v>
      </c>
      <c r="B1535" s="11" t="str">
        <f>HYPERLINK(CONCAT("http://leetcode.com/problems/",Github!C$2197), Github!B$2197)</f>
        <v>Create Binary Tree From Descriptions</v>
      </c>
      <c r="C1535" s="10">
        <f>Github!F$2197</f>
        <v>354</v>
      </c>
      <c r="D1535" s="10">
        <f>Github!G$2197</f>
        <v>8</v>
      </c>
      <c r="E1535" s="10">
        <f>Github!F$2197+Github!G$2197</f>
        <v>362</v>
      </c>
      <c r="F1535" s="12">
        <f t="shared" si="1"/>
        <v>44.25</v>
      </c>
      <c r="G1535" s="10" t="str">
        <f>Github!H$2197</f>
        <v>Algorithms</v>
      </c>
      <c r="H1535" s="13" t="str">
        <f>SUBSTITUTE(Github!L$2197, ";", ", ")</f>
        <v>Array, Hash Table, Tree, Depth-First Search, Breadth-First Search, Binary Tree, </v>
      </c>
      <c r="I1535" s="10" t="str">
        <f>Github!E$2197</f>
        <v>Medium</v>
      </c>
      <c r="J1535" s="10" t="str">
        <f>IF(TRIM(Github!D$2197)="TRUE","FALSE","TRUE")</f>
        <v>TRUE</v>
      </c>
      <c r="K1535" s="10" t="b">
        <f>Github!M$2197</f>
        <v>0</v>
      </c>
      <c r="L1535" s="10" t="b">
        <f>Github!N$2197</f>
        <v>0</v>
      </c>
      <c r="M1535" s="10" t="str">
        <f>ROUND(Github!O$2197, 2)&amp;"%"</f>
        <v>70.35%</v>
      </c>
      <c r="N1535" s="10">
        <f>Github!P$2197</f>
        <v>14533</v>
      </c>
      <c r="O1535" s="10">
        <f>Github!Q$2197</f>
        <v>20658</v>
      </c>
    </row>
    <row r="1536">
      <c r="A1536" s="10">
        <f>Github!J$413</f>
        <v>412</v>
      </c>
      <c r="B1536" s="11" t="str">
        <f>HYPERLINK(CONCAT("http://leetcode.com/problems/",Github!C$413), Github!B$413)</f>
        <v>Fizz Buzz</v>
      </c>
      <c r="C1536" s="10">
        <f>Github!F$413</f>
        <v>359</v>
      </c>
      <c r="D1536" s="10">
        <f>Github!G$413</f>
        <v>65</v>
      </c>
      <c r="E1536" s="10">
        <f>Github!F$413+Github!G$413</f>
        <v>424</v>
      </c>
      <c r="F1536" s="12">
        <f t="shared" si="1"/>
        <v>5.52</v>
      </c>
      <c r="G1536" s="10" t="str">
        <f>Github!H$413</f>
        <v>Algorithms</v>
      </c>
      <c r="H1536" s="13" t="str">
        <f>SUBSTITUTE(Github!L$413, ";", ", ")</f>
        <v>Math, String, Simulation, </v>
      </c>
      <c r="I1536" s="10" t="str">
        <f>Github!E$413</f>
        <v>Easy</v>
      </c>
      <c r="J1536" s="10" t="str">
        <f>IF(TRIM(Github!D$413)="TRUE","FALSE","TRUE")</f>
        <v>TRUE</v>
      </c>
      <c r="K1536" s="10" t="b">
        <f>Github!M$413</f>
        <v>1</v>
      </c>
      <c r="L1536" s="10" t="b">
        <f>Github!N$413</f>
        <v>0</v>
      </c>
      <c r="M1536" s="10" t="str">
        <f>ROUND(Github!O$413, 2)&amp;"%"</f>
        <v>66.64%</v>
      </c>
      <c r="N1536" s="10">
        <f>Github!P$413</f>
        <v>614296</v>
      </c>
      <c r="O1536" s="10">
        <f>Github!Q$413</f>
        <v>921815</v>
      </c>
    </row>
    <row r="1537">
      <c r="A1537" s="10">
        <f>Github!J$967</f>
        <v>966</v>
      </c>
      <c r="B1537" s="11" t="str">
        <f>HYPERLINK(CONCAT("http://leetcode.com/problems/",Github!C$967), Github!B$967)</f>
        <v>Vowel Spellchecker</v>
      </c>
      <c r="C1537" s="10">
        <f>Github!F$967</f>
        <v>343</v>
      </c>
      <c r="D1537" s="10">
        <f>Github!G$967</f>
        <v>715</v>
      </c>
      <c r="E1537" s="10">
        <f>Github!F$967+Github!G$967</f>
        <v>1058</v>
      </c>
      <c r="F1537" s="12">
        <f t="shared" si="1"/>
        <v>0.48</v>
      </c>
      <c r="G1537" s="10" t="str">
        <f>Github!H$967</f>
        <v>Algorithms</v>
      </c>
      <c r="H1537" s="13" t="str">
        <f>SUBSTITUTE(Github!L$967, ";", ", ")</f>
        <v>Array, Hash Table, String, </v>
      </c>
      <c r="I1537" s="10" t="str">
        <f>Github!E$967</f>
        <v>Medium</v>
      </c>
      <c r="J1537" s="10" t="str">
        <f>IF(TRIM(Github!D$967)="TRUE","FALSE","TRUE")</f>
        <v>TRUE</v>
      </c>
      <c r="K1537" s="10" t="b">
        <f>Github!M$967</f>
        <v>1</v>
      </c>
      <c r="L1537" s="10" t="b">
        <f>Github!N$967</f>
        <v>0</v>
      </c>
      <c r="M1537" s="10" t="str">
        <f>ROUND(Github!O$967, 2)&amp;"%"</f>
        <v>51.59%</v>
      </c>
      <c r="N1537" s="10">
        <f>Github!P$967</f>
        <v>35564</v>
      </c>
      <c r="O1537" s="10">
        <f>Github!Q$967</f>
        <v>68933</v>
      </c>
    </row>
    <row r="1538">
      <c r="A1538" s="10">
        <f>Github!J$1755</f>
        <v>1754</v>
      </c>
      <c r="B1538" s="11" t="str">
        <f>HYPERLINK(CONCAT("http://leetcode.com/problems/",Github!C$1755), Github!B$1755)</f>
        <v>Largest Merge Of Two Strings</v>
      </c>
      <c r="C1538" s="10">
        <f>Github!F$1755</f>
        <v>342</v>
      </c>
      <c r="D1538" s="10">
        <f>Github!G$1755</f>
        <v>53</v>
      </c>
      <c r="E1538" s="10">
        <f>Github!F$1755+Github!G$1755</f>
        <v>395</v>
      </c>
      <c r="F1538" s="12">
        <f t="shared" si="1"/>
        <v>6.45</v>
      </c>
      <c r="G1538" s="10" t="str">
        <f>Github!H$1755</f>
        <v>Algorithms</v>
      </c>
      <c r="H1538" s="13" t="str">
        <f>SUBSTITUTE(Github!L$1755, ";", ", ")</f>
        <v>Two Pointers, String, Greedy, </v>
      </c>
      <c r="I1538" s="10" t="str">
        <f>Github!E$1755</f>
        <v>Medium</v>
      </c>
      <c r="J1538" s="10" t="str">
        <f>IF(TRIM(Github!D$1755)="TRUE","FALSE","TRUE")</f>
        <v>TRUE</v>
      </c>
      <c r="K1538" s="10" t="b">
        <f>Github!M$1755</f>
        <v>0</v>
      </c>
      <c r="L1538" s="10" t="b">
        <f>Github!N$1755</f>
        <v>0</v>
      </c>
      <c r="M1538" s="10" t="str">
        <f>ROUND(Github!O$1755, 2)&amp;"%"</f>
        <v>44.01%</v>
      </c>
      <c r="N1538" s="10">
        <f>Github!P$1755</f>
        <v>14181</v>
      </c>
      <c r="O1538" s="10">
        <f>Github!Q$1755</f>
        <v>32219</v>
      </c>
    </row>
    <row r="1539">
      <c r="A1539" s="10">
        <f>Github!J$1956</f>
        <v>1955</v>
      </c>
      <c r="B1539" s="11" t="str">
        <f>HYPERLINK(CONCAT("http://leetcode.com/problems/",Github!C$1956), Github!B$1956)</f>
        <v>Count Number of Special Subsequences</v>
      </c>
      <c r="C1539" s="10">
        <f>Github!F$1956</f>
        <v>343</v>
      </c>
      <c r="D1539" s="10">
        <f>Github!G$1956</f>
        <v>6</v>
      </c>
      <c r="E1539" s="10">
        <f>Github!F$1956+Github!G$1956</f>
        <v>349</v>
      </c>
      <c r="F1539" s="12">
        <f t="shared" si="1"/>
        <v>57.17</v>
      </c>
      <c r="G1539" s="10" t="str">
        <f>Github!H$1956</f>
        <v>Algorithms</v>
      </c>
      <c r="H1539" s="13" t="str">
        <f>SUBSTITUTE(Github!L$1956, ";", ", ")</f>
        <v>Array, Dynamic Programming, </v>
      </c>
      <c r="I1539" s="10" t="str">
        <f>Github!E$1956</f>
        <v>Hard</v>
      </c>
      <c r="J1539" s="10" t="str">
        <f>IF(TRIM(Github!D$1956)="TRUE","FALSE","TRUE")</f>
        <v>TRUE</v>
      </c>
      <c r="K1539" s="10" t="b">
        <f>Github!M$1956</f>
        <v>0</v>
      </c>
      <c r="L1539" s="10" t="b">
        <f>Github!N$1956</f>
        <v>0</v>
      </c>
      <c r="M1539" s="10" t="str">
        <f>ROUND(Github!O$1956, 2)&amp;"%"</f>
        <v>50.86%</v>
      </c>
      <c r="N1539" s="10">
        <f>Github!P$1956</f>
        <v>7366</v>
      </c>
      <c r="O1539" s="10">
        <f>Github!Q$1956</f>
        <v>14483</v>
      </c>
    </row>
    <row r="1540">
      <c r="A1540" s="10">
        <f>Github!J$1286</f>
        <v>1285</v>
      </c>
      <c r="B1540" s="11" t="str">
        <f>HYPERLINK(CONCAT("http://leetcode.com/problems/",Github!C$1286), Github!B$1286)</f>
        <v>Find the Start and End Number of Continuous Ranges</v>
      </c>
      <c r="C1540" s="10">
        <f>Github!F$1286</f>
        <v>348</v>
      </c>
      <c r="D1540" s="10">
        <f>Github!G$1286</f>
        <v>23</v>
      </c>
      <c r="E1540" s="10">
        <f>Github!F$1286+Github!G$1286</f>
        <v>371</v>
      </c>
      <c r="F1540" s="12">
        <f t="shared" si="1"/>
        <v>15.13</v>
      </c>
      <c r="G1540" s="10" t="str">
        <f>Github!H$1286</f>
        <v>Database</v>
      </c>
      <c r="H1540" s="13" t="str">
        <f>SUBSTITUTE(Github!L$1286, ";", ", ")</f>
        <v>Database, </v>
      </c>
      <c r="I1540" s="10" t="str">
        <f>Github!E$1286</f>
        <v>Medium</v>
      </c>
      <c r="J1540" s="10" t="str">
        <f>IF(TRIM(Github!D$1286)="TRUE","FALSE","TRUE")</f>
        <v>FALSE</v>
      </c>
      <c r="K1540" s="10" t="b">
        <f>Github!M$1286</f>
        <v>0</v>
      </c>
      <c r="L1540" s="10" t="b">
        <f>Github!N$1286</f>
        <v>0</v>
      </c>
      <c r="M1540" s="10" t="str">
        <f>ROUND(Github!O$1286, 2)&amp;"%"</f>
        <v>88.23%</v>
      </c>
      <c r="N1540" s="10">
        <f>Github!P$1286</f>
        <v>21566</v>
      </c>
      <c r="O1540" s="10">
        <f>Github!Q$1286</f>
        <v>24443</v>
      </c>
    </row>
    <row r="1541">
      <c r="A1541" s="10">
        <f>Github!J$246</f>
        <v>245</v>
      </c>
      <c r="B1541" s="11" t="str">
        <f>HYPERLINK(CONCAT("http://leetcode.com/problems/",Github!C$246), Github!B$246)</f>
        <v>Shortest Word Distance III</v>
      </c>
      <c r="C1541" s="10">
        <f>Github!F$246</f>
        <v>346</v>
      </c>
      <c r="D1541" s="10">
        <f>Github!G$246</f>
        <v>84</v>
      </c>
      <c r="E1541" s="10">
        <f>Github!F$246+Github!G$246</f>
        <v>430</v>
      </c>
      <c r="F1541" s="12">
        <f t="shared" si="1"/>
        <v>4.12</v>
      </c>
      <c r="G1541" s="10" t="str">
        <f>Github!H$246</f>
        <v>Algorithms</v>
      </c>
      <c r="H1541" s="13" t="str">
        <f>SUBSTITUTE(Github!L$246, ";", ", ")</f>
        <v>Array, String, </v>
      </c>
      <c r="I1541" s="10" t="str">
        <f>Github!E$246</f>
        <v>Medium</v>
      </c>
      <c r="J1541" s="10" t="str">
        <f>IF(TRIM(Github!D$246)="TRUE","FALSE","TRUE")</f>
        <v>FALSE</v>
      </c>
      <c r="K1541" s="10" t="b">
        <f>Github!M$246</f>
        <v>0</v>
      </c>
      <c r="L1541" s="10" t="b">
        <f>Github!N$246</f>
        <v>0</v>
      </c>
      <c r="M1541" s="10" t="str">
        <f>ROUND(Github!O$246, 2)&amp;"%"</f>
        <v>57.19%</v>
      </c>
      <c r="N1541" s="10">
        <f>Github!P$246</f>
        <v>67148</v>
      </c>
      <c r="O1541" s="10">
        <f>Github!Q$246</f>
        <v>117408</v>
      </c>
    </row>
    <row r="1542">
      <c r="A1542" s="10">
        <f>Github!J$1852</f>
        <v>1851</v>
      </c>
      <c r="B1542" s="11" t="str">
        <f>HYPERLINK(CONCAT("http://leetcode.com/problems/",Github!C$1852), Github!B$1852)</f>
        <v>Minimum Interval to Include Each Query</v>
      </c>
      <c r="C1542" s="10">
        <f>Github!F$1852</f>
        <v>348</v>
      </c>
      <c r="D1542" s="10">
        <f>Github!G$1852</f>
        <v>6</v>
      </c>
      <c r="E1542" s="10">
        <f>Github!F$1852+Github!G$1852</f>
        <v>354</v>
      </c>
      <c r="F1542" s="12">
        <f t="shared" si="1"/>
        <v>58</v>
      </c>
      <c r="G1542" s="10" t="str">
        <f>Github!H$1852</f>
        <v>Algorithms</v>
      </c>
      <c r="H1542" s="13" t="str">
        <f>SUBSTITUTE(Github!L$1852, ";", ", ")</f>
        <v>Array, Binary Search, Line Sweep, Sorting, Heap (Priority Queue), </v>
      </c>
      <c r="I1542" s="10" t="str">
        <f>Github!E$1852</f>
        <v>Hard</v>
      </c>
      <c r="J1542" s="10" t="str">
        <f>IF(TRIM(Github!D$1852)="TRUE","FALSE","TRUE")</f>
        <v>TRUE</v>
      </c>
      <c r="K1542" s="10" t="b">
        <f>Github!M$1852</f>
        <v>0</v>
      </c>
      <c r="L1542" s="10" t="b">
        <f>Github!N$1852</f>
        <v>0</v>
      </c>
      <c r="M1542" s="10" t="str">
        <f>ROUND(Github!O$1852, 2)&amp;"%"</f>
        <v>45.74%</v>
      </c>
      <c r="N1542" s="10">
        <f>Github!P$1852</f>
        <v>6830</v>
      </c>
      <c r="O1542" s="10">
        <f>Github!Q$1852</f>
        <v>14933</v>
      </c>
    </row>
    <row r="1543">
      <c r="A1543" s="10">
        <f>Github!J$1238</f>
        <v>1237</v>
      </c>
      <c r="B1543" s="11" t="str">
        <f>HYPERLINK(CONCAT("http://leetcode.com/problems/",Github!C$1238), Github!B$1238)</f>
        <v>Find Positive Integer Solution for a Given Equation</v>
      </c>
      <c r="C1543" s="10">
        <f>Github!F$1238</f>
        <v>341</v>
      </c>
      <c r="D1543" s="10">
        <f>Github!G$1238</f>
        <v>1147</v>
      </c>
      <c r="E1543" s="10">
        <f>Github!F$1238+Github!G$1238</f>
        <v>1488</v>
      </c>
      <c r="F1543" s="12">
        <f t="shared" si="1"/>
        <v>0.3</v>
      </c>
      <c r="G1543" s="10" t="str">
        <f>Github!H$1238</f>
        <v>Algorithms</v>
      </c>
      <c r="H1543" s="13" t="str">
        <f>SUBSTITUTE(Github!L$1238, ";", ", ")</f>
        <v>Math, Two Pointers, Binary Search, Interactive, </v>
      </c>
      <c r="I1543" s="10" t="str">
        <f>Github!E$1238</f>
        <v>Medium</v>
      </c>
      <c r="J1543" s="10" t="str">
        <f>IF(TRIM(Github!D$1238)="TRUE","FALSE","TRUE")</f>
        <v>TRUE</v>
      </c>
      <c r="K1543" s="10" t="b">
        <f>Github!M$1238</f>
        <v>0</v>
      </c>
      <c r="L1543" s="10" t="b">
        <f>Github!N$1238</f>
        <v>0</v>
      </c>
      <c r="M1543" s="10" t="str">
        <f>ROUND(Github!O$1238, 2)&amp;"%"</f>
        <v>69.33%</v>
      </c>
      <c r="N1543" s="10">
        <f>Github!P$1238</f>
        <v>48626</v>
      </c>
      <c r="O1543" s="10">
        <f>Github!Q$1238</f>
        <v>70134</v>
      </c>
    </row>
    <row r="1544">
      <c r="A1544" s="10">
        <f>Github!J$1644</f>
        <v>1643</v>
      </c>
      <c r="B1544" s="11" t="str">
        <f>HYPERLINK(CONCAT("http://leetcode.com/problems/",Github!C$1644), Github!B$1644)</f>
        <v>Kth Smallest Instructions</v>
      </c>
      <c r="C1544" s="10">
        <f>Github!F$1644</f>
        <v>340</v>
      </c>
      <c r="D1544" s="10">
        <f>Github!G$1644</f>
        <v>3</v>
      </c>
      <c r="E1544" s="10">
        <f>Github!F$1644+Github!G$1644</f>
        <v>343</v>
      </c>
      <c r="F1544" s="12">
        <f t="shared" si="1"/>
        <v>113.33</v>
      </c>
      <c r="G1544" s="10" t="str">
        <f>Github!H$1644</f>
        <v>Algorithms</v>
      </c>
      <c r="H1544" s="13" t="str">
        <f>SUBSTITUTE(Github!L$1644, ";", ", ")</f>
        <v>Array, Math, Dynamic Programming, Combinatorics, </v>
      </c>
      <c r="I1544" s="10" t="str">
        <f>Github!E$1644</f>
        <v>Hard</v>
      </c>
      <c r="J1544" s="10" t="str">
        <f>IF(TRIM(Github!D$1644)="TRUE","FALSE","TRUE")</f>
        <v>TRUE</v>
      </c>
      <c r="K1544" s="10" t="b">
        <f>Github!M$1644</f>
        <v>0</v>
      </c>
      <c r="L1544" s="10" t="b">
        <f>Github!N$1644</f>
        <v>0</v>
      </c>
      <c r="M1544" s="10" t="str">
        <f>ROUND(Github!O$1644, 2)&amp;"%"</f>
        <v>45.73%</v>
      </c>
      <c r="N1544" s="10">
        <f>Github!P$1644</f>
        <v>7546</v>
      </c>
      <c r="O1544" s="10">
        <f>Github!Q$1644</f>
        <v>16502</v>
      </c>
    </row>
    <row r="1545">
      <c r="A1545" s="10">
        <f>Github!J$2136</f>
        <v>2135</v>
      </c>
      <c r="B1545" s="11" t="str">
        <f>HYPERLINK(CONCAT("http://leetcode.com/problems/",Github!C$2136), Github!B$2136)</f>
        <v>Count Words Obtained After Adding a Letter</v>
      </c>
      <c r="C1545" s="10">
        <f>Github!F$2136</f>
        <v>352</v>
      </c>
      <c r="D1545" s="10">
        <f>Github!G$2136</f>
        <v>74</v>
      </c>
      <c r="E1545" s="10">
        <f>Github!F$2136+Github!G$2136</f>
        <v>426</v>
      </c>
      <c r="F1545" s="12">
        <f t="shared" si="1"/>
        <v>4.76</v>
      </c>
      <c r="G1545" s="10" t="str">
        <f>Github!H$2136</f>
        <v>Algorithms</v>
      </c>
      <c r="H1545" s="13" t="str">
        <f>SUBSTITUTE(Github!L$2136, ";", ", ")</f>
        <v>Array, Hash Table, String, Bit Manipulation, Sorting, </v>
      </c>
      <c r="I1545" s="10" t="str">
        <f>Github!E$2136</f>
        <v>Medium</v>
      </c>
      <c r="J1545" s="10" t="str">
        <f>IF(TRIM(Github!D$2136)="TRUE","FALSE","TRUE")</f>
        <v>TRUE</v>
      </c>
      <c r="K1545" s="10" t="b">
        <f>Github!M$2136</f>
        <v>0</v>
      </c>
      <c r="L1545" s="10" t="b">
        <f>Github!N$2136</f>
        <v>0</v>
      </c>
      <c r="M1545" s="10" t="str">
        <f>ROUND(Github!O$2136, 2)&amp;"%"</f>
        <v>38.73%</v>
      </c>
      <c r="N1545" s="10">
        <f>Github!P$2136</f>
        <v>15264</v>
      </c>
      <c r="O1545" s="10">
        <f>Github!Q$2136</f>
        <v>39415</v>
      </c>
    </row>
    <row r="1546">
      <c r="A1546" s="10">
        <f>Github!J$1681</f>
        <v>1680</v>
      </c>
      <c r="B1546" s="11" t="str">
        <f>HYPERLINK(CONCAT("http://leetcode.com/problems/",Github!C$1681), Github!B$1681)</f>
        <v>Concatenation of Consecutive Binary Numbers</v>
      </c>
      <c r="C1546" s="10">
        <f>Github!F$1681</f>
        <v>340</v>
      </c>
      <c r="D1546" s="10">
        <f>Github!G$1681</f>
        <v>206</v>
      </c>
      <c r="E1546" s="10">
        <f>Github!F$1681+Github!G$1681</f>
        <v>546</v>
      </c>
      <c r="F1546" s="12">
        <f t="shared" si="1"/>
        <v>1.65</v>
      </c>
      <c r="G1546" s="10" t="str">
        <f>Github!H$1681</f>
        <v>Algorithms</v>
      </c>
      <c r="H1546" s="13" t="str">
        <f>SUBSTITUTE(Github!L$1681, ";", ", ")</f>
        <v>Math, Bit Manipulation, Simulation, </v>
      </c>
      <c r="I1546" s="10" t="str">
        <f>Github!E$1681</f>
        <v>Medium</v>
      </c>
      <c r="J1546" s="10" t="str">
        <f>IF(TRIM(Github!D$1681)="TRUE","FALSE","TRUE")</f>
        <v>TRUE</v>
      </c>
      <c r="K1546" s="10" t="b">
        <f>Github!M$1681</f>
        <v>1</v>
      </c>
      <c r="L1546" s="10" t="b">
        <f>Github!N$1681</f>
        <v>0</v>
      </c>
      <c r="M1546" s="10" t="str">
        <f>ROUND(Github!O$1681, 2)&amp;"%"</f>
        <v>52.56%</v>
      </c>
      <c r="N1546" s="10">
        <f>Github!P$1681</f>
        <v>33784</v>
      </c>
      <c r="O1546" s="10">
        <f>Github!Q$1681</f>
        <v>64273</v>
      </c>
    </row>
    <row r="1547">
      <c r="A1547" s="10">
        <f>Github!J$602</f>
        <v>601</v>
      </c>
      <c r="B1547" s="11" t="str">
        <f>HYPERLINK(CONCAT("http://leetcode.com/problems/",Github!C$602), Github!B$602)</f>
        <v>Human Traffic of Stadium</v>
      </c>
      <c r="C1547" s="10">
        <f>Github!F$602</f>
        <v>343</v>
      </c>
      <c r="D1547" s="10">
        <f>Github!G$602</f>
        <v>482</v>
      </c>
      <c r="E1547" s="10">
        <f>Github!F$602+Github!G$602</f>
        <v>825</v>
      </c>
      <c r="F1547" s="12">
        <f t="shared" si="1"/>
        <v>0.71</v>
      </c>
      <c r="G1547" s="10" t="str">
        <f>Github!H$602</f>
        <v>Database</v>
      </c>
      <c r="H1547" s="13" t="str">
        <f>SUBSTITUTE(Github!L$602, ";", ", ")</f>
        <v>Database, </v>
      </c>
      <c r="I1547" s="10" t="str">
        <f>Github!E$602</f>
        <v>Hard</v>
      </c>
      <c r="J1547" s="10" t="str">
        <f>IF(TRIM(Github!D$602)="TRUE","FALSE","TRUE")</f>
        <v>TRUE</v>
      </c>
      <c r="K1547" s="10" t="b">
        <f>Github!M$602</f>
        <v>1</v>
      </c>
      <c r="L1547" s="10" t="b">
        <f>Github!N$602</f>
        <v>0</v>
      </c>
      <c r="M1547" s="10" t="str">
        <f>ROUND(Github!O$602, 2)&amp;"%"</f>
        <v>49.59%</v>
      </c>
      <c r="N1547" s="10">
        <f>Github!P$602</f>
        <v>61044</v>
      </c>
      <c r="O1547" s="10">
        <f>Github!Q$602</f>
        <v>123088</v>
      </c>
    </row>
    <row r="1548">
      <c r="A1548" s="10">
        <f>Github!J$440</f>
        <v>439</v>
      </c>
      <c r="B1548" s="11" t="str">
        <f>HYPERLINK(CONCAT("http://leetcode.com/problems/",Github!C$440), Github!B$440)</f>
        <v>Ternary Expression Parser</v>
      </c>
      <c r="C1548" s="10">
        <f>Github!F$440</f>
        <v>338</v>
      </c>
      <c r="D1548" s="10">
        <f>Github!G$440</f>
        <v>42</v>
      </c>
      <c r="E1548" s="10">
        <f>Github!F$440+Github!G$440</f>
        <v>380</v>
      </c>
      <c r="F1548" s="12">
        <f t="shared" si="1"/>
        <v>8.05</v>
      </c>
      <c r="G1548" s="10" t="str">
        <f>Github!H$440</f>
        <v>Algorithms</v>
      </c>
      <c r="H1548" s="13" t="str">
        <f>SUBSTITUTE(Github!L$440, ";", ", ")</f>
        <v>String, Stack, Recursion, </v>
      </c>
      <c r="I1548" s="10" t="str">
        <f>Github!E$440</f>
        <v>Medium</v>
      </c>
      <c r="J1548" s="10" t="str">
        <f>IF(TRIM(Github!D$440)="TRUE","FALSE","TRUE")</f>
        <v>FALSE</v>
      </c>
      <c r="K1548" s="10" t="b">
        <f>Github!M$440</f>
        <v>0</v>
      </c>
      <c r="L1548" s="10" t="b">
        <f>Github!N$440</f>
        <v>0</v>
      </c>
      <c r="M1548" s="10" t="str">
        <f>ROUND(Github!O$440, 2)&amp;"%"</f>
        <v>57.84%</v>
      </c>
      <c r="N1548" s="10">
        <f>Github!P$440</f>
        <v>24695</v>
      </c>
      <c r="O1548" s="10">
        <f>Github!Q$440</f>
        <v>42699</v>
      </c>
    </row>
    <row r="1549">
      <c r="A1549" s="10">
        <f>Github!J$1065</f>
        <v>1064</v>
      </c>
      <c r="B1549" s="11" t="str">
        <f>HYPERLINK(CONCAT("http://leetcode.com/problems/",Github!C$1065), Github!B$1065)</f>
        <v>Fixed Point</v>
      </c>
      <c r="C1549" s="10">
        <f>Github!F$1065</f>
        <v>337</v>
      </c>
      <c r="D1549" s="10">
        <f>Github!G$1065</f>
        <v>59</v>
      </c>
      <c r="E1549" s="10">
        <f>Github!F$1065+Github!G$1065</f>
        <v>396</v>
      </c>
      <c r="F1549" s="12">
        <f t="shared" si="1"/>
        <v>5.71</v>
      </c>
      <c r="G1549" s="10" t="str">
        <f>Github!H$1065</f>
        <v>Algorithms</v>
      </c>
      <c r="H1549" s="13" t="str">
        <f>SUBSTITUTE(Github!L$1065, ";", ", ")</f>
        <v>Array, Binary Search, </v>
      </c>
      <c r="I1549" s="10" t="str">
        <f>Github!E$1065</f>
        <v>Easy</v>
      </c>
      <c r="J1549" s="10" t="str">
        <f>IF(TRIM(Github!D$1065)="TRUE","FALSE","TRUE")</f>
        <v>FALSE</v>
      </c>
      <c r="K1549" s="10" t="b">
        <f>Github!M$1065</f>
        <v>1</v>
      </c>
      <c r="L1549" s="10" t="b">
        <f>Github!N$1065</f>
        <v>0</v>
      </c>
      <c r="M1549" s="10" t="str">
        <f>ROUND(Github!O$1065, 2)&amp;"%"</f>
        <v>63.88%</v>
      </c>
      <c r="N1549" s="10">
        <f>Github!P$1065</f>
        <v>34774</v>
      </c>
      <c r="O1549" s="10">
        <f>Github!Q$1065</f>
        <v>54433</v>
      </c>
    </row>
    <row r="1550">
      <c r="A1550" s="10">
        <f>Github!J$1118</f>
        <v>1117</v>
      </c>
      <c r="B1550" s="11" t="str">
        <f>HYPERLINK(CONCAT("http://leetcode.com/problems/",Github!C$1118), Github!B$1118)</f>
        <v>Building H2O</v>
      </c>
      <c r="C1550" s="10">
        <f>Github!F$1118</f>
        <v>338</v>
      </c>
      <c r="D1550" s="10">
        <f>Github!G$1118</f>
        <v>91</v>
      </c>
      <c r="E1550" s="10">
        <f>Github!F$1118+Github!G$1118</f>
        <v>429</v>
      </c>
      <c r="F1550" s="12">
        <f t="shared" si="1"/>
        <v>3.71</v>
      </c>
      <c r="G1550" s="10" t="str">
        <f>Github!H$1118</f>
        <v>Concurrency</v>
      </c>
      <c r="H1550" s="13" t="str">
        <f>SUBSTITUTE(Github!L$1118, ";", ", ")</f>
        <v>Concurrency, </v>
      </c>
      <c r="I1550" s="10" t="str">
        <f>Github!E$1118</f>
        <v>Medium</v>
      </c>
      <c r="J1550" s="10" t="str">
        <f>IF(TRIM(Github!D$1118)="TRUE","FALSE","TRUE")</f>
        <v>TRUE</v>
      </c>
      <c r="K1550" s="10" t="b">
        <f>Github!M$1118</f>
        <v>0</v>
      </c>
      <c r="L1550" s="10" t="b">
        <f>Github!N$1118</f>
        <v>0</v>
      </c>
      <c r="M1550" s="10" t="str">
        <f>ROUND(Github!O$1118, 2)&amp;"%"</f>
        <v>54.57%</v>
      </c>
      <c r="N1550" s="10">
        <f>Github!P$1118</f>
        <v>29967</v>
      </c>
      <c r="O1550" s="10">
        <f>Github!Q$1118</f>
        <v>54910</v>
      </c>
    </row>
    <row r="1551">
      <c r="A1551" s="10">
        <f>Github!J$489</f>
        <v>488</v>
      </c>
      <c r="B1551" s="11" t="str">
        <f>HYPERLINK(CONCAT("http://leetcode.com/problems/",Github!C$489), Github!B$489)</f>
        <v>Zuma Game</v>
      </c>
      <c r="C1551" s="10">
        <f>Github!F$489</f>
        <v>336</v>
      </c>
      <c r="D1551" s="10">
        <f>Github!G$489</f>
        <v>397</v>
      </c>
      <c r="E1551" s="10">
        <f>Github!F$489+Github!G$489</f>
        <v>733</v>
      </c>
      <c r="F1551" s="12">
        <f t="shared" si="1"/>
        <v>0.85</v>
      </c>
      <c r="G1551" s="10" t="str">
        <f>Github!H$489</f>
        <v>Algorithms</v>
      </c>
      <c r="H1551" s="13" t="str">
        <f>SUBSTITUTE(Github!L$489, ";", ", ")</f>
        <v>String, Dynamic Programming, Breadth-First Search, Memoization, </v>
      </c>
      <c r="I1551" s="10" t="str">
        <f>Github!E$489</f>
        <v>Hard</v>
      </c>
      <c r="J1551" s="10" t="str">
        <f>IF(TRIM(Github!D$489)="TRUE","FALSE","TRUE")</f>
        <v>TRUE</v>
      </c>
      <c r="K1551" s="10" t="b">
        <f>Github!M$489</f>
        <v>0</v>
      </c>
      <c r="L1551" s="10" t="b">
        <f>Github!N$489</f>
        <v>0</v>
      </c>
      <c r="M1551" s="10" t="str">
        <f>ROUND(Github!O$489, 2)&amp;"%"</f>
        <v>36.12%</v>
      </c>
      <c r="N1551" s="10">
        <f>Github!P$489</f>
        <v>19872</v>
      </c>
      <c r="O1551" s="10">
        <f>Github!Q$489</f>
        <v>55015</v>
      </c>
    </row>
    <row r="1552">
      <c r="A1552" s="10">
        <f>Github!J$1504</f>
        <v>1503</v>
      </c>
      <c r="B1552" s="11" t="str">
        <f>HYPERLINK(CONCAT("http://leetcode.com/problems/",Github!C$1504), Github!B$1504)</f>
        <v>Last Moment Before All Ants Fall Out of a Plank</v>
      </c>
      <c r="C1552" s="10">
        <f>Github!F$1504</f>
        <v>336</v>
      </c>
      <c r="D1552" s="10">
        <f>Github!G$1504</f>
        <v>181</v>
      </c>
      <c r="E1552" s="10">
        <f>Github!F$1504+Github!G$1504</f>
        <v>517</v>
      </c>
      <c r="F1552" s="12">
        <f t="shared" si="1"/>
        <v>1.86</v>
      </c>
      <c r="G1552" s="10" t="str">
        <f>Github!H$1504</f>
        <v>Algorithms</v>
      </c>
      <c r="H1552" s="13" t="str">
        <f>SUBSTITUTE(Github!L$1504, ";", ", ")</f>
        <v>Array, Brainteaser, Simulation, </v>
      </c>
      <c r="I1552" s="10" t="str">
        <f>Github!E$1504</f>
        <v>Medium</v>
      </c>
      <c r="J1552" s="10" t="str">
        <f>IF(TRIM(Github!D$1504)="TRUE","FALSE","TRUE")</f>
        <v>TRUE</v>
      </c>
      <c r="K1552" s="10" t="b">
        <f>Github!M$1504</f>
        <v>0</v>
      </c>
      <c r="L1552" s="10" t="b">
        <f>Github!N$1504</f>
        <v>0</v>
      </c>
      <c r="M1552" s="10" t="str">
        <f>ROUND(Github!O$1504, 2)&amp;"%"</f>
        <v>54.83%</v>
      </c>
      <c r="N1552" s="10">
        <f>Github!P$1504</f>
        <v>15318</v>
      </c>
      <c r="O1552" s="10">
        <f>Github!Q$1504</f>
        <v>27938</v>
      </c>
    </row>
    <row r="1553">
      <c r="A1553" s="10">
        <f>Github!J$1726</f>
        <v>1725</v>
      </c>
      <c r="B1553" s="11" t="str">
        <f>HYPERLINK(CONCAT("http://leetcode.com/problems/",Github!C$1726), Github!B$1726)</f>
        <v>Number Of Rectangles That Can Form The Largest Square</v>
      </c>
      <c r="C1553" s="10">
        <f>Github!F$1726</f>
        <v>340</v>
      </c>
      <c r="D1553" s="10">
        <f>Github!G$1726</f>
        <v>41</v>
      </c>
      <c r="E1553" s="10">
        <f>Github!F$1726+Github!G$1726</f>
        <v>381</v>
      </c>
      <c r="F1553" s="12">
        <f t="shared" si="1"/>
        <v>8.29</v>
      </c>
      <c r="G1553" s="10" t="str">
        <f>Github!H$1726</f>
        <v>Algorithms</v>
      </c>
      <c r="H1553" s="13" t="str">
        <f>SUBSTITUTE(Github!L$1726, ";", ", ")</f>
        <v>Array, </v>
      </c>
      <c r="I1553" s="10" t="str">
        <f>Github!E$1726</f>
        <v>Easy</v>
      </c>
      <c r="J1553" s="10" t="str">
        <f>IF(TRIM(Github!D$1726)="TRUE","FALSE","TRUE")</f>
        <v>TRUE</v>
      </c>
      <c r="K1553" s="10" t="b">
        <f>Github!M$1726</f>
        <v>0</v>
      </c>
      <c r="L1553" s="10" t="b">
        <f>Github!N$1726</f>
        <v>0</v>
      </c>
      <c r="M1553" s="10" t="str">
        <f>ROUND(Github!O$1726, 2)&amp;"%"</f>
        <v>78.8%</v>
      </c>
      <c r="N1553" s="10">
        <f>Github!P$1726</f>
        <v>41204</v>
      </c>
      <c r="O1553" s="10">
        <f>Github!Q$1726</f>
        <v>52287</v>
      </c>
    </row>
    <row r="1554">
      <c r="A1554" s="10">
        <f>Github!J$813</f>
        <v>812</v>
      </c>
      <c r="B1554" s="11" t="str">
        <f>HYPERLINK(CONCAT("http://leetcode.com/problems/",Github!C$813), Github!B$813)</f>
        <v>Largest Triangle Area</v>
      </c>
      <c r="C1554" s="10">
        <f>Github!F$813</f>
        <v>335</v>
      </c>
      <c r="D1554" s="10">
        <f>Github!G$813</f>
        <v>1323</v>
      </c>
      <c r="E1554" s="10">
        <f>Github!F$813+Github!G$813</f>
        <v>1658</v>
      </c>
      <c r="F1554" s="12">
        <f t="shared" si="1"/>
        <v>0.25</v>
      </c>
      <c r="G1554" s="10" t="str">
        <f>Github!H$813</f>
        <v>Algorithms</v>
      </c>
      <c r="H1554" s="13" t="str">
        <f>SUBSTITUTE(Github!L$813, ";", ", ")</f>
        <v>Array, Math, Geometry, </v>
      </c>
      <c r="I1554" s="10" t="str">
        <f>Github!E$813</f>
        <v>Easy</v>
      </c>
      <c r="J1554" s="10" t="str">
        <f>IF(TRIM(Github!D$813)="TRUE","FALSE","TRUE")</f>
        <v>TRUE</v>
      </c>
      <c r="K1554" s="10" t="b">
        <f>Github!M$813</f>
        <v>0</v>
      </c>
      <c r="L1554" s="10" t="b">
        <f>Github!N$813</f>
        <v>0</v>
      </c>
      <c r="M1554" s="10" t="str">
        <f>ROUND(Github!O$813, 2)&amp;"%"</f>
        <v>59.6%</v>
      </c>
      <c r="N1554" s="10">
        <f>Github!P$813</f>
        <v>32426</v>
      </c>
      <c r="O1554" s="10">
        <f>Github!Q$813</f>
        <v>54402</v>
      </c>
    </row>
    <row r="1555">
      <c r="A1555" s="10">
        <f>Github!J$2126</f>
        <v>2125</v>
      </c>
      <c r="B1555" s="11" t="str">
        <f>HYPERLINK(CONCAT("http://leetcode.com/problems/",Github!C$2126), Github!B$2126)</f>
        <v>Number of Laser Beams in a Bank</v>
      </c>
      <c r="C1555" s="10">
        <f>Github!F$2126</f>
        <v>338</v>
      </c>
      <c r="D1555" s="10">
        <f>Github!G$2126</f>
        <v>29</v>
      </c>
      <c r="E1555" s="10">
        <f>Github!F$2126+Github!G$2126</f>
        <v>367</v>
      </c>
      <c r="F1555" s="12">
        <f t="shared" si="1"/>
        <v>11.66</v>
      </c>
      <c r="G1555" s="10" t="str">
        <f>Github!H$2126</f>
        <v>Algorithms</v>
      </c>
      <c r="H1555" s="13" t="str">
        <f>SUBSTITUTE(Github!L$2126, ";", ", ")</f>
        <v>Array, Math, String, Matrix, </v>
      </c>
      <c r="I1555" s="10" t="str">
        <f>Github!E$2126</f>
        <v>Medium</v>
      </c>
      <c r="J1555" s="10" t="str">
        <f>IF(TRIM(Github!D$2126)="TRUE","FALSE","TRUE")</f>
        <v>TRUE</v>
      </c>
      <c r="K1555" s="10" t="b">
        <f>Github!M$2126</f>
        <v>0</v>
      </c>
      <c r="L1555" s="10" t="b">
        <f>Github!N$2126</f>
        <v>0</v>
      </c>
      <c r="M1555" s="10" t="str">
        <f>ROUND(Github!O$2126, 2)&amp;"%"</f>
        <v>83.32%</v>
      </c>
      <c r="N1555" s="10">
        <f>Github!P$2126</f>
        <v>25203</v>
      </c>
      <c r="O1555" s="10">
        <f>Github!Q$2126</f>
        <v>30248</v>
      </c>
    </row>
    <row r="1556">
      <c r="A1556" s="10">
        <f>Github!J$1331</f>
        <v>1330</v>
      </c>
      <c r="B1556" s="11" t="str">
        <f>HYPERLINK(CONCAT("http://leetcode.com/problems/",Github!C$1331), Github!B$1331)</f>
        <v>Reverse Subarray To Maximize Array Value</v>
      </c>
      <c r="C1556" s="10">
        <f>Github!F$1331</f>
        <v>332</v>
      </c>
      <c r="D1556" s="10">
        <f>Github!G$1331</f>
        <v>34</v>
      </c>
      <c r="E1556" s="10">
        <f>Github!F$1331+Github!G$1331</f>
        <v>366</v>
      </c>
      <c r="F1556" s="12">
        <f t="shared" si="1"/>
        <v>9.76</v>
      </c>
      <c r="G1556" s="10" t="str">
        <f>Github!H$1331</f>
        <v>Algorithms</v>
      </c>
      <c r="H1556" s="13" t="str">
        <f>SUBSTITUTE(Github!L$1331, ";", ", ")</f>
        <v>Array, Math, Greedy, </v>
      </c>
      <c r="I1556" s="10" t="str">
        <f>Github!E$1331</f>
        <v>Hard</v>
      </c>
      <c r="J1556" s="10" t="str">
        <f>IF(TRIM(Github!D$1331)="TRUE","FALSE","TRUE")</f>
        <v>TRUE</v>
      </c>
      <c r="K1556" s="10" t="b">
        <f>Github!M$1331</f>
        <v>0</v>
      </c>
      <c r="L1556" s="10" t="b">
        <f>Github!N$1331</f>
        <v>0</v>
      </c>
      <c r="M1556" s="10" t="str">
        <f>ROUND(Github!O$1331, 2)&amp;"%"</f>
        <v>38.99%</v>
      </c>
      <c r="N1556" s="10">
        <f>Github!P$1331</f>
        <v>3849</v>
      </c>
      <c r="O1556" s="10">
        <f>Github!Q$1331</f>
        <v>9871</v>
      </c>
    </row>
    <row r="1557">
      <c r="A1557" s="10">
        <f>Github!J$2074</f>
        <v>2073</v>
      </c>
      <c r="B1557" s="11" t="str">
        <f>HYPERLINK(CONCAT("http://leetcode.com/problems/",Github!C$2074), Github!B$2074)</f>
        <v>Time Needed to Buy Tickets</v>
      </c>
      <c r="C1557" s="10">
        <f>Github!F$2074</f>
        <v>334</v>
      </c>
      <c r="D1557" s="10">
        <f>Github!G$2074</f>
        <v>22</v>
      </c>
      <c r="E1557" s="10">
        <f>Github!F$2074+Github!G$2074</f>
        <v>356</v>
      </c>
      <c r="F1557" s="12">
        <f t="shared" si="1"/>
        <v>15.18</v>
      </c>
      <c r="G1557" s="10" t="str">
        <f>Github!H$2074</f>
        <v>Algorithms</v>
      </c>
      <c r="H1557" s="13" t="str">
        <f>SUBSTITUTE(Github!L$2074, ";", ", ")</f>
        <v>Array, Queue, Simulation, </v>
      </c>
      <c r="I1557" s="10" t="str">
        <f>Github!E$2074</f>
        <v>Easy</v>
      </c>
      <c r="J1557" s="10" t="str">
        <f>IF(TRIM(Github!D$2074)="TRUE","FALSE","TRUE")</f>
        <v>TRUE</v>
      </c>
      <c r="K1557" s="10" t="b">
        <f>Github!M$2074</f>
        <v>0</v>
      </c>
      <c r="L1557" s="10" t="b">
        <f>Github!N$2074</f>
        <v>0</v>
      </c>
      <c r="M1557" s="10" t="str">
        <f>ROUND(Github!O$2074, 2)&amp;"%"</f>
        <v>62.31%</v>
      </c>
      <c r="N1557" s="10">
        <f>Github!P$2074</f>
        <v>21640</v>
      </c>
      <c r="O1557" s="10">
        <f>Github!Q$2074</f>
        <v>34729</v>
      </c>
    </row>
    <row r="1558">
      <c r="A1558" s="10">
        <f>Github!J$1975</f>
        <v>1974</v>
      </c>
      <c r="B1558" s="11" t="str">
        <f>HYPERLINK(CONCAT("http://leetcode.com/problems/",Github!C$1975), Github!B$1975)</f>
        <v>Minimum Time to Type Word Using Special Typewriter</v>
      </c>
      <c r="C1558" s="10">
        <f>Github!F$1975</f>
        <v>335</v>
      </c>
      <c r="D1558" s="10">
        <f>Github!G$1975</f>
        <v>14</v>
      </c>
      <c r="E1558" s="10">
        <f>Github!F$1975+Github!G$1975</f>
        <v>349</v>
      </c>
      <c r="F1558" s="12">
        <f t="shared" si="1"/>
        <v>23.93</v>
      </c>
      <c r="G1558" s="10" t="str">
        <f>Github!H$1975</f>
        <v>Algorithms</v>
      </c>
      <c r="H1558" s="13" t="str">
        <f>SUBSTITUTE(Github!L$1975, ";", ", ")</f>
        <v>String, Greedy, </v>
      </c>
      <c r="I1558" s="10" t="str">
        <f>Github!E$1975</f>
        <v>Easy</v>
      </c>
      <c r="J1558" s="10" t="str">
        <f>IF(TRIM(Github!D$1975)="TRUE","FALSE","TRUE")</f>
        <v>TRUE</v>
      </c>
      <c r="K1558" s="10" t="b">
        <f>Github!M$1975</f>
        <v>0</v>
      </c>
      <c r="L1558" s="10" t="b">
        <f>Github!N$1975</f>
        <v>0</v>
      </c>
      <c r="M1558" s="10" t="str">
        <f>ROUND(Github!O$1975, 2)&amp;"%"</f>
        <v>71.52%</v>
      </c>
      <c r="N1558" s="10">
        <f>Github!P$1975</f>
        <v>19429</v>
      </c>
      <c r="O1558" s="10">
        <f>Github!Q$1975</f>
        <v>27167</v>
      </c>
    </row>
    <row r="1559">
      <c r="A1559" s="10">
        <f>Github!J$1592</f>
        <v>1591</v>
      </c>
      <c r="B1559" s="11" t="str">
        <f>HYPERLINK(CONCAT("http://leetcode.com/problems/",Github!C$1592), Github!B$1592)</f>
        <v>Strange Printer II</v>
      </c>
      <c r="C1559" s="10">
        <f>Github!F$1592</f>
        <v>332</v>
      </c>
      <c r="D1559" s="10">
        <f>Github!G$1592</f>
        <v>11</v>
      </c>
      <c r="E1559" s="10">
        <f>Github!F$1592+Github!G$1592</f>
        <v>343</v>
      </c>
      <c r="F1559" s="12">
        <f t="shared" si="1"/>
        <v>30.18</v>
      </c>
      <c r="G1559" s="10" t="str">
        <f>Github!H$1592</f>
        <v>Algorithms</v>
      </c>
      <c r="H1559" s="13" t="str">
        <f>SUBSTITUTE(Github!L$1592, ";", ", ")</f>
        <v>Array, Graph, Topological Sort, Matrix, </v>
      </c>
      <c r="I1559" s="10" t="str">
        <f>Github!E$1592</f>
        <v>Hard</v>
      </c>
      <c r="J1559" s="10" t="str">
        <f>IF(TRIM(Github!D$1592)="TRUE","FALSE","TRUE")</f>
        <v>TRUE</v>
      </c>
      <c r="K1559" s="10" t="b">
        <f>Github!M$1592</f>
        <v>0</v>
      </c>
      <c r="L1559" s="10" t="b">
        <f>Github!N$1592</f>
        <v>0</v>
      </c>
      <c r="M1559" s="10" t="str">
        <f>ROUND(Github!O$1592, 2)&amp;"%"</f>
        <v>56.83%</v>
      </c>
      <c r="N1559" s="10">
        <f>Github!P$1592</f>
        <v>5987</v>
      </c>
      <c r="O1559" s="10">
        <f>Github!Q$1592</f>
        <v>10535</v>
      </c>
    </row>
    <row r="1560">
      <c r="A1560" s="10">
        <f>Github!J$1942</f>
        <v>1941</v>
      </c>
      <c r="B1560" s="11" t="str">
        <f>HYPERLINK(CONCAT("http://leetcode.com/problems/",Github!C$1942), Github!B$1942)</f>
        <v>Check if All Characters Have Equal Number of Occurrences</v>
      </c>
      <c r="C1560" s="10">
        <f>Github!F$1942</f>
        <v>337</v>
      </c>
      <c r="D1560" s="10">
        <f>Github!G$1942</f>
        <v>11</v>
      </c>
      <c r="E1560" s="10">
        <f>Github!F$1942+Github!G$1942</f>
        <v>348</v>
      </c>
      <c r="F1560" s="12">
        <f t="shared" si="1"/>
        <v>30.64</v>
      </c>
      <c r="G1560" s="10" t="str">
        <f>Github!H$1942</f>
        <v>Algorithms</v>
      </c>
      <c r="H1560" s="13" t="str">
        <f>SUBSTITUTE(Github!L$1942, ";", ", ")</f>
        <v>Hash Table, String, Counting, </v>
      </c>
      <c r="I1560" s="10" t="str">
        <f>Github!E$1942</f>
        <v>Easy</v>
      </c>
      <c r="J1560" s="10" t="str">
        <f>IF(TRIM(Github!D$1942)="TRUE","FALSE","TRUE")</f>
        <v>TRUE</v>
      </c>
      <c r="K1560" s="10" t="b">
        <f>Github!M$1942</f>
        <v>0</v>
      </c>
      <c r="L1560" s="10" t="b">
        <f>Github!N$1942</f>
        <v>0</v>
      </c>
      <c r="M1560" s="10" t="str">
        <f>ROUND(Github!O$1942, 2)&amp;"%"</f>
        <v>77.09%</v>
      </c>
      <c r="N1560" s="10">
        <f>Github!P$1942</f>
        <v>34319</v>
      </c>
      <c r="O1560" s="10">
        <f>Github!Q$1942</f>
        <v>44520</v>
      </c>
    </row>
    <row r="1561">
      <c r="A1561" s="10">
        <f>Github!J$1557</f>
        <v>1556</v>
      </c>
      <c r="B1561" s="11" t="str">
        <f>HYPERLINK(CONCAT("http://leetcode.com/problems/",Github!C$1557), Github!B$1557)</f>
        <v>Thousand Separator</v>
      </c>
      <c r="C1561" s="10">
        <f>Github!F$1557</f>
        <v>331</v>
      </c>
      <c r="D1561" s="10">
        <f>Github!G$1557</f>
        <v>15</v>
      </c>
      <c r="E1561" s="10">
        <f>Github!F$1557+Github!G$1557</f>
        <v>346</v>
      </c>
      <c r="F1561" s="12">
        <f t="shared" si="1"/>
        <v>22.07</v>
      </c>
      <c r="G1561" s="10" t="str">
        <f>Github!H$1557</f>
        <v>Algorithms</v>
      </c>
      <c r="H1561" s="13" t="str">
        <f>SUBSTITUTE(Github!L$1557, ";", ", ")</f>
        <v>String, </v>
      </c>
      <c r="I1561" s="10" t="str">
        <f>Github!E$1557</f>
        <v>Easy</v>
      </c>
      <c r="J1561" s="10" t="str">
        <f>IF(TRIM(Github!D$1557)="TRUE","FALSE","TRUE")</f>
        <v>TRUE</v>
      </c>
      <c r="K1561" s="10" t="b">
        <f>Github!M$1557</f>
        <v>0</v>
      </c>
      <c r="L1561" s="10" t="b">
        <f>Github!N$1557</f>
        <v>0</v>
      </c>
      <c r="M1561" s="10" t="str">
        <f>ROUND(Github!O$1557, 2)&amp;"%"</f>
        <v>55.89%</v>
      </c>
      <c r="N1561" s="10">
        <f>Github!P$1557</f>
        <v>33148</v>
      </c>
      <c r="O1561" s="10">
        <f>Github!Q$1557</f>
        <v>59314</v>
      </c>
    </row>
    <row r="1562">
      <c r="A1562" s="10">
        <f>Github!J$1888</f>
        <v>1887</v>
      </c>
      <c r="B1562" s="11" t="str">
        <f>HYPERLINK(CONCAT("http://leetcode.com/problems/",Github!C$1888), Github!B$1888)</f>
        <v>Reduction Operations to Make the Array Elements Equal</v>
      </c>
      <c r="C1562" s="10">
        <f>Github!F$1888</f>
        <v>331</v>
      </c>
      <c r="D1562" s="10">
        <f>Github!G$1888</f>
        <v>14</v>
      </c>
      <c r="E1562" s="10">
        <f>Github!F$1888+Github!G$1888</f>
        <v>345</v>
      </c>
      <c r="F1562" s="12">
        <f t="shared" si="1"/>
        <v>23.64</v>
      </c>
      <c r="G1562" s="10" t="str">
        <f>Github!H$1888</f>
        <v>Algorithms</v>
      </c>
      <c r="H1562" s="13" t="str">
        <f>SUBSTITUTE(Github!L$1888, ";", ", ")</f>
        <v>Array, Sorting, </v>
      </c>
      <c r="I1562" s="10" t="str">
        <f>Github!E$1888</f>
        <v>Medium</v>
      </c>
      <c r="J1562" s="10" t="str">
        <f>IF(TRIM(Github!D$1888)="TRUE","FALSE","TRUE")</f>
        <v>TRUE</v>
      </c>
      <c r="K1562" s="10" t="b">
        <f>Github!M$1888</f>
        <v>0</v>
      </c>
      <c r="L1562" s="10" t="b">
        <f>Github!N$1888</f>
        <v>0</v>
      </c>
      <c r="M1562" s="10" t="str">
        <f>ROUND(Github!O$1888, 2)&amp;"%"</f>
        <v>61.58%</v>
      </c>
      <c r="N1562" s="10">
        <f>Github!P$1888</f>
        <v>16594</v>
      </c>
      <c r="O1562" s="10">
        <f>Github!Q$1888</f>
        <v>26949</v>
      </c>
    </row>
    <row r="1563">
      <c r="A1563" s="10">
        <f>Github!J$1117</f>
        <v>1116</v>
      </c>
      <c r="B1563" s="11" t="str">
        <f>HYPERLINK(CONCAT("http://leetcode.com/problems/",Github!C$1117), Github!B$1117)</f>
        <v>Print Zero Even Odd</v>
      </c>
      <c r="C1563" s="10">
        <f>Github!F$1117</f>
        <v>329</v>
      </c>
      <c r="D1563" s="10">
        <f>Github!G$1117</f>
        <v>230</v>
      </c>
      <c r="E1563" s="10">
        <f>Github!F$1117+Github!G$1117</f>
        <v>559</v>
      </c>
      <c r="F1563" s="12">
        <f t="shared" si="1"/>
        <v>1.43</v>
      </c>
      <c r="G1563" s="10" t="str">
        <f>Github!H$1117</f>
        <v>Concurrency</v>
      </c>
      <c r="H1563" s="13" t="str">
        <f>SUBSTITUTE(Github!L$1117, ";", ", ")</f>
        <v>Concurrency, </v>
      </c>
      <c r="I1563" s="10" t="str">
        <f>Github!E$1117</f>
        <v>Medium</v>
      </c>
      <c r="J1563" s="10" t="str">
        <f>IF(TRIM(Github!D$1117)="TRUE","FALSE","TRUE")</f>
        <v>TRUE</v>
      </c>
      <c r="K1563" s="10" t="b">
        <f>Github!M$1117</f>
        <v>0</v>
      </c>
      <c r="L1563" s="10" t="b">
        <f>Github!N$1117</f>
        <v>0</v>
      </c>
      <c r="M1563" s="10" t="str">
        <f>ROUND(Github!O$1117, 2)&amp;"%"</f>
        <v>59.41%</v>
      </c>
      <c r="N1563" s="10">
        <f>Github!P$1117</f>
        <v>31461</v>
      </c>
      <c r="O1563" s="10">
        <f>Github!Q$1117</f>
        <v>52951</v>
      </c>
    </row>
    <row r="1564">
      <c r="A1564" s="10">
        <f>Github!J$1702</f>
        <v>1701</v>
      </c>
      <c r="B1564" s="11" t="str">
        <f>HYPERLINK(CONCAT("http://leetcode.com/problems/",Github!C$1702), Github!B$1702)</f>
        <v>Average Waiting Time</v>
      </c>
      <c r="C1564" s="10">
        <f>Github!F$1702</f>
        <v>330</v>
      </c>
      <c r="D1564" s="10">
        <f>Github!G$1702</f>
        <v>37</v>
      </c>
      <c r="E1564" s="10">
        <f>Github!F$1702+Github!G$1702</f>
        <v>367</v>
      </c>
      <c r="F1564" s="12">
        <f t="shared" si="1"/>
        <v>8.92</v>
      </c>
      <c r="G1564" s="10" t="str">
        <f>Github!H$1702</f>
        <v>Algorithms</v>
      </c>
      <c r="H1564" s="13" t="str">
        <f>SUBSTITUTE(Github!L$1702, ";", ", ")</f>
        <v>Array, Simulation, </v>
      </c>
      <c r="I1564" s="10" t="str">
        <f>Github!E$1702</f>
        <v>Medium</v>
      </c>
      <c r="J1564" s="10" t="str">
        <f>IF(TRIM(Github!D$1702)="TRUE","FALSE","TRUE")</f>
        <v>TRUE</v>
      </c>
      <c r="K1564" s="10" t="b">
        <f>Github!M$1702</f>
        <v>0</v>
      </c>
      <c r="L1564" s="10" t="b">
        <f>Github!N$1702</f>
        <v>0</v>
      </c>
      <c r="M1564" s="10" t="str">
        <f>ROUND(Github!O$1702, 2)&amp;"%"</f>
        <v>61.75%</v>
      </c>
      <c r="N1564" s="10">
        <f>Github!P$1702</f>
        <v>19011</v>
      </c>
      <c r="O1564" s="10">
        <f>Github!Q$1702</f>
        <v>30786</v>
      </c>
    </row>
    <row r="1565">
      <c r="A1565" s="10">
        <f>Github!J$1629</f>
        <v>1628</v>
      </c>
      <c r="B1565" s="11" t="str">
        <f>HYPERLINK(CONCAT("http://leetcode.com/problems/",Github!C$1629), Github!B$1629)</f>
        <v>Design an Expression Tree With Evaluate Function</v>
      </c>
      <c r="C1565" s="10">
        <f>Github!F$1629</f>
        <v>332</v>
      </c>
      <c r="D1565" s="10">
        <f>Github!G$1629</f>
        <v>53</v>
      </c>
      <c r="E1565" s="10">
        <f>Github!F$1629+Github!G$1629</f>
        <v>385</v>
      </c>
      <c r="F1565" s="12">
        <f t="shared" si="1"/>
        <v>6.26</v>
      </c>
      <c r="G1565" s="10" t="str">
        <f>Github!H$1629</f>
        <v>Algorithms</v>
      </c>
      <c r="H1565" s="13" t="str">
        <f>SUBSTITUTE(Github!L$1629, ";", ", ")</f>
        <v>Math, Stack, Tree, Design, Binary Tree, </v>
      </c>
      <c r="I1565" s="10" t="str">
        <f>Github!E$1629</f>
        <v>Medium</v>
      </c>
      <c r="J1565" s="10" t="str">
        <f>IF(TRIM(Github!D$1629)="TRUE","FALSE","TRUE")</f>
        <v>FALSE</v>
      </c>
      <c r="K1565" s="10" t="b">
        <f>Github!M$1629</f>
        <v>0</v>
      </c>
      <c r="L1565" s="10" t="b">
        <f>Github!N$1629</f>
        <v>0</v>
      </c>
      <c r="M1565" s="10" t="str">
        <f>ROUND(Github!O$1629, 2)&amp;"%"</f>
        <v>81.69%</v>
      </c>
      <c r="N1565" s="10">
        <f>Github!P$1629</f>
        <v>15823</v>
      </c>
      <c r="O1565" s="10">
        <f>Github!Q$1629</f>
        <v>19369</v>
      </c>
    </row>
    <row r="1566">
      <c r="A1566" s="10">
        <f>Github!J$2111</f>
        <v>2110</v>
      </c>
      <c r="B1566" s="11" t="str">
        <f>HYPERLINK(CONCAT("http://leetcode.com/problems/",Github!C$2111), Github!B$2111)</f>
        <v>Number of Smooth Descent Periods of a Stock</v>
      </c>
      <c r="C1566" s="10">
        <f>Github!F$2111</f>
        <v>335</v>
      </c>
      <c r="D1566" s="10">
        <f>Github!G$2111</f>
        <v>12</v>
      </c>
      <c r="E1566" s="10">
        <f>Github!F$2111+Github!G$2111</f>
        <v>347</v>
      </c>
      <c r="F1566" s="12">
        <f t="shared" si="1"/>
        <v>27.92</v>
      </c>
      <c r="G1566" s="10" t="str">
        <f>Github!H$2111</f>
        <v>Algorithms</v>
      </c>
      <c r="H1566" s="13" t="str">
        <f>SUBSTITUTE(Github!L$2111, ";", ", ")</f>
        <v>Array, Math, Dynamic Programming, </v>
      </c>
      <c r="I1566" s="10" t="str">
        <f>Github!E$2111</f>
        <v>Medium</v>
      </c>
      <c r="J1566" s="10" t="str">
        <f>IF(TRIM(Github!D$2111)="TRUE","FALSE","TRUE")</f>
        <v>TRUE</v>
      </c>
      <c r="K1566" s="10" t="b">
        <f>Github!M$2111</f>
        <v>0</v>
      </c>
      <c r="L1566" s="10" t="b">
        <f>Github!N$2111</f>
        <v>0</v>
      </c>
      <c r="M1566" s="10" t="str">
        <f>ROUND(Github!O$2111, 2)&amp;"%"</f>
        <v>55.38%</v>
      </c>
      <c r="N1566" s="10">
        <f>Github!P$2111</f>
        <v>18305</v>
      </c>
      <c r="O1566" s="10">
        <f>Github!Q$2111</f>
        <v>33053</v>
      </c>
    </row>
    <row r="1567">
      <c r="A1567" s="10">
        <f>Github!J$1507</f>
        <v>1506</v>
      </c>
      <c r="B1567" s="11" t="str">
        <f>HYPERLINK(CONCAT("http://leetcode.com/problems/",Github!C$1507), Github!B$1507)</f>
        <v>Find Root of N-Ary Tree</v>
      </c>
      <c r="C1567" s="10">
        <f>Github!F$1507</f>
        <v>326</v>
      </c>
      <c r="D1567" s="10">
        <f>Github!G$1507</f>
        <v>118</v>
      </c>
      <c r="E1567" s="10">
        <f>Github!F$1507+Github!G$1507</f>
        <v>444</v>
      </c>
      <c r="F1567" s="12">
        <f t="shared" si="1"/>
        <v>2.76</v>
      </c>
      <c r="G1567" s="10" t="str">
        <f>Github!H$1507</f>
        <v>Algorithms</v>
      </c>
      <c r="H1567" s="13" t="str">
        <f>SUBSTITUTE(Github!L$1507, ";", ", ")</f>
        <v>Hash Table, Bit Manipulation, Tree, Depth-First Search, </v>
      </c>
      <c r="I1567" s="10" t="str">
        <f>Github!E$1507</f>
        <v>Medium</v>
      </c>
      <c r="J1567" s="10" t="str">
        <f>IF(TRIM(Github!D$1507)="TRUE","FALSE","TRUE")</f>
        <v>FALSE</v>
      </c>
      <c r="K1567" s="10" t="b">
        <f>Github!M$1507</f>
        <v>1</v>
      </c>
      <c r="L1567" s="10" t="b">
        <f>Github!N$1507</f>
        <v>0</v>
      </c>
      <c r="M1567" s="10" t="str">
        <f>ROUND(Github!O$1507, 2)&amp;"%"</f>
        <v>78.02%</v>
      </c>
      <c r="N1567" s="10">
        <f>Github!P$1507</f>
        <v>21146</v>
      </c>
      <c r="O1567" s="10">
        <f>Github!Q$1507</f>
        <v>27103</v>
      </c>
    </row>
    <row r="1568">
      <c r="A1568" s="10">
        <f>Github!J$1410</f>
        <v>1409</v>
      </c>
      <c r="B1568" s="11" t="str">
        <f>HYPERLINK(CONCAT("http://leetcode.com/problems/",Github!C$1410), Github!B$1410)</f>
        <v>Queries on a Permutation With Key</v>
      </c>
      <c r="C1568" s="10">
        <f>Github!F$1410</f>
        <v>326</v>
      </c>
      <c r="D1568" s="10">
        <f>Github!G$1410</f>
        <v>517</v>
      </c>
      <c r="E1568" s="10">
        <f>Github!F$1410+Github!G$1410</f>
        <v>843</v>
      </c>
      <c r="F1568" s="12">
        <f t="shared" si="1"/>
        <v>0.63</v>
      </c>
      <c r="G1568" s="10" t="str">
        <f>Github!H$1410</f>
        <v>Algorithms</v>
      </c>
      <c r="H1568" s="13" t="str">
        <f>SUBSTITUTE(Github!L$1410, ";", ", ")</f>
        <v>Array, Binary Indexed Tree, Simulation, </v>
      </c>
      <c r="I1568" s="10" t="str">
        <f>Github!E$1410</f>
        <v>Medium</v>
      </c>
      <c r="J1568" s="10" t="str">
        <f>IF(TRIM(Github!D$1410)="TRUE","FALSE","TRUE")</f>
        <v>TRUE</v>
      </c>
      <c r="K1568" s="10" t="b">
        <f>Github!M$1410</f>
        <v>0</v>
      </c>
      <c r="L1568" s="10" t="b">
        <f>Github!N$1410</f>
        <v>0</v>
      </c>
      <c r="M1568" s="10" t="str">
        <f>ROUND(Github!O$1410, 2)&amp;"%"</f>
        <v>82.84%</v>
      </c>
      <c r="N1568" s="10">
        <f>Github!P$1410</f>
        <v>37193</v>
      </c>
      <c r="O1568" s="10">
        <f>Github!Q$1410</f>
        <v>44896</v>
      </c>
    </row>
    <row r="1569">
      <c r="A1569" s="10">
        <f>Github!J$1488</f>
        <v>1487</v>
      </c>
      <c r="B1569" s="11" t="str">
        <f>HYPERLINK(CONCAT("http://leetcode.com/problems/",Github!C$1488), Github!B$1488)</f>
        <v>Making File Names Unique</v>
      </c>
      <c r="C1569" s="10">
        <f>Github!F$1488</f>
        <v>327</v>
      </c>
      <c r="D1569" s="10">
        <f>Github!G$1488</f>
        <v>512</v>
      </c>
      <c r="E1569" s="10">
        <f>Github!F$1488+Github!G$1488</f>
        <v>839</v>
      </c>
      <c r="F1569" s="12">
        <f t="shared" si="1"/>
        <v>0.64</v>
      </c>
      <c r="G1569" s="10" t="str">
        <f>Github!H$1488</f>
        <v>Algorithms</v>
      </c>
      <c r="H1569" s="13" t="str">
        <f>SUBSTITUTE(Github!L$1488, ";", ", ")</f>
        <v>Array, Hash Table, String, </v>
      </c>
      <c r="I1569" s="10" t="str">
        <f>Github!E$1488</f>
        <v>Medium</v>
      </c>
      <c r="J1569" s="10" t="str">
        <f>IF(TRIM(Github!D$1488)="TRUE","FALSE","TRUE")</f>
        <v>TRUE</v>
      </c>
      <c r="K1569" s="10" t="b">
        <f>Github!M$1488</f>
        <v>0</v>
      </c>
      <c r="L1569" s="10" t="b">
        <f>Github!N$1488</f>
        <v>0</v>
      </c>
      <c r="M1569" s="10" t="str">
        <f>ROUND(Github!O$1488, 2)&amp;"%"</f>
        <v>34.87%</v>
      </c>
      <c r="N1569" s="10">
        <f>Github!P$1488</f>
        <v>23167</v>
      </c>
      <c r="O1569" s="10">
        <f>Github!Q$1488</f>
        <v>66431</v>
      </c>
    </row>
    <row r="1570">
      <c r="A1570" s="10">
        <f>Github!J$2164</f>
        <v>2163</v>
      </c>
      <c r="B1570" s="11" t="str">
        <f>HYPERLINK(CONCAT("http://leetcode.com/problems/",Github!C$2164), Github!B$2164)</f>
        <v>Minimum Difference in Sums After Removal of Elements</v>
      </c>
      <c r="C1570" s="10">
        <f>Github!F$2164</f>
        <v>331</v>
      </c>
      <c r="D1570" s="10">
        <f>Github!G$2164</f>
        <v>5</v>
      </c>
      <c r="E1570" s="10">
        <f>Github!F$2164+Github!G$2164</f>
        <v>336</v>
      </c>
      <c r="F1570" s="12">
        <f t="shared" si="1"/>
        <v>66.2</v>
      </c>
      <c r="G1570" s="10" t="str">
        <f>Github!H$2164</f>
        <v>Algorithms</v>
      </c>
      <c r="H1570" s="13" t="str">
        <f>SUBSTITUTE(Github!L$2164, ";", ", ")</f>
        <v>Array, Dynamic Programming, Heap (Priority Queue), </v>
      </c>
      <c r="I1570" s="10" t="str">
        <f>Github!E$2164</f>
        <v>Hard</v>
      </c>
      <c r="J1570" s="10" t="str">
        <f>IF(TRIM(Github!D$2164)="TRUE","FALSE","TRUE")</f>
        <v>TRUE</v>
      </c>
      <c r="K1570" s="10" t="b">
        <f>Github!M$2164</f>
        <v>0</v>
      </c>
      <c r="L1570" s="10" t="b">
        <f>Github!N$2164</f>
        <v>0</v>
      </c>
      <c r="M1570" s="10" t="str">
        <f>ROUND(Github!O$2164, 2)&amp;"%"</f>
        <v>45.58%</v>
      </c>
      <c r="N1570" s="10">
        <f>Github!P$2164</f>
        <v>4664</v>
      </c>
      <c r="O1570" s="10">
        <f>Github!Q$2164</f>
        <v>10233</v>
      </c>
    </row>
    <row r="1571">
      <c r="A1571" s="10">
        <f>Github!J$1834</f>
        <v>1833</v>
      </c>
      <c r="B1571" s="11" t="str">
        <f>HYPERLINK(CONCAT("http://leetcode.com/problems/",Github!C$1834), Github!B$1834)</f>
        <v>Maximum Ice Cream Bars</v>
      </c>
      <c r="C1571" s="10">
        <f>Github!F$1834</f>
        <v>325</v>
      </c>
      <c r="D1571" s="10">
        <f>Github!G$1834</f>
        <v>138</v>
      </c>
      <c r="E1571" s="10">
        <f>Github!F$1834+Github!G$1834</f>
        <v>463</v>
      </c>
      <c r="F1571" s="12">
        <f t="shared" si="1"/>
        <v>2.36</v>
      </c>
      <c r="G1571" s="10" t="str">
        <f>Github!H$1834</f>
        <v>Algorithms</v>
      </c>
      <c r="H1571" s="13" t="str">
        <f>SUBSTITUTE(Github!L$1834, ";", ", ")</f>
        <v>Array, Greedy, Sorting, </v>
      </c>
      <c r="I1571" s="10" t="str">
        <f>Github!E$1834</f>
        <v>Medium</v>
      </c>
      <c r="J1571" s="10" t="str">
        <f>IF(TRIM(Github!D$1834)="TRUE","FALSE","TRUE")</f>
        <v>TRUE</v>
      </c>
      <c r="K1571" s="10" t="b">
        <f>Github!M$1834</f>
        <v>0</v>
      </c>
      <c r="L1571" s="10" t="b">
        <f>Github!N$1834</f>
        <v>0</v>
      </c>
      <c r="M1571" s="10" t="str">
        <f>ROUND(Github!O$1834, 2)&amp;"%"</f>
        <v>64.79%</v>
      </c>
      <c r="N1571" s="10">
        <f>Github!P$1834</f>
        <v>31507</v>
      </c>
      <c r="O1571" s="10">
        <f>Github!Q$1834</f>
        <v>48632</v>
      </c>
    </row>
    <row r="1572">
      <c r="A1572" s="10">
        <f>Github!J$2092</f>
        <v>2091</v>
      </c>
      <c r="B1572" s="11" t="str">
        <f>HYPERLINK(CONCAT("http://leetcode.com/problems/",Github!C$2092), Github!B$2092)</f>
        <v>Removing Minimum and Maximum From Array</v>
      </c>
      <c r="C1572" s="10">
        <f>Github!F$2092</f>
        <v>329</v>
      </c>
      <c r="D1572" s="10">
        <f>Github!G$2092</f>
        <v>16</v>
      </c>
      <c r="E1572" s="10">
        <f>Github!F$2092+Github!G$2092</f>
        <v>345</v>
      </c>
      <c r="F1572" s="12">
        <f t="shared" si="1"/>
        <v>20.56</v>
      </c>
      <c r="G1572" s="10" t="str">
        <f>Github!H$2092</f>
        <v>Algorithms</v>
      </c>
      <c r="H1572" s="13" t="str">
        <f>SUBSTITUTE(Github!L$2092, ";", ", ")</f>
        <v>Array, Greedy, </v>
      </c>
      <c r="I1572" s="10" t="str">
        <f>Github!E$2092</f>
        <v>Medium</v>
      </c>
      <c r="J1572" s="10" t="str">
        <f>IF(TRIM(Github!D$2092)="TRUE","FALSE","TRUE")</f>
        <v>TRUE</v>
      </c>
      <c r="K1572" s="10" t="b">
        <f>Github!M$2092</f>
        <v>0</v>
      </c>
      <c r="L1572" s="10" t="b">
        <f>Github!N$2092</f>
        <v>0</v>
      </c>
      <c r="M1572" s="10" t="str">
        <f>ROUND(Github!O$2092, 2)&amp;"%"</f>
        <v>57.46%</v>
      </c>
      <c r="N1572" s="10">
        <f>Github!P$2092</f>
        <v>16531</v>
      </c>
      <c r="O1572" s="10">
        <f>Github!Q$2092</f>
        <v>28768</v>
      </c>
    </row>
    <row r="1573">
      <c r="A1573" s="10">
        <f>Github!J$2051</f>
        <v>2050</v>
      </c>
      <c r="B1573" s="11" t="str">
        <f>HYPERLINK(CONCAT("http://leetcode.com/problems/",Github!C$2051), Github!B$2051)</f>
        <v>Parallel Courses III</v>
      </c>
      <c r="C1573" s="10">
        <f>Github!F$2051</f>
        <v>326</v>
      </c>
      <c r="D1573" s="10">
        <f>Github!G$2051</f>
        <v>10</v>
      </c>
      <c r="E1573" s="10">
        <f>Github!F$2051+Github!G$2051</f>
        <v>336</v>
      </c>
      <c r="F1573" s="12">
        <f t="shared" si="1"/>
        <v>32.6</v>
      </c>
      <c r="G1573" s="10" t="str">
        <f>Github!H$2051</f>
        <v>Algorithms</v>
      </c>
      <c r="H1573" s="13" t="str">
        <f>SUBSTITUTE(Github!L$2051, ";", ", ")</f>
        <v>Dynamic Programming, Graph, Topological Sort, </v>
      </c>
      <c r="I1573" s="10" t="str">
        <f>Github!E$2051</f>
        <v>Hard</v>
      </c>
      <c r="J1573" s="10" t="str">
        <f>IF(TRIM(Github!D$2051)="TRUE","FALSE","TRUE")</f>
        <v>TRUE</v>
      </c>
      <c r="K1573" s="10" t="b">
        <f>Github!M$2051</f>
        <v>0</v>
      </c>
      <c r="L1573" s="10" t="b">
        <f>Github!N$2051</f>
        <v>0</v>
      </c>
      <c r="M1573" s="10" t="str">
        <f>ROUND(Github!O$2051, 2)&amp;"%"</f>
        <v>59.56%</v>
      </c>
      <c r="N1573" s="10">
        <f>Github!P$2051</f>
        <v>9017</v>
      </c>
      <c r="O1573" s="10">
        <f>Github!Q$2051</f>
        <v>15139</v>
      </c>
    </row>
    <row r="1574">
      <c r="A1574" s="10">
        <f>Github!J$1302</f>
        <v>1301</v>
      </c>
      <c r="B1574" s="11" t="str">
        <f>HYPERLINK(CONCAT("http://leetcode.com/problems/",Github!C$1302), Github!B$1302)</f>
        <v>Number of Paths with Max Score</v>
      </c>
      <c r="C1574" s="10">
        <f>Github!F$1302</f>
        <v>323</v>
      </c>
      <c r="D1574" s="10">
        <f>Github!G$1302</f>
        <v>17</v>
      </c>
      <c r="E1574" s="10">
        <f>Github!F$1302+Github!G$1302</f>
        <v>340</v>
      </c>
      <c r="F1574" s="12">
        <f t="shared" si="1"/>
        <v>19</v>
      </c>
      <c r="G1574" s="10" t="str">
        <f>Github!H$1302</f>
        <v>Algorithms</v>
      </c>
      <c r="H1574" s="13" t="str">
        <f>SUBSTITUTE(Github!L$1302, ";", ", ")</f>
        <v>Array, Dynamic Programming, Matrix, </v>
      </c>
      <c r="I1574" s="10" t="str">
        <f>Github!E$1302</f>
        <v>Hard</v>
      </c>
      <c r="J1574" s="10" t="str">
        <f>IF(TRIM(Github!D$1302)="TRUE","FALSE","TRUE")</f>
        <v>TRUE</v>
      </c>
      <c r="K1574" s="10" t="b">
        <f>Github!M$1302</f>
        <v>0</v>
      </c>
      <c r="L1574" s="10" t="b">
        <f>Github!N$1302</f>
        <v>0</v>
      </c>
      <c r="M1574" s="10" t="str">
        <f>ROUND(Github!O$1302, 2)&amp;"%"</f>
        <v>38.81%</v>
      </c>
      <c r="N1574" s="10">
        <f>Github!P$1302</f>
        <v>9100</v>
      </c>
      <c r="O1574" s="10">
        <f>Github!Q$1302</f>
        <v>23445</v>
      </c>
    </row>
    <row r="1575">
      <c r="A1575" s="10">
        <f>Github!J$1881</f>
        <v>1880</v>
      </c>
      <c r="B1575" s="11" t="str">
        <f>HYPERLINK(CONCAT("http://leetcode.com/problems/",Github!C$1881), Github!B$1881)</f>
        <v>Check if Word Equals Summation of Two Words</v>
      </c>
      <c r="C1575" s="10">
        <f>Github!F$1881</f>
        <v>328</v>
      </c>
      <c r="D1575" s="10">
        <f>Github!G$1881</f>
        <v>20</v>
      </c>
      <c r="E1575" s="10">
        <f>Github!F$1881+Github!G$1881</f>
        <v>348</v>
      </c>
      <c r="F1575" s="12">
        <f t="shared" si="1"/>
        <v>16.4</v>
      </c>
      <c r="G1575" s="10" t="str">
        <f>Github!H$1881</f>
        <v>Algorithms</v>
      </c>
      <c r="H1575" s="13" t="str">
        <f>SUBSTITUTE(Github!L$1881, ";", ", ")</f>
        <v>String, </v>
      </c>
      <c r="I1575" s="10" t="str">
        <f>Github!E$1881</f>
        <v>Easy</v>
      </c>
      <c r="J1575" s="10" t="str">
        <f>IF(TRIM(Github!D$1881)="TRUE","FALSE","TRUE")</f>
        <v>TRUE</v>
      </c>
      <c r="K1575" s="10" t="b">
        <f>Github!M$1881</f>
        <v>0</v>
      </c>
      <c r="L1575" s="10" t="b">
        <f>Github!N$1881</f>
        <v>0</v>
      </c>
      <c r="M1575" s="10" t="str">
        <f>ROUND(Github!O$1881, 2)&amp;"%"</f>
        <v>73.17%</v>
      </c>
      <c r="N1575" s="10">
        <f>Github!P$1881</f>
        <v>39195</v>
      </c>
      <c r="O1575" s="10">
        <f>Github!Q$1881</f>
        <v>53567</v>
      </c>
    </row>
    <row r="1576">
      <c r="A1576" s="10">
        <f>Github!J$1596</f>
        <v>1595</v>
      </c>
      <c r="B1576" s="11" t="str">
        <f>HYPERLINK(CONCAT("http://leetcode.com/problems/",Github!C$1596), Github!B$1596)</f>
        <v>Minimum Cost to Connect Two Groups of Points</v>
      </c>
      <c r="C1576" s="10">
        <f>Github!F$1596</f>
        <v>326</v>
      </c>
      <c r="D1576" s="10">
        <f>Github!G$1596</f>
        <v>12</v>
      </c>
      <c r="E1576" s="10">
        <f>Github!F$1596+Github!G$1596</f>
        <v>338</v>
      </c>
      <c r="F1576" s="12">
        <f t="shared" si="1"/>
        <v>27.17</v>
      </c>
      <c r="G1576" s="10" t="str">
        <f>Github!H$1596</f>
        <v>Algorithms</v>
      </c>
      <c r="H1576" s="13" t="str">
        <f>SUBSTITUTE(Github!L$1596, ";", ", ")</f>
        <v>Array, Dynamic Programming, Bit Manipulation, Matrix, Bitmask, </v>
      </c>
      <c r="I1576" s="10" t="str">
        <f>Github!E$1596</f>
        <v>Hard</v>
      </c>
      <c r="J1576" s="10" t="str">
        <f>IF(TRIM(Github!D$1596)="TRUE","FALSE","TRUE")</f>
        <v>TRUE</v>
      </c>
      <c r="K1576" s="10" t="b">
        <f>Github!M$1596</f>
        <v>0</v>
      </c>
      <c r="L1576" s="10" t="b">
        <f>Github!N$1596</f>
        <v>0</v>
      </c>
      <c r="M1576" s="10" t="str">
        <f>ROUND(Github!O$1596, 2)&amp;"%"</f>
        <v>45.84%</v>
      </c>
      <c r="N1576" s="10">
        <f>Github!P$1596</f>
        <v>6238</v>
      </c>
      <c r="O1576" s="10">
        <f>Github!Q$1596</f>
        <v>13608</v>
      </c>
    </row>
    <row r="1577">
      <c r="A1577" s="10">
        <f>Github!J$1586</f>
        <v>1585</v>
      </c>
      <c r="B1577" s="11" t="str">
        <f>HYPERLINK(CONCAT("http://leetcode.com/problems/",Github!C$1586), Github!B$1586)</f>
        <v>Check If String Is Transformable With Substring Sort Operations</v>
      </c>
      <c r="C1577" s="10">
        <f>Github!F$1586</f>
        <v>324</v>
      </c>
      <c r="D1577" s="10">
        <f>Github!G$1586</f>
        <v>5</v>
      </c>
      <c r="E1577" s="10">
        <f>Github!F$1586+Github!G$1586</f>
        <v>329</v>
      </c>
      <c r="F1577" s="12">
        <f t="shared" si="1"/>
        <v>64.8</v>
      </c>
      <c r="G1577" s="10" t="str">
        <f>Github!H$1586</f>
        <v>Algorithms</v>
      </c>
      <c r="H1577" s="13" t="str">
        <f>SUBSTITUTE(Github!L$1586, ";", ", ")</f>
        <v>String, Greedy, Sorting, </v>
      </c>
      <c r="I1577" s="10" t="str">
        <f>Github!E$1586</f>
        <v>Hard</v>
      </c>
      <c r="J1577" s="10" t="str">
        <f>IF(TRIM(Github!D$1586)="TRUE","FALSE","TRUE")</f>
        <v>TRUE</v>
      </c>
      <c r="K1577" s="10" t="b">
        <f>Github!M$1586</f>
        <v>0</v>
      </c>
      <c r="L1577" s="10" t="b">
        <f>Github!N$1586</f>
        <v>0</v>
      </c>
      <c r="M1577" s="10" t="str">
        <f>ROUND(Github!O$1586, 2)&amp;"%"</f>
        <v>48.28%</v>
      </c>
      <c r="N1577" s="10">
        <f>Github!P$1586</f>
        <v>5921</v>
      </c>
      <c r="O1577" s="10">
        <f>Github!Q$1586</f>
        <v>12263</v>
      </c>
    </row>
    <row r="1578">
      <c r="A1578" s="10">
        <f>Github!J$2077</f>
        <v>2076</v>
      </c>
      <c r="B1578" s="11" t="str">
        <f>HYPERLINK(CONCAT("http://leetcode.com/problems/",Github!C$2077), Github!B$2077)</f>
        <v>Process Restricted Friend Requests</v>
      </c>
      <c r="C1578" s="10">
        <f>Github!F$2077</f>
        <v>333</v>
      </c>
      <c r="D1578" s="10">
        <f>Github!G$2077</f>
        <v>4</v>
      </c>
      <c r="E1578" s="10">
        <f>Github!F$2077+Github!G$2077</f>
        <v>337</v>
      </c>
      <c r="F1578" s="12">
        <f t="shared" si="1"/>
        <v>83.25</v>
      </c>
      <c r="G1578" s="10" t="str">
        <f>Github!H$2077</f>
        <v>Algorithms</v>
      </c>
      <c r="H1578" s="13" t="str">
        <f>SUBSTITUTE(Github!L$2077, ";", ", ")</f>
        <v>Union Find, Graph, </v>
      </c>
      <c r="I1578" s="10" t="str">
        <f>Github!E$2077</f>
        <v>Hard</v>
      </c>
      <c r="J1578" s="10" t="str">
        <f>IF(TRIM(Github!D$2077)="TRUE","FALSE","TRUE")</f>
        <v>TRUE</v>
      </c>
      <c r="K1578" s="10" t="b">
        <f>Github!M$2077</f>
        <v>0</v>
      </c>
      <c r="L1578" s="10" t="b">
        <f>Github!N$2077</f>
        <v>0</v>
      </c>
      <c r="M1578" s="10" t="str">
        <f>ROUND(Github!O$2077, 2)&amp;"%"</f>
        <v>53.98%</v>
      </c>
      <c r="N1578" s="10">
        <f>Github!P$2077</f>
        <v>9786</v>
      </c>
      <c r="O1578" s="10">
        <f>Github!Q$2077</f>
        <v>18130</v>
      </c>
    </row>
    <row r="1579">
      <c r="A1579" s="10">
        <f>Github!J$1254</f>
        <v>1253</v>
      </c>
      <c r="B1579" s="11" t="str">
        <f>HYPERLINK(CONCAT("http://leetcode.com/problems/",Github!C$1254), Github!B$1254)</f>
        <v>Reconstruct a 2-Row Binary Matrix</v>
      </c>
      <c r="C1579" s="10">
        <f>Github!F$1254</f>
        <v>323</v>
      </c>
      <c r="D1579" s="10">
        <f>Github!G$1254</f>
        <v>25</v>
      </c>
      <c r="E1579" s="10">
        <f>Github!F$1254+Github!G$1254</f>
        <v>348</v>
      </c>
      <c r="F1579" s="12">
        <f t="shared" si="1"/>
        <v>12.92</v>
      </c>
      <c r="G1579" s="10" t="str">
        <f>Github!H$1254</f>
        <v>Algorithms</v>
      </c>
      <c r="H1579" s="13" t="str">
        <f>SUBSTITUTE(Github!L$1254, ";", ", ")</f>
        <v>Array, Greedy, Matrix, </v>
      </c>
      <c r="I1579" s="10" t="str">
        <f>Github!E$1254</f>
        <v>Medium</v>
      </c>
      <c r="J1579" s="10" t="str">
        <f>IF(TRIM(Github!D$1254)="TRUE","FALSE","TRUE")</f>
        <v>TRUE</v>
      </c>
      <c r="K1579" s="10" t="b">
        <f>Github!M$1254</f>
        <v>0</v>
      </c>
      <c r="L1579" s="10" t="b">
        <f>Github!N$1254</f>
        <v>0</v>
      </c>
      <c r="M1579" s="10" t="str">
        <f>ROUND(Github!O$1254, 2)&amp;"%"</f>
        <v>43.27%</v>
      </c>
      <c r="N1579" s="10">
        <f>Github!P$1254</f>
        <v>19218</v>
      </c>
      <c r="O1579" s="10">
        <f>Github!Q$1254</f>
        <v>44414</v>
      </c>
    </row>
    <row r="1580">
      <c r="A1580" s="10">
        <f>Github!J$2196</f>
        <v>2195</v>
      </c>
      <c r="B1580" s="11" t="str">
        <f>HYPERLINK(CONCAT("http://leetcode.com/problems/",Github!C$2196), Github!B$2196)</f>
        <v>Append K Integers With Minimal Sum</v>
      </c>
      <c r="C1580" s="10">
        <f>Github!F$2196</f>
        <v>324</v>
      </c>
      <c r="D1580" s="10">
        <f>Github!G$2196</f>
        <v>224</v>
      </c>
      <c r="E1580" s="10">
        <f>Github!F$2196+Github!G$2196</f>
        <v>548</v>
      </c>
      <c r="F1580" s="12">
        <f t="shared" si="1"/>
        <v>1.45</v>
      </c>
      <c r="G1580" s="10" t="str">
        <f>Github!H$2196</f>
        <v>Algorithms</v>
      </c>
      <c r="H1580" s="13" t="str">
        <f>SUBSTITUTE(Github!L$2196, ";", ", ")</f>
        <v>Array, Math, Greedy, Sorting, </v>
      </c>
      <c r="I1580" s="10" t="str">
        <f>Github!E$2196</f>
        <v>Medium</v>
      </c>
      <c r="J1580" s="10" t="str">
        <f>IF(TRIM(Github!D$2196)="TRUE","FALSE","TRUE")</f>
        <v>TRUE</v>
      </c>
      <c r="K1580" s="10" t="b">
        <f>Github!M$2196</f>
        <v>0</v>
      </c>
      <c r="L1580" s="10" t="b">
        <f>Github!N$2196</f>
        <v>0</v>
      </c>
      <c r="M1580" s="10" t="str">
        <f>ROUND(Github!O$2196, 2)&amp;"%"</f>
        <v>22.91%</v>
      </c>
      <c r="N1580" s="10">
        <f>Github!P$2196</f>
        <v>15604</v>
      </c>
      <c r="O1580" s="10">
        <f>Github!Q$2196</f>
        <v>68115</v>
      </c>
    </row>
    <row r="1581">
      <c r="A1581" s="10">
        <f>Github!J$1079</f>
        <v>1078</v>
      </c>
      <c r="B1581" s="11" t="str">
        <f>HYPERLINK(CONCAT("http://leetcode.com/problems/",Github!C$1079), Github!B$1079)</f>
        <v>Occurrences After Bigram</v>
      </c>
      <c r="C1581" s="10">
        <f>Github!F$1079</f>
        <v>322</v>
      </c>
      <c r="D1581" s="10">
        <f>Github!G$1079</f>
        <v>289</v>
      </c>
      <c r="E1581" s="10">
        <f>Github!F$1079+Github!G$1079</f>
        <v>611</v>
      </c>
      <c r="F1581" s="12">
        <f t="shared" si="1"/>
        <v>1.11</v>
      </c>
      <c r="G1581" s="10" t="str">
        <f>Github!H$1079</f>
        <v>Algorithms</v>
      </c>
      <c r="H1581" s="13" t="str">
        <f>SUBSTITUTE(Github!L$1079, ";", ", ")</f>
        <v>String, </v>
      </c>
      <c r="I1581" s="10" t="str">
        <f>Github!E$1079</f>
        <v>Easy</v>
      </c>
      <c r="J1581" s="10" t="str">
        <f>IF(TRIM(Github!D$1079)="TRUE","FALSE","TRUE")</f>
        <v>TRUE</v>
      </c>
      <c r="K1581" s="10" t="b">
        <f>Github!M$1079</f>
        <v>0</v>
      </c>
      <c r="L1581" s="10" t="b">
        <f>Github!N$1079</f>
        <v>0</v>
      </c>
      <c r="M1581" s="10" t="str">
        <f>ROUND(Github!O$1079, 2)&amp;"%"</f>
        <v>64.2%</v>
      </c>
      <c r="N1581" s="10">
        <f>Github!P$1079</f>
        <v>51474</v>
      </c>
      <c r="O1581" s="10">
        <f>Github!Q$1079</f>
        <v>80181</v>
      </c>
    </row>
    <row r="1582">
      <c r="A1582" s="10">
        <f>Github!J$2081</f>
        <v>2080</v>
      </c>
      <c r="B1582" s="11" t="str">
        <f>HYPERLINK(CONCAT("http://leetcode.com/problems/",Github!C$2081), Github!B$2081)</f>
        <v>Range Frequency Queries</v>
      </c>
      <c r="C1582" s="10">
        <f>Github!F$2081</f>
        <v>321</v>
      </c>
      <c r="D1582" s="10">
        <f>Github!G$2081</f>
        <v>19</v>
      </c>
      <c r="E1582" s="10">
        <f>Github!F$2081+Github!G$2081</f>
        <v>340</v>
      </c>
      <c r="F1582" s="12">
        <f t="shared" si="1"/>
        <v>16.89</v>
      </c>
      <c r="G1582" s="10" t="str">
        <f>Github!H$2081</f>
        <v>Algorithms</v>
      </c>
      <c r="H1582" s="13" t="str">
        <f>SUBSTITUTE(Github!L$2081, ";", ", ")</f>
        <v>Array, Hash Table, Binary Search, Design, Segment Tree, </v>
      </c>
      <c r="I1582" s="10" t="str">
        <f>Github!E$2081</f>
        <v>Medium</v>
      </c>
      <c r="J1582" s="10" t="str">
        <f>IF(TRIM(Github!D$2081)="TRUE","FALSE","TRUE")</f>
        <v>TRUE</v>
      </c>
      <c r="K1582" s="10" t="b">
        <f>Github!M$2081</f>
        <v>0</v>
      </c>
      <c r="L1582" s="10" t="b">
        <f>Github!N$2081</f>
        <v>0</v>
      </c>
      <c r="M1582" s="10" t="str">
        <f>ROUND(Github!O$2081, 2)&amp;"%"</f>
        <v>36.52%</v>
      </c>
      <c r="N1582" s="10">
        <f>Github!P$2081</f>
        <v>10795</v>
      </c>
      <c r="O1582" s="10">
        <f>Github!Q$2081</f>
        <v>29562</v>
      </c>
    </row>
    <row r="1583">
      <c r="A1583" s="10">
        <f>Github!J$1998</f>
        <v>1997</v>
      </c>
      <c r="B1583" s="11" t="str">
        <f>HYPERLINK(CONCAT("http://leetcode.com/problems/",Github!C$1998), Github!B$1998)</f>
        <v>First Day Where You Have Been in All the Rooms</v>
      </c>
      <c r="C1583" s="10">
        <f>Github!F$1998</f>
        <v>322</v>
      </c>
      <c r="D1583" s="10">
        <f>Github!G$1998</f>
        <v>55</v>
      </c>
      <c r="E1583" s="10">
        <f>Github!F$1998+Github!G$1998</f>
        <v>377</v>
      </c>
      <c r="F1583" s="12">
        <f t="shared" si="1"/>
        <v>5.85</v>
      </c>
      <c r="G1583" s="10" t="str">
        <f>Github!H$1998</f>
        <v>Algorithms</v>
      </c>
      <c r="H1583" s="13" t="str">
        <f>SUBSTITUTE(Github!L$1998, ";", ", ")</f>
        <v>Array, Dynamic Programming, </v>
      </c>
      <c r="I1583" s="10" t="str">
        <f>Github!E$1998</f>
        <v>Medium</v>
      </c>
      <c r="J1583" s="10" t="str">
        <f>IF(TRIM(Github!D$1998)="TRUE","FALSE","TRUE")</f>
        <v>TRUE</v>
      </c>
      <c r="K1583" s="10" t="b">
        <f>Github!M$1998</f>
        <v>0</v>
      </c>
      <c r="L1583" s="10" t="b">
        <f>Github!N$1998</f>
        <v>0</v>
      </c>
      <c r="M1583" s="10" t="str">
        <f>ROUND(Github!O$1998, 2)&amp;"%"</f>
        <v>35.32%</v>
      </c>
      <c r="N1583" s="10">
        <f>Github!P$1998</f>
        <v>5675</v>
      </c>
      <c r="O1583" s="10">
        <f>Github!Q$1998</f>
        <v>16066</v>
      </c>
    </row>
    <row r="1584">
      <c r="A1584" s="10">
        <f>Github!J$1923</f>
        <v>1922</v>
      </c>
      <c r="B1584" s="11" t="str">
        <f>HYPERLINK(CONCAT("http://leetcode.com/problems/",Github!C$1923), Github!B$1923)</f>
        <v>Count Good Numbers</v>
      </c>
      <c r="C1584" s="10">
        <f>Github!F$1923</f>
        <v>320</v>
      </c>
      <c r="D1584" s="10">
        <f>Github!G$1923</f>
        <v>219</v>
      </c>
      <c r="E1584" s="10">
        <f>Github!F$1923+Github!G$1923</f>
        <v>539</v>
      </c>
      <c r="F1584" s="12">
        <f t="shared" si="1"/>
        <v>1.46</v>
      </c>
      <c r="G1584" s="10" t="str">
        <f>Github!H$1923</f>
        <v>Algorithms</v>
      </c>
      <c r="H1584" s="13" t="str">
        <f>SUBSTITUTE(Github!L$1923, ";", ", ")</f>
        <v>Math, Recursion, </v>
      </c>
      <c r="I1584" s="10" t="str">
        <f>Github!E$1923</f>
        <v>Medium</v>
      </c>
      <c r="J1584" s="10" t="str">
        <f>IF(TRIM(Github!D$1923)="TRUE","FALSE","TRUE")</f>
        <v>TRUE</v>
      </c>
      <c r="K1584" s="10" t="b">
        <f>Github!M$1923</f>
        <v>0</v>
      </c>
      <c r="L1584" s="10" t="b">
        <f>Github!N$1923</f>
        <v>0</v>
      </c>
      <c r="M1584" s="10" t="str">
        <f>ROUND(Github!O$1923, 2)&amp;"%"</f>
        <v>38.24%</v>
      </c>
      <c r="N1584" s="10">
        <f>Github!P$1923</f>
        <v>15041</v>
      </c>
      <c r="O1584" s="10">
        <f>Github!Q$1923</f>
        <v>39335</v>
      </c>
    </row>
    <row r="1585">
      <c r="A1585" s="10">
        <f>Github!J$2189</f>
        <v>2188</v>
      </c>
      <c r="B1585" s="11" t="str">
        <f>HYPERLINK(CONCAT("http://leetcode.com/problems/",Github!C$2189), Github!B$2189)</f>
        <v>Minimum Time to Finish the Race</v>
      </c>
      <c r="C1585" s="10">
        <f>Github!F$2189</f>
        <v>321</v>
      </c>
      <c r="D1585" s="10">
        <f>Github!G$2189</f>
        <v>12</v>
      </c>
      <c r="E1585" s="10">
        <f>Github!F$2189+Github!G$2189</f>
        <v>333</v>
      </c>
      <c r="F1585" s="12">
        <f t="shared" si="1"/>
        <v>26.75</v>
      </c>
      <c r="G1585" s="10" t="str">
        <f>Github!H$2189</f>
        <v>Algorithms</v>
      </c>
      <c r="H1585" s="13" t="str">
        <f>SUBSTITUTE(Github!L$2189, ";", ", ")</f>
        <v>Array, Dynamic Programming, </v>
      </c>
      <c r="I1585" s="10" t="str">
        <f>Github!E$2189</f>
        <v>Hard</v>
      </c>
      <c r="J1585" s="10" t="str">
        <f>IF(TRIM(Github!D$2189)="TRUE","FALSE","TRUE")</f>
        <v>TRUE</v>
      </c>
      <c r="K1585" s="10" t="b">
        <f>Github!M$2189</f>
        <v>0</v>
      </c>
      <c r="L1585" s="10" t="b">
        <f>Github!N$2189</f>
        <v>0</v>
      </c>
      <c r="M1585" s="10" t="str">
        <f>ROUND(Github!O$2189, 2)&amp;"%"</f>
        <v>40.46%</v>
      </c>
      <c r="N1585" s="10">
        <f>Github!P$2189</f>
        <v>5856</v>
      </c>
      <c r="O1585" s="10">
        <f>Github!Q$2189</f>
        <v>14473</v>
      </c>
    </row>
    <row r="1586">
      <c r="A1586" s="10">
        <f>Github!J$1173</f>
        <v>1172</v>
      </c>
      <c r="B1586" s="11" t="str">
        <f>HYPERLINK(CONCAT("http://leetcode.com/problems/",Github!C$1173), Github!B$1173)</f>
        <v>Dinner Plate Stacks</v>
      </c>
      <c r="C1586" s="10">
        <f>Github!F$1173</f>
        <v>318</v>
      </c>
      <c r="D1586" s="10">
        <f>Github!G$1173</f>
        <v>49</v>
      </c>
      <c r="E1586" s="10">
        <f>Github!F$1173+Github!G$1173</f>
        <v>367</v>
      </c>
      <c r="F1586" s="12">
        <f t="shared" si="1"/>
        <v>6.49</v>
      </c>
      <c r="G1586" s="10" t="str">
        <f>Github!H$1173</f>
        <v>Algorithms</v>
      </c>
      <c r="H1586" s="13" t="str">
        <f>SUBSTITUTE(Github!L$1173, ";", ", ")</f>
        <v>Hash Table, Stack, Design, Heap (Priority Queue), </v>
      </c>
      <c r="I1586" s="10" t="str">
        <f>Github!E$1173</f>
        <v>Hard</v>
      </c>
      <c r="J1586" s="10" t="str">
        <f>IF(TRIM(Github!D$1173)="TRUE","FALSE","TRUE")</f>
        <v>TRUE</v>
      </c>
      <c r="K1586" s="10" t="b">
        <f>Github!M$1173</f>
        <v>0</v>
      </c>
      <c r="L1586" s="10" t="b">
        <f>Github!N$1173</f>
        <v>0</v>
      </c>
      <c r="M1586" s="10" t="str">
        <f>ROUND(Github!O$1173, 2)&amp;"%"</f>
        <v>34.33%</v>
      </c>
      <c r="N1586" s="10">
        <f>Github!P$1173</f>
        <v>13607</v>
      </c>
      <c r="O1586" s="10">
        <f>Github!Q$1173</f>
        <v>39637</v>
      </c>
    </row>
    <row r="1587">
      <c r="A1587" s="10">
        <f>Github!J$1622</f>
        <v>1621</v>
      </c>
      <c r="B1587" s="11" t="str">
        <f>HYPERLINK(CONCAT("http://leetcode.com/problems/",Github!C$1622), Github!B$1622)</f>
        <v>Number of Sets of K Non-Overlapping Line Segments</v>
      </c>
      <c r="C1587" s="10">
        <f>Github!F$1622</f>
        <v>319</v>
      </c>
      <c r="D1587" s="10">
        <f>Github!G$1622</f>
        <v>35</v>
      </c>
      <c r="E1587" s="10">
        <f>Github!F$1622+Github!G$1622</f>
        <v>354</v>
      </c>
      <c r="F1587" s="12">
        <f t="shared" si="1"/>
        <v>9.11</v>
      </c>
      <c r="G1587" s="10" t="str">
        <f>Github!H$1622</f>
        <v>Algorithms</v>
      </c>
      <c r="H1587" s="13" t="str">
        <f>SUBSTITUTE(Github!L$1622, ";", ", ")</f>
        <v>Math, Dynamic Programming, </v>
      </c>
      <c r="I1587" s="10" t="str">
        <f>Github!E$1622</f>
        <v>Medium</v>
      </c>
      <c r="J1587" s="10" t="str">
        <f>IF(TRIM(Github!D$1622)="TRUE","FALSE","TRUE")</f>
        <v>TRUE</v>
      </c>
      <c r="K1587" s="10" t="b">
        <f>Github!M$1622</f>
        <v>0</v>
      </c>
      <c r="L1587" s="10" t="b">
        <f>Github!N$1622</f>
        <v>0</v>
      </c>
      <c r="M1587" s="10" t="str">
        <f>ROUND(Github!O$1622, 2)&amp;"%"</f>
        <v>42.46%</v>
      </c>
      <c r="N1587" s="10">
        <f>Github!P$1622</f>
        <v>6707</v>
      </c>
      <c r="O1587" s="10">
        <f>Github!Q$1622</f>
        <v>15795</v>
      </c>
    </row>
    <row r="1588">
      <c r="A1588" s="10">
        <f>Github!J$1806</f>
        <v>1805</v>
      </c>
      <c r="B1588" s="11" t="str">
        <f>HYPERLINK(CONCAT("http://leetcode.com/problems/",Github!C$1806), Github!B$1806)</f>
        <v>Number of Different Integers in a String</v>
      </c>
      <c r="C1588" s="10">
        <f>Github!F$1806</f>
        <v>317</v>
      </c>
      <c r="D1588" s="10">
        <f>Github!G$1806</f>
        <v>57</v>
      </c>
      <c r="E1588" s="10">
        <f>Github!F$1806+Github!G$1806</f>
        <v>374</v>
      </c>
      <c r="F1588" s="12">
        <f t="shared" si="1"/>
        <v>5.56</v>
      </c>
      <c r="G1588" s="10" t="str">
        <f>Github!H$1806</f>
        <v>Algorithms</v>
      </c>
      <c r="H1588" s="13" t="str">
        <f>SUBSTITUTE(Github!L$1806, ";", ", ")</f>
        <v>Hash Table, String, </v>
      </c>
      <c r="I1588" s="10" t="str">
        <f>Github!E$1806</f>
        <v>Easy</v>
      </c>
      <c r="J1588" s="10" t="str">
        <f>IF(TRIM(Github!D$1806)="TRUE","FALSE","TRUE")</f>
        <v>TRUE</v>
      </c>
      <c r="K1588" s="10" t="b">
        <f>Github!M$1806</f>
        <v>0</v>
      </c>
      <c r="L1588" s="10" t="b">
        <f>Github!N$1806</f>
        <v>0</v>
      </c>
      <c r="M1588" s="10" t="str">
        <f>ROUND(Github!O$1806, 2)&amp;"%"</f>
        <v>35.65%</v>
      </c>
      <c r="N1588" s="10">
        <f>Github!P$1806</f>
        <v>25656</v>
      </c>
      <c r="O1588" s="10">
        <f>Github!Q$1806</f>
        <v>71976</v>
      </c>
    </row>
    <row r="1589">
      <c r="A1589" s="10">
        <f>Github!J$867</f>
        <v>866</v>
      </c>
      <c r="B1589" s="11" t="str">
        <f>HYPERLINK(CONCAT("http://leetcode.com/problems/",Github!C$867), Github!B$867)</f>
        <v>Prime Palindrome</v>
      </c>
      <c r="C1589" s="10">
        <f>Github!F$867</f>
        <v>316</v>
      </c>
      <c r="D1589" s="10">
        <f>Github!G$867</f>
        <v>704</v>
      </c>
      <c r="E1589" s="10">
        <f>Github!F$867+Github!G$867</f>
        <v>1020</v>
      </c>
      <c r="F1589" s="12">
        <f t="shared" si="1"/>
        <v>0.45</v>
      </c>
      <c r="G1589" s="10" t="str">
        <f>Github!H$867</f>
        <v>Algorithms</v>
      </c>
      <c r="H1589" s="13" t="str">
        <f>SUBSTITUTE(Github!L$867, ";", ", ")</f>
        <v>Math, </v>
      </c>
      <c r="I1589" s="10" t="str">
        <f>Github!E$867</f>
        <v>Medium</v>
      </c>
      <c r="J1589" s="10" t="str">
        <f>IF(TRIM(Github!D$867)="TRUE","FALSE","TRUE")</f>
        <v>TRUE</v>
      </c>
      <c r="K1589" s="10" t="b">
        <f>Github!M$867</f>
        <v>1</v>
      </c>
      <c r="L1589" s="10" t="b">
        <f>Github!N$867</f>
        <v>0</v>
      </c>
      <c r="M1589" s="10" t="str">
        <f>ROUND(Github!O$867, 2)&amp;"%"</f>
        <v>25.9%</v>
      </c>
      <c r="N1589" s="10">
        <f>Github!P$867</f>
        <v>25561</v>
      </c>
      <c r="O1589" s="10">
        <f>Github!Q$867</f>
        <v>98683</v>
      </c>
    </row>
    <row r="1590">
      <c r="A1590" s="10">
        <f>Github!J$1628</f>
        <v>1627</v>
      </c>
      <c r="B1590" s="11" t="str">
        <f>HYPERLINK(CONCAT("http://leetcode.com/problems/",Github!C$1628), Github!B$1628)</f>
        <v>Graph Connectivity With Threshold</v>
      </c>
      <c r="C1590" s="10">
        <f>Github!F$1628</f>
        <v>317</v>
      </c>
      <c r="D1590" s="10">
        <f>Github!G$1628</f>
        <v>23</v>
      </c>
      <c r="E1590" s="10">
        <f>Github!F$1628+Github!G$1628</f>
        <v>340</v>
      </c>
      <c r="F1590" s="12">
        <f t="shared" si="1"/>
        <v>13.78</v>
      </c>
      <c r="G1590" s="10" t="str">
        <f>Github!H$1628</f>
        <v>Algorithms</v>
      </c>
      <c r="H1590" s="13" t="str">
        <f>SUBSTITUTE(Github!L$1628, ";", ", ")</f>
        <v>Array, Math, Union Find, </v>
      </c>
      <c r="I1590" s="10" t="str">
        <f>Github!E$1628</f>
        <v>Hard</v>
      </c>
      <c r="J1590" s="10" t="str">
        <f>IF(TRIM(Github!D$1628)="TRUE","FALSE","TRUE")</f>
        <v>TRUE</v>
      </c>
      <c r="K1590" s="10" t="b">
        <f>Github!M$1628</f>
        <v>0</v>
      </c>
      <c r="L1590" s="10" t="b">
        <f>Github!N$1628</f>
        <v>0</v>
      </c>
      <c r="M1590" s="10" t="str">
        <f>ROUND(Github!O$1628, 2)&amp;"%"</f>
        <v>44.6%</v>
      </c>
      <c r="N1590" s="10">
        <f>Github!P$1628</f>
        <v>10351</v>
      </c>
      <c r="O1590" s="10">
        <f>Github!Q$1628</f>
        <v>23209</v>
      </c>
    </row>
    <row r="1591">
      <c r="A1591" s="10">
        <f>Github!J$2046</f>
        <v>2045</v>
      </c>
      <c r="B1591" s="11" t="str">
        <f>HYPERLINK(CONCAT("http://leetcode.com/problems/",Github!C$2046), Github!B$2046)</f>
        <v>Second Minimum Time to Reach Destination</v>
      </c>
      <c r="C1591" s="10">
        <f>Github!F$2046</f>
        <v>317</v>
      </c>
      <c r="D1591" s="10">
        <f>Github!G$2046</f>
        <v>6</v>
      </c>
      <c r="E1591" s="10">
        <f>Github!F$2046+Github!G$2046</f>
        <v>323</v>
      </c>
      <c r="F1591" s="12">
        <f t="shared" si="1"/>
        <v>52.83</v>
      </c>
      <c r="G1591" s="10" t="str">
        <f>Github!H$2046</f>
        <v>Algorithms</v>
      </c>
      <c r="H1591" s="13" t="str">
        <f>SUBSTITUTE(Github!L$2046, ";", ", ")</f>
        <v>Breadth-First Search, Graph, Shortest Path, </v>
      </c>
      <c r="I1591" s="10" t="str">
        <f>Github!E$2046</f>
        <v>Hard</v>
      </c>
      <c r="J1591" s="10" t="str">
        <f>IF(TRIM(Github!D$2046)="TRUE","FALSE","TRUE")</f>
        <v>TRUE</v>
      </c>
      <c r="K1591" s="10" t="b">
        <f>Github!M$2046</f>
        <v>0</v>
      </c>
      <c r="L1591" s="10" t="b">
        <f>Github!N$2046</f>
        <v>0</v>
      </c>
      <c r="M1591" s="10" t="str">
        <f>ROUND(Github!O$2046, 2)&amp;"%"</f>
        <v>36.71%</v>
      </c>
      <c r="N1591" s="10">
        <f>Github!P$2046</f>
        <v>5904</v>
      </c>
      <c r="O1591" s="10">
        <f>Github!Q$2046</f>
        <v>16081</v>
      </c>
    </row>
    <row r="1592">
      <c r="A1592" s="10">
        <f>Github!J$1703</f>
        <v>1702</v>
      </c>
      <c r="B1592" s="11" t="str">
        <f>HYPERLINK(CONCAT("http://leetcode.com/problems/",Github!C$1703), Github!B$1703)</f>
        <v>Maximum Binary String After Change</v>
      </c>
      <c r="C1592" s="10">
        <f>Github!F$1703</f>
        <v>317</v>
      </c>
      <c r="D1592" s="10">
        <f>Github!G$1703</f>
        <v>37</v>
      </c>
      <c r="E1592" s="10">
        <f>Github!F$1703+Github!G$1703</f>
        <v>354</v>
      </c>
      <c r="F1592" s="12">
        <f t="shared" si="1"/>
        <v>8.57</v>
      </c>
      <c r="G1592" s="10" t="str">
        <f>Github!H$1703</f>
        <v>Algorithms</v>
      </c>
      <c r="H1592" s="13" t="str">
        <f>SUBSTITUTE(Github!L$1703, ";", ", ")</f>
        <v>String, Greedy, </v>
      </c>
      <c r="I1592" s="10" t="str">
        <f>Github!E$1703</f>
        <v>Medium</v>
      </c>
      <c r="J1592" s="10" t="str">
        <f>IF(TRIM(Github!D$1703)="TRUE","FALSE","TRUE")</f>
        <v>TRUE</v>
      </c>
      <c r="K1592" s="10" t="b">
        <f>Github!M$1703</f>
        <v>0</v>
      </c>
      <c r="L1592" s="10" t="b">
        <f>Github!N$1703</f>
        <v>0</v>
      </c>
      <c r="M1592" s="10" t="str">
        <f>ROUND(Github!O$1703, 2)&amp;"%"</f>
        <v>45.27%</v>
      </c>
      <c r="N1592" s="10">
        <f>Github!P$1703</f>
        <v>8514</v>
      </c>
      <c r="O1592" s="10">
        <f>Github!Q$1703</f>
        <v>18808</v>
      </c>
    </row>
    <row r="1593">
      <c r="A1593" s="10">
        <f>Github!J$2134</f>
        <v>2133</v>
      </c>
      <c r="B1593" s="11" t="str">
        <f>HYPERLINK(CONCAT("http://leetcode.com/problems/",Github!C$2134), Github!B$2134)</f>
        <v>Check if Every Row and Column Contains All Numbers</v>
      </c>
      <c r="C1593" s="10">
        <f>Github!F$2134</f>
        <v>325</v>
      </c>
      <c r="D1593" s="10">
        <f>Github!G$2134</f>
        <v>20</v>
      </c>
      <c r="E1593" s="10">
        <f>Github!F$2134+Github!G$2134</f>
        <v>345</v>
      </c>
      <c r="F1593" s="12">
        <f t="shared" si="1"/>
        <v>16.25</v>
      </c>
      <c r="G1593" s="10" t="str">
        <f>Github!H$2134</f>
        <v>Algorithms</v>
      </c>
      <c r="H1593" s="13" t="str">
        <f>SUBSTITUTE(Github!L$2134, ";", ", ")</f>
        <v>Array, Hash Table, Matrix, </v>
      </c>
      <c r="I1593" s="10" t="str">
        <f>Github!E$2134</f>
        <v>Easy</v>
      </c>
      <c r="J1593" s="10" t="str">
        <f>IF(TRIM(Github!D$2134)="TRUE","FALSE","TRUE")</f>
        <v>TRUE</v>
      </c>
      <c r="K1593" s="10" t="b">
        <f>Github!M$2134</f>
        <v>0</v>
      </c>
      <c r="L1593" s="10" t="b">
        <f>Github!N$2134</f>
        <v>0</v>
      </c>
      <c r="M1593" s="10" t="str">
        <f>ROUND(Github!O$2134, 2)&amp;"%"</f>
        <v>52.26%</v>
      </c>
      <c r="N1593" s="10">
        <f>Github!P$2134</f>
        <v>26883</v>
      </c>
      <c r="O1593" s="10">
        <f>Github!Q$2134</f>
        <v>51440</v>
      </c>
    </row>
    <row r="1594">
      <c r="A1594" s="10">
        <f>Github!J$749</f>
        <v>748</v>
      </c>
      <c r="B1594" s="11" t="str">
        <f>HYPERLINK(CONCAT("http://leetcode.com/problems/",Github!C$749), Github!B$749)</f>
        <v>Shortest Completing Word</v>
      </c>
      <c r="C1594" s="10">
        <f>Github!F$749</f>
        <v>316</v>
      </c>
      <c r="D1594" s="10">
        <f>Github!G$749</f>
        <v>857</v>
      </c>
      <c r="E1594" s="10">
        <f>Github!F$749+Github!G$749</f>
        <v>1173</v>
      </c>
      <c r="F1594" s="12">
        <f t="shared" si="1"/>
        <v>0.37</v>
      </c>
      <c r="G1594" s="10" t="str">
        <f>Github!H$749</f>
        <v>Algorithms</v>
      </c>
      <c r="H1594" s="13" t="str">
        <f>SUBSTITUTE(Github!L$749, ";", ", ")</f>
        <v>Array, Hash Table, String, </v>
      </c>
      <c r="I1594" s="10" t="str">
        <f>Github!E$749</f>
        <v>Easy</v>
      </c>
      <c r="J1594" s="10" t="str">
        <f>IF(TRIM(Github!D$749)="TRUE","FALSE","TRUE")</f>
        <v>TRUE</v>
      </c>
      <c r="K1594" s="10" t="b">
        <f>Github!M$749</f>
        <v>0</v>
      </c>
      <c r="L1594" s="10" t="b">
        <f>Github!N$749</f>
        <v>0</v>
      </c>
      <c r="M1594" s="10" t="str">
        <f>ROUND(Github!O$749, 2)&amp;"%"</f>
        <v>58.9%</v>
      </c>
      <c r="N1594" s="10">
        <f>Github!P$749</f>
        <v>49823</v>
      </c>
      <c r="O1594" s="10">
        <f>Github!Q$749</f>
        <v>84584</v>
      </c>
    </row>
    <row r="1595">
      <c r="A1595" s="10">
        <f>Github!J$2101</f>
        <v>2100</v>
      </c>
      <c r="B1595" s="11" t="str">
        <f>HYPERLINK(CONCAT("http://leetcode.com/problems/",Github!C$2101), Github!B$2101)</f>
        <v>Find Good Days to Rob the Bank</v>
      </c>
      <c r="C1595" s="10">
        <f>Github!F$2101</f>
        <v>322</v>
      </c>
      <c r="D1595" s="10">
        <f>Github!G$2101</f>
        <v>15</v>
      </c>
      <c r="E1595" s="10">
        <f>Github!F$2101+Github!G$2101</f>
        <v>337</v>
      </c>
      <c r="F1595" s="12">
        <f t="shared" si="1"/>
        <v>21.47</v>
      </c>
      <c r="G1595" s="10" t="str">
        <f>Github!H$2101</f>
        <v>Algorithms</v>
      </c>
      <c r="H1595" s="13" t="str">
        <f>SUBSTITUTE(Github!L$2101, ";", ", ")</f>
        <v>Array, Dynamic Programming, Prefix Sum, </v>
      </c>
      <c r="I1595" s="10" t="str">
        <f>Github!E$2101</f>
        <v>Medium</v>
      </c>
      <c r="J1595" s="10" t="str">
        <f>IF(TRIM(Github!D$2101)="TRUE","FALSE","TRUE")</f>
        <v>TRUE</v>
      </c>
      <c r="K1595" s="10" t="b">
        <f>Github!M$2101</f>
        <v>0</v>
      </c>
      <c r="L1595" s="10" t="b">
        <f>Github!N$2101</f>
        <v>0</v>
      </c>
      <c r="M1595" s="10" t="str">
        <f>ROUND(Github!O$2101, 2)&amp;"%"</f>
        <v>46.59%</v>
      </c>
      <c r="N1595" s="10">
        <f>Github!P$2101</f>
        <v>9668</v>
      </c>
      <c r="O1595" s="10">
        <f>Github!Q$2101</f>
        <v>20752</v>
      </c>
    </row>
    <row r="1596">
      <c r="A1596" s="10">
        <f>Github!J$1848</f>
        <v>1847</v>
      </c>
      <c r="B1596" s="11" t="str">
        <f>HYPERLINK(CONCAT("http://leetcode.com/problems/",Github!C$1848), Github!B$1848)</f>
        <v>Closest Room</v>
      </c>
      <c r="C1596" s="10">
        <f>Github!F$1848</f>
        <v>315</v>
      </c>
      <c r="D1596" s="10">
        <f>Github!G$1848</f>
        <v>13</v>
      </c>
      <c r="E1596" s="10">
        <f>Github!F$1848+Github!G$1848</f>
        <v>328</v>
      </c>
      <c r="F1596" s="12">
        <f t="shared" si="1"/>
        <v>24.23</v>
      </c>
      <c r="G1596" s="10" t="str">
        <f>Github!H$1848</f>
        <v>Algorithms</v>
      </c>
      <c r="H1596" s="13" t="str">
        <f>SUBSTITUTE(Github!L$1848, ";", ", ")</f>
        <v>Array, Binary Search, Sorting, </v>
      </c>
      <c r="I1596" s="10" t="str">
        <f>Github!E$1848</f>
        <v>Hard</v>
      </c>
      <c r="J1596" s="10" t="str">
        <f>IF(TRIM(Github!D$1848)="TRUE","FALSE","TRUE")</f>
        <v>TRUE</v>
      </c>
      <c r="K1596" s="10" t="b">
        <f>Github!M$1848</f>
        <v>0</v>
      </c>
      <c r="L1596" s="10" t="b">
        <f>Github!N$1848</f>
        <v>0</v>
      </c>
      <c r="M1596" s="10" t="str">
        <f>ROUND(Github!O$1848, 2)&amp;"%"</f>
        <v>33.32%</v>
      </c>
      <c r="N1596" s="10">
        <f>Github!P$1848</f>
        <v>5412</v>
      </c>
      <c r="O1596" s="10">
        <f>Github!Q$1848</f>
        <v>16241</v>
      </c>
    </row>
    <row r="1597">
      <c r="A1597" s="10">
        <f>Github!J$1153</f>
        <v>1152</v>
      </c>
      <c r="B1597" s="11" t="str">
        <f>HYPERLINK(CONCAT("http://leetcode.com/problems/",Github!C$1153), Github!B$1153)</f>
        <v>Analyze User Website Visit Pattern</v>
      </c>
      <c r="C1597" s="10">
        <f>Github!F$1153</f>
        <v>320</v>
      </c>
      <c r="D1597" s="10">
        <f>Github!G$1153</f>
        <v>2689</v>
      </c>
      <c r="E1597" s="10">
        <f>Github!F$1153+Github!G$1153</f>
        <v>3009</v>
      </c>
      <c r="F1597" s="12">
        <f t="shared" si="1"/>
        <v>0.12</v>
      </c>
      <c r="G1597" s="10" t="str">
        <f>Github!H$1153</f>
        <v>Algorithms</v>
      </c>
      <c r="H1597" s="13" t="str">
        <f>SUBSTITUTE(Github!L$1153, ";", ", ")</f>
        <v>Array, Hash Table, Sorting, </v>
      </c>
      <c r="I1597" s="10" t="str">
        <f>Github!E$1153</f>
        <v>Medium</v>
      </c>
      <c r="J1597" s="10" t="str">
        <f>IF(TRIM(Github!D$1153)="TRUE","FALSE","TRUE")</f>
        <v>FALSE</v>
      </c>
      <c r="K1597" s="10" t="b">
        <f>Github!M$1153</f>
        <v>0</v>
      </c>
      <c r="L1597" s="10" t="b">
        <f>Github!N$1153</f>
        <v>0</v>
      </c>
      <c r="M1597" s="10" t="str">
        <f>ROUND(Github!O$1153, 2)&amp;"%"</f>
        <v>43.42%</v>
      </c>
      <c r="N1597" s="10">
        <f>Github!P$1153</f>
        <v>62051</v>
      </c>
      <c r="O1597" s="10">
        <f>Github!Q$1153</f>
        <v>142922</v>
      </c>
    </row>
    <row r="1598">
      <c r="A1598" s="10">
        <f>Github!J$1928</f>
        <v>1927</v>
      </c>
      <c r="B1598" s="11" t="str">
        <f>HYPERLINK(CONCAT("http://leetcode.com/problems/",Github!C$1928), Github!B$1928)</f>
        <v>Sum Game</v>
      </c>
      <c r="C1598" s="10">
        <f>Github!F$1928</f>
        <v>313</v>
      </c>
      <c r="D1598" s="10">
        <f>Github!G$1928</f>
        <v>45</v>
      </c>
      <c r="E1598" s="10">
        <f>Github!F$1928+Github!G$1928</f>
        <v>358</v>
      </c>
      <c r="F1598" s="12">
        <f t="shared" si="1"/>
        <v>6.96</v>
      </c>
      <c r="G1598" s="10" t="str">
        <f>Github!H$1928</f>
        <v>Algorithms</v>
      </c>
      <c r="H1598" s="13" t="str">
        <f>SUBSTITUTE(Github!L$1928, ";", ", ")</f>
        <v>Math, Greedy, Game Theory, </v>
      </c>
      <c r="I1598" s="10" t="str">
        <f>Github!E$1928</f>
        <v>Medium</v>
      </c>
      <c r="J1598" s="10" t="str">
        <f>IF(TRIM(Github!D$1928)="TRUE","FALSE","TRUE")</f>
        <v>TRUE</v>
      </c>
      <c r="K1598" s="10" t="b">
        <f>Github!M$1928</f>
        <v>0</v>
      </c>
      <c r="L1598" s="10" t="b">
        <f>Github!N$1928</f>
        <v>0</v>
      </c>
      <c r="M1598" s="10" t="str">
        <f>ROUND(Github!O$1928, 2)&amp;"%"</f>
        <v>47.3%</v>
      </c>
      <c r="N1598" s="10">
        <f>Github!P$1928</f>
        <v>6555</v>
      </c>
      <c r="O1598" s="10">
        <f>Github!Q$1928</f>
        <v>13859</v>
      </c>
    </row>
    <row r="1599">
      <c r="A1599" s="10">
        <f>Github!J$1607</f>
        <v>1606</v>
      </c>
      <c r="B1599" s="11" t="str">
        <f>HYPERLINK(CONCAT("http://leetcode.com/problems/",Github!C$1607), Github!B$1607)</f>
        <v>Find Servers That Handled Most Number of Requests</v>
      </c>
      <c r="C1599" s="10">
        <f>Github!F$1607</f>
        <v>316</v>
      </c>
      <c r="D1599" s="10">
        <f>Github!G$1607</f>
        <v>14</v>
      </c>
      <c r="E1599" s="10">
        <f>Github!F$1607+Github!G$1607</f>
        <v>330</v>
      </c>
      <c r="F1599" s="12">
        <f t="shared" si="1"/>
        <v>22.57</v>
      </c>
      <c r="G1599" s="10" t="str">
        <f>Github!H$1607</f>
        <v>Algorithms</v>
      </c>
      <c r="H1599" s="13" t="str">
        <f>SUBSTITUTE(Github!L$1607, ";", ", ")</f>
        <v>Array, Greedy, Heap (Priority Queue), Ordered Set, </v>
      </c>
      <c r="I1599" s="10" t="str">
        <f>Github!E$1607</f>
        <v>Hard</v>
      </c>
      <c r="J1599" s="10" t="str">
        <f>IF(TRIM(Github!D$1607)="TRUE","FALSE","TRUE")</f>
        <v>TRUE</v>
      </c>
      <c r="K1599" s="10" t="b">
        <f>Github!M$1607</f>
        <v>0</v>
      </c>
      <c r="L1599" s="10" t="b">
        <f>Github!N$1607</f>
        <v>0</v>
      </c>
      <c r="M1599" s="10" t="str">
        <f>ROUND(Github!O$1607, 2)&amp;"%"</f>
        <v>40.96%</v>
      </c>
      <c r="N1599" s="10">
        <f>Github!P$1607</f>
        <v>7621</v>
      </c>
      <c r="O1599" s="10">
        <f>Github!Q$1607</f>
        <v>18605</v>
      </c>
    </row>
    <row r="1600">
      <c r="A1600" s="10">
        <f>Github!J$2001</f>
        <v>2000</v>
      </c>
      <c r="B1600" s="11" t="str">
        <f>HYPERLINK(CONCAT("http://leetcode.com/problems/",Github!C$2001), Github!B$2001)</f>
        <v>Reverse Prefix of Word</v>
      </c>
      <c r="C1600" s="10">
        <f>Github!F$2001</f>
        <v>318</v>
      </c>
      <c r="D1600" s="10">
        <f>Github!G$2001</f>
        <v>6</v>
      </c>
      <c r="E1600" s="10">
        <f>Github!F$2001+Github!G$2001</f>
        <v>324</v>
      </c>
      <c r="F1600" s="12">
        <f t="shared" si="1"/>
        <v>53</v>
      </c>
      <c r="G1600" s="10" t="str">
        <f>Github!H$2001</f>
        <v>Algorithms</v>
      </c>
      <c r="H1600" s="13" t="str">
        <f>SUBSTITUTE(Github!L$2001, ";", ", ")</f>
        <v>Two Pointers, String, </v>
      </c>
      <c r="I1600" s="10" t="str">
        <f>Github!E$2001</f>
        <v>Easy</v>
      </c>
      <c r="J1600" s="10" t="str">
        <f>IF(TRIM(Github!D$2001)="TRUE","FALSE","TRUE")</f>
        <v>TRUE</v>
      </c>
      <c r="K1600" s="10" t="b">
        <f>Github!M$2001</f>
        <v>0</v>
      </c>
      <c r="L1600" s="10" t="b">
        <f>Github!N$2001</f>
        <v>0</v>
      </c>
      <c r="M1600" s="10" t="str">
        <f>ROUND(Github!O$2001, 2)&amp;"%"</f>
        <v>77.97%</v>
      </c>
      <c r="N1600" s="10">
        <f>Github!P$2001</f>
        <v>33107</v>
      </c>
      <c r="O1600" s="10">
        <f>Github!Q$2001</f>
        <v>42461</v>
      </c>
    </row>
    <row r="1601">
      <c r="A1601" s="10">
        <f>Github!J$1506</f>
        <v>1505</v>
      </c>
      <c r="B1601" s="11" t="str">
        <f>HYPERLINK(CONCAT("http://leetcode.com/problems/",Github!C$1506), Github!B$1506)</f>
        <v>Minimum Possible Integer After at Most K Adjacent Swaps On Digits</v>
      </c>
      <c r="C1601" s="10">
        <f>Github!F$1506</f>
        <v>312</v>
      </c>
      <c r="D1601" s="10">
        <f>Github!G$1506</f>
        <v>20</v>
      </c>
      <c r="E1601" s="10">
        <f>Github!F$1506+Github!G$1506</f>
        <v>332</v>
      </c>
      <c r="F1601" s="12">
        <f t="shared" si="1"/>
        <v>15.6</v>
      </c>
      <c r="G1601" s="10" t="str">
        <f>Github!H$1506</f>
        <v>Algorithms</v>
      </c>
      <c r="H1601" s="13" t="str">
        <f>SUBSTITUTE(Github!L$1506, ";", ", ")</f>
        <v>String, Greedy, Binary Indexed Tree, Segment Tree, </v>
      </c>
      <c r="I1601" s="10" t="str">
        <f>Github!E$1506</f>
        <v>Hard</v>
      </c>
      <c r="J1601" s="10" t="str">
        <f>IF(TRIM(Github!D$1506)="TRUE","FALSE","TRUE")</f>
        <v>TRUE</v>
      </c>
      <c r="K1601" s="10" t="b">
        <f>Github!M$1506</f>
        <v>0</v>
      </c>
      <c r="L1601" s="10" t="b">
        <f>Github!N$1506</f>
        <v>0</v>
      </c>
      <c r="M1601" s="10" t="str">
        <f>ROUND(Github!O$1506, 2)&amp;"%"</f>
        <v>37.78%</v>
      </c>
      <c r="N1601" s="10">
        <f>Github!P$1506</f>
        <v>7413</v>
      </c>
      <c r="O1601" s="10">
        <f>Github!Q$1506</f>
        <v>19619</v>
      </c>
    </row>
    <row r="1602">
      <c r="A1602" s="10">
        <f>Github!J$1491</f>
        <v>1490</v>
      </c>
      <c r="B1602" s="11" t="str">
        <f>HYPERLINK(CONCAT("http://leetcode.com/problems/",Github!C$1491), Github!B$1491)</f>
        <v>Clone N-ary Tree</v>
      </c>
      <c r="C1602" s="10">
        <f>Github!F$1491</f>
        <v>310</v>
      </c>
      <c r="D1602" s="10">
        <f>Github!G$1491</f>
        <v>13</v>
      </c>
      <c r="E1602" s="10">
        <f>Github!F$1491+Github!G$1491</f>
        <v>323</v>
      </c>
      <c r="F1602" s="12">
        <f t="shared" si="1"/>
        <v>23.85</v>
      </c>
      <c r="G1602" s="10" t="str">
        <f>Github!H$1491</f>
        <v>Algorithms</v>
      </c>
      <c r="H1602" s="13" t="str">
        <f>SUBSTITUTE(Github!L$1491, ";", ", ")</f>
        <v>Hash Table, Tree, Depth-First Search, Breadth-First Search, </v>
      </c>
      <c r="I1602" s="10" t="str">
        <f>Github!E$1491</f>
        <v>Medium</v>
      </c>
      <c r="J1602" s="10" t="str">
        <f>IF(TRIM(Github!D$1491)="TRUE","FALSE","TRUE")</f>
        <v>FALSE</v>
      </c>
      <c r="K1602" s="10" t="b">
        <f>Github!M$1491</f>
        <v>1</v>
      </c>
      <c r="L1602" s="10" t="b">
        <f>Github!N$1491</f>
        <v>0</v>
      </c>
      <c r="M1602" s="10" t="str">
        <f>ROUND(Github!O$1491, 2)&amp;"%"</f>
        <v>83.78%</v>
      </c>
      <c r="N1602" s="10">
        <f>Github!P$1491</f>
        <v>21007</v>
      </c>
      <c r="O1602" s="10">
        <f>Github!Q$1491</f>
        <v>25074</v>
      </c>
    </row>
    <row r="1603">
      <c r="A1603" s="10">
        <f>Github!J$1850</f>
        <v>1849</v>
      </c>
      <c r="B1603" s="11" t="str">
        <f>HYPERLINK(CONCAT("http://leetcode.com/problems/",Github!C$1850), Github!B$1850)</f>
        <v>Splitting a String Into Descending Consecutive Values</v>
      </c>
      <c r="C1603" s="10">
        <f>Github!F$1850</f>
        <v>313</v>
      </c>
      <c r="D1603" s="10">
        <f>Github!G$1850</f>
        <v>83</v>
      </c>
      <c r="E1603" s="10">
        <f>Github!F$1850+Github!G$1850</f>
        <v>396</v>
      </c>
      <c r="F1603" s="12">
        <f t="shared" si="1"/>
        <v>3.77</v>
      </c>
      <c r="G1603" s="10" t="str">
        <f>Github!H$1850</f>
        <v>Algorithms</v>
      </c>
      <c r="H1603" s="13" t="str">
        <f>SUBSTITUTE(Github!L$1850, ";", ", ")</f>
        <v>String, Backtracking, </v>
      </c>
      <c r="I1603" s="10" t="str">
        <f>Github!E$1850</f>
        <v>Medium</v>
      </c>
      <c r="J1603" s="10" t="str">
        <f>IF(TRIM(Github!D$1850)="TRUE","FALSE","TRUE")</f>
        <v>TRUE</v>
      </c>
      <c r="K1603" s="10" t="b">
        <f>Github!M$1850</f>
        <v>0</v>
      </c>
      <c r="L1603" s="10" t="b">
        <f>Github!N$1850</f>
        <v>0</v>
      </c>
      <c r="M1603" s="10" t="str">
        <f>ROUND(Github!O$1850, 2)&amp;"%"</f>
        <v>31.31%</v>
      </c>
      <c r="N1603" s="10">
        <f>Github!P$1850</f>
        <v>14235</v>
      </c>
      <c r="O1603" s="10">
        <f>Github!Q$1850</f>
        <v>45469</v>
      </c>
    </row>
    <row r="1604">
      <c r="A1604" s="10">
        <f>Github!J$2152</f>
        <v>2151</v>
      </c>
      <c r="B1604" s="11" t="str">
        <f>HYPERLINK(CONCAT("http://leetcode.com/problems/",Github!C$2152), Github!B$2152)</f>
        <v>Maximum Good People Based on Statements</v>
      </c>
      <c r="C1604" s="10">
        <f>Github!F$2152</f>
        <v>312</v>
      </c>
      <c r="D1604" s="10">
        <f>Github!G$2152</f>
        <v>67</v>
      </c>
      <c r="E1604" s="10">
        <f>Github!F$2152+Github!G$2152</f>
        <v>379</v>
      </c>
      <c r="F1604" s="12">
        <f t="shared" si="1"/>
        <v>4.66</v>
      </c>
      <c r="G1604" s="10" t="str">
        <f>Github!H$2152</f>
        <v>Algorithms</v>
      </c>
      <c r="H1604" s="13" t="str">
        <f>SUBSTITUTE(Github!L$2152, ";", ", ")</f>
        <v>Array, Backtracking, Bit Manipulation, Enumeration, </v>
      </c>
      <c r="I1604" s="10" t="str">
        <f>Github!E$2152</f>
        <v>Hard</v>
      </c>
      <c r="J1604" s="10" t="str">
        <f>IF(TRIM(Github!D$2152)="TRUE","FALSE","TRUE")</f>
        <v>TRUE</v>
      </c>
      <c r="K1604" s="10" t="b">
        <f>Github!M$2152</f>
        <v>0</v>
      </c>
      <c r="L1604" s="10" t="b">
        <f>Github!N$2152</f>
        <v>0</v>
      </c>
      <c r="M1604" s="10" t="str">
        <f>ROUND(Github!O$2152, 2)&amp;"%"</f>
        <v>46.23%</v>
      </c>
      <c r="N1604" s="10">
        <f>Github!P$2152</f>
        <v>8289</v>
      </c>
      <c r="O1604" s="10">
        <f>Github!Q$2152</f>
        <v>17931</v>
      </c>
    </row>
    <row r="1605">
      <c r="A1605" s="10">
        <f>Github!J$1836</f>
        <v>1835</v>
      </c>
      <c r="B1605" s="11" t="str">
        <f>HYPERLINK(CONCAT("http://leetcode.com/problems/",Github!C$1836), Github!B$1836)</f>
        <v>Find XOR Sum of All Pairs Bitwise AND</v>
      </c>
      <c r="C1605" s="10">
        <f>Github!F$1836</f>
        <v>308</v>
      </c>
      <c r="D1605" s="10">
        <f>Github!G$1836</f>
        <v>32</v>
      </c>
      <c r="E1605" s="10">
        <f>Github!F$1836+Github!G$1836</f>
        <v>340</v>
      </c>
      <c r="F1605" s="12">
        <f t="shared" si="1"/>
        <v>9.63</v>
      </c>
      <c r="G1605" s="10" t="str">
        <f>Github!H$1836</f>
        <v>Algorithms</v>
      </c>
      <c r="H1605" s="13" t="str">
        <f>SUBSTITUTE(Github!L$1836, ";", ", ")</f>
        <v>Array, Math, Bit Manipulation, </v>
      </c>
      <c r="I1605" s="10" t="str">
        <f>Github!E$1836</f>
        <v>Hard</v>
      </c>
      <c r="J1605" s="10" t="str">
        <f>IF(TRIM(Github!D$1836)="TRUE","FALSE","TRUE")</f>
        <v>TRUE</v>
      </c>
      <c r="K1605" s="10" t="b">
        <f>Github!M$1836</f>
        <v>0</v>
      </c>
      <c r="L1605" s="10" t="b">
        <f>Github!N$1836</f>
        <v>0</v>
      </c>
      <c r="M1605" s="10" t="str">
        <f>ROUND(Github!O$1836, 2)&amp;"%"</f>
        <v>58.74%</v>
      </c>
      <c r="N1605" s="10">
        <f>Github!P$1836</f>
        <v>10402</v>
      </c>
      <c r="O1605" s="10">
        <f>Github!Q$1836</f>
        <v>17709</v>
      </c>
    </row>
    <row r="1606">
      <c r="A1606" s="10">
        <f>Github!J$1782</f>
        <v>1781</v>
      </c>
      <c r="B1606" s="11" t="str">
        <f>HYPERLINK(CONCAT("http://leetcode.com/problems/",Github!C$1782), Github!B$1782)</f>
        <v>Sum of Beauty of All Substrings</v>
      </c>
      <c r="C1606" s="10">
        <f>Github!F$1782</f>
        <v>308</v>
      </c>
      <c r="D1606" s="10">
        <f>Github!G$1782</f>
        <v>83</v>
      </c>
      <c r="E1606" s="10">
        <f>Github!F$1782+Github!G$1782</f>
        <v>391</v>
      </c>
      <c r="F1606" s="12">
        <f t="shared" si="1"/>
        <v>3.71</v>
      </c>
      <c r="G1606" s="10" t="str">
        <f>Github!H$1782</f>
        <v>Algorithms</v>
      </c>
      <c r="H1606" s="13" t="str">
        <f>SUBSTITUTE(Github!L$1782, ";", ", ")</f>
        <v>Hash Table, String, Counting, </v>
      </c>
      <c r="I1606" s="10" t="str">
        <f>Github!E$1782</f>
        <v>Medium</v>
      </c>
      <c r="J1606" s="10" t="str">
        <f>IF(TRIM(Github!D$1782)="TRUE","FALSE","TRUE")</f>
        <v>TRUE</v>
      </c>
      <c r="K1606" s="10" t="b">
        <f>Github!M$1782</f>
        <v>0</v>
      </c>
      <c r="L1606" s="10" t="b">
        <f>Github!N$1782</f>
        <v>0</v>
      </c>
      <c r="M1606" s="10" t="str">
        <f>ROUND(Github!O$1782, 2)&amp;"%"</f>
        <v>59.79%</v>
      </c>
      <c r="N1606" s="10">
        <f>Github!P$1782</f>
        <v>13086</v>
      </c>
      <c r="O1606" s="10">
        <f>Github!Q$1782</f>
        <v>21886</v>
      </c>
    </row>
    <row r="1607">
      <c r="A1607" s="10">
        <f>Github!J$1922</f>
        <v>1921</v>
      </c>
      <c r="B1607" s="11" t="str">
        <f>HYPERLINK(CONCAT("http://leetcode.com/problems/",Github!C$1922), Github!B$1922)</f>
        <v>Eliminate Maximum Number of Monsters</v>
      </c>
      <c r="C1607" s="10">
        <f>Github!F$1922</f>
        <v>307</v>
      </c>
      <c r="D1607" s="10">
        <f>Github!G$1922</f>
        <v>48</v>
      </c>
      <c r="E1607" s="10">
        <f>Github!F$1922+Github!G$1922</f>
        <v>355</v>
      </c>
      <c r="F1607" s="12">
        <f t="shared" si="1"/>
        <v>6.4</v>
      </c>
      <c r="G1607" s="10" t="str">
        <f>Github!H$1922</f>
        <v>Algorithms</v>
      </c>
      <c r="H1607" s="13" t="str">
        <f>SUBSTITUTE(Github!L$1922, ";", ", ")</f>
        <v>Array, Greedy, Sorting, </v>
      </c>
      <c r="I1607" s="10" t="str">
        <f>Github!E$1922</f>
        <v>Medium</v>
      </c>
      <c r="J1607" s="10" t="str">
        <f>IF(TRIM(Github!D$1922)="TRUE","FALSE","TRUE")</f>
        <v>TRUE</v>
      </c>
      <c r="K1607" s="10" t="b">
        <f>Github!M$1922</f>
        <v>0</v>
      </c>
      <c r="L1607" s="10" t="b">
        <f>Github!N$1922</f>
        <v>0</v>
      </c>
      <c r="M1607" s="10" t="str">
        <f>ROUND(Github!O$1922, 2)&amp;"%"</f>
        <v>37.54%</v>
      </c>
      <c r="N1607" s="10">
        <f>Github!P$1922</f>
        <v>15987</v>
      </c>
      <c r="O1607" s="10">
        <f>Github!Q$1922</f>
        <v>42581</v>
      </c>
    </row>
    <row r="1608">
      <c r="A1608" s="10">
        <f>Github!J$574</f>
        <v>573</v>
      </c>
      <c r="B1608" s="11" t="str">
        <f>HYPERLINK(CONCAT("http://leetcode.com/problems/",Github!C$574), Github!B$574)</f>
        <v>Squirrel Simulation</v>
      </c>
      <c r="C1608" s="10">
        <f>Github!F$574</f>
        <v>307</v>
      </c>
      <c r="D1608" s="10">
        <f>Github!G$574</f>
        <v>33</v>
      </c>
      <c r="E1608" s="10">
        <f>Github!F$574+Github!G$574</f>
        <v>340</v>
      </c>
      <c r="F1608" s="12">
        <f t="shared" si="1"/>
        <v>9.3</v>
      </c>
      <c r="G1608" s="10" t="str">
        <f>Github!H$574</f>
        <v>Algorithms</v>
      </c>
      <c r="H1608" s="13" t="str">
        <f>SUBSTITUTE(Github!L$574, ";", ", ")</f>
        <v>Array, Math, </v>
      </c>
      <c r="I1608" s="10" t="str">
        <f>Github!E$574</f>
        <v>Medium</v>
      </c>
      <c r="J1608" s="10" t="str">
        <f>IF(TRIM(Github!D$574)="TRUE","FALSE","TRUE")</f>
        <v>FALSE</v>
      </c>
      <c r="K1608" s="10" t="b">
        <f>Github!M$574</f>
        <v>1</v>
      </c>
      <c r="L1608" s="10" t="b">
        <f>Github!N$574</f>
        <v>0</v>
      </c>
      <c r="M1608" s="10" t="str">
        <f>ROUND(Github!O$574, 2)&amp;"%"</f>
        <v>54.68%</v>
      </c>
      <c r="N1608" s="10">
        <f>Github!P$574</f>
        <v>16974</v>
      </c>
      <c r="O1608" s="10">
        <f>Github!Q$574</f>
        <v>31045</v>
      </c>
    </row>
    <row r="1609">
      <c r="A1609" s="10">
        <f>Github!J$1739</f>
        <v>1738</v>
      </c>
      <c r="B1609" s="11" t="str">
        <f>HYPERLINK(CONCAT("http://leetcode.com/problems/",Github!C$1739), Github!B$1739)</f>
        <v>Find Kth Largest XOR Coordinate Value</v>
      </c>
      <c r="C1609" s="10">
        <f>Github!F$1739</f>
        <v>309</v>
      </c>
      <c r="D1609" s="10">
        <f>Github!G$1739</f>
        <v>45</v>
      </c>
      <c r="E1609" s="10">
        <f>Github!F$1739+Github!G$1739</f>
        <v>354</v>
      </c>
      <c r="F1609" s="12">
        <f t="shared" si="1"/>
        <v>6.87</v>
      </c>
      <c r="G1609" s="10" t="str">
        <f>Github!H$1739</f>
        <v>Algorithms</v>
      </c>
      <c r="H1609" s="13" t="str">
        <f>SUBSTITUTE(Github!L$1739, ";", ", ")</f>
        <v>Array, Divide and Conquer, Bit Manipulation, Heap (Priority Queue), Matrix, Prefix Sum, Quickselect, </v>
      </c>
      <c r="I1609" s="10" t="str">
        <f>Github!E$1739</f>
        <v>Medium</v>
      </c>
      <c r="J1609" s="10" t="str">
        <f>IF(TRIM(Github!D$1739)="TRUE","FALSE","TRUE")</f>
        <v>TRUE</v>
      </c>
      <c r="K1609" s="10" t="b">
        <f>Github!M$1739</f>
        <v>0</v>
      </c>
      <c r="L1609" s="10" t="b">
        <f>Github!N$1739</f>
        <v>0</v>
      </c>
      <c r="M1609" s="10" t="str">
        <f>ROUND(Github!O$1739, 2)&amp;"%"</f>
        <v>61.9%</v>
      </c>
      <c r="N1609" s="10">
        <f>Github!P$1739</f>
        <v>14277</v>
      </c>
      <c r="O1609" s="10">
        <f>Github!Q$1739</f>
        <v>23063</v>
      </c>
    </row>
    <row r="1610">
      <c r="A1610" s="10">
        <f>Github!J$1866</f>
        <v>1865</v>
      </c>
      <c r="B1610" s="11" t="str">
        <f>HYPERLINK(CONCAT("http://leetcode.com/problems/",Github!C$1866), Github!B$1866)</f>
        <v>Finding Pairs With a Certain Sum</v>
      </c>
      <c r="C1610" s="10">
        <f>Github!F$1866</f>
        <v>309</v>
      </c>
      <c r="D1610" s="10">
        <f>Github!G$1866</f>
        <v>77</v>
      </c>
      <c r="E1610" s="10">
        <f>Github!F$1866+Github!G$1866</f>
        <v>386</v>
      </c>
      <c r="F1610" s="12">
        <f t="shared" si="1"/>
        <v>4.01</v>
      </c>
      <c r="G1610" s="10" t="str">
        <f>Github!H$1866</f>
        <v>Algorithms</v>
      </c>
      <c r="H1610" s="13" t="str">
        <f>SUBSTITUTE(Github!L$1866, ";", ", ")</f>
        <v>Array, Hash Table, Design, </v>
      </c>
      <c r="I1610" s="10" t="str">
        <f>Github!E$1866</f>
        <v>Medium</v>
      </c>
      <c r="J1610" s="10" t="str">
        <f>IF(TRIM(Github!D$1866)="TRUE","FALSE","TRUE")</f>
        <v>TRUE</v>
      </c>
      <c r="K1610" s="10" t="b">
        <f>Github!M$1866</f>
        <v>0</v>
      </c>
      <c r="L1610" s="10" t="b">
        <f>Github!N$1866</f>
        <v>0</v>
      </c>
      <c r="M1610" s="10" t="str">
        <f>ROUND(Github!O$1866, 2)&amp;"%"</f>
        <v>49.39%</v>
      </c>
      <c r="N1610" s="10">
        <f>Github!P$1866</f>
        <v>15270</v>
      </c>
      <c r="O1610" s="10">
        <f>Github!Q$1866</f>
        <v>30915</v>
      </c>
    </row>
    <row r="1611">
      <c r="A1611" s="10">
        <f>Github!J$2034</f>
        <v>2033</v>
      </c>
      <c r="B1611" s="11" t="str">
        <f>HYPERLINK(CONCAT("http://leetcode.com/problems/",Github!C$2034), Github!B$2034)</f>
        <v>Minimum Operations to Make a Uni-Value Grid</v>
      </c>
      <c r="C1611" s="10">
        <f>Github!F$2034</f>
        <v>305</v>
      </c>
      <c r="D1611" s="10">
        <f>Github!G$2034</f>
        <v>29</v>
      </c>
      <c r="E1611" s="10">
        <f>Github!F$2034+Github!G$2034</f>
        <v>334</v>
      </c>
      <c r="F1611" s="12">
        <f t="shared" si="1"/>
        <v>10.52</v>
      </c>
      <c r="G1611" s="10" t="str">
        <f>Github!H$2034</f>
        <v>Algorithms</v>
      </c>
      <c r="H1611" s="13" t="str">
        <f>SUBSTITUTE(Github!L$2034, ";", ", ")</f>
        <v>Array, Math, Sorting, Matrix, </v>
      </c>
      <c r="I1611" s="10" t="str">
        <f>Github!E$2034</f>
        <v>Medium</v>
      </c>
      <c r="J1611" s="10" t="str">
        <f>IF(TRIM(Github!D$2034)="TRUE","FALSE","TRUE")</f>
        <v>TRUE</v>
      </c>
      <c r="K1611" s="10" t="b">
        <f>Github!M$2034</f>
        <v>0</v>
      </c>
      <c r="L1611" s="10" t="b">
        <f>Github!N$2034</f>
        <v>0</v>
      </c>
      <c r="M1611" s="10" t="str">
        <f>ROUND(Github!O$2034, 2)&amp;"%"</f>
        <v>50.59%</v>
      </c>
      <c r="N1611" s="10">
        <f>Github!P$2034</f>
        <v>13614</v>
      </c>
      <c r="O1611" s="10">
        <f>Github!Q$2034</f>
        <v>26911</v>
      </c>
    </row>
    <row r="1612">
      <c r="A1612" s="10">
        <f>Github!J$2156</f>
        <v>2155</v>
      </c>
      <c r="B1612" s="11" t="str">
        <f>HYPERLINK(CONCAT("http://leetcode.com/problems/",Github!C$2156), Github!B$2156)</f>
        <v>All Divisions With the Highest Score of a Binary Array</v>
      </c>
      <c r="C1612" s="10">
        <f>Github!F$2156</f>
        <v>306</v>
      </c>
      <c r="D1612" s="10">
        <f>Github!G$2156</f>
        <v>8</v>
      </c>
      <c r="E1612" s="10">
        <f>Github!F$2156+Github!G$2156</f>
        <v>314</v>
      </c>
      <c r="F1612" s="12">
        <f t="shared" si="1"/>
        <v>38.25</v>
      </c>
      <c r="G1612" s="10" t="str">
        <f>Github!H$2156</f>
        <v>Algorithms</v>
      </c>
      <c r="H1612" s="13" t="str">
        <f>SUBSTITUTE(Github!L$2156, ";", ", ")</f>
        <v>Array, </v>
      </c>
      <c r="I1612" s="10" t="str">
        <f>Github!E$2156</f>
        <v>Medium</v>
      </c>
      <c r="J1612" s="10" t="str">
        <f>IF(TRIM(Github!D$2156)="TRUE","FALSE","TRUE")</f>
        <v>TRUE</v>
      </c>
      <c r="K1612" s="10" t="b">
        <f>Github!M$2156</f>
        <v>0</v>
      </c>
      <c r="L1612" s="10" t="b">
        <f>Github!N$2156</f>
        <v>0</v>
      </c>
      <c r="M1612" s="10" t="str">
        <f>ROUND(Github!O$2156, 2)&amp;"%"</f>
        <v>62.03%</v>
      </c>
      <c r="N1612" s="10">
        <f>Github!P$2156</f>
        <v>19325</v>
      </c>
      <c r="O1612" s="10">
        <f>Github!Q$2156</f>
        <v>31155</v>
      </c>
    </row>
    <row r="1613">
      <c r="A1613" s="10">
        <f>Github!J$593</f>
        <v>592</v>
      </c>
      <c r="B1613" s="11" t="str">
        <f>HYPERLINK(CONCAT("http://leetcode.com/problems/",Github!C$593), Github!B$593)</f>
        <v>Fraction Addition and Subtraction</v>
      </c>
      <c r="C1613" s="10">
        <f>Github!F$593</f>
        <v>303</v>
      </c>
      <c r="D1613" s="10">
        <f>Github!G$593</f>
        <v>435</v>
      </c>
      <c r="E1613" s="10">
        <f>Github!F$593+Github!G$593</f>
        <v>738</v>
      </c>
      <c r="F1613" s="12">
        <f t="shared" si="1"/>
        <v>0.7</v>
      </c>
      <c r="G1613" s="10" t="str">
        <f>Github!H$593</f>
        <v>Algorithms</v>
      </c>
      <c r="H1613" s="13" t="str">
        <f>SUBSTITUTE(Github!L$593, ";", ", ")</f>
        <v>Math, String, Simulation, </v>
      </c>
      <c r="I1613" s="10" t="str">
        <f>Github!E$593</f>
        <v>Medium</v>
      </c>
      <c r="J1613" s="10" t="str">
        <f>IF(TRIM(Github!D$593)="TRUE","FALSE","TRUE")</f>
        <v>TRUE</v>
      </c>
      <c r="K1613" s="10" t="b">
        <f>Github!M$593</f>
        <v>1</v>
      </c>
      <c r="L1613" s="10" t="b">
        <f>Github!N$593</f>
        <v>0</v>
      </c>
      <c r="M1613" s="10" t="str">
        <f>ROUND(Github!O$593, 2)&amp;"%"</f>
        <v>51.71%</v>
      </c>
      <c r="N1613" s="10">
        <f>Github!P$593</f>
        <v>28832</v>
      </c>
      <c r="O1613" s="10">
        <f>Github!Q$593</f>
        <v>55755</v>
      </c>
    </row>
    <row r="1614">
      <c r="A1614" s="10">
        <f>Github!J$1375</f>
        <v>1374</v>
      </c>
      <c r="B1614" s="11" t="str">
        <f>HYPERLINK(CONCAT("http://leetcode.com/problems/",Github!C$1375), Github!B$1375)</f>
        <v>Generate a String With Characters That Have Odd Counts</v>
      </c>
      <c r="C1614" s="10">
        <f>Github!F$1375</f>
        <v>306</v>
      </c>
      <c r="D1614" s="10">
        <f>Github!G$1375</f>
        <v>990</v>
      </c>
      <c r="E1614" s="10">
        <f>Github!F$1375+Github!G$1375</f>
        <v>1296</v>
      </c>
      <c r="F1614" s="12">
        <f t="shared" si="1"/>
        <v>0.31</v>
      </c>
      <c r="G1614" s="10" t="str">
        <f>Github!H$1375</f>
        <v>Algorithms</v>
      </c>
      <c r="H1614" s="13" t="str">
        <f>SUBSTITUTE(Github!L$1375, ";", ", ")</f>
        <v>String, </v>
      </c>
      <c r="I1614" s="10" t="str">
        <f>Github!E$1375</f>
        <v>Easy</v>
      </c>
      <c r="J1614" s="10" t="str">
        <f>IF(TRIM(Github!D$1375)="TRUE","FALSE","TRUE")</f>
        <v>TRUE</v>
      </c>
      <c r="K1614" s="10" t="b">
        <f>Github!M$1375</f>
        <v>0</v>
      </c>
      <c r="L1614" s="10" t="b">
        <f>Github!N$1375</f>
        <v>0</v>
      </c>
      <c r="M1614" s="10" t="str">
        <f>ROUND(Github!O$1375, 2)&amp;"%"</f>
        <v>77.39%</v>
      </c>
      <c r="N1614" s="10">
        <f>Github!P$1375</f>
        <v>65193</v>
      </c>
      <c r="O1614" s="10">
        <f>Github!Q$1375</f>
        <v>84238</v>
      </c>
    </row>
    <row r="1615">
      <c r="A1615" s="10">
        <f>Github!J$964</f>
        <v>963</v>
      </c>
      <c r="B1615" s="11" t="str">
        <f>HYPERLINK(CONCAT("http://leetcode.com/problems/",Github!C$964), Github!B$964)</f>
        <v>Minimum Area Rectangle II</v>
      </c>
      <c r="C1615" s="10">
        <f>Github!F$964</f>
        <v>303</v>
      </c>
      <c r="D1615" s="10">
        <f>Github!G$964</f>
        <v>403</v>
      </c>
      <c r="E1615" s="10">
        <f>Github!F$964+Github!G$964</f>
        <v>706</v>
      </c>
      <c r="F1615" s="12">
        <f t="shared" si="1"/>
        <v>0.75</v>
      </c>
      <c r="G1615" s="10" t="str">
        <f>Github!H$964</f>
        <v>Algorithms</v>
      </c>
      <c r="H1615" s="13" t="str">
        <f>SUBSTITUTE(Github!L$964, ";", ", ")</f>
        <v>Array, Math, Geometry, </v>
      </c>
      <c r="I1615" s="10" t="str">
        <f>Github!E$964</f>
        <v>Medium</v>
      </c>
      <c r="J1615" s="10" t="str">
        <f>IF(TRIM(Github!D$964)="TRUE","FALSE","TRUE")</f>
        <v>TRUE</v>
      </c>
      <c r="K1615" s="10" t="b">
        <f>Github!M$964</f>
        <v>0</v>
      </c>
      <c r="L1615" s="10" t="b">
        <f>Github!N$964</f>
        <v>0</v>
      </c>
      <c r="M1615" s="10" t="str">
        <f>ROUND(Github!O$964, 2)&amp;"%"</f>
        <v>54.51%</v>
      </c>
      <c r="N1615" s="10">
        <f>Github!P$964</f>
        <v>22985</v>
      </c>
      <c r="O1615" s="10">
        <f>Github!Q$964</f>
        <v>42163</v>
      </c>
    </row>
    <row r="1616">
      <c r="A1616" s="10">
        <f>Github!J$2041</f>
        <v>2040</v>
      </c>
      <c r="B1616" s="11" t="str">
        <f>HYPERLINK(CONCAT("http://leetcode.com/problems/",Github!C$2041), Github!B$2041)</f>
        <v>Kth Smallest Product of Two Sorted Arrays</v>
      </c>
      <c r="C1616" s="10">
        <f>Github!F$2041</f>
        <v>309</v>
      </c>
      <c r="D1616" s="10">
        <f>Github!G$2041</f>
        <v>19</v>
      </c>
      <c r="E1616" s="10">
        <f>Github!F$2041+Github!G$2041</f>
        <v>328</v>
      </c>
      <c r="F1616" s="12">
        <f t="shared" si="1"/>
        <v>16.26</v>
      </c>
      <c r="G1616" s="10" t="str">
        <f>Github!H$2041</f>
        <v>Algorithms</v>
      </c>
      <c r="H1616" s="13" t="str">
        <f>SUBSTITUTE(Github!L$2041, ";", ", ")</f>
        <v>Array, Binary Search, </v>
      </c>
      <c r="I1616" s="10" t="str">
        <f>Github!E$2041</f>
        <v>Hard</v>
      </c>
      <c r="J1616" s="10" t="str">
        <f>IF(TRIM(Github!D$2041)="TRUE","FALSE","TRUE")</f>
        <v>TRUE</v>
      </c>
      <c r="K1616" s="10" t="b">
        <f>Github!M$2041</f>
        <v>0</v>
      </c>
      <c r="L1616" s="10" t="b">
        <f>Github!N$2041</f>
        <v>0</v>
      </c>
      <c r="M1616" s="10" t="str">
        <f>ROUND(Github!O$2041, 2)&amp;"%"</f>
        <v>28.09%</v>
      </c>
      <c r="N1616" s="10">
        <f>Github!P$2041</f>
        <v>5497</v>
      </c>
      <c r="O1616" s="10">
        <f>Github!Q$2041</f>
        <v>19572</v>
      </c>
    </row>
    <row r="1617">
      <c r="A1617" s="10">
        <f>Github!J$1865</f>
        <v>1864</v>
      </c>
      <c r="B1617" s="11" t="str">
        <f>HYPERLINK(CONCAT("http://leetcode.com/problems/",Github!C$1865), Github!B$1865)</f>
        <v>Minimum Number of Swaps to Make the Binary String Alternating</v>
      </c>
      <c r="C1617" s="10">
        <f>Github!F$1865</f>
        <v>308</v>
      </c>
      <c r="D1617" s="10">
        <f>Github!G$1865</f>
        <v>22</v>
      </c>
      <c r="E1617" s="10">
        <f>Github!F$1865+Github!G$1865</f>
        <v>330</v>
      </c>
      <c r="F1617" s="12">
        <f t="shared" si="1"/>
        <v>14</v>
      </c>
      <c r="G1617" s="10" t="str">
        <f>Github!H$1865</f>
        <v>Algorithms</v>
      </c>
      <c r="H1617" s="13" t="str">
        <f>SUBSTITUTE(Github!L$1865, ";", ", ")</f>
        <v>String, Greedy, </v>
      </c>
      <c r="I1617" s="10" t="str">
        <f>Github!E$1865</f>
        <v>Medium</v>
      </c>
      <c r="J1617" s="10" t="str">
        <f>IF(TRIM(Github!D$1865)="TRUE","FALSE","TRUE")</f>
        <v>TRUE</v>
      </c>
      <c r="K1617" s="10" t="b">
        <f>Github!M$1865</f>
        <v>0</v>
      </c>
      <c r="L1617" s="10" t="b">
        <f>Github!N$1865</f>
        <v>0</v>
      </c>
      <c r="M1617" s="10" t="str">
        <f>ROUND(Github!O$1865, 2)&amp;"%"</f>
        <v>38.92%</v>
      </c>
      <c r="N1617" s="10">
        <f>Github!P$1865</f>
        <v>13300</v>
      </c>
      <c r="O1617" s="10">
        <f>Github!Q$1865</f>
        <v>34170</v>
      </c>
    </row>
    <row r="1618">
      <c r="A1618" s="10">
        <f>Github!J$2014</f>
        <v>2013</v>
      </c>
      <c r="B1618" s="11" t="str">
        <f>HYPERLINK(CONCAT("http://leetcode.com/problems/",Github!C$2014), Github!B$2014)</f>
        <v>Detect Squares</v>
      </c>
      <c r="C1618" s="10">
        <f>Github!F$2014</f>
        <v>313</v>
      </c>
      <c r="D1618" s="10">
        <f>Github!G$2014</f>
        <v>101</v>
      </c>
      <c r="E1618" s="10">
        <f>Github!F$2014+Github!G$2014</f>
        <v>414</v>
      </c>
      <c r="F1618" s="12">
        <f t="shared" si="1"/>
        <v>3.1</v>
      </c>
      <c r="G1618" s="10" t="str">
        <f>Github!H$2014</f>
        <v>Algorithms</v>
      </c>
      <c r="H1618" s="13" t="str">
        <f>SUBSTITUTE(Github!L$2014, ";", ", ")</f>
        <v>Array, Hash Table, Design, Counting, </v>
      </c>
      <c r="I1618" s="10" t="str">
        <f>Github!E$2014</f>
        <v>Medium</v>
      </c>
      <c r="J1618" s="10" t="str">
        <f>IF(TRIM(Github!D$2014)="TRUE","FALSE","TRUE")</f>
        <v>TRUE</v>
      </c>
      <c r="K1618" s="10" t="b">
        <f>Github!M$2014</f>
        <v>0</v>
      </c>
      <c r="L1618" s="10" t="b">
        <f>Github!N$2014</f>
        <v>0</v>
      </c>
      <c r="M1618" s="10" t="str">
        <f>ROUND(Github!O$2014, 2)&amp;"%"</f>
        <v>46.59%</v>
      </c>
      <c r="N1618" s="10">
        <f>Github!P$2014</f>
        <v>19657</v>
      </c>
      <c r="O1618" s="10">
        <f>Github!Q$2014</f>
        <v>42189</v>
      </c>
    </row>
    <row r="1619">
      <c r="A1619" s="10">
        <f>Github!J$907</f>
        <v>906</v>
      </c>
      <c r="B1619" s="11" t="str">
        <f>HYPERLINK(CONCAT("http://leetcode.com/problems/",Github!C$907), Github!B$907)</f>
        <v>Super Palindromes</v>
      </c>
      <c r="C1619" s="10">
        <f>Github!F$907</f>
        <v>301</v>
      </c>
      <c r="D1619" s="10">
        <f>Github!G$907</f>
        <v>378</v>
      </c>
      <c r="E1619" s="10">
        <f>Github!F$907+Github!G$907</f>
        <v>679</v>
      </c>
      <c r="F1619" s="12">
        <f t="shared" si="1"/>
        <v>0.8</v>
      </c>
      <c r="G1619" s="10" t="str">
        <f>Github!H$907</f>
        <v>Algorithms</v>
      </c>
      <c r="H1619" s="13" t="str">
        <f>SUBSTITUTE(Github!L$907, ";", ", ")</f>
        <v>Math, Enumeration, </v>
      </c>
      <c r="I1619" s="10" t="str">
        <f>Github!E$907</f>
        <v>Hard</v>
      </c>
      <c r="J1619" s="10" t="str">
        <f>IF(TRIM(Github!D$907)="TRUE","FALSE","TRUE")</f>
        <v>TRUE</v>
      </c>
      <c r="K1619" s="10" t="b">
        <f>Github!M$907</f>
        <v>1</v>
      </c>
      <c r="L1619" s="10" t="b">
        <f>Github!N$907</f>
        <v>0</v>
      </c>
      <c r="M1619" s="10" t="str">
        <f>ROUND(Github!O$907, 2)&amp;"%"</f>
        <v>39.38%</v>
      </c>
      <c r="N1619" s="10">
        <f>Github!P$907</f>
        <v>21422</v>
      </c>
      <c r="O1619" s="10">
        <f>Github!Q$907</f>
        <v>54401</v>
      </c>
    </row>
    <row r="1620">
      <c r="A1620" s="10">
        <f>Github!J$1258</f>
        <v>1257</v>
      </c>
      <c r="B1620" s="11" t="str">
        <f>HYPERLINK(CONCAT("http://leetcode.com/problems/",Github!C$1258), Github!B$1258)</f>
        <v>Smallest Common Region</v>
      </c>
      <c r="C1620" s="10">
        <f>Github!F$1258</f>
        <v>304</v>
      </c>
      <c r="D1620" s="10">
        <f>Github!G$1258</f>
        <v>27</v>
      </c>
      <c r="E1620" s="10">
        <f>Github!F$1258+Github!G$1258</f>
        <v>331</v>
      </c>
      <c r="F1620" s="12">
        <f t="shared" si="1"/>
        <v>11.26</v>
      </c>
      <c r="G1620" s="10" t="str">
        <f>Github!H$1258</f>
        <v>Algorithms</v>
      </c>
      <c r="H1620" s="13" t="str">
        <f>SUBSTITUTE(Github!L$1258, ";", ", ")</f>
        <v>Array, Hash Table, String, Tree, Depth-First Search, Breadth-First Search, </v>
      </c>
      <c r="I1620" s="10" t="str">
        <f>Github!E$1258</f>
        <v>Medium</v>
      </c>
      <c r="J1620" s="10" t="str">
        <f>IF(TRIM(Github!D$1258)="TRUE","FALSE","TRUE")</f>
        <v>FALSE</v>
      </c>
      <c r="K1620" s="10" t="b">
        <f>Github!M$1258</f>
        <v>0</v>
      </c>
      <c r="L1620" s="10" t="b">
        <f>Github!N$1258</f>
        <v>0</v>
      </c>
      <c r="M1620" s="10" t="str">
        <f>ROUND(Github!O$1258, 2)&amp;"%"</f>
        <v>63.18%</v>
      </c>
      <c r="N1620" s="10">
        <f>Github!P$1258</f>
        <v>14258</v>
      </c>
      <c r="O1620" s="10">
        <f>Github!Q$1258</f>
        <v>22566</v>
      </c>
    </row>
    <row r="1621">
      <c r="A1621" s="10">
        <f>Github!J$1846</f>
        <v>1845</v>
      </c>
      <c r="B1621" s="11" t="str">
        <f>HYPERLINK(CONCAT("http://leetcode.com/problems/",Github!C$1846), Github!B$1846)</f>
        <v>Seat Reservation Manager</v>
      </c>
      <c r="C1621" s="10">
        <f>Github!F$1846</f>
        <v>305</v>
      </c>
      <c r="D1621" s="10">
        <f>Github!G$1846</f>
        <v>24</v>
      </c>
      <c r="E1621" s="10">
        <f>Github!F$1846+Github!G$1846</f>
        <v>329</v>
      </c>
      <c r="F1621" s="12">
        <f t="shared" si="1"/>
        <v>12.71</v>
      </c>
      <c r="G1621" s="10" t="str">
        <f>Github!H$1846</f>
        <v>Algorithms</v>
      </c>
      <c r="H1621" s="13" t="str">
        <f>SUBSTITUTE(Github!L$1846, ";", ", ")</f>
        <v>Design, Heap (Priority Queue), </v>
      </c>
      <c r="I1621" s="10" t="str">
        <f>Github!E$1846</f>
        <v>Medium</v>
      </c>
      <c r="J1621" s="10" t="str">
        <f>IF(TRIM(Github!D$1846)="TRUE","FALSE","TRUE")</f>
        <v>TRUE</v>
      </c>
      <c r="K1621" s="10" t="b">
        <f>Github!M$1846</f>
        <v>0</v>
      </c>
      <c r="L1621" s="10" t="b">
        <f>Github!N$1846</f>
        <v>0</v>
      </c>
      <c r="M1621" s="10" t="str">
        <f>ROUND(Github!O$1846, 2)&amp;"%"</f>
        <v>61.46%</v>
      </c>
      <c r="N1621" s="10">
        <f>Github!P$1846</f>
        <v>18495</v>
      </c>
      <c r="O1621" s="10">
        <f>Github!Q$1846</f>
        <v>30093</v>
      </c>
    </row>
    <row r="1622">
      <c r="A1622" s="10">
        <f>Github!J$2161</f>
        <v>2160</v>
      </c>
      <c r="B1622" s="11" t="str">
        <f>HYPERLINK(CONCAT("http://leetcode.com/problems/",Github!C$2161), Github!B$2161)</f>
        <v>Minimum Sum of Four Digit Number After Splitting Digits</v>
      </c>
      <c r="C1622" s="10">
        <f>Github!F$2161</f>
        <v>310</v>
      </c>
      <c r="D1622" s="10">
        <f>Github!G$2161</f>
        <v>39</v>
      </c>
      <c r="E1622" s="10">
        <f>Github!F$2161+Github!G$2161</f>
        <v>349</v>
      </c>
      <c r="F1622" s="12">
        <f t="shared" si="1"/>
        <v>7.95</v>
      </c>
      <c r="G1622" s="10" t="str">
        <f>Github!H$2161</f>
        <v>Algorithms</v>
      </c>
      <c r="H1622" s="13" t="str">
        <f>SUBSTITUTE(Github!L$2161, ";", ", ")</f>
        <v>Math, Greedy, Sorting, </v>
      </c>
      <c r="I1622" s="10" t="str">
        <f>Github!E$2161</f>
        <v>Easy</v>
      </c>
      <c r="J1622" s="10" t="str">
        <f>IF(TRIM(Github!D$2161)="TRUE","FALSE","TRUE")</f>
        <v>TRUE</v>
      </c>
      <c r="K1622" s="10" t="b">
        <f>Github!M$2161</f>
        <v>0</v>
      </c>
      <c r="L1622" s="10" t="b">
        <f>Github!N$2161</f>
        <v>0</v>
      </c>
      <c r="M1622" s="10" t="str">
        <f>ROUND(Github!O$2161, 2)&amp;"%"</f>
        <v>87.99%</v>
      </c>
      <c r="N1622" s="10">
        <f>Github!P$2161</f>
        <v>28266</v>
      </c>
      <c r="O1622" s="10">
        <f>Github!Q$2161</f>
        <v>32123</v>
      </c>
    </row>
    <row r="1623">
      <c r="A1623" s="10">
        <f>Github!J$1151</f>
        <v>1150</v>
      </c>
      <c r="B1623" s="11" t="str">
        <f>HYPERLINK(CONCAT("http://leetcode.com/problems/",Github!C$1151), Github!B$1151)</f>
        <v>Check If a Number Is Majority Element in a Sorted Array</v>
      </c>
      <c r="C1623" s="10">
        <f>Github!F$1151</f>
        <v>300</v>
      </c>
      <c r="D1623" s="10">
        <f>Github!G$1151</f>
        <v>30</v>
      </c>
      <c r="E1623" s="10">
        <f>Github!F$1151+Github!G$1151</f>
        <v>330</v>
      </c>
      <c r="F1623" s="12">
        <f t="shared" si="1"/>
        <v>10</v>
      </c>
      <c r="G1623" s="10" t="str">
        <f>Github!H$1151</f>
        <v>Algorithms</v>
      </c>
      <c r="H1623" s="13" t="str">
        <f>SUBSTITUTE(Github!L$1151, ";", ", ")</f>
        <v>Array, Binary Search, </v>
      </c>
      <c r="I1623" s="10" t="str">
        <f>Github!E$1151</f>
        <v>Easy</v>
      </c>
      <c r="J1623" s="10" t="str">
        <f>IF(TRIM(Github!D$1151)="TRUE","FALSE","TRUE")</f>
        <v>FALSE</v>
      </c>
      <c r="K1623" s="10" t="b">
        <f>Github!M$1151</f>
        <v>0</v>
      </c>
      <c r="L1623" s="10" t="b">
        <f>Github!N$1151</f>
        <v>0</v>
      </c>
      <c r="M1623" s="10" t="str">
        <f>ROUND(Github!O$1151, 2)&amp;"%"</f>
        <v>56.69%</v>
      </c>
      <c r="N1623" s="10">
        <f>Github!P$1151</f>
        <v>31830</v>
      </c>
      <c r="O1623" s="10">
        <f>Github!Q$1151</f>
        <v>56151</v>
      </c>
    </row>
    <row r="1624">
      <c r="A1624" s="10">
        <f>Github!J$794</f>
        <v>793</v>
      </c>
      <c r="B1624" s="11" t="str">
        <f>HYPERLINK(CONCAT("http://leetcode.com/problems/",Github!C$794), Github!B$794)</f>
        <v>Preimage Size of Factorial Zeroes Function</v>
      </c>
      <c r="C1624" s="10">
        <f>Github!F$794</f>
        <v>299</v>
      </c>
      <c r="D1624" s="10">
        <f>Github!G$794</f>
        <v>70</v>
      </c>
      <c r="E1624" s="10">
        <f>Github!F$794+Github!G$794</f>
        <v>369</v>
      </c>
      <c r="F1624" s="12">
        <f t="shared" si="1"/>
        <v>4.27</v>
      </c>
      <c r="G1624" s="10" t="str">
        <f>Github!H$794</f>
        <v>Algorithms</v>
      </c>
      <c r="H1624" s="13" t="str">
        <f>SUBSTITUTE(Github!L$794, ";", ", ")</f>
        <v>Math, Binary Search, </v>
      </c>
      <c r="I1624" s="10" t="str">
        <f>Github!E$794</f>
        <v>Hard</v>
      </c>
      <c r="J1624" s="10" t="str">
        <f>IF(TRIM(Github!D$794)="TRUE","FALSE","TRUE")</f>
        <v>TRUE</v>
      </c>
      <c r="K1624" s="10" t="b">
        <f>Github!M$794</f>
        <v>1</v>
      </c>
      <c r="L1624" s="10" t="b">
        <f>Github!N$794</f>
        <v>0</v>
      </c>
      <c r="M1624" s="10" t="str">
        <f>ROUND(Github!O$794, 2)&amp;"%"</f>
        <v>41.74%</v>
      </c>
      <c r="N1624" s="10">
        <f>Github!P$794</f>
        <v>12148</v>
      </c>
      <c r="O1624" s="10">
        <f>Github!Q$794</f>
        <v>29101</v>
      </c>
    </row>
    <row r="1625">
      <c r="A1625" s="10">
        <f>Github!J$2087</f>
        <v>2086</v>
      </c>
      <c r="B1625" s="11" t="str">
        <f>HYPERLINK(CONCAT("http://leetcode.com/problems/",Github!C$2087), Github!B$2087)</f>
        <v>Minimum Number of Buckets Required to Collect Rainwater from Houses</v>
      </c>
      <c r="C1625" s="10">
        <f>Github!F$2087</f>
        <v>300</v>
      </c>
      <c r="D1625" s="10">
        <f>Github!G$2087</f>
        <v>13</v>
      </c>
      <c r="E1625" s="10">
        <f>Github!F$2087+Github!G$2087</f>
        <v>313</v>
      </c>
      <c r="F1625" s="12">
        <f t="shared" si="1"/>
        <v>23.08</v>
      </c>
      <c r="G1625" s="10" t="str">
        <f>Github!H$2087</f>
        <v>Algorithms</v>
      </c>
      <c r="H1625" s="13" t="str">
        <f>SUBSTITUTE(Github!L$2087, ";", ", ")</f>
        <v>String, Dynamic Programming, Greedy, </v>
      </c>
      <c r="I1625" s="10" t="str">
        <f>Github!E$2087</f>
        <v>Medium</v>
      </c>
      <c r="J1625" s="10" t="str">
        <f>IF(TRIM(Github!D$2087)="TRUE","FALSE","TRUE")</f>
        <v>TRUE</v>
      </c>
      <c r="K1625" s="10" t="b">
        <f>Github!M$2087</f>
        <v>0</v>
      </c>
      <c r="L1625" s="10" t="b">
        <f>Github!N$2087</f>
        <v>0</v>
      </c>
      <c r="M1625" s="10" t="str">
        <f>ROUND(Github!O$2087, 2)&amp;"%"</f>
        <v>45.2%</v>
      </c>
      <c r="N1625" s="10">
        <f>Github!P$2087</f>
        <v>9672</v>
      </c>
      <c r="O1625" s="10">
        <f>Github!Q$2087</f>
        <v>21399</v>
      </c>
    </row>
    <row r="1626">
      <c r="A1626" s="10">
        <f>Github!J$1308</f>
        <v>1307</v>
      </c>
      <c r="B1626" s="11" t="str">
        <f>HYPERLINK(CONCAT("http://leetcode.com/problems/",Github!C$1308), Github!B$1308)</f>
        <v>Verbal Arithmetic Puzzle</v>
      </c>
      <c r="C1626" s="10">
        <f>Github!F$1308</f>
        <v>304</v>
      </c>
      <c r="D1626" s="10">
        <f>Github!G$1308</f>
        <v>79</v>
      </c>
      <c r="E1626" s="10">
        <f>Github!F$1308+Github!G$1308</f>
        <v>383</v>
      </c>
      <c r="F1626" s="12">
        <f t="shared" si="1"/>
        <v>3.85</v>
      </c>
      <c r="G1626" s="10" t="str">
        <f>Github!H$1308</f>
        <v>Algorithms</v>
      </c>
      <c r="H1626" s="13" t="str">
        <f>SUBSTITUTE(Github!L$1308, ";", ", ")</f>
        <v>Array, Math, String, Backtracking, </v>
      </c>
      <c r="I1626" s="10" t="str">
        <f>Github!E$1308</f>
        <v>Hard</v>
      </c>
      <c r="J1626" s="10" t="str">
        <f>IF(TRIM(Github!D$1308)="TRUE","FALSE","TRUE")</f>
        <v>TRUE</v>
      </c>
      <c r="K1626" s="10" t="b">
        <f>Github!M$1308</f>
        <v>0</v>
      </c>
      <c r="L1626" s="10" t="b">
        <f>Github!N$1308</f>
        <v>0</v>
      </c>
      <c r="M1626" s="10" t="str">
        <f>ROUND(Github!O$1308, 2)&amp;"%"</f>
        <v>34.77%</v>
      </c>
      <c r="N1626" s="10">
        <f>Github!P$1308</f>
        <v>6798</v>
      </c>
      <c r="O1626" s="10">
        <f>Github!Q$1308</f>
        <v>19549</v>
      </c>
    </row>
    <row r="1627">
      <c r="A1627" s="10">
        <f>Github!J$532</f>
        <v>531</v>
      </c>
      <c r="B1627" s="11" t="str">
        <f>HYPERLINK(CONCAT("http://leetcode.com/problems/",Github!C$532), Github!B$532)</f>
        <v>Lonely Pixel I</v>
      </c>
      <c r="C1627" s="10">
        <f>Github!F$532</f>
        <v>299</v>
      </c>
      <c r="D1627" s="10">
        <f>Github!G$532</f>
        <v>35</v>
      </c>
      <c r="E1627" s="10">
        <f>Github!F$532+Github!G$532</f>
        <v>334</v>
      </c>
      <c r="F1627" s="12">
        <f t="shared" si="1"/>
        <v>8.54</v>
      </c>
      <c r="G1627" s="10" t="str">
        <f>Github!H$532</f>
        <v>Algorithms</v>
      </c>
      <c r="H1627" s="13" t="str">
        <f>SUBSTITUTE(Github!L$532, ";", ", ")</f>
        <v>Array, Hash Table, Matrix, </v>
      </c>
      <c r="I1627" s="10" t="str">
        <f>Github!E$532</f>
        <v>Medium</v>
      </c>
      <c r="J1627" s="10" t="str">
        <f>IF(TRIM(Github!D$532)="TRUE","FALSE","TRUE")</f>
        <v>FALSE</v>
      </c>
      <c r="K1627" s="10" t="b">
        <f>Github!M$532</f>
        <v>0</v>
      </c>
      <c r="L1627" s="10" t="b">
        <f>Github!N$532</f>
        <v>0</v>
      </c>
      <c r="M1627" s="10" t="str">
        <f>ROUND(Github!O$532, 2)&amp;"%"</f>
        <v>60.65%</v>
      </c>
      <c r="N1627" s="10">
        <f>Github!P$532</f>
        <v>30710</v>
      </c>
      <c r="O1627" s="10">
        <f>Github!Q$532</f>
        <v>50634</v>
      </c>
    </row>
    <row r="1628">
      <c r="A1628" s="10">
        <f>Github!J$1932</f>
        <v>1931</v>
      </c>
      <c r="B1628" s="11" t="str">
        <f>HYPERLINK(CONCAT("http://leetcode.com/problems/",Github!C$1932), Github!B$1932)</f>
        <v>Painting a Grid With Three Different Colors</v>
      </c>
      <c r="C1628" s="10">
        <f>Github!F$1932</f>
        <v>300</v>
      </c>
      <c r="D1628" s="10">
        <f>Github!G$1932</f>
        <v>16</v>
      </c>
      <c r="E1628" s="10">
        <f>Github!F$1932+Github!G$1932</f>
        <v>316</v>
      </c>
      <c r="F1628" s="12">
        <f t="shared" si="1"/>
        <v>18.75</v>
      </c>
      <c r="G1628" s="10" t="str">
        <f>Github!H$1932</f>
        <v>Algorithms</v>
      </c>
      <c r="H1628" s="13" t="str">
        <f>SUBSTITUTE(Github!L$1932, ";", ", ")</f>
        <v>Dynamic Programming, </v>
      </c>
      <c r="I1628" s="10" t="str">
        <f>Github!E$1932</f>
        <v>Hard</v>
      </c>
      <c r="J1628" s="10" t="str">
        <f>IF(TRIM(Github!D$1932)="TRUE","FALSE","TRUE")</f>
        <v>TRUE</v>
      </c>
      <c r="K1628" s="10" t="b">
        <f>Github!M$1932</f>
        <v>0</v>
      </c>
      <c r="L1628" s="10" t="b">
        <f>Github!N$1932</f>
        <v>0</v>
      </c>
      <c r="M1628" s="10" t="str">
        <f>ROUND(Github!O$1932, 2)&amp;"%"</f>
        <v>56.96%</v>
      </c>
      <c r="N1628" s="10">
        <f>Github!P$1932</f>
        <v>6230</v>
      </c>
      <c r="O1628" s="10">
        <f>Github!Q$1932</f>
        <v>10938</v>
      </c>
    </row>
    <row r="1629">
      <c r="A1629" s="10">
        <f>Github!J$1808</f>
        <v>1807</v>
      </c>
      <c r="B1629" s="11" t="str">
        <f>HYPERLINK(CONCAT("http://leetcode.com/problems/",Github!C$1808), Github!B$1808)</f>
        <v>Evaluate the Bracket Pairs of a String</v>
      </c>
      <c r="C1629" s="10">
        <f>Github!F$1808</f>
        <v>298</v>
      </c>
      <c r="D1629" s="10">
        <f>Github!G$1808</f>
        <v>27</v>
      </c>
      <c r="E1629" s="10">
        <f>Github!F$1808+Github!G$1808</f>
        <v>325</v>
      </c>
      <c r="F1629" s="12">
        <f t="shared" si="1"/>
        <v>11.04</v>
      </c>
      <c r="G1629" s="10" t="str">
        <f>Github!H$1808</f>
        <v>Algorithms</v>
      </c>
      <c r="H1629" s="13" t="str">
        <f>SUBSTITUTE(Github!L$1808, ";", ", ")</f>
        <v>Array, Hash Table, String, </v>
      </c>
      <c r="I1629" s="10" t="str">
        <f>Github!E$1808</f>
        <v>Medium</v>
      </c>
      <c r="J1629" s="10" t="str">
        <f>IF(TRIM(Github!D$1808)="TRUE","FALSE","TRUE")</f>
        <v>TRUE</v>
      </c>
      <c r="K1629" s="10" t="b">
        <f>Github!M$1808</f>
        <v>0</v>
      </c>
      <c r="L1629" s="10" t="b">
        <f>Github!N$1808</f>
        <v>0</v>
      </c>
      <c r="M1629" s="10" t="str">
        <f>ROUND(Github!O$1808, 2)&amp;"%"</f>
        <v>66.71%</v>
      </c>
      <c r="N1629" s="10">
        <f>Github!P$1808</f>
        <v>18921</v>
      </c>
      <c r="O1629" s="10">
        <f>Github!Q$1808</f>
        <v>28361</v>
      </c>
    </row>
    <row r="1630">
      <c r="A1630" s="10">
        <f>Github!J$2086</f>
        <v>2085</v>
      </c>
      <c r="B1630" s="11" t="str">
        <f>HYPERLINK(CONCAT("http://leetcode.com/problems/",Github!C$2086), Github!B$2086)</f>
        <v>Count Common Words With One Occurrence</v>
      </c>
      <c r="C1630" s="10">
        <f>Github!F$2086</f>
        <v>308</v>
      </c>
      <c r="D1630" s="10">
        <f>Github!G$2086</f>
        <v>6</v>
      </c>
      <c r="E1630" s="10">
        <f>Github!F$2086+Github!G$2086</f>
        <v>314</v>
      </c>
      <c r="F1630" s="12">
        <f t="shared" si="1"/>
        <v>51.33</v>
      </c>
      <c r="G1630" s="10" t="str">
        <f>Github!H$2086</f>
        <v>Algorithms</v>
      </c>
      <c r="H1630" s="13" t="str">
        <f>SUBSTITUTE(Github!L$2086, ";", ", ")</f>
        <v>Array, Hash Table, String, Counting, </v>
      </c>
      <c r="I1630" s="10" t="str">
        <f>Github!E$2086</f>
        <v>Easy</v>
      </c>
      <c r="J1630" s="10" t="str">
        <f>IF(TRIM(Github!D$2086)="TRUE","FALSE","TRUE")</f>
        <v>TRUE</v>
      </c>
      <c r="K1630" s="10" t="b">
        <f>Github!M$2086</f>
        <v>0</v>
      </c>
      <c r="L1630" s="10" t="b">
        <f>Github!N$2086</f>
        <v>0</v>
      </c>
      <c r="M1630" s="10" t="str">
        <f>ROUND(Github!O$2086, 2)&amp;"%"</f>
        <v>70.16%</v>
      </c>
      <c r="N1630" s="10">
        <f>Github!P$2086</f>
        <v>22611</v>
      </c>
      <c r="O1630" s="10">
        <f>Github!Q$2086</f>
        <v>32226</v>
      </c>
    </row>
    <row r="1631">
      <c r="A1631" s="10">
        <f>Github!J$1618</f>
        <v>1617</v>
      </c>
      <c r="B1631" s="11" t="str">
        <f>HYPERLINK(CONCAT("http://leetcode.com/problems/",Github!C$1618), Github!B$1618)</f>
        <v>Count Subtrees With Max Distance Between Cities</v>
      </c>
      <c r="C1631" s="10">
        <f>Github!F$1618</f>
        <v>300</v>
      </c>
      <c r="D1631" s="10">
        <f>Github!G$1618</f>
        <v>29</v>
      </c>
      <c r="E1631" s="10">
        <f>Github!F$1618+Github!G$1618</f>
        <v>329</v>
      </c>
      <c r="F1631" s="12">
        <f t="shared" si="1"/>
        <v>10.34</v>
      </c>
      <c r="G1631" s="10" t="str">
        <f>Github!H$1618</f>
        <v>Algorithms</v>
      </c>
      <c r="H1631" s="13" t="str">
        <f>SUBSTITUTE(Github!L$1618, ";", ", ")</f>
        <v>Dynamic Programming, Bit Manipulation, Tree, Enumeration, Bitmask, </v>
      </c>
      <c r="I1631" s="10" t="str">
        <f>Github!E$1618</f>
        <v>Hard</v>
      </c>
      <c r="J1631" s="10" t="str">
        <f>IF(TRIM(Github!D$1618)="TRUE","FALSE","TRUE")</f>
        <v>TRUE</v>
      </c>
      <c r="K1631" s="10" t="b">
        <f>Github!M$1618</f>
        <v>0</v>
      </c>
      <c r="L1631" s="10" t="b">
        <f>Github!N$1618</f>
        <v>0</v>
      </c>
      <c r="M1631" s="10" t="str">
        <f>ROUND(Github!O$1618, 2)&amp;"%"</f>
        <v>65.38%</v>
      </c>
      <c r="N1631" s="10">
        <f>Github!P$1618</f>
        <v>6125</v>
      </c>
      <c r="O1631" s="10">
        <f>Github!Q$1618</f>
        <v>9368</v>
      </c>
    </row>
    <row r="1632">
      <c r="A1632" s="10">
        <f>Github!J$1985</f>
        <v>1984</v>
      </c>
      <c r="B1632" s="11" t="str">
        <f>HYPERLINK(CONCAT("http://leetcode.com/problems/",Github!C$1985), Github!B$1985)</f>
        <v>Minimum Difference Between Highest and Lowest of K Scores</v>
      </c>
      <c r="C1632" s="10">
        <f>Github!F$1985</f>
        <v>307</v>
      </c>
      <c r="D1632" s="10">
        <f>Github!G$1985</f>
        <v>43</v>
      </c>
      <c r="E1632" s="10">
        <f>Github!F$1985+Github!G$1985</f>
        <v>350</v>
      </c>
      <c r="F1632" s="12">
        <f t="shared" si="1"/>
        <v>7.14</v>
      </c>
      <c r="G1632" s="10" t="str">
        <f>Github!H$1985</f>
        <v>Algorithms</v>
      </c>
      <c r="H1632" s="13" t="str">
        <f>SUBSTITUTE(Github!L$1985, ";", ", ")</f>
        <v>Array, Sliding Window, Sorting, </v>
      </c>
      <c r="I1632" s="10" t="str">
        <f>Github!E$1985</f>
        <v>Easy</v>
      </c>
      <c r="J1632" s="10" t="str">
        <f>IF(TRIM(Github!D$1985)="TRUE","FALSE","TRUE")</f>
        <v>TRUE</v>
      </c>
      <c r="K1632" s="10" t="b">
        <f>Github!M$1985</f>
        <v>0</v>
      </c>
      <c r="L1632" s="10" t="b">
        <f>Github!N$1985</f>
        <v>0</v>
      </c>
      <c r="M1632" s="10" t="str">
        <f>ROUND(Github!O$1985, 2)&amp;"%"</f>
        <v>53.5%</v>
      </c>
      <c r="N1632" s="10">
        <f>Github!P$1985</f>
        <v>21913</v>
      </c>
      <c r="O1632" s="10">
        <f>Github!Q$1985</f>
        <v>40960</v>
      </c>
    </row>
    <row r="1633">
      <c r="A1633" s="10">
        <f>Github!J$2157</f>
        <v>2156</v>
      </c>
      <c r="B1633" s="11" t="str">
        <f>HYPERLINK(CONCAT("http://leetcode.com/problems/",Github!C$2157), Github!B$2157)</f>
        <v>Find Substring With Given Hash Value</v>
      </c>
      <c r="C1633" s="10">
        <f>Github!F$2157</f>
        <v>297</v>
      </c>
      <c r="D1633" s="10">
        <f>Github!G$2157</f>
        <v>338</v>
      </c>
      <c r="E1633" s="10">
        <f>Github!F$2157+Github!G$2157</f>
        <v>635</v>
      </c>
      <c r="F1633" s="12">
        <f t="shared" si="1"/>
        <v>0.88</v>
      </c>
      <c r="G1633" s="10" t="str">
        <f>Github!H$2157</f>
        <v>Algorithms</v>
      </c>
      <c r="H1633" s="13" t="str">
        <f>SUBSTITUTE(Github!L$2157, ";", ", ")</f>
        <v>String, Sliding Window, Rolling Hash, Hash Function, </v>
      </c>
      <c r="I1633" s="10" t="str">
        <f>Github!E$2157</f>
        <v>Hard</v>
      </c>
      <c r="J1633" s="10" t="str">
        <f>IF(TRIM(Github!D$2157)="TRUE","FALSE","TRUE")</f>
        <v>TRUE</v>
      </c>
      <c r="K1633" s="10" t="b">
        <f>Github!M$2157</f>
        <v>0</v>
      </c>
      <c r="L1633" s="10" t="b">
        <f>Github!N$2157</f>
        <v>0</v>
      </c>
      <c r="M1633" s="10" t="str">
        <f>ROUND(Github!O$2157, 2)&amp;"%"</f>
        <v>20.97%</v>
      </c>
      <c r="N1633" s="10">
        <f>Github!P$2157</f>
        <v>9007</v>
      </c>
      <c r="O1633" s="10">
        <f>Github!Q$2157</f>
        <v>42949</v>
      </c>
    </row>
    <row r="1634">
      <c r="A1634" s="10">
        <f>Github!J$528</f>
        <v>527</v>
      </c>
      <c r="B1634" s="11" t="str">
        <f>HYPERLINK(CONCAT("http://leetcode.com/problems/",Github!C$528), Github!B$528)</f>
        <v>Word Abbreviation</v>
      </c>
      <c r="C1634" s="10">
        <f>Github!F$528</f>
        <v>297</v>
      </c>
      <c r="D1634" s="10">
        <f>Github!G$528</f>
        <v>202</v>
      </c>
      <c r="E1634" s="10">
        <f>Github!F$528+Github!G$528</f>
        <v>499</v>
      </c>
      <c r="F1634" s="12">
        <f t="shared" si="1"/>
        <v>1.47</v>
      </c>
      <c r="G1634" s="10" t="str">
        <f>Github!H$528</f>
        <v>Algorithms</v>
      </c>
      <c r="H1634" s="13" t="str">
        <f>SUBSTITUTE(Github!L$528, ";", ", ")</f>
        <v>Array, String, Greedy, Trie, Sorting, </v>
      </c>
      <c r="I1634" s="10" t="str">
        <f>Github!E$528</f>
        <v>Hard</v>
      </c>
      <c r="J1634" s="10" t="str">
        <f>IF(TRIM(Github!D$528)="TRUE","FALSE","TRUE")</f>
        <v>FALSE</v>
      </c>
      <c r="K1634" s="10" t="b">
        <f>Github!M$528</f>
        <v>1</v>
      </c>
      <c r="L1634" s="10" t="b">
        <f>Github!N$528</f>
        <v>0</v>
      </c>
      <c r="M1634" s="10" t="str">
        <f>ROUND(Github!O$528, 2)&amp;"%"</f>
        <v>58.21%</v>
      </c>
      <c r="N1634" s="10">
        <f>Github!P$528</f>
        <v>21800</v>
      </c>
      <c r="O1634" s="10">
        <f>Github!Q$528</f>
        <v>37449</v>
      </c>
    </row>
    <row r="1635">
      <c r="A1635" s="10">
        <f>Github!J$2023</f>
        <v>2022</v>
      </c>
      <c r="B1635" s="11" t="str">
        <f>HYPERLINK(CONCAT("http://leetcode.com/problems/",Github!C$2023), Github!B$2023)</f>
        <v>Convert 1D Array Into 2D Array</v>
      </c>
      <c r="C1635" s="10">
        <f>Github!F$2023</f>
        <v>303</v>
      </c>
      <c r="D1635" s="10">
        <f>Github!G$2023</f>
        <v>21</v>
      </c>
      <c r="E1635" s="10">
        <f>Github!F$2023+Github!G$2023</f>
        <v>324</v>
      </c>
      <c r="F1635" s="12">
        <f t="shared" si="1"/>
        <v>14.43</v>
      </c>
      <c r="G1635" s="10" t="str">
        <f>Github!H$2023</f>
        <v>Algorithms</v>
      </c>
      <c r="H1635" s="13" t="str">
        <f>SUBSTITUTE(Github!L$2023, ";", ", ")</f>
        <v>Array, Matrix, Simulation, </v>
      </c>
      <c r="I1635" s="10" t="str">
        <f>Github!E$2023</f>
        <v>Easy</v>
      </c>
      <c r="J1635" s="10" t="str">
        <f>IF(TRIM(Github!D$2023)="TRUE","FALSE","TRUE")</f>
        <v>TRUE</v>
      </c>
      <c r="K1635" s="10" t="b">
        <f>Github!M$2023</f>
        <v>0</v>
      </c>
      <c r="L1635" s="10" t="b">
        <f>Github!N$2023</f>
        <v>0</v>
      </c>
      <c r="M1635" s="10" t="str">
        <f>ROUND(Github!O$2023, 2)&amp;"%"</f>
        <v>59.06%</v>
      </c>
      <c r="N1635" s="10">
        <f>Github!P$2023</f>
        <v>30256</v>
      </c>
      <c r="O1635" s="10">
        <f>Github!Q$2023</f>
        <v>51234</v>
      </c>
    </row>
    <row r="1636">
      <c r="A1636" s="10">
        <f>Github!J$1900</f>
        <v>1899</v>
      </c>
      <c r="B1636" s="11" t="str">
        <f>HYPERLINK(CONCAT("http://leetcode.com/problems/",Github!C$1900), Github!B$1900)</f>
        <v>Merge Triplets to Form Target Triplet</v>
      </c>
      <c r="C1636" s="10">
        <f>Github!F$1900</f>
        <v>297</v>
      </c>
      <c r="D1636" s="10">
        <f>Github!G$1900</f>
        <v>24</v>
      </c>
      <c r="E1636" s="10">
        <f>Github!F$1900+Github!G$1900</f>
        <v>321</v>
      </c>
      <c r="F1636" s="12">
        <f t="shared" si="1"/>
        <v>12.38</v>
      </c>
      <c r="G1636" s="10" t="str">
        <f>Github!H$1900</f>
        <v>Algorithms</v>
      </c>
      <c r="H1636" s="13" t="str">
        <f>SUBSTITUTE(Github!L$1900, ";", ", ")</f>
        <v>Array, Greedy, </v>
      </c>
      <c r="I1636" s="10" t="str">
        <f>Github!E$1900</f>
        <v>Medium</v>
      </c>
      <c r="J1636" s="10" t="str">
        <f>IF(TRIM(Github!D$1900)="TRUE","FALSE","TRUE")</f>
        <v>TRUE</v>
      </c>
      <c r="K1636" s="10" t="b">
        <f>Github!M$1900</f>
        <v>0</v>
      </c>
      <c r="L1636" s="10" t="b">
        <f>Github!N$1900</f>
        <v>0</v>
      </c>
      <c r="M1636" s="10" t="str">
        <f>ROUND(Github!O$1900, 2)&amp;"%"</f>
        <v>61.23%</v>
      </c>
      <c r="N1636" s="10">
        <f>Github!P$1900</f>
        <v>13598</v>
      </c>
      <c r="O1636" s="10">
        <f>Github!Q$1900</f>
        <v>22208</v>
      </c>
    </row>
    <row r="1637">
      <c r="A1637" s="10">
        <f>Github!J$520</f>
        <v>519</v>
      </c>
      <c r="B1637" s="11" t="str">
        <f>HYPERLINK(CONCAT("http://leetcode.com/problems/",Github!C$520), Github!B$520)</f>
        <v>Random Flip Matrix</v>
      </c>
      <c r="C1637" s="10">
        <f>Github!F$520</f>
        <v>294</v>
      </c>
      <c r="D1637" s="10">
        <f>Github!G$520</f>
        <v>89</v>
      </c>
      <c r="E1637" s="10">
        <f>Github!F$520+Github!G$520</f>
        <v>383</v>
      </c>
      <c r="F1637" s="12">
        <f t="shared" si="1"/>
        <v>3.3</v>
      </c>
      <c r="G1637" s="10" t="str">
        <f>Github!H$520</f>
        <v>Algorithms</v>
      </c>
      <c r="H1637" s="13" t="str">
        <f>SUBSTITUTE(Github!L$520, ";", ", ")</f>
        <v>Hash Table, Math, Reservoir Sampling, Randomized, </v>
      </c>
      <c r="I1637" s="10" t="str">
        <f>Github!E$520</f>
        <v>Medium</v>
      </c>
      <c r="J1637" s="10" t="str">
        <f>IF(TRIM(Github!D$520)="TRUE","FALSE","TRUE")</f>
        <v>TRUE</v>
      </c>
      <c r="K1637" s="10" t="b">
        <f>Github!M$520</f>
        <v>0</v>
      </c>
      <c r="L1637" s="10" t="b">
        <f>Github!N$520</f>
        <v>0</v>
      </c>
      <c r="M1637" s="10" t="str">
        <f>ROUND(Github!O$520, 2)&amp;"%"</f>
        <v>39.1%</v>
      </c>
      <c r="N1637" s="10">
        <f>Github!P$520</f>
        <v>13389</v>
      </c>
      <c r="O1637" s="10">
        <f>Github!Q$520</f>
        <v>34240</v>
      </c>
    </row>
    <row r="1638">
      <c r="A1638" s="10">
        <f>Github!J$2013</f>
        <v>2012</v>
      </c>
      <c r="B1638" s="11" t="str">
        <f>HYPERLINK(CONCAT("http://leetcode.com/problems/",Github!C$2013), Github!B$2013)</f>
        <v>Sum of Beauty in the Array</v>
      </c>
      <c r="C1638" s="10">
        <f>Github!F$2013</f>
        <v>296</v>
      </c>
      <c r="D1638" s="10">
        <f>Github!G$2013</f>
        <v>30</v>
      </c>
      <c r="E1638" s="10">
        <f>Github!F$2013+Github!G$2013</f>
        <v>326</v>
      </c>
      <c r="F1638" s="12">
        <f t="shared" si="1"/>
        <v>9.87</v>
      </c>
      <c r="G1638" s="10" t="str">
        <f>Github!H$2013</f>
        <v>Algorithms</v>
      </c>
      <c r="H1638" s="13" t="str">
        <f>SUBSTITUTE(Github!L$2013, ";", ", ")</f>
        <v>Array, </v>
      </c>
      <c r="I1638" s="10" t="str">
        <f>Github!E$2013</f>
        <v>Medium</v>
      </c>
      <c r="J1638" s="10" t="str">
        <f>IF(TRIM(Github!D$2013)="TRUE","FALSE","TRUE")</f>
        <v>TRUE</v>
      </c>
      <c r="K1638" s="10" t="b">
        <f>Github!M$2013</f>
        <v>0</v>
      </c>
      <c r="L1638" s="10" t="b">
        <f>Github!N$2013</f>
        <v>0</v>
      </c>
      <c r="M1638" s="10" t="str">
        <f>ROUND(Github!O$2013, 2)&amp;"%"</f>
        <v>45.89%</v>
      </c>
      <c r="N1638" s="10">
        <f>Github!P$2013</f>
        <v>13834</v>
      </c>
      <c r="O1638" s="10">
        <f>Github!Q$2013</f>
        <v>30143</v>
      </c>
    </row>
    <row r="1639">
      <c r="A1639" s="10">
        <f>Github!J$467</f>
        <v>466</v>
      </c>
      <c r="B1639" s="11" t="str">
        <f>HYPERLINK(CONCAT("http://leetcode.com/problems/",Github!C$467), Github!B$467)</f>
        <v>Count The Repetitions</v>
      </c>
      <c r="C1639" s="10">
        <f>Github!F$467</f>
        <v>293</v>
      </c>
      <c r="D1639" s="10">
        <f>Github!G$467</f>
        <v>261</v>
      </c>
      <c r="E1639" s="10">
        <f>Github!F$467+Github!G$467</f>
        <v>554</v>
      </c>
      <c r="F1639" s="12">
        <f t="shared" si="1"/>
        <v>1.12</v>
      </c>
      <c r="G1639" s="10" t="str">
        <f>Github!H$467</f>
        <v>Algorithms</v>
      </c>
      <c r="H1639" s="13" t="str">
        <f>SUBSTITUTE(Github!L$467, ";", ", ")</f>
        <v>String, Dynamic Programming, </v>
      </c>
      <c r="I1639" s="10" t="str">
        <f>Github!E$467</f>
        <v>Hard</v>
      </c>
      <c r="J1639" s="10" t="str">
        <f>IF(TRIM(Github!D$467)="TRUE","FALSE","TRUE")</f>
        <v>TRUE</v>
      </c>
      <c r="K1639" s="10" t="b">
        <f>Github!M$467</f>
        <v>1</v>
      </c>
      <c r="L1639" s="10" t="b">
        <f>Github!N$467</f>
        <v>0</v>
      </c>
      <c r="M1639" s="10" t="str">
        <f>ROUND(Github!O$467, 2)&amp;"%"</f>
        <v>29.01%</v>
      </c>
      <c r="N1639" s="10">
        <f>Github!P$467</f>
        <v>14145</v>
      </c>
      <c r="O1639" s="10">
        <f>Github!Q$467</f>
        <v>48765</v>
      </c>
    </row>
    <row r="1640">
      <c r="A1640" s="10">
        <f>Github!J$1976</f>
        <v>1975</v>
      </c>
      <c r="B1640" s="11" t="str">
        <f>HYPERLINK(CONCAT("http://leetcode.com/problems/",Github!C$1976), Github!B$1976)</f>
        <v>Maximum Matrix Sum</v>
      </c>
      <c r="C1640" s="10">
        <f>Github!F$1976</f>
        <v>294</v>
      </c>
      <c r="D1640" s="10">
        <f>Github!G$1976</f>
        <v>11</v>
      </c>
      <c r="E1640" s="10">
        <f>Github!F$1976+Github!G$1976</f>
        <v>305</v>
      </c>
      <c r="F1640" s="12">
        <f t="shared" si="1"/>
        <v>26.73</v>
      </c>
      <c r="G1640" s="10" t="str">
        <f>Github!H$1976</f>
        <v>Algorithms</v>
      </c>
      <c r="H1640" s="13" t="str">
        <f>SUBSTITUTE(Github!L$1976, ";", ", ")</f>
        <v>Array, Greedy, Matrix, </v>
      </c>
      <c r="I1640" s="10" t="str">
        <f>Github!E$1976</f>
        <v>Medium</v>
      </c>
      <c r="J1640" s="10" t="str">
        <f>IF(TRIM(Github!D$1976)="TRUE","FALSE","TRUE")</f>
        <v>TRUE</v>
      </c>
      <c r="K1640" s="10" t="b">
        <f>Github!M$1976</f>
        <v>0</v>
      </c>
      <c r="L1640" s="10" t="b">
        <f>Github!N$1976</f>
        <v>0</v>
      </c>
      <c r="M1640" s="10" t="str">
        <f>ROUND(Github!O$1976, 2)&amp;"%"</f>
        <v>44.8%</v>
      </c>
      <c r="N1640" s="10">
        <f>Github!P$1976</f>
        <v>9983</v>
      </c>
      <c r="O1640" s="10">
        <f>Github!Q$1976</f>
        <v>22284</v>
      </c>
    </row>
    <row r="1641">
      <c r="A1641" s="10">
        <f>Github!J$1963</f>
        <v>1962</v>
      </c>
      <c r="B1641" s="11" t="str">
        <f>HYPERLINK(CONCAT("http://leetcode.com/problems/",Github!C$1963), Github!B$1963)</f>
        <v>Remove Stones to Minimize the Total</v>
      </c>
      <c r="C1641" s="10">
        <f>Github!F$1963</f>
        <v>294</v>
      </c>
      <c r="D1641" s="10">
        <f>Github!G$1963</f>
        <v>14</v>
      </c>
      <c r="E1641" s="10">
        <f>Github!F$1963+Github!G$1963</f>
        <v>308</v>
      </c>
      <c r="F1641" s="12">
        <f t="shared" si="1"/>
        <v>21</v>
      </c>
      <c r="G1641" s="10" t="str">
        <f>Github!H$1963</f>
        <v>Algorithms</v>
      </c>
      <c r="H1641" s="13" t="str">
        <f>SUBSTITUTE(Github!L$1963, ";", ", ")</f>
        <v>Array, Heap (Priority Queue), </v>
      </c>
      <c r="I1641" s="10" t="str">
        <f>Github!E$1963</f>
        <v>Medium</v>
      </c>
      <c r="J1641" s="10" t="str">
        <f>IF(TRIM(Github!D$1963)="TRUE","FALSE","TRUE")</f>
        <v>TRUE</v>
      </c>
      <c r="K1641" s="10" t="b">
        <f>Github!M$1963</f>
        <v>0</v>
      </c>
      <c r="L1641" s="10" t="b">
        <f>Github!N$1963</f>
        <v>0</v>
      </c>
      <c r="M1641" s="10" t="str">
        <f>ROUND(Github!O$1963, 2)&amp;"%"</f>
        <v>56.57%</v>
      </c>
      <c r="N1641" s="10">
        <f>Github!P$1963</f>
        <v>18031</v>
      </c>
      <c r="O1641" s="10">
        <f>Github!Q$1963</f>
        <v>31871</v>
      </c>
    </row>
    <row r="1642">
      <c r="A1642" s="10">
        <f>Github!J$2071</f>
        <v>2070</v>
      </c>
      <c r="B1642" s="11" t="str">
        <f>HYPERLINK(CONCAT("http://leetcode.com/problems/",Github!C$2071), Github!B$2071)</f>
        <v>Most Beautiful Item for Each Query</v>
      </c>
      <c r="C1642" s="10">
        <f>Github!F$2071</f>
        <v>298</v>
      </c>
      <c r="D1642" s="10">
        <f>Github!G$2071</f>
        <v>8</v>
      </c>
      <c r="E1642" s="10">
        <f>Github!F$2071+Github!G$2071</f>
        <v>306</v>
      </c>
      <c r="F1642" s="12">
        <f t="shared" si="1"/>
        <v>37.25</v>
      </c>
      <c r="G1642" s="10" t="str">
        <f>Github!H$2071</f>
        <v>Algorithms</v>
      </c>
      <c r="H1642" s="13" t="str">
        <f>SUBSTITUTE(Github!L$2071, ";", ", ")</f>
        <v>Array, Binary Search, Sorting, </v>
      </c>
      <c r="I1642" s="10" t="str">
        <f>Github!E$2071</f>
        <v>Medium</v>
      </c>
      <c r="J1642" s="10" t="str">
        <f>IF(TRIM(Github!D$2071)="TRUE","FALSE","TRUE")</f>
        <v>TRUE</v>
      </c>
      <c r="K1642" s="10" t="b">
        <f>Github!M$2071</f>
        <v>0</v>
      </c>
      <c r="L1642" s="10" t="b">
        <f>Github!N$2071</f>
        <v>0</v>
      </c>
      <c r="M1642" s="10" t="str">
        <f>ROUND(Github!O$2071, 2)&amp;"%"</f>
        <v>48.43%</v>
      </c>
      <c r="N1642" s="10">
        <f>Github!P$2071</f>
        <v>8163</v>
      </c>
      <c r="O1642" s="10">
        <f>Github!Q$2071</f>
        <v>16855</v>
      </c>
    </row>
    <row r="1643">
      <c r="A1643" s="10">
        <f>Github!J$2054</f>
        <v>2053</v>
      </c>
      <c r="B1643" s="11" t="str">
        <f>HYPERLINK(CONCAT("http://leetcode.com/problems/",Github!C$2054), Github!B$2054)</f>
        <v>Kth Distinct String in an Array</v>
      </c>
      <c r="C1643" s="10">
        <f>Github!F$2054</f>
        <v>296</v>
      </c>
      <c r="D1643" s="10">
        <f>Github!G$2054</f>
        <v>6</v>
      </c>
      <c r="E1643" s="10">
        <f>Github!F$2054+Github!G$2054</f>
        <v>302</v>
      </c>
      <c r="F1643" s="12">
        <f t="shared" si="1"/>
        <v>49.33</v>
      </c>
      <c r="G1643" s="10" t="str">
        <f>Github!H$2054</f>
        <v>Algorithms</v>
      </c>
      <c r="H1643" s="13" t="str">
        <f>SUBSTITUTE(Github!L$2054, ";", ", ")</f>
        <v>Array, Hash Table, String, Counting, </v>
      </c>
      <c r="I1643" s="10" t="str">
        <f>Github!E$2054</f>
        <v>Easy</v>
      </c>
      <c r="J1643" s="10" t="str">
        <f>IF(TRIM(Github!D$2054)="TRUE","FALSE","TRUE")</f>
        <v>TRUE</v>
      </c>
      <c r="K1643" s="10" t="b">
        <f>Github!M$2054</f>
        <v>0</v>
      </c>
      <c r="L1643" s="10" t="b">
        <f>Github!N$2054</f>
        <v>0</v>
      </c>
      <c r="M1643" s="10" t="str">
        <f>ROUND(Github!O$2054, 2)&amp;"%"</f>
        <v>72.77%</v>
      </c>
      <c r="N1643" s="10">
        <f>Github!P$2054</f>
        <v>22409</v>
      </c>
      <c r="O1643" s="10">
        <f>Github!Q$2054</f>
        <v>30793</v>
      </c>
    </row>
    <row r="1644">
      <c r="A1644" s="10">
        <f>Github!J$2166</f>
        <v>2165</v>
      </c>
      <c r="B1644" s="11" t="str">
        <f>HYPERLINK(CONCAT("http://leetcode.com/problems/",Github!C$2166), Github!B$2166)</f>
        <v>Smallest Value of the Rearranged Number</v>
      </c>
      <c r="C1644" s="10">
        <f>Github!F$2166</f>
        <v>295</v>
      </c>
      <c r="D1644" s="10">
        <f>Github!G$2166</f>
        <v>9</v>
      </c>
      <c r="E1644" s="10">
        <f>Github!F$2166+Github!G$2166</f>
        <v>304</v>
      </c>
      <c r="F1644" s="12">
        <f t="shared" si="1"/>
        <v>32.78</v>
      </c>
      <c r="G1644" s="10" t="str">
        <f>Github!H$2166</f>
        <v>Algorithms</v>
      </c>
      <c r="H1644" s="13" t="str">
        <f>SUBSTITUTE(Github!L$2166, ";", ", ")</f>
        <v>Math, Sorting, </v>
      </c>
      <c r="I1644" s="10" t="str">
        <f>Github!E$2166</f>
        <v>Medium</v>
      </c>
      <c r="J1644" s="10" t="str">
        <f>IF(TRIM(Github!D$2166)="TRUE","FALSE","TRUE")</f>
        <v>TRUE</v>
      </c>
      <c r="K1644" s="10" t="b">
        <f>Github!M$2166</f>
        <v>0</v>
      </c>
      <c r="L1644" s="10" t="b">
        <f>Github!N$2166</f>
        <v>0</v>
      </c>
      <c r="M1644" s="10" t="str">
        <f>ROUND(Github!O$2166, 2)&amp;"%"</f>
        <v>50.69%</v>
      </c>
      <c r="N1644" s="10">
        <f>Github!P$2166</f>
        <v>20189</v>
      </c>
      <c r="O1644" s="10">
        <f>Github!Q$2166</f>
        <v>39829</v>
      </c>
    </row>
    <row r="1645">
      <c r="A1645" s="10">
        <f>Github!J$1612</f>
        <v>1611</v>
      </c>
      <c r="B1645" s="11" t="str">
        <f>HYPERLINK(CONCAT("http://leetcode.com/problems/",Github!C$1612), Github!B$1612)</f>
        <v>Minimum One Bit Operations to Make Integers Zero</v>
      </c>
      <c r="C1645" s="10">
        <f>Github!F$1612</f>
        <v>290</v>
      </c>
      <c r="D1645" s="10">
        <f>Github!G$1612</f>
        <v>275</v>
      </c>
      <c r="E1645" s="10">
        <f>Github!F$1612+Github!G$1612</f>
        <v>565</v>
      </c>
      <c r="F1645" s="12">
        <f t="shared" si="1"/>
        <v>1.05</v>
      </c>
      <c r="G1645" s="10" t="str">
        <f>Github!H$1612</f>
        <v>Algorithms</v>
      </c>
      <c r="H1645" s="13" t="str">
        <f>SUBSTITUTE(Github!L$1612, ";", ", ")</f>
        <v>Dynamic Programming, Bit Manipulation, Memoization, </v>
      </c>
      <c r="I1645" s="10" t="str">
        <f>Github!E$1612</f>
        <v>Hard</v>
      </c>
      <c r="J1645" s="10" t="str">
        <f>IF(TRIM(Github!D$1612)="TRUE","FALSE","TRUE")</f>
        <v>TRUE</v>
      </c>
      <c r="K1645" s="10" t="b">
        <f>Github!M$1612</f>
        <v>0</v>
      </c>
      <c r="L1645" s="10" t="b">
        <f>Github!N$1612</f>
        <v>0</v>
      </c>
      <c r="M1645" s="10" t="str">
        <f>ROUND(Github!O$1612, 2)&amp;"%"</f>
        <v>62.31%</v>
      </c>
      <c r="N1645" s="10">
        <f>Github!P$1612</f>
        <v>10068</v>
      </c>
      <c r="O1645" s="10">
        <f>Github!Q$1612</f>
        <v>16158</v>
      </c>
    </row>
    <row r="1646">
      <c r="A1646" s="10">
        <f>Github!J$1398</f>
        <v>1397</v>
      </c>
      <c r="B1646" s="11" t="str">
        <f>HYPERLINK(CONCAT("http://leetcode.com/problems/",Github!C$1398), Github!B$1398)</f>
        <v>Find All Good Strings</v>
      </c>
      <c r="C1646" s="10">
        <f>Github!F$1398</f>
        <v>291</v>
      </c>
      <c r="D1646" s="10">
        <f>Github!G$1398</f>
        <v>104</v>
      </c>
      <c r="E1646" s="10">
        <f>Github!F$1398+Github!G$1398</f>
        <v>395</v>
      </c>
      <c r="F1646" s="12">
        <f t="shared" si="1"/>
        <v>2.8</v>
      </c>
      <c r="G1646" s="10" t="str">
        <f>Github!H$1398</f>
        <v>Algorithms</v>
      </c>
      <c r="H1646" s="13" t="str">
        <f>SUBSTITUTE(Github!L$1398, ";", ", ")</f>
        <v>String, Dynamic Programming, String Matching, </v>
      </c>
      <c r="I1646" s="10" t="str">
        <f>Github!E$1398</f>
        <v>Hard</v>
      </c>
      <c r="J1646" s="10" t="str">
        <f>IF(TRIM(Github!D$1398)="TRUE","FALSE","TRUE")</f>
        <v>TRUE</v>
      </c>
      <c r="K1646" s="10" t="b">
        <f>Github!M$1398</f>
        <v>0</v>
      </c>
      <c r="L1646" s="10" t="b">
        <f>Github!N$1398</f>
        <v>0</v>
      </c>
      <c r="M1646" s="10" t="str">
        <f>ROUND(Github!O$1398, 2)&amp;"%"</f>
        <v>41%</v>
      </c>
      <c r="N1646" s="10">
        <f>Github!P$1398</f>
        <v>4024</v>
      </c>
      <c r="O1646" s="10">
        <f>Github!Q$1398</f>
        <v>9814</v>
      </c>
    </row>
    <row r="1647">
      <c r="A1647" s="10">
        <f>Github!J$1170</f>
        <v>1169</v>
      </c>
      <c r="B1647" s="11" t="str">
        <f>HYPERLINK(CONCAT("http://leetcode.com/problems/",Github!C$1170), Github!B$1170)</f>
        <v>Invalid Transactions</v>
      </c>
      <c r="C1647" s="10">
        <f>Github!F$1170</f>
        <v>293</v>
      </c>
      <c r="D1647" s="10">
        <f>Github!G$1170</f>
        <v>1452</v>
      </c>
      <c r="E1647" s="10">
        <f>Github!F$1170+Github!G$1170</f>
        <v>1745</v>
      </c>
      <c r="F1647" s="12">
        <f t="shared" si="1"/>
        <v>0.2</v>
      </c>
      <c r="G1647" s="10" t="str">
        <f>Github!H$1170</f>
        <v>Algorithms</v>
      </c>
      <c r="H1647" s="13" t="str">
        <f>SUBSTITUTE(Github!L$1170, ";", ", ")</f>
        <v>Array, Hash Table, String, Sorting, </v>
      </c>
      <c r="I1647" s="10" t="str">
        <f>Github!E$1170</f>
        <v>Medium</v>
      </c>
      <c r="J1647" s="10" t="str">
        <f>IF(TRIM(Github!D$1170)="TRUE","FALSE","TRUE")</f>
        <v>TRUE</v>
      </c>
      <c r="K1647" s="10" t="b">
        <f>Github!M$1170</f>
        <v>0</v>
      </c>
      <c r="L1647" s="10" t="b">
        <f>Github!N$1170</f>
        <v>0</v>
      </c>
      <c r="M1647" s="10" t="str">
        <f>ROUND(Github!O$1170, 2)&amp;"%"</f>
        <v>30.16%</v>
      </c>
      <c r="N1647" s="10">
        <f>Github!P$1170</f>
        <v>40650</v>
      </c>
      <c r="O1647" s="10">
        <f>Github!Q$1170</f>
        <v>134797</v>
      </c>
    </row>
    <row r="1648">
      <c r="A1648" s="10">
        <f>Github!J$552</f>
        <v>551</v>
      </c>
      <c r="B1648" s="11" t="str">
        <f>HYPERLINK(CONCAT("http://leetcode.com/problems/",Github!C$552), Github!B$552)</f>
        <v>Student Attendance Record I</v>
      </c>
      <c r="C1648" s="10">
        <f>Github!F$552</f>
        <v>293</v>
      </c>
      <c r="D1648" s="10">
        <f>Github!G$552</f>
        <v>16</v>
      </c>
      <c r="E1648" s="10">
        <f>Github!F$552+Github!G$552</f>
        <v>309</v>
      </c>
      <c r="F1648" s="12">
        <f t="shared" si="1"/>
        <v>18.31</v>
      </c>
      <c r="G1648" s="10" t="str">
        <f>Github!H$552</f>
        <v>Algorithms</v>
      </c>
      <c r="H1648" s="13" t="str">
        <f>SUBSTITUTE(Github!L$552, ";", ", ")</f>
        <v>String, </v>
      </c>
      <c r="I1648" s="10" t="str">
        <f>Github!E$552</f>
        <v>Easy</v>
      </c>
      <c r="J1648" s="10" t="str">
        <f>IF(TRIM(Github!D$552)="TRUE","FALSE","TRUE")</f>
        <v>TRUE</v>
      </c>
      <c r="K1648" s="10" t="b">
        <f>Github!M$552</f>
        <v>1</v>
      </c>
      <c r="L1648" s="10" t="b">
        <f>Github!N$552</f>
        <v>0</v>
      </c>
      <c r="M1648" s="10" t="str">
        <f>ROUND(Github!O$552, 2)&amp;"%"</f>
        <v>47.6%</v>
      </c>
      <c r="N1648" s="10">
        <f>Github!P$552</f>
        <v>142597</v>
      </c>
      <c r="O1648" s="10">
        <f>Github!Q$552</f>
        <v>299580</v>
      </c>
    </row>
    <row r="1649">
      <c r="A1649" s="10">
        <f>Github!J$2038</f>
        <v>2037</v>
      </c>
      <c r="B1649" s="11" t="str">
        <f>HYPERLINK(CONCAT("http://leetcode.com/problems/",Github!C$2038), Github!B$2038)</f>
        <v>Minimum Number of Moves to Seat Everyone</v>
      </c>
      <c r="C1649" s="10">
        <f>Github!F$2038</f>
        <v>291</v>
      </c>
      <c r="D1649" s="10">
        <f>Github!G$2038</f>
        <v>51</v>
      </c>
      <c r="E1649" s="10">
        <f>Github!F$2038+Github!G$2038</f>
        <v>342</v>
      </c>
      <c r="F1649" s="12">
        <f t="shared" si="1"/>
        <v>5.71</v>
      </c>
      <c r="G1649" s="10" t="str">
        <f>Github!H$2038</f>
        <v>Algorithms</v>
      </c>
      <c r="H1649" s="13" t="str">
        <f>SUBSTITUTE(Github!L$2038, ";", ", ")</f>
        <v>Array, Sorting, </v>
      </c>
      <c r="I1649" s="10" t="str">
        <f>Github!E$2038</f>
        <v>Easy</v>
      </c>
      <c r="J1649" s="10" t="str">
        <f>IF(TRIM(Github!D$2038)="TRUE","FALSE","TRUE")</f>
        <v>TRUE</v>
      </c>
      <c r="K1649" s="10" t="b">
        <f>Github!M$2038</f>
        <v>0</v>
      </c>
      <c r="L1649" s="10" t="b">
        <f>Github!N$2038</f>
        <v>0</v>
      </c>
      <c r="M1649" s="10" t="str">
        <f>ROUND(Github!O$2038, 2)&amp;"%"</f>
        <v>82.74%</v>
      </c>
      <c r="N1649" s="10">
        <f>Github!P$2038</f>
        <v>23110</v>
      </c>
      <c r="O1649" s="10">
        <f>Github!Q$2038</f>
        <v>27930</v>
      </c>
    </row>
    <row r="1650">
      <c r="A1650" s="10">
        <f>Github!J$783</f>
        <v>782</v>
      </c>
      <c r="B1650" s="11" t="str">
        <f>HYPERLINK(CONCAT("http://leetcode.com/problems/",Github!C$783), Github!B$783)</f>
        <v>Transform to Chessboard</v>
      </c>
      <c r="C1650" s="10">
        <f>Github!F$783</f>
        <v>287</v>
      </c>
      <c r="D1650" s="10">
        <f>Github!G$783</f>
        <v>284</v>
      </c>
      <c r="E1650" s="10">
        <f>Github!F$783+Github!G$783</f>
        <v>571</v>
      </c>
      <c r="F1650" s="12">
        <f t="shared" si="1"/>
        <v>1.01</v>
      </c>
      <c r="G1650" s="10" t="str">
        <f>Github!H$783</f>
        <v>Algorithms</v>
      </c>
      <c r="H1650" s="13" t="str">
        <f>SUBSTITUTE(Github!L$783, ";", ", ")</f>
        <v>Array, Math, Bit Manipulation, Matrix, </v>
      </c>
      <c r="I1650" s="10" t="str">
        <f>Github!E$783</f>
        <v>Hard</v>
      </c>
      <c r="J1650" s="10" t="str">
        <f>IF(TRIM(Github!D$783)="TRUE","FALSE","TRUE")</f>
        <v>TRUE</v>
      </c>
      <c r="K1650" s="10" t="b">
        <f>Github!M$783</f>
        <v>1</v>
      </c>
      <c r="L1650" s="10" t="b">
        <f>Github!N$783</f>
        <v>0</v>
      </c>
      <c r="M1650" s="10" t="str">
        <f>ROUND(Github!O$783, 2)&amp;"%"</f>
        <v>52%</v>
      </c>
      <c r="N1650" s="10">
        <f>Github!P$783</f>
        <v>14996</v>
      </c>
      <c r="O1650" s="10">
        <f>Github!Q$783</f>
        <v>28836</v>
      </c>
    </row>
    <row r="1651">
      <c r="A1651" s="10">
        <f>Github!J$1041</f>
        <v>1040</v>
      </c>
      <c r="B1651" s="11" t="str">
        <f>HYPERLINK(CONCAT("http://leetcode.com/problems/",Github!C$1041), Github!B$1041)</f>
        <v>Moving Stones Until Consecutive II</v>
      </c>
      <c r="C1651" s="10">
        <f>Github!F$1041</f>
        <v>287</v>
      </c>
      <c r="D1651" s="10">
        <f>Github!G$1041</f>
        <v>502</v>
      </c>
      <c r="E1651" s="10">
        <f>Github!F$1041+Github!G$1041</f>
        <v>789</v>
      </c>
      <c r="F1651" s="12">
        <f t="shared" si="1"/>
        <v>0.57</v>
      </c>
      <c r="G1651" s="10" t="str">
        <f>Github!H$1041</f>
        <v>Algorithms</v>
      </c>
      <c r="H1651" s="13" t="str">
        <f>SUBSTITUTE(Github!L$1041, ";", ", ")</f>
        <v>Array, Math, Two Pointers, Sorting, </v>
      </c>
      <c r="I1651" s="10" t="str">
        <f>Github!E$1041</f>
        <v>Medium</v>
      </c>
      <c r="J1651" s="10" t="str">
        <f>IF(TRIM(Github!D$1041)="TRUE","FALSE","TRUE")</f>
        <v>TRUE</v>
      </c>
      <c r="K1651" s="10" t="b">
        <f>Github!M$1041</f>
        <v>0</v>
      </c>
      <c r="L1651" s="10" t="b">
        <f>Github!N$1041</f>
        <v>0</v>
      </c>
      <c r="M1651" s="10" t="str">
        <f>ROUND(Github!O$1041, 2)&amp;"%"</f>
        <v>55.56%</v>
      </c>
      <c r="N1651" s="10">
        <f>Github!P$1041</f>
        <v>7697</v>
      </c>
      <c r="O1651" s="10">
        <f>Github!Q$1041</f>
        <v>13854</v>
      </c>
    </row>
    <row r="1652">
      <c r="A1652" s="10">
        <f>Github!J$1863</f>
        <v>1862</v>
      </c>
      <c r="B1652" s="11" t="str">
        <f>HYPERLINK(CONCAT("http://leetcode.com/problems/",Github!C$1863), Github!B$1863)</f>
        <v>Sum of Floored Pairs</v>
      </c>
      <c r="C1652" s="10">
        <f>Github!F$1863</f>
        <v>287</v>
      </c>
      <c r="D1652" s="10">
        <f>Github!G$1863</f>
        <v>26</v>
      </c>
      <c r="E1652" s="10">
        <f>Github!F$1863+Github!G$1863</f>
        <v>313</v>
      </c>
      <c r="F1652" s="12">
        <f t="shared" si="1"/>
        <v>11.04</v>
      </c>
      <c r="G1652" s="10" t="str">
        <f>Github!H$1863</f>
        <v>Algorithms</v>
      </c>
      <c r="H1652" s="13" t="str">
        <f>SUBSTITUTE(Github!L$1863, ";", ", ")</f>
        <v>Array, Math, Binary Search, Prefix Sum, </v>
      </c>
      <c r="I1652" s="10" t="str">
        <f>Github!E$1863</f>
        <v>Hard</v>
      </c>
      <c r="J1652" s="10" t="str">
        <f>IF(TRIM(Github!D$1863)="TRUE","FALSE","TRUE")</f>
        <v>TRUE</v>
      </c>
      <c r="K1652" s="10" t="b">
        <f>Github!M$1863</f>
        <v>0</v>
      </c>
      <c r="L1652" s="10" t="b">
        <f>Github!N$1863</f>
        <v>0</v>
      </c>
      <c r="M1652" s="10" t="str">
        <f>ROUND(Github!O$1863, 2)&amp;"%"</f>
        <v>27.96%</v>
      </c>
      <c r="N1652" s="10">
        <f>Github!P$1863</f>
        <v>5924</v>
      </c>
      <c r="O1652" s="10">
        <f>Github!Q$1863</f>
        <v>21187</v>
      </c>
    </row>
    <row r="1653">
      <c r="A1653" s="10">
        <f>Github!J$1271</f>
        <v>1270</v>
      </c>
      <c r="B1653" s="11" t="str">
        <f>HYPERLINK(CONCAT("http://leetcode.com/problems/",Github!C$1271), Github!B$1271)</f>
        <v>All People Report to the Given Manager</v>
      </c>
      <c r="C1653" s="10">
        <f>Github!F$1271</f>
        <v>288</v>
      </c>
      <c r="D1653" s="10">
        <f>Github!G$1271</f>
        <v>22</v>
      </c>
      <c r="E1653" s="10">
        <f>Github!F$1271+Github!G$1271</f>
        <v>310</v>
      </c>
      <c r="F1653" s="12">
        <f t="shared" si="1"/>
        <v>13.09</v>
      </c>
      <c r="G1653" s="10" t="str">
        <f>Github!H$1271</f>
        <v>Database</v>
      </c>
      <c r="H1653" s="13" t="str">
        <f>SUBSTITUTE(Github!L$1271, ";", ", ")</f>
        <v>Database, </v>
      </c>
      <c r="I1653" s="10" t="str">
        <f>Github!E$1271</f>
        <v>Medium</v>
      </c>
      <c r="J1653" s="10" t="str">
        <f>IF(TRIM(Github!D$1271)="TRUE","FALSE","TRUE")</f>
        <v>FALSE</v>
      </c>
      <c r="K1653" s="10" t="b">
        <f>Github!M$1271</f>
        <v>0</v>
      </c>
      <c r="L1653" s="10" t="b">
        <f>Github!N$1271</f>
        <v>0</v>
      </c>
      <c r="M1653" s="10" t="str">
        <f>ROUND(Github!O$1271, 2)&amp;"%"</f>
        <v>88.04%</v>
      </c>
      <c r="N1653" s="10">
        <f>Github!P$1271</f>
        <v>37910</v>
      </c>
      <c r="O1653" s="10">
        <f>Github!Q$1271</f>
        <v>43062</v>
      </c>
    </row>
    <row r="1654">
      <c r="A1654" s="10">
        <f>Github!J$1091</f>
        <v>1090</v>
      </c>
      <c r="B1654" s="11" t="str">
        <f>HYPERLINK(CONCAT("http://leetcode.com/problems/",Github!C$1091), Github!B$1091)</f>
        <v>Largest Values From Labels</v>
      </c>
      <c r="C1654" s="10">
        <f>Github!F$1091</f>
        <v>289</v>
      </c>
      <c r="D1654" s="10">
        <f>Github!G$1091</f>
        <v>550</v>
      </c>
      <c r="E1654" s="10">
        <f>Github!F$1091+Github!G$1091</f>
        <v>839</v>
      </c>
      <c r="F1654" s="12">
        <f t="shared" si="1"/>
        <v>0.53</v>
      </c>
      <c r="G1654" s="10" t="str">
        <f>Github!H$1091</f>
        <v>Algorithms</v>
      </c>
      <c r="H1654" s="13" t="str">
        <f>SUBSTITUTE(Github!L$1091, ";", ", ")</f>
        <v>Array, Hash Table, Greedy, Sorting, Counting, </v>
      </c>
      <c r="I1654" s="10" t="str">
        <f>Github!E$1091</f>
        <v>Medium</v>
      </c>
      <c r="J1654" s="10" t="str">
        <f>IF(TRIM(Github!D$1091)="TRUE","FALSE","TRUE")</f>
        <v>TRUE</v>
      </c>
      <c r="K1654" s="10" t="b">
        <f>Github!M$1091</f>
        <v>0</v>
      </c>
      <c r="L1654" s="10" t="b">
        <f>Github!N$1091</f>
        <v>0</v>
      </c>
      <c r="M1654" s="10" t="str">
        <f>ROUND(Github!O$1091, 2)&amp;"%"</f>
        <v>60.61%</v>
      </c>
      <c r="N1654" s="10">
        <f>Github!P$1091</f>
        <v>27667</v>
      </c>
      <c r="O1654" s="10">
        <f>Github!Q$1091</f>
        <v>45647</v>
      </c>
    </row>
    <row r="1655">
      <c r="A1655" s="10">
        <f>Github!J$423</f>
        <v>422</v>
      </c>
      <c r="B1655" s="11" t="str">
        <f>HYPERLINK(CONCAT("http://leetcode.com/problems/",Github!C$423), Github!B$423)</f>
        <v>Valid Word Square</v>
      </c>
      <c r="C1655" s="10">
        <f>Github!F$423</f>
        <v>286</v>
      </c>
      <c r="D1655" s="10">
        <f>Github!G$423</f>
        <v>174</v>
      </c>
      <c r="E1655" s="10">
        <f>Github!F$423+Github!G$423</f>
        <v>460</v>
      </c>
      <c r="F1655" s="12">
        <f t="shared" si="1"/>
        <v>1.64</v>
      </c>
      <c r="G1655" s="10" t="str">
        <f>Github!H$423</f>
        <v>Algorithms</v>
      </c>
      <c r="H1655" s="13" t="str">
        <f>SUBSTITUTE(Github!L$423, ";", ", ")</f>
        <v>Array, Matrix, </v>
      </c>
      <c r="I1655" s="10" t="str">
        <f>Github!E$423</f>
        <v>Easy</v>
      </c>
      <c r="J1655" s="10" t="str">
        <f>IF(TRIM(Github!D$423)="TRUE","FALSE","TRUE")</f>
        <v>FALSE</v>
      </c>
      <c r="K1655" s="10" t="b">
        <f>Github!M$423</f>
        <v>0</v>
      </c>
      <c r="L1655" s="10" t="b">
        <f>Github!N$423</f>
        <v>0</v>
      </c>
      <c r="M1655" s="10" t="str">
        <f>ROUND(Github!O$423, 2)&amp;"%"</f>
        <v>38.66%</v>
      </c>
      <c r="N1655" s="10">
        <f>Github!P$423</f>
        <v>40063</v>
      </c>
      <c r="O1655" s="10">
        <f>Github!Q$423</f>
        <v>103635</v>
      </c>
    </row>
    <row r="1656">
      <c r="A1656" s="10">
        <f>Github!J$1677</f>
        <v>1676</v>
      </c>
      <c r="B1656" s="11" t="str">
        <f>HYPERLINK(CONCAT("http://leetcode.com/problems/",Github!C$1677), Github!B$1677)</f>
        <v>Lowest Common Ancestor of a Binary Tree IV</v>
      </c>
      <c r="C1656" s="10">
        <f>Github!F$1677</f>
        <v>290</v>
      </c>
      <c r="D1656" s="10">
        <f>Github!G$1677</f>
        <v>9</v>
      </c>
      <c r="E1656" s="10">
        <f>Github!F$1677+Github!G$1677</f>
        <v>299</v>
      </c>
      <c r="F1656" s="12">
        <f t="shared" si="1"/>
        <v>32.22</v>
      </c>
      <c r="G1656" s="10" t="str">
        <f>Github!H$1677</f>
        <v>Algorithms</v>
      </c>
      <c r="H1656" s="13" t="str">
        <f>SUBSTITUTE(Github!L$1677, ";", ", ")</f>
        <v>Tree, Depth-First Search, Binary Tree, </v>
      </c>
      <c r="I1656" s="10" t="str">
        <f>Github!E$1677</f>
        <v>Medium</v>
      </c>
      <c r="J1656" s="10" t="str">
        <f>IF(TRIM(Github!D$1677)="TRUE","FALSE","TRUE")</f>
        <v>FALSE</v>
      </c>
      <c r="K1656" s="10" t="b">
        <f>Github!M$1677</f>
        <v>0</v>
      </c>
      <c r="L1656" s="10" t="b">
        <f>Github!N$1677</f>
        <v>0</v>
      </c>
      <c r="M1656" s="10" t="str">
        <f>ROUND(Github!O$1677, 2)&amp;"%"</f>
        <v>79.45%</v>
      </c>
      <c r="N1656" s="10">
        <f>Github!P$1677</f>
        <v>20772</v>
      </c>
      <c r="O1656" s="10">
        <f>Github!Q$1677</f>
        <v>26146</v>
      </c>
    </row>
    <row r="1657">
      <c r="A1657" s="10">
        <f>Github!J$1549</f>
        <v>1548</v>
      </c>
      <c r="B1657" s="11" t="str">
        <f>HYPERLINK(CONCAT("http://leetcode.com/problems/",Github!C$1549), Github!B$1549)</f>
        <v>The Most Similar Path in a Graph</v>
      </c>
      <c r="C1657" s="10">
        <f>Github!F$1549</f>
        <v>285</v>
      </c>
      <c r="D1657" s="10">
        <f>Github!G$1549</f>
        <v>137</v>
      </c>
      <c r="E1657" s="10">
        <f>Github!F$1549+Github!G$1549</f>
        <v>422</v>
      </c>
      <c r="F1657" s="12">
        <f t="shared" si="1"/>
        <v>2.08</v>
      </c>
      <c r="G1657" s="10" t="str">
        <f>Github!H$1549</f>
        <v>Algorithms</v>
      </c>
      <c r="H1657" s="13" t="str">
        <f>SUBSTITUTE(Github!L$1549, ";", ", ")</f>
        <v>Dynamic Programming, Graph, </v>
      </c>
      <c r="I1657" s="10" t="str">
        <f>Github!E$1549</f>
        <v>Hard</v>
      </c>
      <c r="J1657" s="10" t="str">
        <f>IF(TRIM(Github!D$1549)="TRUE","FALSE","TRUE")</f>
        <v>FALSE</v>
      </c>
      <c r="K1657" s="10" t="b">
        <f>Github!M$1549</f>
        <v>0</v>
      </c>
      <c r="L1657" s="10" t="b">
        <f>Github!N$1549</f>
        <v>0</v>
      </c>
      <c r="M1657" s="10" t="str">
        <f>ROUND(Github!O$1549, 2)&amp;"%"</f>
        <v>56.9%</v>
      </c>
      <c r="N1657" s="10">
        <f>Github!P$1549</f>
        <v>13434</v>
      </c>
      <c r="O1657" s="10">
        <f>Github!Q$1549</f>
        <v>23610</v>
      </c>
    </row>
    <row r="1658">
      <c r="A1658" s="10">
        <f>Github!J$1167</f>
        <v>1166</v>
      </c>
      <c r="B1658" s="11" t="str">
        <f>HYPERLINK(CONCAT("http://leetcode.com/problems/",Github!C$1167), Github!B$1167)</f>
        <v>Design File System</v>
      </c>
      <c r="C1658" s="10">
        <f>Github!F$1167</f>
        <v>339</v>
      </c>
      <c r="D1658" s="10">
        <f>Github!G$1167</f>
        <v>29</v>
      </c>
      <c r="E1658" s="10">
        <f>Github!F$1167+Github!G$1167</f>
        <v>368</v>
      </c>
      <c r="F1658" s="12">
        <f t="shared" si="1"/>
        <v>11.69</v>
      </c>
      <c r="G1658" s="10" t="str">
        <f>Github!H$1167</f>
        <v>Algorithms</v>
      </c>
      <c r="H1658" s="13" t="str">
        <f>SUBSTITUTE(Github!L$1167, ";", ", ")</f>
        <v>Hash Table, String, Design, Trie, </v>
      </c>
      <c r="I1658" s="10" t="str">
        <f>Github!E$1167</f>
        <v>Medium</v>
      </c>
      <c r="J1658" s="10" t="str">
        <f>IF(TRIM(Github!D$1167)="TRUE","FALSE","TRUE")</f>
        <v>FALSE</v>
      </c>
      <c r="K1658" s="10" t="b">
        <f>Github!M$1167</f>
        <v>1</v>
      </c>
      <c r="L1658" s="10" t="b">
        <f>Github!N$1167</f>
        <v>0</v>
      </c>
      <c r="M1658" s="10" t="str">
        <f>ROUND(Github!O$1167, 2)&amp;"%"</f>
        <v>61.6%</v>
      </c>
      <c r="N1658" s="10">
        <f>Github!P$1167</f>
        <v>26182</v>
      </c>
      <c r="O1658" s="10">
        <f>Github!Q$1167</f>
        <v>42506</v>
      </c>
    </row>
    <row r="1659">
      <c r="A1659" s="10">
        <f>Github!J$2125</f>
        <v>2124</v>
      </c>
      <c r="B1659" s="11" t="str">
        <f>HYPERLINK(CONCAT("http://leetcode.com/problems/",Github!C$2125), Github!B$2125)</f>
        <v>Check if All A's Appears Before All B's</v>
      </c>
      <c r="C1659" s="10">
        <f>Github!F$2125</f>
        <v>288</v>
      </c>
      <c r="D1659" s="10">
        <f>Github!G$2125</f>
        <v>3</v>
      </c>
      <c r="E1659" s="10">
        <f>Github!F$2125+Github!G$2125</f>
        <v>291</v>
      </c>
      <c r="F1659" s="12">
        <f t="shared" si="1"/>
        <v>96</v>
      </c>
      <c r="G1659" s="10" t="str">
        <f>Github!H$2125</f>
        <v>Algorithms</v>
      </c>
      <c r="H1659" s="13" t="str">
        <f>SUBSTITUTE(Github!L$2125, ";", ", ")</f>
        <v>String, </v>
      </c>
      <c r="I1659" s="10" t="str">
        <f>Github!E$2125</f>
        <v>Easy</v>
      </c>
      <c r="J1659" s="10" t="str">
        <f>IF(TRIM(Github!D$2125)="TRUE","FALSE","TRUE")</f>
        <v>TRUE</v>
      </c>
      <c r="K1659" s="10" t="b">
        <f>Github!M$2125</f>
        <v>0</v>
      </c>
      <c r="L1659" s="10" t="b">
        <f>Github!N$2125</f>
        <v>0</v>
      </c>
      <c r="M1659" s="10" t="str">
        <f>ROUND(Github!O$2125, 2)&amp;"%"</f>
        <v>72.48%</v>
      </c>
      <c r="N1659" s="10">
        <f>Github!P$2125</f>
        <v>28635</v>
      </c>
      <c r="O1659" s="10">
        <f>Github!Q$2125</f>
        <v>39507</v>
      </c>
    </row>
    <row r="1660">
      <c r="A1660" s="10">
        <f>Github!J$1475</f>
        <v>1474</v>
      </c>
      <c r="B1660" s="11" t="str">
        <f>HYPERLINK(CONCAT("http://leetcode.com/problems/",Github!C$1475), Github!B$1475)</f>
        <v>Delete N Nodes After M Nodes of a Linked List</v>
      </c>
      <c r="C1660" s="10">
        <f>Github!F$1475</f>
        <v>285</v>
      </c>
      <c r="D1660" s="10">
        <f>Github!G$1475</f>
        <v>8</v>
      </c>
      <c r="E1660" s="10">
        <f>Github!F$1475+Github!G$1475</f>
        <v>293</v>
      </c>
      <c r="F1660" s="12">
        <f t="shared" si="1"/>
        <v>35.63</v>
      </c>
      <c r="G1660" s="10" t="str">
        <f>Github!H$1475</f>
        <v>Algorithms</v>
      </c>
      <c r="H1660" s="13" t="str">
        <f>SUBSTITUTE(Github!L$1475, ";", ", ")</f>
        <v>Linked List, </v>
      </c>
      <c r="I1660" s="10" t="str">
        <f>Github!E$1475</f>
        <v>Easy</v>
      </c>
      <c r="J1660" s="10" t="str">
        <f>IF(TRIM(Github!D$1475)="TRUE","FALSE","TRUE")</f>
        <v>FALSE</v>
      </c>
      <c r="K1660" s="10" t="b">
        <f>Github!M$1475</f>
        <v>1</v>
      </c>
      <c r="L1660" s="10" t="b">
        <f>Github!N$1475</f>
        <v>0</v>
      </c>
      <c r="M1660" s="10" t="str">
        <f>ROUND(Github!O$1475, 2)&amp;"%"</f>
        <v>73.43%</v>
      </c>
      <c r="N1660" s="10">
        <f>Github!P$1475</f>
        <v>19736</v>
      </c>
      <c r="O1660" s="10">
        <f>Github!Q$1475</f>
        <v>26878</v>
      </c>
    </row>
    <row r="1661">
      <c r="A1661" s="10">
        <f>Github!J$2088</f>
        <v>2087</v>
      </c>
      <c r="B1661" s="11" t="str">
        <f>HYPERLINK(CONCAT("http://leetcode.com/problems/",Github!C$2088), Github!B$2088)</f>
        <v>Minimum Cost Homecoming of a Robot in a Grid</v>
      </c>
      <c r="C1661" s="10">
        <f>Github!F$2088</f>
        <v>289</v>
      </c>
      <c r="D1661" s="10">
        <f>Github!G$2088</f>
        <v>51</v>
      </c>
      <c r="E1661" s="10">
        <f>Github!F$2088+Github!G$2088</f>
        <v>340</v>
      </c>
      <c r="F1661" s="12">
        <f t="shared" si="1"/>
        <v>5.67</v>
      </c>
      <c r="G1661" s="10" t="str">
        <f>Github!H$2088</f>
        <v>Algorithms</v>
      </c>
      <c r="H1661" s="13" t="str">
        <f>SUBSTITUTE(Github!L$2088, ";", ", ")</f>
        <v>Array, Greedy, Matrix, </v>
      </c>
      <c r="I1661" s="10" t="str">
        <f>Github!E$2088</f>
        <v>Medium</v>
      </c>
      <c r="J1661" s="10" t="str">
        <f>IF(TRIM(Github!D$2088)="TRUE","FALSE","TRUE")</f>
        <v>TRUE</v>
      </c>
      <c r="K1661" s="10" t="b">
        <f>Github!M$2088</f>
        <v>0</v>
      </c>
      <c r="L1661" s="10" t="b">
        <f>Github!N$2088</f>
        <v>0</v>
      </c>
      <c r="M1661" s="10" t="str">
        <f>ROUND(Github!O$2088, 2)&amp;"%"</f>
        <v>50.1%</v>
      </c>
      <c r="N1661" s="10">
        <f>Github!P$2088</f>
        <v>8184</v>
      </c>
      <c r="O1661" s="10">
        <f>Github!Q$2088</f>
        <v>16336</v>
      </c>
    </row>
    <row r="1662">
      <c r="A1662" s="10">
        <f>Github!J$1838</f>
        <v>1837</v>
      </c>
      <c r="B1662" s="11" t="str">
        <f>HYPERLINK(CONCAT("http://leetcode.com/problems/",Github!C$1838), Github!B$1838)</f>
        <v>Sum of Digits in Base K</v>
      </c>
      <c r="C1662" s="10">
        <f>Github!F$1838</f>
        <v>285</v>
      </c>
      <c r="D1662" s="10">
        <f>Github!G$1838</f>
        <v>24</v>
      </c>
      <c r="E1662" s="10">
        <f>Github!F$1838+Github!G$1838</f>
        <v>309</v>
      </c>
      <c r="F1662" s="12">
        <f t="shared" si="1"/>
        <v>11.88</v>
      </c>
      <c r="G1662" s="10" t="str">
        <f>Github!H$1838</f>
        <v>Algorithms</v>
      </c>
      <c r="H1662" s="13" t="str">
        <f>SUBSTITUTE(Github!L$1838, ";", ", ")</f>
        <v>Math, </v>
      </c>
      <c r="I1662" s="10" t="str">
        <f>Github!E$1838</f>
        <v>Easy</v>
      </c>
      <c r="J1662" s="10" t="str">
        <f>IF(TRIM(Github!D$1838)="TRUE","FALSE","TRUE")</f>
        <v>TRUE</v>
      </c>
      <c r="K1662" s="10" t="b">
        <f>Github!M$1838</f>
        <v>0</v>
      </c>
      <c r="L1662" s="10" t="b">
        <f>Github!N$1838</f>
        <v>0</v>
      </c>
      <c r="M1662" s="10" t="str">
        <f>ROUND(Github!O$1838, 2)&amp;"%"</f>
        <v>76.4%</v>
      </c>
      <c r="N1662" s="10">
        <f>Github!P$1838</f>
        <v>27528</v>
      </c>
      <c r="O1662" s="10">
        <f>Github!Q$1838</f>
        <v>36030</v>
      </c>
    </row>
    <row r="1663">
      <c r="A1663" s="10">
        <f>Github!J$1870</f>
        <v>1869</v>
      </c>
      <c r="B1663" s="11" t="str">
        <f>HYPERLINK(CONCAT("http://leetcode.com/problems/",Github!C$1870), Github!B$1870)</f>
        <v>Longer Contiguous Segments of Ones than Zeros</v>
      </c>
      <c r="C1663" s="10">
        <f>Github!F$1870</f>
        <v>282</v>
      </c>
      <c r="D1663" s="10">
        <f>Github!G$1870</f>
        <v>6</v>
      </c>
      <c r="E1663" s="10">
        <f>Github!F$1870+Github!G$1870</f>
        <v>288</v>
      </c>
      <c r="F1663" s="12">
        <f t="shared" si="1"/>
        <v>47</v>
      </c>
      <c r="G1663" s="10" t="str">
        <f>Github!H$1870</f>
        <v>Algorithms</v>
      </c>
      <c r="H1663" s="13" t="str">
        <f>SUBSTITUTE(Github!L$1870, ";", ", ")</f>
        <v>String, </v>
      </c>
      <c r="I1663" s="10" t="str">
        <f>Github!E$1870</f>
        <v>Easy</v>
      </c>
      <c r="J1663" s="10" t="str">
        <f>IF(TRIM(Github!D$1870)="TRUE","FALSE","TRUE")</f>
        <v>TRUE</v>
      </c>
      <c r="K1663" s="10" t="b">
        <f>Github!M$1870</f>
        <v>0</v>
      </c>
      <c r="L1663" s="10" t="b">
        <f>Github!N$1870</f>
        <v>0</v>
      </c>
      <c r="M1663" s="10" t="str">
        <f>ROUND(Github!O$1870, 2)&amp;"%"</f>
        <v>60.27%</v>
      </c>
      <c r="N1663" s="10">
        <f>Github!P$1870</f>
        <v>28389</v>
      </c>
      <c r="O1663" s="10">
        <f>Github!Q$1870</f>
        <v>47103</v>
      </c>
    </row>
    <row r="1664">
      <c r="A1664" s="10">
        <f>Github!J$1486</f>
        <v>1485</v>
      </c>
      <c r="B1664" s="11" t="str">
        <f>HYPERLINK(CONCAT("http://leetcode.com/problems/",Github!C$1486), Github!B$1486)</f>
        <v>Clone Binary Tree With Random Pointer</v>
      </c>
      <c r="C1664" s="10">
        <f>Github!F$1486</f>
        <v>286</v>
      </c>
      <c r="D1664" s="10">
        <f>Github!G$1486</f>
        <v>43</v>
      </c>
      <c r="E1664" s="10">
        <f>Github!F$1486+Github!G$1486</f>
        <v>329</v>
      </c>
      <c r="F1664" s="12">
        <f t="shared" si="1"/>
        <v>6.65</v>
      </c>
      <c r="G1664" s="10" t="str">
        <f>Github!H$1486</f>
        <v>Algorithms</v>
      </c>
      <c r="H1664" s="13" t="str">
        <f>SUBSTITUTE(Github!L$1486, ";", ", ")</f>
        <v>Hash Table, Tree, Depth-First Search, Breadth-First Search, Binary Tree, </v>
      </c>
      <c r="I1664" s="10" t="str">
        <f>Github!E$1486</f>
        <v>Medium</v>
      </c>
      <c r="J1664" s="10" t="str">
        <f>IF(TRIM(Github!D$1486)="TRUE","FALSE","TRUE")</f>
        <v>FALSE</v>
      </c>
      <c r="K1664" s="10" t="b">
        <f>Github!M$1486</f>
        <v>1</v>
      </c>
      <c r="L1664" s="10" t="b">
        <f>Github!N$1486</f>
        <v>0</v>
      </c>
      <c r="M1664" s="10" t="str">
        <f>ROUND(Github!O$1486, 2)&amp;"%"</f>
        <v>79.8%</v>
      </c>
      <c r="N1664" s="10">
        <f>Github!P$1486</f>
        <v>16449</v>
      </c>
      <c r="O1664" s="10">
        <f>Github!Q$1486</f>
        <v>20613</v>
      </c>
    </row>
    <row r="1665">
      <c r="A1665" s="10">
        <f>Github!J$1112</f>
        <v>1111</v>
      </c>
      <c r="B1665" s="11" t="str">
        <f>HYPERLINK(CONCAT("http://leetcode.com/problems/",Github!C$1112), Github!B$1112)</f>
        <v>Maximum Nesting Depth of Two Valid Parentheses Strings</v>
      </c>
      <c r="C1665" s="10">
        <f>Github!F$1112</f>
        <v>282</v>
      </c>
      <c r="D1665" s="10">
        <f>Github!G$1112</f>
        <v>1251</v>
      </c>
      <c r="E1665" s="10">
        <f>Github!F$1112+Github!G$1112</f>
        <v>1533</v>
      </c>
      <c r="F1665" s="12">
        <f t="shared" si="1"/>
        <v>0.23</v>
      </c>
      <c r="G1665" s="10" t="str">
        <f>Github!H$1112</f>
        <v>Algorithms</v>
      </c>
      <c r="H1665" s="13" t="str">
        <f>SUBSTITUTE(Github!L$1112, ";", ", ")</f>
        <v>String, Stack, </v>
      </c>
      <c r="I1665" s="10" t="str">
        <f>Github!E$1112</f>
        <v>Medium</v>
      </c>
      <c r="J1665" s="10" t="str">
        <f>IF(TRIM(Github!D$1112)="TRUE","FALSE","TRUE")</f>
        <v>TRUE</v>
      </c>
      <c r="K1665" s="10" t="b">
        <f>Github!M$1112</f>
        <v>0</v>
      </c>
      <c r="L1665" s="10" t="b">
        <f>Github!N$1112</f>
        <v>0</v>
      </c>
      <c r="M1665" s="10" t="str">
        <f>ROUND(Github!O$1112, 2)&amp;"%"</f>
        <v>73.15%</v>
      </c>
      <c r="N1665" s="10">
        <f>Github!P$1112</f>
        <v>19450</v>
      </c>
      <c r="O1665" s="10">
        <f>Github!Q$1112</f>
        <v>26591</v>
      </c>
    </row>
    <row r="1666">
      <c r="A1666" s="10">
        <f>Github!J$2033</f>
        <v>2032</v>
      </c>
      <c r="B1666" s="11" t="str">
        <f>HYPERLINK(CONCAT("http://leetcode.com/problems/",Github!C$2033), Github!B$2033)</f>
        <v>Two Out of Three</v>
      </c>
      <c r="C1666" s="10">
        <f>Github!F$2033</f>
        <v>289</v>
      </c>
      <c r="D1666" s="10">
        <f>Github!G$2033</f>
        <v>26</v>
      </c>
      <c r="E1666" s="10">
        <f>Github!F$2033+Github!G$2033</f>
        <v>315</v>
      </c>
      <c r="F1666" s="12">
        <f t="shared" si="1"/>
        <v>11.12</v>
      </c>
      <c r="G1666" s="10" t="str">
        <f>Github!H$2033</f>
        <v>Algorithms</v>
      </c>
      <c r="H1666" s="13" t="str">
        <f>SUBSTITUTE(Github!L$2033, ";", ", ")</f>
        <v>Array, Hash Table, </v>
      </c>
      <c r="I1666" s="10" t="str">
        <f>Github!E$2033</f>
        <v>Easy</v>
      </c>
      <c r="J1666" s="10" t="str">
        <f>IF(TRIM(Github!D$2033)="TRUE","FALSE","TRUE")</f>
        <v>TRUE</v>
      </c>
      <c r="K1666" s="10" t="b">
        <f>Github!M$2033</f>
        <v>0</v>
      </c>
      <c r="L1666" s="10" t="b">
        <f>Github!N$2033</f>
        <v>0</v>
      </c>
      <c r="M1666" s="10" t="str">
        <f>ROUND(Github!O$2033, 2)&amp;"%"</f>
        <v>72.93%</v>
      </c>
      <c r="N1666" s="10">
        <f>Github!P$2033</f>
        <v>26193</v>
      </c>
      <c r="O1666" s="10">
        <f>Github!Q$2033</f>
        <v>35913</v>
      </c>
    </row>
    <row r="1667">
      <c r="A1667" s="10">
        <f>Github!J$380</f>
        <v>379</v>
      </c>
      <c r="B1667" s="11" t="str">
        <f>HYPERLINK(CONCAT("http://leetcode.com/problems/",Github!C$380), Github!B$380)</f>
        <v>Design Phone Directory</v>
      </c>
      <c r="C1667" s="10">
        <f>Github!F$380</f>
        <v>281</v>
      </c>
      <c r="D1667" s="10">
        <f>Github!G$380</f>
        <v>396</v>
      </c>
      <c r="E1667" s="10">
        <f>Github!F$380+Github!G$380</f>
        <v>677</v>
      </c>
      <c r="F1667" s="12">
        <f t="shared" si="1"/>
        <v>0.71</v>
      </c>
      <c r="G1667" s="10" t="str">
        <f>Github!H$380</f>
        <v>Algorithms</v>
      </c>
      <c r="H1667" s="13" t="str">
        <f>SUBSTITUTE(Github!L$380, ";", ", ")</f>
        <v>Array, Hash Table, Linked List, Design, Queue, </v>
      </c>
      <c r="I1667" s="10" t="str">
        <f>Github!E$380</f>
        <v>Medium</v>
      </c>
      <c r="J1667" s="10" t="str">
        <f>IF(TRIM(Github!D$380)="TRUE","FALSE","TRUE")</f>
        <v>FALSE</v>
      </c>
      <c r="K1667" s="10" t="b">
        <f>Github!M$380</f>
        <v>0</v>
      </c>
      <c r="L1667" s="10" t="b">
        <f>Github!N$380</f>
        <v>0</v>
      </c>
      <c r="M1667" s="10" t="str">
        <f>ROUND(Github!O$380, 2)&amp;"%"</f>
        <v>50.29%</v>
      </c>
      <c r="N1667" s="10">
        <f>Github!P$380</f>
        <v>54768</v>
      </c>
      <c r="O1667" s="10">
        <f>Github!Q$380</f>
        <v>108903</v>
      </c>
    </row>
    <row r="1668">
      <c r="A1668" s="10">
        <f>Github!J$2024</f>
        <v>2023</v>
      </c>
      <c r="B1668" s="11" t="str">
        <f>HYPERLINK(CONCAT("http://leetcode.com/problems/",Github!C$2024), Github!B$2024)</f>
        <v>Number of Pairs of Strings With Concatenation Equal to Target</v>
      </c>
      <c r="C1668" s="10">
        <f>Github!F$2024</f>
        <v>290</v>
      </c>
      <c r="D1668" s="10">
        <f>Github!G$2024</f>
        <v>27</v>
      </c>
      <c r="E1668" s="10">
        <f>Github!F$2024+Github!G$2024</f>
        <v>317</v>
      </c>
      <c r="F1668" s="12">
        <f t="shared" si="1"/>
        <v>10.74</v>
      </c>
      <c r="G1668" s="10" t="str">
        <f>Github!H$2024</f>
        <v>Algorithms</v>
      </c>
      <c r="H1668" s="13" t="str">
        <f>SUBSTITUTE(Github!L$2024, ";", ", ")</f>
        <v>Array, String, </v>
      </c>
      <c r="I1668" s="10" t="str">
        <f>Github!E$2024</f>
        <v>Medium</v>
      </c>
      <c r="J1668" s="10" t="str">
        <f>IF(TRIM(Github!D$2024)="TRUE","FALSE","TRUE")</f>
        <v>TRUE</v>
      </c>
      <c r="K1668" s="10" t="b">
        <f>Github!M$2024</f>
        <v>0</v>
      </c>
      <c r="L1668" s="10" t="b">
        <f>Github!N$2024</f>
        <v>0</v>
      </c>
      <c r="M1668" s="10" t="str">
        <f>ROUND(Github!O$2024, 2)&amp;"%"</f>
        <v>72.97%</v>
      </c>
      <c r="N1668" s="10">
        <f>Github!P$2024</f>
        <v>17898</v>
      </c>
      <c r="O1668" s="10">
        <f>Github!Q$2024</f>
        <v>24527</v>
      </c>
    </row>
    <row r="1669">
      <c r="A1669" s="10">
        <f>Github!J$735</f>
        <v>734</v>
      </c>
      <c r="B1669" s="11" t="str">
        <f>HYPERLINK(CONCAT("http://leetcode.com/problems/",Github!C$735), Github!B$735)</f>
        <v>Sentence Similarity</v>
      </c>
      <c r="C1669" s="10">
        <f>Github!F$735</f>
        <v>281</v>
      </c>
      <c r="D1669" s="10">
        <f>Github!G$735</f>
        <v>446</v>
      </c>
      <c r="E1669" s="10">
        <f>Github!F$735+Github!G$735</f>
        <v>727</v>
      </c>
      <c r="F1669" s="12">
        <f t="shared" si="1"/>
        <v>0.63</v>
      </c>
      <c r="G1669" s="10" t="str">
        <f>Github!H$735</f>
        <v>Algorithms</v>
      </c>
      <c r="H1669" s="13" t="str">
        <f>SUBSTITUTE(Github!L$735, ";", ", ")</f>
        <v>Array, Hash Table, String, </v>
      </c>
      <c r="I1669" s="10" t="str">
        <f>Github!E$735</f>
        <v>Easy</v>
      </c>
      <c r="J1669" s="10" t="str">
        <f>IF(TRIM(Github!D$735)="TRUE","FALSE","TRUE")</f>
        <v>FALSE</v>
      </c>
      <c r="K1669" s="10" t="b">
        <f>Github!M$735</f>
        <v>0</v>
      </c>
      <c r="L1669" s="10" t="b">
        <f>Github!N$735</f>
        <v>0</v>
      </c>
      <c r="M1669" s="10" t="str">
        <f>ROUND(Github!O$735, 2)&amp;"%"</f>
        <v>42.99%</v>
      </c>
      <c r="N1669" s="10">
        <f>Github!P$735</f>
        <v>50459</v>
      </c>
      <c r="O1669" s="10">
        <f>Github!Q$735</f>
        <v>117387</v>
      </c>
    </row>
    <row r="1670">
      <c r="A1670" s="10">
        <f>Github!J$1455</f>
        <v>1454</v>
      </c>
      <c r="B1670" s="11" t="str">
        <f>HYPERLINK(CONCAT("http://leetcode.com/problems/",Github!C$1455), Github!B$1455)</f>
        <v>Active Users</v>
      </c>
      <c r="C1670" s="10">
        <f>Github!F$1455</f>
        <v>281</v>
      </c>
      <c r="D1670" s="10">
        <f>Github!G$1455</f>
        <v>28</v>
      </c>
      <c r="E1670" s="10">
        <f>Github!F$1455+Github!G$1455</f>
        <v>309</v>
      </c>
      <c r="F1670" s="12">
        <f t="shared" si="1"/>
        <v>10.04</v>
      </c>
      <c r="G1670" s="10" t="str">
        <f>Github!H$1455</f>
        <v>Database</v>
      </c>
      <c r="H1670" s="13" t="str">
        <f>SUBSTITUTE(Github!L$1455, ";", ", ")</f>
        <v>Database, </v>
      </c>
      <c r="I1670" s="10" t="str">
        <f>Github!E$1455</f>
        <v>Medium</v>
      </c>
      <c r="J1670" s="10" t="str">
        <f>IF(TRIM(Github!D$1455)="TRUE","FALSE","TRUE")</f>
        <v>FALSE</v>
      </c>
      <c r="K1670" s="10" t="b">
        <f>Github!M$1455</f>
        <v>0</v>
      </c>
      <c r="L1670" s="10" t="b">
        <f>Github!N$1455</f>
        <v>0</v>
      </c>
      <c r="M1670" s="10" t="str">
        <f>ROUND(Github!O$1455, 2)&amp;"%"</f>
        <v>38.37%</v>
      </c>
      <c r="N1670" s="10">
        <f>Github!P$1455</f>
        <v>22775</v>
      </c>
      <c r="O1670" s="10">
        <f>Github!Q$1455</f>
        <v>59350</v>
      </c>
    </row>
    <row r="1671">
      <c r="A1671" s="10">
        <f>Github!J$667</f>
        <v>666</v>
      </c>
      <c r="B1671" s="11" t="str">
        <f>HYPERLINK(CONCAT("http://leetcode.com/problems/",Github!C$667), Github!B$667)</f>
        <v>Path Sum IV</v>
      </c>
      <c r="C1671" s="10">
        <f>Github!F$667</f>
        <v>279</v>
      </c>
      <c r="D1671" s="10">
        <f>Github!G$667</f>
        <v>373</v>
      </c>
      <c r="E1671" s="10">
        <f>Github!F$667+Github!G$667</f>
        <v>652</v>
      </c>
      <c r="F1671" s="12">
        <f t="shared" si="1"/>
        <v>0.75</v>
      </c>
      <c r="G1671" s="10" t="str">
        <f>Github!H$667</f>
        <v>Algorithms</v>
      </c>
      <c r="H1671" s="13" t="str">
        <f>SUBSTITUTE(Github!L$667, ";", ", ")</f>
        <v>Array, Tree, Depth-First Search, Binary Tree, </v>
      </c>
      <c r="I1671" s="10" t="str">
        <f>Github!E$667</f>
        <v>Medium</v>
      </c>
      <c r="J1671" s="10" t="str">
        <f>IF(TRIM(Github!D$667)="TRUE","FALSE","TRUE")</f>
        <v>FALSE</v>
      </c>
      <c r="K1671" s="10" t="b">
        <f>Github!M$667</f>
        <v>1</v>
      </c>
      <c r="L1671" s="10" t="b">
        <f>Github!N$667</f>
        <v>0</v>
      </c>
      <c r="M1671" s="10" t="str">
        <f>ROUND(Github!O$667, 2)&amp;"%"</f>
        <v>58.61%</v>
      </c>
      <c r="N1671" s="10">
        <f>Github!P$667</f>
        <v>19398</v>
      </c>
      <c r="O1671" s="10">
        <f>Github!Q$667</f>
        <v>33099</v>
      </c>
    </row>
    <row r="1672">
      <c r="A1672" s="10">
        <f>Github!J$1968</f>
        <v>1967</v>
      </c>
      <c r="B1672" s="11" t="str">
        <f>HYPERLINK(CONCAT("http://leetcode.com/problems/",Github!C$1968), Github!B$1968)</f>
        <v>Number of Strings That Appear as Substrings in Word</v>
      </c>
      <c r="C1672" s="10">
        <f>Github!F$1968</f>
        <v>286</v>
      </c>
      <c r="D1672" s="10">
        <f>Github!G$1968</f>
        <v>12</v>
      </c>
      <c r="E1672" s="10">
        <f>Github!F$1968+Github!G$1968</f>
        <v>298</v>
      </c>
      <c r="F1672" s="12">
        <f t="shared" si="1"/>
        <v>23.83</v>
      </c>
      <c r="G1672" s="10" t="str">
        <f>Github!H$1968</f>
        <v>Algorithms</v>
      </c>
      <c r="H1672" s="13" t="str">
        <f>SUBSTITUTE(Github!L$1968, ";", ", ")</f>
        <v>String, </v>
      </c>
      <c r="I1672" s="10" t="str">
        <f>Github!E$1968</f>
        <v>Easy</v>
      </c>
      <c r="J1672" s="10" t="str">
        <f>IF(TRIM(Github!D$1968)="TRUE","FALSE","TRUE")</f>
        <v>TRUE</v>
      </c>
      <c r="K1672" s="10" t="b">
        <f>Github!M$1968</f>
        <v>0</v>
      </c>
      <c r="L1672" s="10" t="b">
        <f>Github!N$1968</f>
        <v>0</v>
      </c>
      <c r="M1672" s="10" t="str">
        <f>ROUND(Github!O$1968, 2)&amp;"%"</f>
        <v>79.47%</v>
      </c>
      <c r="N1672" s="10">
        <f>Github!P$1968</f>
        <v>28149</v>
      </c>
      <c r="O1672" s="10">
        <f>Github!Q$1968</f>
        <v>35420</v>
      </c>
    </row>
    <row r="1673">
      <c r="A1673" s="10">
        <f>Github!J$1145</f>
        <v>1144</v>
      </c>
      <c r="B1673" s="11" t="str">
        <f>HYPERLINK(CONCAT("http://leetcode.com/problems/",Github!C$1145), Github!B$1145)</f>
        <v>Decrease Elements To Make Array Zigzag</v>
      </c>
      <c r="C1673" s="10">
        <f>Github!F$1145</f>
        <v>281</v>
      </c>
      <c r="D1673" s="10">
        <f>Github!G$1145</f>
        <v>141</v>
      </c>
      <c r="E1673" s="10">
        <f>Github!F$1145+Github!G$1145</f>
        <v>422</v>
      </c>
      <c r="F1673" s="12">
        <f t="shared" si="1"/>
        <v>1.99</v>
      </c>
      <c r="G1673" s="10" t="str">
        <f>Github!H$1145</f>
        <v>Algorithms</v>
      </c>
      <c r="H1673" s="13" t="str">
        <f>SUBSTITUTE(Github!L$1145, ";", ", ")</f>
        <v>Array, Greedy, </v>
      </c>
      <c r="I1673" s="10" t="str">
        <f>Github!E$1145</f>
        <v>Medium</v>
      </c>
      <c r="J1673" s="10" t="str">
        <f>IF(TRIM(Github!D$1145)="TRUE","FALSE","TRUE")</f>
        <v>TRUE</v>
      </c>
      <c r="K1673" s="10" t="b">
        <f>Github!M$1145</f>
        <v>0</v>
      </c>
      <c r="L1673" s="10" t="b">
        <f>Github!N$1145</f>
        <v>0</v>
      </c>
      <c r="M1673" s="10" t="str">
        <f>ROUND(Github!O$1145, 2)&amp;"%"</f>
        <v>47%</v>
      </c>
      <c r="N1673" s="10">
        <f>Github!P$1145</f>
        <v>14617</v>
      </c>
      <c r="O1673" s="10">
        <f>Github!Q$1145</f>
        <v>31103</v>
      </c>
    </row>
    <row r="1674">
      <c r="A1674" s="10">
        <f>Github!J$608</f>
        <v>607</v>
      </c>
      <c r="B1674" s="11" t="str">
        <f>HYPERLINK(CONCAT("http://leetcode.com/problems/",Github!C$608), Github!B$608)</f>
        <v>Sales Person</v>
      </c>
      <c r="C1674" s="10">
        <f>Github!F$608</f>
        <v>286</v>
      </c>
      <c r="D1674" s="10">
        <f>Github!G$608</f>
        <v>48</v>
      </c>
      <c r="E1674" s="10">
        <f>Github!F$608+Github!G$608</f>
        <v>334</v>
      </c>
      <c r="F1674" s="12">
        <f t="shared" si="1"/>
        <v>5.96</v>
      </c>
      <c r="G1674" s="10" t="str">
        <f>Github!H$608</f>
        <v>Database</v>
      </c>
      <c r="H1674" s="13" t="str">
        <f>SUBSTITUTE(Github!L$608, ";", ", ")</f>
        <v>Database, </v>
      </c>
      <c r="I1674" s="10" t="str">
        <f>Github!E$608</f>
        <v>Easy</v>
      </c>
      <c r="J1674" s="10" t="str">
        <f>IF(TRIM(Github!D$608)="TRUE","FALSE","TRUE")</f>
        <v>TRUE</v>
      </c>
      <c r="K1674" s="10" t="b">
        <f>Github!M$608</f>
        <v>1</v>
      </c>
      <c r="L1674" s="10" t="b">
        <f>Github!N$608</f>
        <v>0</v>
      </c>
      <c r="M1674" s="10" t="str">
        <f>ROUND(Github!O$608, 2)&amp;"%"</f>
        <v>69.04%</v>
      </c>
      <c r="N1674" s="10">
        <f>Github!P$608</f>
        <v>55633</v>
      </c>
      <c r="O1674" s="10">
        <f>Github!Q$608</f>
        <v>80586</v>
      </c>
    </row>
    <row r="1675">
      <c r="A1675" s="10">
        <f>Github!J$1541</f>
        <v>1540</v>
      </c>
      <c r="B1675" s="11" t="str">
        <f>HYPERLINK(CONCAT("http://leetcode.com/problems/",Github!C$1541), Github!B$1541)</f>
        <v>Can Convert String in K Moves</v>
      </c>
      <c r="C1675" s="10">
        <f>Github!F$1541</f>
        <v>277</v>
      </c>
      <c r="D1675" s="10">
        <f>Github!G$1541</f>
        <v>228</v>
      </c>
      <c r="E1675" s="10">
        <f>Github!F$1541+Github!G$1541</f>
        <v>505</v>
      </c>
      <c r="F1675" s="12">
        <f t="shared" si="1"/>
        <v>1.21</v>
      </c>
      <c r="G1675" s="10" t="str">
        <f>Github!H$1541</f>
        <v>Algorithms</v>
      </c>
      <c r="H1675" s="13" t="str">
        <f>SUBSTITUTE(Github!L$1541, ";", ", ")</f>
        <v>Hash Table, String, </v>
      </c>
      <c r="I1675" s="10" t="str">
        <f>Github!E$1541</f>
        <v>Medium</v>
      </c>
      <c r="J1675" s="10" t="str">
        <f>IF(TRIM(Github!D$1541)="TRUE","FALSE","TRUE")</f>
        <v>TRUE</v>
      </c>
      <c r="K1675" s="10" t="b">
        <f>Github!M$1541</f>
        <v>0</v>
      </c>
      <c r="L1675" s="10" t="b">
        <f>Github!N$1541</f>
        <v>0</v>
      </c>
      <c r="M1675" s="10" t="str">
        <f>ROUND(Github!O$1541, 2)&amp;"%"</f>
        <v>32.48%</v>
      </c>
      <c r="N1675" s="10">
        <f>Github!P$1541</f>
        <v>13420</v>
      </c>
      <c r="O1675" s="10">
        <f>Github!Q$1541</f>
        <v>41323</v>
      </c>
    </row>
    <row r="1676">
      <c r="A1676" s="10">
        <f>Github!J$1804</f>
        <v>1803</v>
      </c>
      <c r="B1676" s="11" t="str">
        <f>HYPERLINK(CONCAT("http://leetcode.com/problems/",Github!C$1804), Github!B$1804)</f>
        <v>Count Pairs With XOR in a Range</v>
      </c>
      <c r="C1676" s="10">
        <f>Github!F$1804</f>
        <v>278</v>
      </c>
      <c r="D1676" s="10">
        <f>Github!G$1804</f>
        <v>11</v>
      </c>
      <c r="E1676" s="10">
        <f>Github!F$1804+Github!G$1804</f>
        <v>289</v>
      </c>
      <c r="F1676" s="12">
        <f t="shared" si="1"/>
        <v>25.27</v>
      </c>
      <c r="G1676" s="10" t="str">
        <f>Github!H$1804</f>
        <v>Algorithms</v>
      </c>
      <c r="H1676" s="13" t="str">
        <f>SUBSTITUTE(Github!L$1804, ";", ", ")</f>
        <v>Array, Bit Manipulation, Trie, </v>
      </c>
      <c r="I1676" s="10" t="str">
        <f>Github!E$1804</f>
        <v>Hard</v>
      </c>
      <c r="J1676" s="10" t="str">
        <f>IF(TRIM(Github!D$1804)="TRUE","FALSE","TRUE")</f>
        <v>TRUE</v>
      </c>
      <c r="K1676" s="10" t="b">
        <f>Github!M$1804</f>
        <v>0</v>
      </c>
      <c r="L1676" s="10" t="b">
        <f>Github!N$1804</f>
        <v>0</v>
      </c>
      <c r="M1676" s="10" t="str">
        <f>ROUND(Github!O$1804, 2)&amp;"%"</f>
        <v>46.24%</v>
      </c>
      <c r="N1676" s="10">
        <f>Github!P$1804</f>
        <v>4595</v>
      </c>
      <c r="O1676" s="10">
        <f>Github!Q$1804</f>
        <v>9937</v>
      </c>
    </row>
    <row r="1677">
      <c r="A1677" s="10">
        <f>Github!J$2203</f>
        <v>2202</v>
      </c>
      <c r="B1677" s="11" t="str">
        <f>HYPERLINK(CONCAT("http://leetcode.com/problems/",Github!C$2203), Github!B$2203)</f>
        <v>Maximize the Topmost Element After K Moves</v>
      </c>
      <c r="C1677" s="10">
        <f>Github!F$2203</f>
        <v>280</v>
      </c>
      <c r="D1677" s="10">
        <f>Github!G$2203</f>
        <v>193</v>
      </c>
      <c r="E1677" s="10">
        <f>Github!F$2203+Github!G$2203</f>
        <v>473</v>
      </c>
      <c r="F1677" s="12">
        <f t="shared" si="1"/>
        <v>1.45</v>
      </c>
      <c r="G1677" s="10" t="str">
        <f>Github!H$2203</f>
        <v>Algorithms</v>
      </c>
      <c r="H1677" s="13" t="str">
        <f>SUBSTITUTE(Github!L$2203, ";", ", ")</f>
        <v>Array, Greedy, </v>
      </c>
      <c r="I1677" s="10" t="str">
        <f>Github!E$2203</f>
        <v>Medium</v>
      </c>
      <c r="J1677" s="10" t="str">
        <f>IF(TRIM(Github!D$2203)="TRUE","FALSE","TRUE")</f>
        <v>TRUE</v>
      </c>
      <c r="K1677" s="10" t="b">
        <f>Github!M$2203</f>
        <v>0</v>
      </c>
      <c r="L1677" s="10" t="b">
        <f>Github!N$2203</f>
        <v>0</v>
      </c>
      <c r="M1677" s="10" t="str">
        <f>ROUND(Github!O$2203, 2)&amp;"%"</f>
        <v>21.87%</v>
      </c>
      <c r="N1677" s="10">
        <f>Github!P$2203</f>
        <v>14929</v>
      </c>
      <c r="O1677" s="10">
        <f>Github!Q$2203</f>
        <v>68270</v>
      </c>
    </row>
    <row r="1678">
      <c r="A1678" s="10">
        <f>Github!J$1944</f>
        <v>1943</v>
      </c>
      <c r="B1678" s="11" t="str">
        <f>HYPERLINK(CONCAT("http://leetcode.com/problems/",Github!C$1944), Github!B$1944)</f>
        <v>Describe the Painting</v>
      </c>
      <c r="C1678" s="10">
        <f>Github!F$1944</f>
        <v>278</v>
      </c>
      <c r="D1678" s="10">
        <f>Github!G$1944</f>
        <v>17</v>
      </c>
      <c r="E1678" s="10">
        <f>Github!F$1944+Github!G$1944</f>
        <v>295</v>
      </c>
      <c r="F1678" s="12">
        <f t="shared" si="1"/>
        <v>16.35</v>
      </c>
      <c r="G1678" s="10" t="str">
        <f>Github!H$1944</f>
        <v>Algorithms</v>
      </c>
      <c r="H1678" s="13" t="str">
        <f>SUBSTITUTE(Github!L$1944, ";", ", ")</f>
        <v>Array, Prefix Sum, </v>
      </c>
      <c r="I1678" s="10" t="str">
        <f>Github!E$1944</f>
        <v>Medium</v>
      </c>
      <c r="J1678" s="10" t="str">
        <f>IF(TRIM(Github!D$1944)="TRUE","FALSE","TRUE")</f>
        <v>TRUE</v>
      </c>
      <c r="K1678" s="10" t="b">
        <f>Github!M$1944</f>
        <v>0</v>
      </c>
      <c r="L1678" s="10" t="b">
        <f>Github!N$1944</f>
        <v>0</v>
      </c>
      <c r="M1678" s="10" t="str">
        <f>ROUND(Github!O$1944, 2)&amp;"%"</f>
        <v>46.44%</v>
      </c>
      <c r="N1678" s="10">
        <f>Github!P$1944</f>
        <v>7353</v>
      </c>
      <c r="O1678" s="10">
        <f>Github!Q$1944</f>
        <v>15834</v>
      </c>
    </row>
    <row r="1679">
      <c r="A1679" s="10">
        <f>Github!J$1936</f>
        <v>1935</v>
      </c>
      <c r="B1679" s="11" t="str">
        <f>HYPERLINK(CONCAT("http://leetcode.com/problems/",Github!C$1936), Github!B$1936)</f>
        <v>Maximum Number of Words You Can Type</v>
      </c>
      <c r="C1679" s="10">
        <f>Github!F$1936</f>
        <v>279</v>
      </c>
      <c r="D1679" s="10">
        <f>Github!G$1936</f>
        <v>13</v>
      </c>
      <c r="E1679" s="10">
        <f>Github!F$1936+Github!G$1936</f>
        <v>292</v>
      </c>
      <c r="F1679" s="12">
        <f t="shared" si="1"/>
        <v>21.46</v>
      </c>
      <c r="G1679" s="10" t="str">
        <f>Github!H$1936</f>
        <v>Algorithms</v>
      </c>
      <c r="H1679" s="13" t="str">
        <f>SUBSTITUTE(Github!L$1936, ";", ", ")</f>
        <v>Hash Table, String, </v>
      </c>
      <c r="I1679" s="10" t="str">
        <f>Github!E$1936</f>
        <v>Easy</v>
      </c>
      <c r="J1679" s="10" t="str">
        <f>IF(TRIM(Github!D$1936)="TRUE","FALSE","TRUE")</f>
        <v>TRUE</v>
      </c>
      <c r="K1679" s="10" t="b">
        <f>Github!M$1936</f>
        <v>0</v>
      </c>
      <c r="L1679" s="10" t="b">
        <f>Github!N$1936</f>
        <v>0</v>
      </c>
      <c r="M1679" s="10" t="str">
        <f>ROUND(Github!O$1936, 2)&amp;"%"</f>
        <v>71.42%</v>
      </c>
      <c r="N1679" s="10">
        <f>Github!P$1936</f>
        <v>28801</v>
      </c>
      <c r="O1679" s="10">
        <f>Github!Q$1936</f>
        <v>40329</v>
      </c>
    </row>
    <row r="1680">
      <c r="A1680" s="10">
        <f>Github!J$1751</f>
        <v>1750</v>
      </c>
      <c r="B1680" s="11" t="str">
        <f>HYPERLINK(CONCAT("http://leetcode.com/problems/",Github!C$1751), Github!B$1751)</f>
        <v>Minimum Length of String After Deleting Similar Ends</v>
      </c>
      <c r="C1680" s="10">
        <f>Github!F$1751</f>
        <v>277</v>
      </c>
      <c r="D1680" s="10">
        <f>Github!G$1751</f>
        <v>18</v>
      </c>
      <c r="E1680" s="10">
        <f>Github!F$1751+Github!G$1751</f>
        <v>295</v>
      </c>
      <c r="F1680" s="12">
        <f t="shared" si="1"/>
        <v>15.39</v>
      </c>
      <c r="G1680" s="10" t="str">
        <f>Github!H$1751</f>
        <v>Algorithms</v>
      </c>
      <c r="H1680" s="13" t="str">
        <f>SUBSTITUTE(Github!L$1751, ";", ", ")</f>
        <v>Two Pointers, String, </v>
      </c>
      <c r="I1680" s="10" t="str">
        <f>Github!E$1751</f>
        <v>Medium</v>
      </c>
      <c r="J1680" s="10" t="str">
        <f>IF(TRIM(Github!D$1751)="TRUE","FALSE","TRUE")</f>
        <v>TRUE</v>
      </c>
      <c r="K1680" s="10" t="b">
        <f>Github!M$1751</f>
        <v>0</v>
      </c>
      <c r="L1680" s="10" t="b">
        <f>Github!N$1751</f>
        <v>0</v>
      </c>
      <c r="M1680" s="10" t="str">
        <f>ROUND(Github!O$1751, 2)&amp;"%"</f>
        <v>43.23%</v>
      </c>
      <c r="N1680" s="10">
        <f>Github!P$1751</f>
        <v>13659</v>
      </c>
      <c r="O1680" s="10">
        <f>Github!Q$1751</f>
        <v>31598</v>
      </c>
    </row>
    <row r="1681">
      <c r="A1681" s="10">
        <f>Github!J$1247</f>
        <v>1246</v>
      </c>
      <c r="B1681" s="11" t="str">
        <f>HYPERLINK(CONCAT("http://leetcode.com/problems/",Github!C$1247), Github!B$1247)</f>
        <v>Palindrome Removal</v>
      </c>
      <c r="C1681" s="10">
        <f>Github!F$1247</f>
        <v>273</v>
      </c>
      <c r="D1681" s="10">
        <f>Github!G$1247</f>
        <v>11</v>
      </c>
      <c r="E1681" s="10">
        <f>Github!F$1247+Github!G$1247</f>
        <v>284</v>
      </c>
      <c r="F1681" s="12">
        <f t="shared" si="1"/>
        <v>24.82</v>
      </c>
      <c r="G1681" s="10" t="str">
        <f>Github!H$1247</f>
        <v>Algorithms</v>
      </c>
      <c r="H1681" s="13" t="str">
        <f>SUBSTITUTE(Github!L$1247, ";", ", ")</f>
        <v>Array, Dynamic Programming, </v>
      </c>
      <c r="I1681" s="10" t="str">
        <f>Github!E$1247</f>
        <v>Hard</v>
      </c>
      <c r="J1681" s="10" t="str">
        <f>IF(TRIM(Github!D$1247)="TRUE","FALSE","TRUE")</f>
        <v>FALSE</v>
      </c>
      <c r="K1681" s="10" t="b">
        <f>Github!M$1247</f>
        <v>0</v>
      </c>
      <c r="L1681" s="10" t="b">
        <f>Github!N$1247</f>
        <v>0</v>
      </c>
      <c r="M1681" s="10" t="str">
        <f>ROUND(Github!O$1247, 2)&amp;"%"</f>
        <v>45.83%</v>
      </c>
      <c r="N1681" s="10">
        <f>Github!P$1247</f>
        <v>8881</v>
      </c>
      <c r="O1681" s="10">
        <f>Github!Q$1247</f>
        <v>19379</v>
      </c>
    </row>
    <row r="1682">
      <c r="A1682" s="10">
        <f>Github!J$249</f>
        <v>248</v>
      </c>
      <c r="B1682" s="11" t="str">
        <f>HYPERLINK(CONCAT("http://leetcode.com/problems/",Github!C$249), Github!B$249)</f>
        <v>Strobogrammatic Number III</v>
      </c>
      <c r="C1682" s="10">
        <f>Github!F$249</f>
        <v>270</v>
      </c>
      <c r="D1682" s="10">
        <f>Github!G$249</f>
        <v>172</v>
      </c>
      <c r="E1682" s="10">
        <f>Github!F$249+Github!G$249</f>
        <v>442</v>
      </c>
      <c r="F1682" s="12">
        <f t="shared" si="1"/>
        <v>1.57</v>
      </c>
      <c r="G1682" s="10" t="str">
        <f>Github!H$249</f>
        <v>Algorithms</v>
      </c>
      <c r="H1682" s="13" t="str">
        <f>SUBSTITUTE(Github!L$249, ";", ", ")</f>
        <v>Array, String, Recursion, </v>
      </c>
      <c r="I1682" s="10" t="str">
        <f>Github!E$249</f>
        <v>Hard</v>
      </c>
      <c r="J1682" s="10" t="str">
        <f>IF(TRIM(Github!D$249)="TRUE","FALSE","TRUE")</f>
        <v>FALSE</v>
      </c>
      <c r="K1682" s="10" t="b">
        <f>Github!M$249</f>
        <v>0</v>
      </c>
      <c r="L1682" s="10" t="b">
        <f>Github!N$249</f>
        <v>0</v>
      </c>
      <c r="M1682" s="10" t="str">
        <f>ROUND(Github!O$249, 2)&amp;"%"</f>
        <v>41.36%</v>
      </c>
      <c r="N1682" s="10">
        <f>Github!P$249</f>
        <v>33646</v>
      </c>
      <c r="O1682" s="10">
        <f>Github!Q$249</f>
        <v>81355</v>
      </c>
    </row>
    <row r="1683">
      <c r="A1683" s="10">
        <f>Github!J$1181</f>
        <v>1180</v>
      </c>
      <c r="B1683" s="11" t="str">
        <f>HYPERLINK(CONCAT("http://leetcode.com/problems/",Github!C$1181), Github!B$1181)</f>
        <v>Count Substrings with Only One Distinct Letter</v>
      </c>
      <c r="C1683" s="10">
        <f>Github!F$1181</f>
        <v>270</v>
      </c>
      <c r="D1683" s="10">
        <f>Github!G$1181</f>
        <v>44</v>
      </c>
      <c r="E1683" s="10">
        <f>Github!F$1181+Github!G$1181</f>
        <v>314</v>
      </c>
      <c r="F1683" s="12">
        <f t="shared" si="1"/>
        <v>6.14</v>
      </c>
      <c r="G1683" s="10" t="str">
        <f>Github!H$1181</f>
        <v>Algorithms</v>
      </c>
      <c r="H1683" s="13" t="str">
        <f>SUBSTITUTE(Github!L$1181, ";", ", ")</f>
        <v>Math, String, </v>
      </c>
      <c r="I1683" s="10" t="str">
        <f>Github!E$1181</f>
        <v>Easy</v>
      </c>
      <c r="J1683" s="10" t="str">
        <f>IF(TRIM(Github!D$1181)="TRUE","FALSE","TRUE")</f>
        <v>FALSE</v>
      </c>
      <c r="K1683" s="10" t="b">
        <f>Github!M$1181</f>
        <v>1</v>
      </c>
      <c r="L1683" s="10" t="b">
        <f>Github!N$1181</f>
        <v>0</v>
      </c>
      <c r="M1683" s="10" t="str">
        <f>ROUND(Github!O$1181, 2)&amp;"%"</f>
        <v>78.79%</v>
      </c>
      <c r="N1683" s="10">
        <f>Github!P$1181</f>
        <v>20636</v>
      </c>
      <c r="O1683" s="10">
        <f>Github!Q$1181</f>
        <v>26190</v>
      </c>
    </row>
    <row r="1684">
      <c r="A1684" s="10">
        <f>Github!J$2026</f>
        <v>2025</v>
      </c>
      <c r="B1684" s="11" t="str">
        <f>HYPERLINK(CONCAT("http://leetcode.com/problems/",Github!C$2026), Github!B$2026)</f>
        <v>Maximum Number of Ways to Partition an Array</v>
      </c>
      <c r="C1684" s="10">
        <f>Github!F$2026</f>
        <v>271</v>
      </c>
      <c r="D1684" s="10">
        <f>Github!G$2026</f>
        <v>25</v>
      </c>
      <c r="E1684" s="10">
        <f>Github!F$2026+Github!G$2026</f>
        <v>296</v>
      </c>
      <c r="F1684" s="12">
        <f t="shared" si="1"/>
        <v>10.84</v>
      </c>
      <c r="G1684" s="10" t="str">
        <f>Github!H$2026</f>
        <v>Algorithms</v>
      </c>
      <c r="H1684" s="13" t="str">
        <f>SUBSTITUTE(Github!L$2026, ";", ", ")</f>
        <v>Array, Hash Table, Counting, Enumeration, Prefix Sum, </v>
      </c>
      <c r="I1684" s="10" t="str">
        <f>Github!E$2026</f>
        <v>Hard</v>
      </c>
      <c r="J1684" s="10" t="str">
        <f>IF(TRIM(Github!D$2026)="TRUE","FALSE","TRUE")</f>
        <v>TRUE</v>
      </c>
      <c r="K1684" s="10" t="b">
        <f>Github!M$2026</f>
        <v>0</v>
      </c>
      <c r="L1684" s="10" t="b">
        <f>Github!N$2026</f>
        <v>0</v>
      </c>
      <c r="M1684" s="10" t="str">
        <f>ROUND(Github!O$2026, 2)&amp;"%"</f>
        <v>31.37%</v>
      </c>
      <c r="N1684" s="10">
        <f>Github!P$2026</f>
        <v>4992</v>
      </c>
      <c r="O1684" s="10">
        <f>Github!Q$2026</f>
        <v>15915</v>
      </c>
    </row>
    <row r="1685">
      <c r="A1685" s="10">
        <f>Github!J$1946</f>
        <v>1945</v>
      </c>
      <c r="B1685" s="11" t="str">
        <f>HYPERLINK(CONCAT("http://leetcode.com/problems/",Github!C$1946), Github!B$1946)</f>
        <v>Sum of Digits of String After Convert</v>
      </c>
      <c r="C1685" s="10">
        <f>Github!F$1946</f>
        <v>272</v>
      </c>
      <c r="D1685" s="10">
        <f>Github!G$1946</f>
        <v>30</v>
      </c>
      <c r="E1685" s="10">
        <f>Github!F$1946+Github!G$1946</f>
        <v>302</v>
      </c>
      <c r="F1685" s="12">
        <f t="shared" si="1"/>
        <v>9.07</v>
      </c>
      <c r="G1685" s="10" t="str">
        <f>Github!H$1946</f>
        <v>Algorithms</v>
      </c>
      <c r="H1685" s="13" t="str">
        <f>SUBSTITUTE(Github!L$1946, ";", ", ")</f>
        <v>String, Simulation, </v>
      </c>
      <c r="I1685" s="10" t="str">
        <f>Github!E$1946</f>
        <v>Easy</v>
      </c>
      <c r="J1685" s="10" t="str">
        <f>IF(TRIM(Github!D$1946)="TRUE","FALSE","TRUE")</f>
        <v>TRUE</v>
      </c>
      <c r="K1685" s="10" t="b">
        <f>Github!M$1946</f>
        <v>0</v>
      </c>
      <c r="L1685" s="10" t="b">
        <f>Github!N$1946</f>
        <v>0</v>
      </c>
      <c r="M1685" s="10" t="str">
        <f>ROUND(Github!O$1946, 2)&amp;"%"</f>
        <v>61.43%</v>
      </c>
      <c r="N1685" s="10">
        <f>Github!P$1946</f>
        <v>25467</v>
      </c>
      <c r="O1685" s="10">
        <f>Github!Q$1946</f>
        <v>41456</v>
      </c>
    </row>
    <row r="1686">
      <c r="A1686" s="10">
        <f>Github!J$1273</f>
        <v>1272</v>
      </c>
      <c r="B1686" s="11" t="str">
        <f>HYPERLINK(CONCAT("http://leetcode.com/problems/",Github!C$1273), Github!B$1273)</f>
        <v>Remove Interval</v>
      </c>
      <c r="C1686" s="10">
        <f>Github!F$1273</f>
        <v>269</v>
      </c>
      <c r="D1686" s="10">
        <f>Github!G$1273</f>
        <v>21</v>
      </c>
      <c r="E1686" s="10">
        <f>Github!F$1273+Github!G$1273</f>
        <v>290</v>
      </c>
      <c r="F1686" s="12">
        <f t="shared" si="1"/>
        <v>12.81</v>
      </c>
      <c r="G1686" s="10" t="str">
        <f>Github!H$1273</f>
        <v>Algorithms</v>
      </c>
      <c r="H1686" s="13" t="str">
        <f>SUBSTITUTE(Github!L$1273, ";", ", ")</f>
        <v>Array, </v>
      </c>
      <c r="I1686" s="10" t="str">
        <f>Github!E$1273</f>
        <v>Medium</v>
      </c>
      <c r="J1686" s="10" t="str">
        <f>IF(TRIM(Github!D$1273)="TRUE","FALSE","TRUE")</f>
        <v>FALSE</v>
      </c>
      <c r="K1686" s="10" t="b">
        <f>Github!M$1273</f>
        <v>1</v>
      </c>
      <c r="L1686" s="10" t="b">
        <f>Github!N$1273</f>
        <v>1</v>
      </c>
      <c r="M1686" s="10" t="str">
        <f>ROUND(Github!O$1273, 2)&amp;"%"</f>
        <v>61.2%</v>
      </c>
      <c r="N1686" s="10">
        <f>Github!P$1273</f>
        <v>19403</v>
      </c>
      <c r="O1686" s="10">
        <f>Github!Q$1273</f>
        <v>31704</v>
      </c>
    </row>
    <row r="1687">
      <c r="A1687" s="10">
        <f>Github!J$194</f>
        <v>193</v>
      </c>
      <c r="B1687" s="11" t="str">
        <f>HYPERLINK(CONCAT("http://leetcode.com/problems/",Github!C$194), Github!B$194)</f>
        <v>Valid Phone Numbers</v>
      </c>
      <c r="C1687" s="10">
        <f>Github!F$194</f>
        <v>269</v>
      </c>
      <c r="D1687" s="10">
        <f>Github!G$194</f>
        <v>708</v>
      </c>
      <c r="E1687" s="10">
        <f>Github!F$194+Github!G$194</f>
        <v>977</v>
      </c>
      <c r="F1687" s="12">
        <f t="shared" si="1"/>
        <v>0.38</v>
      </c>
      <c r="G1687" s="10" t="str">
        <f>Github!H$194</f>
        <v>Shell</v>
      </c>
      <c r="H1687" s="13" t="str">
        <f>SUBSTITUTE(Github!L$194, ";", ", ")</f>
        <v>Shell, </v>
      </c>
      <c r="I1687" s="10" t="str">
        <f>Github!E$194</f>
        <v>Easy</v>
      </c>
      <c r="J1687" s="10" t="str">
        <f>IF(TRIM(Github!D$194)="TRUE","FALSE","TRUE")</f>
        <v>TRUE</v>
      </c>
      <c r="K1687" s="10" t="b">
        <f>Github!M$194</f>
        <v>0</v>
      </c>
      <c r="L1687" s="10" t="b">
        <f>Github!N$194</f>
        <v>0</v>
      </c>
      <c r="M1687" s="10" t="str">
        <f>ROUND(Github!O$194, 2)&amp;"%"</f>
        <v>25.82%</v>
      </c>
      <c r="N1687" s="10">
        <f>Github!P$194</f>
        <v>55419</v>
      </c>
      <c r="O1687" s="10">
        <f>Github!Q$194</f>
        <v>214674</v>
      </c>
    </row>
    <row r="1688">
      <c r="A1688" s="10">
        <f>Github!J$2040</f>
        <v>2039</v>
      </c>
      <c r="B1688" s="11" t="str">
        <f>HYPERLINK(CONCAT("http://leetcode.com/problems/",Github!C$2040), Github!B$2040)</f>
        <v>The Time When the Network Becomes Idle</v>
      </c>
      <c r="C1688" s="10">
        <f>Github!F$2040</f>
        <v>271</v>
      </c>
      <c r="D1688" s="10">
        <f>Github!G$2040</f>
        <v>18</v>
      </c>
      <c r="E1688" s="10">
        <f>Github!F$2040+Github!G$2040</f>
        <v>289</v>
      </c>
      <c r="F1688" s="12">
        <f t="shared" si="1"/>
        <v>15.06</v>
      </c>
      <c r="G1688" s="10" t="str">
        <f>Github!H$2040</f>
        <v>Algorithms</v>
      </c>
      <c r="H1688" s="13" t="str">
        <f>SUBSTITUTE(Github!L$2040, ";", ", ")</f>
        <v>Array, Breadth-First Search, Graph, </v>
      </c>
      <c r="I1688" s="10" t="str">
        <f>Github!E$2040</f>
        <v>Medium</v>
      </c>
      <c r="J1688" s="10" t="str">
        <f>IF(TRIM(Github!D$2040)="TRUE","FALSE","TRUE")</f>
        <v>TRUE</v>
      </c>
      <c r="K1688" s="10" t="b">
        <f>Github!M$2040</f>
        <v>0</v>
      </c>
      <c r="L1688" s="10" t="b">
        <f>Github!N$2040</f>
        <v>0</v>
      </c>
      <c r="M1688" s="10" t="str">
        <f>ROUND(Github!O$2040, 2)&amp;"%"</f>
        <v>49.2%</v>
      </c>
      <c r="N1688" s="10">
        <f>Github!P$2040</f>
        <v>6496</v>
      </c>
      <c r="O1688" s="10">
        <f>Github!Q$2040</f>
        <v>13202</v>
      </c>
    </row>
    <row r="1689">
      <c r="A1689" s="10">
        <f>Github!J$1924</f>
        <v>1923</v>
      </c>
      <c r="B1689" s="11" t="str">
        <f>HYPERLINK(CONCAT("http://leetcode.com/problems/",Github!C$1924), Github!B$1924)</f>
        <v>Longest Common Subpath</v>
      </c>
      <c r="C1689" s="10">
        <f>Github!F$1924</f>
        <v>269</v>
      </c>
      <c r="D1689" s="10">
        <f>Github!G$1924</f>
        <v>24</v>
      </c>
      <c r="E1689" s="10">
        <f>Github!F$1924+Github!G$1924</f>
        <v>293</v>
      </c>
      <c r="F1689" s="12">
        <f t="shared" si="1"/>
        <v>11.21</v>
      </c>
      <c r="G1689" s="10" t="str">
        <f>Github!H$1924</f>
        <v>Algorithms</v>
      </c>
      <c r="H1689" s="13" t="str">
        <f>SUBSTITUTE(Github!L$1924, ";", ", ")</f>
        <v>Array, Binary Search, Rolling Hash, Suffix Array, Hash Function, </v>
      </c>
      <c r="I1689" s="10" t="str">
        <f>Github!E$1924</f>
        <v>Hard</v>
      </c>
      <c r="J1689" s="10" t="str">
        <f>IF(TRIM(Github!D$1924)="TRUE","FALSE","TRUE")</f>
        <v>TRUE</v>
      </c>
      <c r="K1689" s="10" t="b">
        <f>Github!M$1924</f>
        <v>0</v>
      </c>
      <c r="L1689" s="10" t="b">
        <f>Github!N$1924</f>
        <v>0</v>
      </c>
      <c r="M1689" s="10" t="str">
        <f>ROUND(Github!O$1924, 2)&amp;"%"</f>
        <v>28.34%</v>
      </c>
      <c r="N1689" s="10">
        <f>Github!P$1924</f>
        <v>4763</v>
      </c>
      <c r="O1689" s="10">
        <f>Github!Q$1924</f>
        <v>16808</v>
      </c>
    </row>
    <row r="1690">
      <c r="A1690" s="10">
        <f>Github!J$2004</f>
        <v>2003</v>
      </c>
      <c r="B1690" s="11" t="str">
        <f>HYPERLINK(CONCAT("http://leetcode.com/problems/",Github!C$2004), Github!B$2004)</f>
        <v>Smallest Missing Genetic Value in Each Subtree</v>
      </c>
      <c r="C1690" s="10">
        <f>Github!F$2004</f>
        <v>268</v>
      </c>
      <c r="D1690" s="10">
        <f>Github!G$2004</f>
        <v>16</v>
      </c>
      <c r="E1690" s="10">
        <f>Github!F$2004+Github!G$2004</f>
        <v>284</v>
      </c>
      <c r="F1690" s="12">
        <f t="shared" si="1"/>
        <v>16.75</v>
      </c>
      <c r="G1690" s="10" t="str">
        <f>Github!H$2004</f>
        <v>Algorithms</v>
      </c>
      <c r="H1690" s="13" t="str">
        <f>SUBSTITUTE(Github!L$2004, ";", ", ")</f>
        <v>Dynamic Programming, Tree, Depth-First Search, Union Find, </v>
      </c>
      <c r="I1690" s="10" t="str">
        <f>Github!E$2004</f>
        <v>Hard</v>
      </c>
      <c r="J1690" s="10" t="str">
        <f>IF(TRIM(Github!D$2004)="TRUE","FALSE","TRUE")</f>
        <v>TRUE</v>
      </c>
      <c r="K1690" s="10" t="b">
        <f>Github!M$2004</f>
        <v>0</v>
      </c>
      <c r="L1690" s="10" t="b">
        <f>Github!N$2004</f>
        <v>0</v>
      </c>
      <c r="M1690" s="10" t="str">
        <f>ROUND(Github!O$2004, 2)&amp;"%"</f>
        <v>42.33%</v>
      </c>
      <c r="N1690" s="10">
        <f>Github!P$2004</f>
        <v>4835</v>
      </c>
      <c r="O1690" s="10">
        <f>Github!Q$2004</f>
        <v>11422</v>
      </c>
    </row>
    <row r="1691">
      <c r="A1691" s="10">
        <f>Github!J$535</f>
        <v>534</v>
      </c>
      <c r="B1691" s="11" t="str">
        <f>HYPERLINK(CONCAT("http://leetcode.com/problems/",Github!C$535), Github!B$535)</f>
        <v>Game Play Analysis III</v>
      </c>
      <c r="C1691" s="10">
        <f>Github!F$535</f>
        <v>267</v>
      </c>
      <c r="D1691" s="10">
        <f>Github!G$535</f>
        <v>12</v>
      </c>
      <c r="E1691" s="10">
        <f>Github!F$535+Github!G$535</f>
        <v>279</v>
      </c>
      <c r="F1691" s="12">
        <f t="shared" si="1"/>
        <v>22.25</v>
      </c>
      <c r="G1691" s="10" t="str">
        <f>Github!H$535</f>
        <v>Database</v>
      </c>
      <c r="H1691" s="13" t="str">
        <f>SUBSTITUTE(Github!L$535, ";", ", ")</f>
        <v>Database, </v>
      </c>
      <c r="I1691" s="10" t="str">
        <f>Github!E$535</f>
        <v>Medium</v>
      </c>
      <c r="J1691" s="10" t="str">
        <f>IF(TRIM(Github!D$535)="TRUE","FALSE","TRUE")</f>
        <v>FALSE</v>
      </c>
      <c r="K1691" s="10" t="b">
        <f>Github!M$535</f>
        <v>0</v>
      </c>
      <c r="L1691" s="10" t="b">
        <f>Github!N$535</f>
        <v>0</v>
      </c>
      <c r="M1691" s="10" t="str">
        <f>ROUND(Github!O$535, 2)&amp;"%"</f>
        <v>82.04%</v>
      </c>
      <c r="N1691" s="10">
        <f>Github!P$535</f>
        <v>47269</v>
      </c>
      <c r="O1691" s="10">
        <f>Github!Q$535</f>
        <v>57620</v>
      </c>
    </row>
    <row r="1692">
      <c r="A1692" s="10">
        <f>Github!J$1620</f>
        <v>1619</v>
      </c>
      <c r="B1692" s="11" t="str">
        <f>HYPERLINK(CONCAT("http://leetcode.com/problems/",Github!C$1620), Github!B$1620)</f>
        <v>Mean of Array After Removing Some Elements</v>
      </c>
      <c r="C1692" s="10">
        <f>Github!F$1620</f>
        <v>267</v>
      </c>
      <c r="D1692" s="10">
        <f>Github!G$1620</f>
        <v>78</v>
      </c>
      <c r="E1692" s="10">
        <f>Github!F$1620+Github!G$1620</f>
        <v>345</v>
      </c>
      <c r="F1692" s="12">
        <f t="shared" si="1"/>
        <v>3.42</v>
      </c>
      <c r="G1692" s="10" t="str">
        <f>Github!H$1620</f>
        <v>Algorithms</v>
      </c>
      <c r="H1692" s="13" t="str">
        <f>SUBSTITUTE(Github!L$1620, ";", ", ")</f>
        <v>Array, Sorting, </v>
      </c>
      <c r="I1692" s="10" t="str">
        <f>Github!E$1620</f>
        <v>Easy</v>
      </c>
      <c r="J1692" s="10" t="str">
        <f>IF(TRIM(Github!D$1620)="TRUE","FALSE","TRUE")</f>
        <v>TRUE</v>
      </c>
      <c r="K1692" s="10" t="b">
        <f>Github!M$1620</f>
        <v>0</v>
      </c>
      <c r="L1692" s="10" t="b">
        <f>Github!N$1620</f>
        <v>0</v>
      </c>
      <c r="M1692" s="10" t="str">
        <f>ROUND(Github!O$1620, 2)&amp;"%"</f>
        <v>64.48%</v>
      </c>
      <c r="N1692" s="10">
        <f>Github!P$1620</f>
        <v>32023</v>
      </c>
      <c r="O1692" s="10">
        <f>Github!Q$1620</f>
        <v>49663</v>
      </c>
    </row>
    <row r="1693">
      <c r="A1693" s="10">
        <f>Github!J$554</f>
        <v>553</v>
      </c>
      <c r="B1693" s="11" t="str">
        <f>HYPERLINK(CONCAT("http://leetcode.com/problems/",Github!C$554), Github!B$554)</f>
        <v>Optimal Division</v>
      </c>
      <c r="C1693" s="10">
        <f>Github!F$554</f>
        <v>269</v>
      </c>
      <c r="D1693" s="10">
        <f>Github!G$554</f>
        <v>1383</v>
      </c>
      <c r="E1693" s="10">
        <f>Github!F$554+Github!G$554</f>
        <v>1652</v>
      </c>
      <c r="F1693" s="12">
        <f t="shared" si="1"/>
        <v>0.19</v>
      </c>
      <c r="G1693" s="10" t="str">
        <f>Github!H$554</f>
        <v>Algorithms</v>
      </c>
      <c r="H1693" s="13" t="str">
        <f>SUBSTITUTE(Github!L$554, ";", ", ")</f>
        <v>Array, Math, Dynamic Programming, </v>
      </c>
      <c r="I1693" s="10" t="str">
        <f>Github!E$554</f>
        <v>Medium</v>
      </c>
      <c r="J1693" s="10" t="str">
        <f>IF(TRIM(Github!D$554)="TRUE","FALSE","TRUE")</f>
        <v>TRUE</v>
      </c>
      <c r="K1693" s="10" t="b">
        <f>Github!M$554</f>
        <v>1</v>
      </c>
      <c r="L1693" s="10" t="b">
        <f>Github!N$554</f>
        <v>0</v>
      </c>
      <c r="M1693" s="10" t="str">
        <f>ROUND(Github!O$554, 2)&amp;"%"</f>
        <v>59.03%</v>
      </c>
      <c r="N1693" s="10">
        <f>Github!P$554</f>
        <v>31629</v>
      </c>
      <c r="O1693" s="10">
        <f>Github!Q$554</f>
        <v>53585</v>
      </c>
    </row>
    <row r="1694">
      <c r="A1694" s="10">
        <f>Github!J$484</f>
        <v>483</v>
      </c>
      <c r="B1694" s="11" t="str">
        <f>HYPERLINK(CONCAT("http://leetcode.com/problems/",Github!C$484), Github!B$484)</f>
        <v>Smallest Good Base</v>
      </c>
      <c r="C1694" s="10">
        <f>Github!F$484</f>
        <v>265</v>
      </c>
      <c r="D1694" s="10">
        <f>Github!G$484</f>
        <v>431</v>
      </c>
      <c r="E1694" s="10">
        <f>Github!F$484+Github!G$484</f>
        <v>696</v>
      </c>
      <c r="F1694" s="12">
        <f t="shared" si="1"/>
        <v>0.61</v>
      </c>
      <c r="G1694" s="10" t="str">
        <f>Github!H$484</f>
        <v>Algorithms</v>
      </c>
      <c r="H1694" s="13" t="str">
        <f>SUBSTITUTE(Github!L$484, ";", ", ")</f>
        <v>Math, Binary Search, </v>
      </c>
      <c r="I1694" s="10" t="str">
        <f>Github!E$484</f>
        <v>Hard</v>
      </c>
      <c r="J1694" s="10" t="str">
        <f>IF(TRIM(Github!D$484)="TRUE","FALSE","TRUE")</f>
        <v>TRUE</v>
      </c>
      <c r="K1694" s="10" t="b">
        <f>Github!M$484</f>
        <v>0</v>
      </c>
      <c r="L1694" s="10" t="b">
        <f>Github!N$484</f>
        <v>0</v>
      </c>
      <c r="M1694" s="10" t="str">
        <f>ROUND(Github!O$484, 2)&amp;"%"</f>
        <v>37.82%</v>
      </c>
      <c r="N1694" s="10">
        <f>Github!P$484</f>
        <v>16781</v>
      </c>
      <c r="O1694" s="10">
        <f>Github!Q$484</f>
        <v>44368</v>
      </c>
    </row>
    <row r="1695">
      <c r="A1695" s="10">
        <f>Github!J$1400</f>
        <v>1399</v>
      </c>
      <c r="B1695" s="11" t="str">
        <f>HYPERLINK(CONCAT("http://leetcode.com/problems/",Github!C$1400), Github!B$1400)</f>
        <v>Count Largest Group</v>
      </c>
      <c r="C1695" s="10">
        <f>Github!F$1400</f>
        <v>266</v>
      </c>
      <c r="D1695" s="10">
        <f>Github!G$1400</f>
        <v>656</v>
      </c>
      <c r="E1695" s="10">
        <f>Github!F$1400+Github!G$1400</f>
        <v>922</v>
      </c>
      <c r="F1695" s="12">
        <f t="shared" si="1"/>
        <v>0.41</v>
      </c>
      <c r="G1695" s="10" t="str">
        <f>Github!H$1400</f>
        <v>Algorithms</v>
      </c>
      <c r="H1695" s="13" t="str">
        <f>SUBSTITUTE(Github!L$1400, ";", ", ")</f>
        <v>Hash Table, Math, </v>
      </c>
      <c r="I1695" s="10" t="str">
        <f>Github!E$1400</f>
        <v>Easy</v>
      </c>
      <c r="J1695" s="10" t="str">
        <f>IF(TRIM(Github!D$1400)="TRUE","FALSE","TRUE")</f>
        <v>TRUE</v>
      </c>
      <c r="K1695" s="10" t="b">
        <f>Github!M$1400</f>
        <v>0</v>
      </c>
      <c r="L1695" s="10" t="b">
        <f>Github!N$1400</f>
        <v>0</v>
      </c>
      <c r="M1695" s="10" t="str">
        <f>ROUND(Github!O$1400, 2)&amp;"%"</f>
        <v>66.83%</v>
      </c>
      <c r="N1695" s="10">
        <f>Github!P$1400</f>
        <v>30547</v>
      </c>
      <c r="O1695" s="10">
        <f>Github!Q$1400</f>
        <v>45708</v>
      </c>
    </row>
    <row r="1696">
      <c r="A1696" s="10">
        <f>Github!J$1485</f>
        <v>1484</v>
      </c>
      <c r="B1696" s="11" t="str">
        <f>HYPERLINK(CONCAT("http://leetcode.com/problems/",Github!C$1485), Github!B$1485)</f>
        <v>Group Sold Products By The Date</v>
      </c>
      <c r="C1696" s="10">
        <f>Github!F$1485</f>
        <v>281</v>
      </c>
      <c r="D1696" s="10">
        <f>Github!G$1485</f>
        <v>20</v>
      </c>
      <c r="E1696" s="10">
        <f>Github!F$1485+Github!G$1485</f>
        <v>301</v>
      </c>
      <c r="F1696" s="12">
        <f t="shared" si="1"/>
        <v>14.05</v>
      </c>
      <c r="G1696" s="10" t="str">
        <f>Github!H$1485</f>
        <v>Database</v>
      </c>
      <c r="H1696" s="13" t="str">
        <f>SUBSTITUTE(Github!L$1485, ";", ", ")</f>
        <v>Database, </v>
      </c>
      <c r="I1696" s="10" t="str">
        <f>Github!E$1485</f>
        <v>Easy</v>
      </c>
      <c r="J1696" s="10" t="str">
        <f>IF(TRIM(Github!D$1485)="TRUE","FALSE","TRUE")</f>
        <v>TRUE</v>
      </c>
      <c r="K1696" s="10" t="b">
        <f>Github!M$1485</f>
        <v>0</v>
      </c>
      <c r="L1696" s="10" t="b">
        <f>Github!N$1485</f>
        <v>0</v>
      </c>
      <c r="M1696" s="10" t="str">
        <f>ROUND(Github!O$1485, 2)&amp;"%"</f>
        <v>84.55%</v>
      </c>
      <c r="N1696" s="10">
        <f>Github!P$1485</f>
        <v>26047</v>
      </c>
      <c r="O1696" s="10">
        <f>Github!Q$1485</f>
        <v>30808</v>
      </c>
    </row>
    <row r="1697">
      <c r="A1697" s="10">
        <f>Github!J$1873</f>
        <v>1872</v>
      </c>
      <c r="B1697" s="11" t="str">
        <f>HYPERLINK(CONCAT("http://leetcode.com/problems/",Github!C$1873), Github!B$1873)</f>
        <v>Stone Game VIII</v>
      </c>
      <c r="C1697" s="10">
        <f>Github!F$1873</f>
        <v>265</v>
      </c>
      <c r="D1697" s="10">
        <f>Github!G$1873</f>
        <v>11</v>
      </c>
      <c r="E1697" s="10">
        <f>Github!F$1873+Github!G$1873</f>
        <v>276</v>
      </c>
      <c r="F1697" s="12">
        <f t="shared" si="1"/>
        <v>24.09</v>
      </c>
      <c r="G1697" s="10" t="str">
        <f>Github!H$1873</f>
        <v>Algorithms</v>
      </c>
      <c r="H1697" s="13" t="str">
        <f>SUBSTITUTE(Github!L$1873, ";", ", ")</f>
        <v>Array, Math, Dynamic Programming, Prefix Sum, Game Theory, </v>
      </c>
      <c r="I1697" s="10" t="str">
        <f>Github!E$1873</f>
        <v>Hard</v>
      </c>
      <c r="J1697" s="10" t="str">
        <f>IF(TRIM(Github!D$1873)="TRUE","FALSE","TRUE")</f>
        <v>TRUE</v>
      </c>
      <c r="K1697" s="10" t="b">
        <f>Github!M$1873</f>
        <v>0</v>
      </c>
      <c r="L1697" s="10" t="b">
        <f>Github!N$1873</f>
        <v>0</v>
      </c>
      <c r="M1697" s="10" t="str">
        <f>ROUND(Github!O$1873, 2)&amp;"%"</f>
        <v>52.37%</v>
      </c>
      <c r="N1697" s="10">
        <f>Github!P$1873</f>
        <v>5463</v>
      </c>
      <c r="O1697" s="10">
        <f>Github!Q$1873</f>
        <v>10432</v>
      </c>
    </row>
    <row r="1698">
      <c r="A1698" s="10">
        <f>Github!J$2091</f>
        <v>2090</v>
      </c>
      <c r="B1698" s="11" t="str">
        <f>HYPERLINK(CONCAT("http://leetcode.com/problems/",Github!C$2091), Github!B$2091)</f>
        <v>K Radius Subarray Averages</v>
      </c>
      <c r="C1698" s="10">
        <f>Github!F$2091</f>
        <v>270</v>
      </c>
      <c r="D1698" s="10">
        <f>Github!G$2091</f>
        <v>10</v>
      </c>
      <c r="E1698" s="10">
        <f>Github!F$2091+Github!G$2091</f>
        <v>280</v>
      </c>
      <c r="F1698" s="12">
        <f t="shared" si="1"/>
        <v>27</v>
      </c>
      <c r="G1698" s="10" t="str">
        <f>Github!H$2091</f>
        <v>Algorithms</v>
      </c>
      <c r="H1698" s="13" t="str">
        <f>SUBSTITUTE(Github!L$2091, ";", ", ")</f>
        <v>Array, Sliding Window, </v>
      </c>
      <c r="I1698" s="10" t="str">
        <f>Github!E$2091</f>
        <v>Medium</v>
      </c>
      <c r="J1698" s="10" t="str">
        <f>IF(TRIM(Github!D$2091)="TRUE","FALSE","TRUE")</f>
        <v>TRUE</v>
      </c>
      <c r="K1698" s="10" t="b">
        <f>Github!M$2091</f>
        <v>0</v>
      </c>
      <c r="L1698" s="10" t="b">
        <f>Github!N$2091</f>
        <v>0</v>
      </c>
      <c r="M1698" s="10" t="str">
        <f>ROUND(Github!O$2091, 2)&amp;"%"</f>
        <v>41.06%</v>
      </c>
      <c r="N1698" s="10">
        <f>Github!P$2091</f>
        <v>14558</v>
      </c>
      <c r="O1698" s="10">
        <f>Github!Q$2091</f>
        <v>35459</v>
      </c>
    </row>
    <row r="1699">
      <c r="A1699" s="10">
        <f>Github!J$1996</f>
        <v>1995</v>
      </c>
      <c r="B1699" s="11" t="str">
        <f>HYPERLINK(CONCAT("http://leetcode.com/problems/",Github!C$1996), Github!B$1996)</f>
        <v>Count Special Quadruplets</v>
      </c>
      <c r="C1699" s="10">
        <f>Github!F$1996</f>
        <v>265</v>
      </c>
      <c r="D1699" s="10">
        <f>Github!G$1996</f>
        <v>135</v>
      </c>
      <c r="E1699" s="10">
        <f>Github!F$1996+Github!G$1996</f>
        <v>400</v>
      </c>
      <c r="F1699" s="12">
        <f t="shared" si="1"/>
        <v>1.96</v>
      </c>
      <c r="G1699" s="10" t="str">
        <f>Github!H$1996</f>
        <v>Algorithms</v>
      </c>
      <c r="H1699" s="13" t="str">
        <f>SUBSTITUTE(Github!L$1996, ";", ", ")</f>
        <v>Array, Enumeration, </v>
      </c>
      <c r="I1699" s="10" t="str">
        <f>Github!E$1996</f>
        <v>Easy</v>
      </c>
      <c r="J1699" s="10" t="str">
        <f>IF(TRIM(Github!D$1996)="TRUE","FALSE","TRUE")</f>
        <v>TRUE</v>
      </c>
      <c r="K1699" s="10" t="b">
        <f>Github!M$1996</f>
        <v>0</v>
      </c>
      <c r="L1699" s="10" t="b">
        <f>Github!N$1996</f>
        <v>0</v>
      </c>
      <c r="M1699" s="10" t="str">
        <f>ROUND(Github!O$1996, 2)&amp;"%"</f>
        <v>57.92%</v>
      </c>
      <c r="N1699" s="10">
        <f>Github!P$1996</f>
        <v>19375</v>
      </c>
      <c r="O1699" s="10">
        <f>Github!Q$1996</f>
        <v>33452</v>
      </c>
    </row>
    <row r="1700">
      <c r="A1700" s="10">
        <f>Github!J$2180</f>
        <v>2179</v>
      </c>
      <c r="B1700" s="11" t="str">
        <f>HYPERLINK(CONCAT("http://leetcode.com/problems/",Github!C$2180), Github!B$2180)</f>
        <v>Count Good Triplets in an Array</v>
      </c>
      <c r="C1700" s="10">
        <f>Github!F$2180</f>
        <v>263</v>
      </c>
      <c r="D1700" s="10">
        <f>Github!G$2180</f>
        <v>10</v>
      </c>
      <c r="E1700" s="10">
        <f>Github!F$2180+Github!G$2180</f>
        <v>273</v>
      </c>
      <c r="F1700" s="12">
        <f t="shared" si="1"/>
        <v>26.3</v>
      </c>
      <c r="G1700" s="10" t="str">
        <f>Github!H$2180</f>
        <v>Algorithms</v>
      </c>
      <c r="H1700" s="13" t="str">
        <f>SUBSTITUTE(Github!L$2180, ";", ", ")</f>
        <v>Array, Binary Search, Divide and Conquer, Binary Indexed Tree, Segment Tree, Merge Sort, Ordered Set, </v>
      </c>
      <c r="I1700" s="10" t="str">
        <f>Github!E$2180</f>
        <v>Hard</v>
      </c>
      <c r="J1700" s="10" t="str">
        <f>IF(TRIM(Github!D$2180)="TRUE","FALSE","TRUE")</f>
        <v>TRUE</v>
      </c>
      <c r="K1700" s="10" t="b">
        <f>Github!M$2180</f>
        <v>0</v>
      </c>
      <c r="L1700" s="10" t="b">
        <f>Github!N$2180</f>
        <v>0</v>
      </c>
      <c r="M1700" s="10" t="str">
        <f>ROUND(Github!O$2180, 2)&amp;"%"</f>
        <v>34.21%</v>
      </c>
      <c r="N1700" s="10">
        <f>Github!P$2180</f>
        <v>3517</v>
      </c>
      <c r="O1700" s="10">
        <f>Github!Q$2180</f>
        <v>10282</v>
      </c>
    </row>
    <row r="1701">
      <c r="A1701" s="10">
        <f>Github!J$1522</f>
        <v>1521</v>
      </c>
      <c r="B1701" s="11" t="str">
        <f>HYPERLINK(CONCAT("http://leetcode.com/problems/",Github!C$1522), Github!B$1522)</f>
        <v>Find a Value of a Mysterious Function Closest to Target</v>
      </c>
      <c r="C1701" s="10">
        <f>Github!F$1522</f>
        <v>262</v>
      </c>
      <c r="D1701" s="10">
        <f>Github!G$1522</f>
        <v>10</v>
      </c>
      <c r="E1701" s="10">
        <f>Github!F$1522+Github!G$1522</f>
        <v>272</v>
      </c>
      <c r="F1701" s="12">
        <f t="shared" si="1"/>
        <v>26.2</v>
      </c>
      <c r="G1701" s="10" t="str">
        <f>Github!H$1522</f>
        <v>Algorithms</v>
      </c>
      <c r="H1701" s="13" t="str">
        <f>SUBSTITUTE(Github!L$1522, ";", ", ")</f>
        <v>Array, Binary Search, Bit Manipulation, Segment Tree, </v>
      </c>
      <c r="I1701" s="10" t="str">
        <f>Github!E$1522</f>
        <v>Hard</v>
      </c>
      <c r="J1701" s="10" t="str">
        <f>IF(TRIM(Github!D$1522)="TRUE","FALSE","TRUE")</f>
        <v>TRUE</v>
      </c>
      <c r="K1701" s="10" t="b">
        <f>Github!M$1522</f>
        <v>0</v>
      </c>
      <c r="L1701" s="10" t="b">
        <f>Github!N$1522</f>
        <v>0</v>
      </c>
      <c r="M1701" s="10" t="str">
        <f>ROUND(Github!O$1522, 2)&amp;"%"</f>
        <v>43.54%</v>
      </c>
      <c r="N1701" s="10">
        <f>Github!P$1522</f>
        <v>7401</v>
      </c>
      <c r="O1701" s="10">
        <f>Github!Q$1522</f>
        <v>16998</v>
      </c>
    </row>
    <row r="1702">
      <c r="A1702" s="10">
        <f>Github!J$2066</f>
        <v>2065</v>
      </c>
      <c r="B1702" s="11" t="str">
        <f>HYPERLINK(CONCAT("http://leetcode.com/problems/",Github!C$2066), Github!B$2066)</f>
        <v>Maximum Path Quality of a Graph</v>
      </c>
      <c r="C1702" s="10">
        <f>Github!F$2066</f>
        <v>264</v>
      </c>
      <c r="D1702" s="10">
        <f>Github!G$2066</f>
        <v>27</v>
      </c>
      <c r="E1702" s="10">
        <f>Github!F$2066+Github!G$2066</f>
        <v>291</v>
      </c>
      <c r="F1702" s="12">
        <f t="shared" si="1"/>
        <v>9.78</v>
      </c>
      <c r="G1702" s="10" t="str">
        <f>Github!H$2066</f>
        <v>Algorithms</v>
      </c>
      <c r="H1702" s="13" t="str">
        <f>SUBSTITUTE(Github!L$2066, ";", ", ")</f>
        <v>Array, Backtracking, Graph, </v>
      </c>
      <c r="I1702" s="10" t="str">
        <f>Github!E$2066</f>
        <v>Hard</v>
      </c>
      <c r="J1702" s="10" t="str">
        <f>IF(TRIM(Github!D$2066)="TRUE","FALSE","TRUE")</f>
        <v>TRUE</v>
      </c>
      <c r="K1702" s="10" t="b">
        <f>Github!M$2066</f>
        <v>0</v>
      </c>
      <c r="L1702" s="10" t="b">
        <f>Github!N$2066</f>
        <v>0</v>
      </c>
      <c r="M1702" s="10" t="str">
        <f>ROUND(Github!O$2066, 2)&amp;"%"</f>
        <v>57.7%</v>
      </c>
      <c r="N1702" s="10">
        <f>Github!P$2066</f>
        <v>8383</v>
      </c>
      <c r="O1702" s="10">
        <f>Github!Q$2066</f>
        <v>14528</v>
      </c>
    </row>
    <row r="1703">
      <c r="A1703" s="10">
        <f>Github!J$2212</f>
        <v>2211</v>
      </c>
      <c r="B1703" s="11" t="str">
        <f>HYPERLINK(CONCAT("http://leetcode.com/problems/",Github!C$2212), Github!B$2212)</f>
        <v>Count Collisions on a Road</v>
      </c>
      <c r="C1703" s="10">
        <f>Github!F$2212</f>
        <v>266</v>
      </c>
      <c r="D1703" s="10">
        <f>Github!G$2212</f>
        <v>153</v>
      </c>
      <c r="E1703" s="10">
        <f>Github!F$2212+Github!G$2212</f>
        <v>419</v>
      </c>
      <c r="F1703" s="12">
        <f t="shared" si="1"/>
        <v>1.74</v>
      </c>
      <c r="G1703" s="10" t="str">
        <f>Github!H$2212</f>
        <v>Algorithms</v>
      </c>
      <c r="H1703" s="13" t="str">
        <f>SUBSTITUTE(Github!L$2212, ";", ", ")</f>
        <v>String, Stack, </v>
      </c>
      <c r="I1703" s="10" t="str">
        <f>Github!E$2212</f>
        <v>Medium</v>
      </c>
      <c r="J1703" s="10" t="str">
        <f>IF(TRIM(Github!D$2212)="TRUE","FALSE","TRUE")</f>
        <v>TRUE</v>
      </c>
      <c r="K1703" s="10" t="b">
        <f>Github!M$2212</f>
        <v>0</v>
      </c>
      <c r="L1703" s="10" t="b">
        <f>Github!N$2212</f>
        <v>0</v>
      </c>
      <c r="M1703" s="10" t="str">
        <f>ROUND(Github!O$2212, 2)&amp;"%"</f>
        <v>39.89%</v>
      </c>
      <c r="N1703" s="10">
        <f>Github!P$2212</f>
        <v>12866</v>
      </c>
      <c r="O1703" s="10">
        <f>Github!Q$2212</f>
        <v>32257</v>
      </c>
    </row>
    <row r="1704">
      <c r="A1704" s="10">
        <f>Github!J$1593</f>
        <v>1592</v>
      </c>
      <c r="B1704" s="11" t="str">
        <f>HYPERLINK(CONCAT("http://leetcode.com/problems/",Github!C$1593), Github!B$1593)</f>
        <v>Rearrange Spaces Between Words</v>
      </c>
      <c r="C1704" s="10">
        <f>Github!F$1593</f>
        <v>264</v>
      </c>
      <c r="D1704" s="10">
        <f>Github!G$1593</f>
        <v>234</v>
      </c>
      <c r="E1704" s="10">
        <f>Github!F$1593+Github!G$1593</f>
        <v>498</v>
      </c>
      <c r="F1704" s="12">
        <f t="shared" si="1"/>
        <v>1.13</v>
      </c>
      <c r="G1704" s="10" t="str">
        <f>Github!H$1593</f>
        <v>Algorithms</v>
      </c>
      <c r="H1704" s="13" t="str">
        <f>SUBSTITUTE(Github!L$1593, ";", ", ")</f>
        <v>String, </v>
      </c>
      <c r="I1704" s="10" t="str">
        <f>Github!E$1593</f>
        <v>Easy</v>
      </c>
      <c r="J1704" s="10" t="str">
        <f>IF(TRIM(Github!D$1593)="TRUE","FALSE","TRUE")</f>
        <v>TRUE</v>
      </c>
      <c r="K1704" s="10" t="b">
        <f>Github!M$1593</f>
        <v>0</v>
      </c>
      <c r="L1704" s="10" t="b">
        <f>Github!N$1593</f>
        <v>0</v>
      </c>
      <c r="M1704" s="10" t="str">
        <f>ROUND(Github!O$1593, 2)&amp;"%"</f>
        <v>44%</v>
      </c>
      <c r="N1704" s="10">
        <f>Github!P$1593</f>
        <v>35204</v>
      </c>
      <c r="O1704" s="10">
        <f>Github!Q$1593</f>
        <v>80003</v>
      </c>
    </row>
    <row r="1705">
      <c r="A1705" s="10">
        <f>Github!J$196</f>
        <v>195</v>
      </c>
      <c r="B1705" s="11" t="str">
        <f>HYPERLINK(CONCAT("http://leetcode.com/problems/",Github!C$196), Github!B$196)</f>
        <v>Tenth Line</v>
      </c>
      <c r="C1705" s="10">
        <f>Github!F$196</f>
        <v>259</v>
      </c>
      <c r="D1705" s="10">
        <f>Github!G$196</f>
        <v>339</v>
      </c>
      <c r="E1705" s="10">
        <f>Github!F$196+Github!G$196</f>
        <v>598</v>
      </c>
      <c r="F1705" s="12">
        <f t="shared" si="1"/>
        <v>0.76</v>
      </c>
      <c r="G1705" s="10" t="str">
        <f>Github!H$196</f>
        <v>Shell</v>
      </c>
      <c r="H1705" s="13" t="str">
        <f>SUBSTITUTE(Github!L$196, ";", ", ")</f>
        <v>Shell, </v>
      </c>
      <c r="I1705" s="10" t="str">
        <f>Github!E$196</f>
        <v>Easy</v>
      </c>
      <c r="J1705" s="10" t="str">
        <f>IF(TRIM(Github!D$196)="TRUE","FALSE","TRUE")</f>
        <v>TRUE</v>
      </c>
      <c r="K1705" s="10" t="b">
        <f>Github!M$196</f>
        <v>0</v>
      </c>
      <c r="L1705" s="10" t="b">
        <f>Github!N$196</f>
        <v>0</v>
      </c>
      <c r="M1705" s="10" t="str">
        <f>ROUND(Github!O$196, 2)&amp;"%"</f>
        <v>32.86%</v>
      </c>
      <c r="N1705" s="10">
        <f>Github!P$196</f>
        <v>72935</v>
      </c>
      <c r="O1705" s="10">
        <f>Github!Q$196</f>
        <v>221933</v>
      </c>
    </row>
    <row r="1706">
      <c r="A1706" s="10">
        <f>Github!J$1318</f>
        <v>1317</v>
      </c>
      <c r="B1706" s="11" t="str">
        <f>HYPERLINK(CONCAT("http://leetcode.com/problems/",Github!C$1318), Github!B$1318)</f>
        <v>Convert Integer to the Sum of Two No-Zero Integers</v>
      </c>
      <c r="C1706" s="10">
        <f>Github!F$1318</f>
        <v>259</v>
      </c>
      <c r="D1706" s="10">
        <f>Github!G$1318</f>
        <v>216</v>
      </c>
      <c r="E1706" s="10">
        <f>Github!F$1318+Github!G$1318</f>
        <v>475</v>
      </c>
      <c r="F1706" s="12">
        <f t="shared" si="1"/>
        <v>1.2</v>
      </c>
      <c r="G1706" s="10" t="str">
        <f>Github!H$1318</f>
        <v>Algorithms</v>
      </c>
      <c r="H1706" s="13" t="str">
        <f>SUBSTITUTE(Github!L$1318, ";", ", ")</f>
        <v>Math, </v>
      </c>
      <c r="I1706" s="10" t="str">
        <f>Github!E$1318</f>
        <v>Easy</v>
      </c>
      <c r="J1706" s="10" t="str">
        <f>IF(TRIM(Github!D$1318)="TRUE","FALSE","TRUE")</f>
        <v>TRUE</v>
      </c>
      <c r="K1706" s="10" t="b">
        <f>Github!M$1318</f>
        <v>0</v>
      </c>
      <c r="L1706" s="10" t="b">
        <f>Github!N$1318</f>
        <v>0</v>
      </c>
      <c r="M1706" s="10" t="str">
        <f>ROUND(Github!O$1318, 2)&amp;"%"</f>
        <v>57%</v>
      </c>
      <c r="N1706" s="10">
        <f>Github!P$1318</f>
        <v>29929</v>
      </c>
      <c r="O1706" s="10">
        <f>Github!Q$1318</f>
        <v>52509</v>
      </c>
    </row>
    <row r="1707">
      <c r="A1707" s="10">
        <f>Github!J$2165</f>
        <v>2164</v>
      </c>
      <c r="B1707" s="11" t="str">
        <f>HYPERLINK(CONCAT("http://leetcode.com/problems/",Github!C$2165), Github!B$2165)</f>
        <v>Sort Even and Odd Indices Independently</v>
      </c>
      <c r="C1707" s="10">
        <f>Github!F$2165</f>
        <v>263</v>
      </c>
      <c r="D1707" s="10">
        <f>Github!G$2165</f>
        <v>14</v>
      </c>
      <c r="E1707" s="10">
        <f>Github!F$2165+Github!G$2165</f>
        <v>277</v>
      </c>
      <c r="F1707" s="12">
        <f t="shared" si="1"/>
        <v>18.79</v>
      </c>
      <c r="G1707" s="10" t="str">
        <f>Github!H$2165</f>
        <v>Algorithms</v>
      </c>
      <c r="H1707" s="13" t="str">
        <f>SUBSTITUTE(Github!L$2165, ";", ", ")</f>
        <v>Array, Sorting, </v>
      </c>
      <c r="I1707" s="10" t="str">
        <f>Github!E$2165</f>
        <v>Easy</v>
      </c>
      <c r="J1707" s="10" t="str">
        <f>IF(TRIM(Github!D$2165)="TRUE","FALSE","TRUE")</f>
        <v>TRUE</v>
      </c>
      <c r="K1707" s="10" t="b">
        <f>Github!M$2165</f>
        <v>0</v>
      </c>
      <c r="L1707" s="10" t="b">
        <f>Github!N$2165</f>
        <v>0</v>
      </c>
      <c r="M1707" s="10" t="str">
        <f>ROUND(Github!O$2165, 2)&amp;"%"</f>
        <v>67.44%</v>
      </c>
      <c r="N1707" s="10">
        <f>Github!P$2165</f>
        <v>24966</v>
      </c>
      <c r="O1707" s="10">
        <f>Github!Q$2165</f>
        <v>37018</v>
      </c>
    </row>
    <row r="1708">
      <c r="A1708" s="10">
        <f>Github!J$2210</f>
        <v>2209</v>
      </c>
      <c r="B1708" s="11" t="str">
        <f>HYPERLINK(CONCAT("http://leetcode.com/problems/",Github!C$2210), Github!B$2210)</f>
        <v>Minimum White Tiles After Covering With Carpets</v>
      </c>
      <c r="C1708" s="10">
        <f>Github!F$2210</f>
        <v>263</v>
      </c>
      <c r="D1708" s="10">
        <f>Github!G$2210</f>
        <v>11</v>
      </c>
      <c r="E1708" s="10">
        <f>Github!F$2210+Github!G$2210</f>
        <v>274</v>
      </c>
      <c r="F1708" s="12">
        <f t="shared" si="1"/>
        <v>23.91</v>
      </c>
      <c r="G1708" s="10" t="str">
        <f>Github!H$2210</f>
        <v>Algorithms</v>
      </c>
      <c r="H1708" s="13" t="str">
        <f>SUBSTITUTE(Github!L$2210, ";", ", ")</f>
        <v>String, Dynamic Programming, Prefix Sum, </v>
      </c>
      <c r="I1708" s="10" t="str">
        <f>Github!E$2210</f>
        <v>Hard</v>
      </c>
      <c r="J1708" s="10" t="str">
        <f>IF(TRIM(Github!D$2210)="TRUE","FALSE","TRUE")</f>
        <v>TRUE</v>
      </c>
      <c r="K1708" s="10" t="b">
        <f>Github!M$2210</f>
        <v>0</v>
      </c>
      <c r="L1708" s="10" t="b">
        <f>Github!N$2210</f>
        <v>0</v>
      </c>
      <c r="M1708" s="10" t="str">
        <f>ROUND(Github!O$2210, 2)&amp;"%"</f>
        <v>31.53%</v>
      </c>
      <c r="N1708" s="10">
        <f>Github!P$2210</f>
        <v>6454</v>
      </c>
      <c r="O1708" s="10">
        <f>Github!Q$2210</f>
        <v>20468</v>
      </c>
    </row>
    <row r="1709">
      <c r="A1709" s="10">
        <f>Github!J$756</f>
        <v>755</v>
      </c>
      <c r="B1709" s="11" t="str">
        <f>HYPERLINK(CONCAT("http://leetcode.com/problems/",Github!C$756), Github!B$756)</f>
        <v>Pour Water</v>
      </c>
      <c r="C1709" s="10">
        <f>Github!F$756</f>
        <v>258</v>
      </c>
      <c r="D1709" s="10">
        <f>Github!G$756</f>
        <v>610</v>
      </c>
      <c r="E1709" s="10">
        <f>Github!F$756+Github!G$756</f>
        <v>868</v>
      </c>
      <c r="F1709" s="12">
        <f t="shared" si="1"/>
        <v>0.42</v>
      </c>
      <c r="G1709" s="10" t="str">
        <f>Github!H$756</f>
        <v>Algorithms</v>
      </c>
      <c r="H1709" s="13" t="str">
        <f>SUBSTITUTE(Github!L$756, ";", ", ")</f>
        <v>Array, Simulation, </v>
      </c>
      <c r="I1709" s="10" t="str">
        <f>Github!E$756</f>
        <v>Medium</v>
      </c>
      <c r="J1709" s="10" t="str">
        <f>IF(TRIM(Github!D$756)="TRUE","FALSE","TRUE")</f>
        <v>FALSE</v>
      </c>
      <c r="K1709" s="10" t="b">
        <f>Github!M$756</f>
        <v>0</v>
      </c>
      <c r="L1709" s="10" t="b">
        <f>Github!N$756</f>
        <v>0</v>
      </c>
      <c r="M1709" s="10" t="str">
        <f>ROUND(Github!O$756, 2)&amp;"%"</f>
        <v>45.53%</v>
      </c>
      <c r="N1709" s="10">
        <f>Github!P$756</f>
        <v>30110</v>
      </c>
      <c r="O1709" s="10">
        <f>Github!Q$756</f>
        <v>66134</v>
      </c>
    </row>
    <row r="1710">
      <c r="A1710" s="10">
        <f>Github!J$1603</f>
        <v>1602</v>
      </c>
      <c r="B1710" s="11" t="str">
        <f>HYPERLINK(CONCAT("http://leetcode.com/problems/",Github!C$1603), Github!B$1603)</f>
        <v>Find Nearest Right Node in Binary Tree</v>
      </c>
      <c r="C1710" s="10">
        <f>Github!F$1603</f>
        <v>258</v>
      </c>
      <c r="D1710" s="10">
        <f>Github!G$1603</f>
        <v>9</v>
      </c>
      <c r="E1710" s="10">
        <f>Github!F$1603+Github!G$1603</f>
        <v>267</v>
      </c>
      <c r="F1710" s="12">
        <f t="shared" si="1"/>
        <v>28.67</v>
      </c>
      <c r="G1710" s="10" t="str">
        <f>Github!H$1603</f>
        <v>Algorithms</v>
      </c>
      <c r="H1710" s="13" t="str">
        <f>SUBSTITUTE(Github!L$1603, ";", ", ")</f>
        <v>Tree, Breadth-First Search, Binary Tree, </v>
      </c>
      <c r="I1710" s="10" t="str">
        <f>Github!E$1603</f>
        <v>Medium</v>
      </c>
      <c r="J1710" s="10" t="str">
        <f>IF(TRIM(Github!D$1603)="TRUE","FALSE","TRUE")</f>
        <v>FALSE</v>
      </c>
      <c r="K1710" s="10" t="b">
        <f>Github!M$1603</f>
        <v>1</v>
      </c>
      <c r="L1710" s="10" t="b">
        <f>Github!N$1603</f>
        <v>1</v>
      </c>
      <c r="M1710" s="10" t="str">
        <f>ROUND(Github!O$1603, 2)&amp;"%"</f>
        <v>75.31%</v>
      </c>
      <c r="N1710" s="10">
        <f>Github!P$1603</f>
        <v>18208</v>
      </c>
      <c r="O1710" s="10">
        <f>Github!Q$1603</f>
        <v>24178</v>
      </c>
    </row>
    <row r="1711">
      <c r="A1711" s="10">
        <f>Github!J$1788</f>
        <v>1787</v>
      </c>
      <c r="B1711" s="11" t="str">
        <f>HYPERLINK(CONCAT("http://leetcode.com/problems/",Github!C$1788), Github!B$1788)</f>
        <v>Make the XOR of All Segments Equal to Zero</v>
      </c>
      <c r="C1711" s="10">
        <f>Github!F$1788</f>
        <v>262</v>
      </c>
      <c r="D1711" s="10">
        <f>Github!G$1788</f>
        <v>15</v>
      </c>
      <c r="E1711" s="10">
        <f>Github!F$1788+Github!G$1788</f>
        <v>277</v>
      </c>
      <c r="F1711" s="12">
        <f t="shared" si="1"/>
        <v>17.47</v>
      </c>
      <c r="G1711" s="10" t="str">
        <f>Github!H$1788</f>
        <v>Algorithms</v>
      </c>
      <c r="H1711" s="13" t="str">
        <f>SUBSTITUTE(Github!L$1788, ";", ", ")</f>
        <v>Array, Dynamic Programming, Bit Manipulation, </v>
      </c>
      <c r="I1711" s="10" t="str">
        <f>Github!E$1788</f>
        <v>Hard</v>
      </c>
      <c r="J1711" s="10" t="str">
        <f>IF(TRIM(Github!D$1788)="TRUE","FALSE","TRUE")</f>
        <v>TRUE</v>
      </c>
      <c r="K1711" s="10" t="b">
        <f>Github!M$1788</f>
        <v>0</v>
      </c>
      <c r="L1711" s="10" t="b">
        <f>Github!N$1788</f>
        <v>0</v>
      </c>
      <c r="M1711" s="10" t="str">
        <f>ROUND(Github!O$1788, 2)&amp;"%"</f>
        <v>39.17%</v>
      </c>
      <c r="N1711" s="10">
        <f>Github!P$1788</f>
        <v>3556</v>
      </c>
      <c r="O1711" s="10">
        <f>Github!Q$1788</f>
        <v>9078</v>
      </c>
    </row>
    <row r="1712">
      <c r="A1712" s="10">
        <f>Github!J$1120</f>
        <v>1119</v>
      </c>
      <c r="B1712" s="11" t="str">
        <f>HYPERLINK(CONCAT("http://leetcode.com/problems/",Github!C$1120), Github!B$1120)</f>
        <v>Remove Vowels from a String</v>
      </c>
      <c r="C1712" s="10">
        <f>Github!F$1120</f>
        <v>258</v>
      </c>
      <c r="D1712" s="10">
        <f>Github!G$1120</f>
        <v>101</v>
      </c>
      <c r="E1712" s="10">
        <f>Github!F$1120+Github!G$1120</f>
        <v>359</v>
      </c>
      <c r="F1712" s="12">
        <f t="shared" si="1"/>
        <v>2.55</v>
      </c>
      <c r="G1712" s="10" t="str">
        <f>Github!H$1120</f>
        <v>Algorithms</v>
      </c>
      <c r="H1712" s="13" t="str">
        <f>SUBSTITUTE(Github!L$1120, ";", ", ")</f>
        <v>String, </v>
      </c>
      <c r="I1712" s="10" t="str">
        <f>Github!E$1120</f>
        <v>Easy</v>
      </c>
      <c r="J1712" s="10" t="str">
        <f>IF(TRIM(Github!D$1120)="TRUE","FALSE","TRUE")</f>
        <v>FALSE</v>
      </c>
      <c r="K1712" s="10" t="b">
        <f>Github!M$1120</f>
        <v>0</v>
      </c>
      <c r="L1712" s="10" t="b">
        <f>Github!N$1120</f>
        <v>0</v>
      </c>
      <c r="M1712" s="10" t="str">
        <f>ROUND(Github!O$1120, 2)&amp;"%"</f>
        <v>90.76%</v>
      </c>
      <c r="N1712" s="10">
        <f>Github!P$1120</f>
        <v>82202</v>
      </c>
      <c r="O1712" s="10">
        <f>Github!Q$1120</f>
        <v>90573</v>
      </c>
    </row>
    <row r="1713">
      <c r="A1713" s="10">
        <f>Github!J$1898</f>
        <v>1897</v>
      </c>
      <c r="B1713" s="11" t="str">
        <f>HYPERLINK(CONCAT("http://leetcode.com/problems/",Github!C$1898), Github!B$1898)</f>
        <v>Redistribute Characters to Make All Strings Equal</v>
      </c>
      <c r="C1713" s="10">
        <f>Github!F$1898</f>
        <v>258</v>
      </c>
      <c r="D1713" s="10">
        <f>Github!G$1898</f>
        <v>32</v>
      </c>
      <c r="E1713" s="10">
        <f>Github!F$1898+Github!G$1898</f>
        <v>290</v>
      </c>
      <c r="F1713" s="12">
        <f t="shared" si="1"/>
        <v>8.06</v>
      </c>
      <c r="G1713" s="10" t="str">
        <f>Github!H$1898</f>
        <v>Algorithms</v>
      </c>
      <c r="H1713" s="13" t="str">
        <f>SUBSTITUTE(Github!L$1898, ";", ", ")</f>
        <v>Hash Table, String, Counting, </v>
      </c>
      <c r="I1713" s="10" t="str">
        <f>Github!E$1898</f>
        <v>Easy</v>
      </c>
      <c r="J1713" s="10" t="str">
        <f>IF(TRIM(Github!D$1898)="TRUE","FALSE","TRUE")</f>
        <v>TRUE</v>
      </c>
      <c r="K1713" s="10" t="b">
        <f>Github!M$1898</f>
        <v>0</v>
      </c>
      <c r="L1713" s="10" t="b">
        <f>Github!N$1898</f>
        <v>0</v>
      </c>
      <c r="M1713" s="10" t="str">
        <f>ROUND(Github!O$1898, 2)&amp;"%"</f>
        <v>60.06%</v>
      </c>
      <c r="N1713" s="10">
        <f>Github!P$1898</f>
        <v>21833</v>
      </c>
      <c r="O1713" s="10">
        <f>Github!Q$1898</f>
        <v>36353</v>
      </c>
    </row>
    <row r="1714">
      <c r="A1714" s="10">
        <f>Github!J$2130</f>
        <v>2129</v>
      </c>
      <c r="B1714" s="11" t="str">
        <f>HYPERLINK(CONCAT("http://leetcode.com/problems/",Github!C$2130), Github!B$2130)</f>
        <v>Capitalize the Title</v>
      </c>
      <c r="C1714" s="10">
        <f>Github!F$2130</f>
        <v>260</v>
      </c>
      <c r="D1714" s="10">
        <f>Github!G$2130</f>
        <v>26</v>
      </c>
      <c r="E1714" s="10">
        <f>Github!F$2130+Github!G$2130</f>
        <v>286</v>
      </c>
      <c r="F1714" s="12">
        <f t="shared" si="1"/>
        <v>10</v>
      </c>
      <c r="G1714" s="10" t="str">
        <f>Github!H$2130</f>
        <v>Algorithms</v>
      </c>
      <c r="H1714" s="13" t="str">
        <f>SUBSTITUTE(Github!L$2130, ";", ", ")</f>
        <v>String, </v>
      </c>
      <c r="I1714" s="10" t="str">
        <f>Github!E$2130</f>
        <v>Easy</v>
      </c>
      <c r="J1714" s="10" t="str">
        <f>IF(TRIM(Github!D$2130)="TRUE","FALSE","TRUE")</f>
        <v>TRUE</v>
      </c>
      <c r="K1714" s="10" t="b">
        <f>Github!M$2130</f>
        <v>0</v>
      </c>
      <c r="L1714" s="10" t="b">
        <f>Github!N$2130</f>
        <v>0</v>
      </c>
      <c r="M1714" s="10" t="str">
        <f>ROUND(Github!O$2130, 2)&amp;"%"</f>
        <v>59.7%</v>
      </c>
      <c r="N1714" s="10">
        <f>Github!P$2130</f>
        <v>22426</v>
      </c>
      <c r="O1714" s="10">
        <f>Github!Q$2130</f>
        <v>37562</v>
      </c>
    </row>
    <row r="1715">
      <c r="A1715" s="10">
        <f>Github!J$1969</f>
        <v>1968</v>
      </c>
      <c r="B1715" s="11" t="str">
        <f>HYPERLINK(CONCAT("http://leetcode.com/problems/",Github!C$1969), Github!B$1969)</f>
        <v>Array With Elements Not Equal to Average of Neighbors</v>
      </c>
      <c r="C1715" s="10">
        <f>Github!F$1969</f>
        <v>259</v>
      </c>
      <c r="D1715" s="10">
        <f>Github!G$1969</f>
        <v>17</v>
      </c>
      <c r="E1715" s="10">
        <f>Github!F$1969+Github!G$1969</f>
        <v>276</v>
      </c>
      <c r="F1715" s="12">
        <f t="shared" si="1"/>
        <v>15.24</v>
      </c>
      <c r="G1715" s="10" t="str">
        <f>Github!H$1969</f>
        <v>Algorithms</v>
      </c>
      <c r="H1715" s="13" t="str">
        <f>SUBSTITUTE(Github!L$1969, ";", ", ")</f>
        <v>Array, Greedy, Sorting, </v>
      </c>
      <c r="I1715" s="10" t="str">
        <f>Github!E$1969</f>
        <v>Medium</v>
      </c>
      <c r="J1715" s="10" t="str">
        <f>IF(TRIM(Github!D$1969)="TRUE","FALSE","TRUE")</f>
        <v>TRUE</v>
      </c>
      <c r="K1715" s="10" t="b">
        <f>Github!M$1969</f>
        <v>0</v>
      </c>
      <c r="L1715" s="10" t="b">
        <f>Github!N$1969</f>
        <v>0</v>
      </c>
      <c r="M1715" s="10" t="str">
        <f>ROUND(Github!O$1969, 2)&amp;"%"</f>
        <v>48.54%</v>
      </c>
      <c r="N1715" s="10">
        <f>Github!P$1969</f>
        <v>16437</v>
      </c>
      <c r="O1715" s="10">
        <f>Github!Q$1969</f>
        <v>33860</v>
      </c>
    </row>
    <row r="1716">
      <c r="A1716" s="10">
        <f>Github!J$965</f>
        <v>964</v>
      </c>
      <c r="B1716" s="11" t="str">
        <f>HYPERLINK(CONCAT("http://leetcode.com/problems/",Github!C$965), Github!B$965)</f>
        <v>Least Operators to Express Number</v>
      </c>
      <c r="C1716" s="10">
        <f>Github!F$965</f>
        <v>256</v>
      </c>
      <c r="D1716" s="10">
        <f>Github!G$965</f>
        <v>65</v>
      </c>
      <c r="E1716" s="10">
        <f>Github!F$965+Github!G$965</f>
        <v>321</v>
      </c>
      <c r="F1716" s="12">
        <f t="shared" si="1"/>
        <v>3.94</v>
      </c>
      <c r="G1716" s="10" t="str">
        <f>Github!H$965</f>
        <v>Algorithms</v>
      </c>
      <c r="H1716" s="13" t="str">
        <f>SUBSTITUTE(Github!L$965, ";", ", ")</f>
        <v>Math, Dynamic Programming, </v>
      </c>
      <c r="I1716" s="10" t="str">
        <f>Github!E$965</f>
        <v>Hard</v>
      </c>
      <c r="J1716" s="10" t="str">
        <f>IF(TRIM(Github!D$965)="TRUE","FALSE","TRUE")</f>
        <v>TRUE</v>
      </c>
      <c r="K1716" s="10" t="b">
        <f>Github!M$965</f>
        <v>0</v>
      </c>
      <c r="L1716" s="10" t="b">
        <f>Github!N$965</f>
        <v>0</v>
      </c>
      <c r="M1716" s="10" t="str">
        <f>ROUND(Github!O$965, 2)&amp;"%"</f>
        <v>47.44%</v>
      </c>
      <c r="N1716" s="10">
        <f>Github!P$965</f>
        <v>7961</v>
      </c>
      <c r="O1716" s="10">
        <f>Github!Q$965</f>
        <v>16781</v>
      </c>
    </row>
    <row r="1717">
      <c r="A1717" s="10">
        <f>Github!J$1983</f>
        <v>1982</v>
      </c>
      <c r="B1717" s="11" t="str">
        <f>HYPERLINK(CONCAT("http://leetcode.com/problems/",Github!C$1983), Github!B$1983)</f>
        <v>Find Array Given Subset Sums</v>
      </c>
      <c r="C1717" s="10">
        <f>Github!F$1983</f>
        <v>258</v>
      </c>
      <c r="D1717" s="10">
        <f>Github!G$1983</f>
        <v>19</v>
      </c>
      <c r="E1717" s="10">
        <f>Github!F$1983+Github!G$1983</f>
        <v>277</v>
      </c>
      <c r="F1717" s="12">
        <f t="shared" si="1"/>
        <v>13.58</v>
      </c>
      <c r="G1717" s="10" t="str">
        <f>Github!H$1983</f>
        <v>Algorithms</v>
      </c>
      <c r="H1717" s="13" t="str">
        <f>SUBSTITUTE(Github!L$1983, ";", ", ")</f>
        <v>Array, Divide and Conquer, </v>
      </c>
      <c r="I1717" s="10" t="str">
        <f>Github!E$1983</f>
        <v>Hard</v>
      </c>
      <c r="J1717" s="10" t="str">
        <f>IF(TRIM(Github!D$1983)="TRUE","FALSE","TRUE")</f>
        <v>TRUE</v>
      </c>
      <c r="K1717" s="10" t="b">
        <f>Github!M$1983</f>
        <v>0</v>
      </c>
      <c r="L1717" s="10" t="b">
        <f>Github!N$1983</f>
        <v>0</v>
      </c>
      <c r="M1717" s="10" t="str">
        <f>ROUND(Github!O$1983, 2)&amp;"%"</f>
        <v>48.44%</v>
      </c>
      <c r="N1717" s="10">
        <f>Github!P$1983</f>
        <v>3043</v>
      </c>
      <c r="O1717" s="10">
        <f>Github!Q$1983</f>
        <v>6282</v>
      </c>
    </row>
    <row r="1718">
      <c r="A1718" s="10">
        <f>Github!J$809</f>
        <v>808</v>
      </c>
      <c r="B1718" s="11" t="str">
        <f>HYPERLINK(CONCAT("http://leetcode.com/problems/",Github!C$809), Github!B$809)</f>
        <v>Soup Servings</v>
      </c>
      <c r="C1718" s="10">
        <f>Github!F$809</f>
        <v>256</v>
      </c>
      <c r="D1718" s="10">
        <f>Github!G$809</f>
        <v>747</v>
      </c>
      <c r="E1718" s="10">
        <f>Github!F$809+Github!G$809</f>
        <v>1003</v>
      </c>
      <c r="F1718" s="12">
        <f t="shared" si="1"/>
        <v>0.34</v>
      </c>
      <c r="G1718" s="10" t="str">
        <f>Github!H$809</f>
        <v>Algorithms</v>
      </c>
      <c r="H1718" s="13" t="str">
        <f>SUBSTITUTE(Github!L$809, ";", ", ")</f>
        <v>Math, Dynamic Programming, Probability and Statistics, </v>
      </c>
      <c r="I1718" s="10" t="str">
        <f>Github!E$809</f>
        <v>Medium</v>
      </c>
      <c r="J1718" s="10" t="str">
        <f>IF(TRIM(Github!D$809)="TRUE","FALSE","TRUE")</f>
        <v>TRUE</v>
      </c>
      <c r="K1718" s="10" t="b">
        <f>Github!M$809</f>
        <v>0</v>
      </c>
      <c r="L1718" s="10" t="b">
        <f>Github!N$809</f>
        <v>0</v>
      </c>
      <c r="M1718" s="10" t="str">
        <f>ROUND(Github!O$809, 2)&amp;"%"</f>
        <v>42.39%</v>
      </c>
      <c r="N1718" s="10">
        <f>Github!P$809</f>
        <v>14706</v>
      </c>
      <c r="O1718" s="10">
        <f>Github!Q$809</f>
        <v>34696</v>
      </c>
    </row>
    <row r="1719">
      <c r="A1719" s="10">
        <f>Github!J$1820</f>
        <v>1819</v>
      </c>
      <c r="B1719" s="11" t="str">
        <f>HYPERLINK(CONCAT("http://leetcode.com/problems/",Github!C$1820), Github!B$1820)</f>
        <v>Number of Different Subsequences GCDs</v>
      </c>
      <c r="C1719" s="10">
        <f>Github!F$1820</f>
        <v>255</v>
      </c>
      <c r="D1719" s="10">
        <f>Github!G$1820</f>
        <v>33</v>
      </c>
      <c r="E1719" s="10">
        <f>Github!F$1820+Github!G$1820</f>
        <v>288</v>
      </c>
      <c r="F1719" s="12">
        <f t="shared" si="1"/>
        <v>7.73</v>
      </c>
      <c r="G1719" s="10" t="str">
        <f>Github!H$1820</f>
        <v>Algorithms</v>
      </c>
      <c r="H1719" s="13" t="str">
        <f>SUBSTITUTE(Github!L$1820, ";", ", ")</f>
        <v>Array, Math, Counting, Number Theory, </v>
      </c>
      <c r="I1719" s="10" t="str">
        <f>Github!E$1820</f>
        <v>Hard</v>
      </c>
      <c r="J1719" s="10" t="str">
        <f>IF(TRIM(Github!D$1820)="TRUE","FALSE","TRUE")</f>
        <v>TRUE</v>
      </c>
      <c r="K1719" s="10" t="b">
        <f>Github!M$1820</f>
        <v>0</v>
      </c>
      <c r="L1719" s="10" t="b">
        <f>Github!N$1820</f>
        <v>0</v>
      </c>
      <c r="M1719" s="10" t="str">
        <f>ROUND(Github!O$1820, 2)&amp;"%"</f>
        <v>37%</v>
      </c>
      <c r="N1719" s="10">
        <f>Github!P$1820</f>
        <v>5625</v>
      </c>
      <c r="O1719" s="10">
        <f>Github!Q$1820</f>
        <v>15204</v>
      </c>
    </row>
    <row r="1720">
      <c r="A1720" s="10">
        <f>Github!J$1894</f>
        <v>1893</v>
      </c>
      <c r="B1720" s="11" t="str">
        <f>HYPERLINK(CONCAT("http://leetcode.com/problems/",Github!C$1894), Github!B$1894)</f>
        <v>Check if All the Integers in a Range Are Covered</v>
      </c>
      <c r="C1720" s="10">
        <f>Github!F$1894</f>
        <v>259</v>
      </c>
      <c r="D1720" s="10">
        <f>Github!G$1894</f>
        <v>56</v>
      </c>
      <c r="E1720" s="10">
        <f>Github!F$1894+Github!G$1894</f>
        <v>315</v>
      </c>
      <c r="F1720" s="12">
        <f t="shared" si="1"/>
        <v>4.63</v>
      </c>
      <c r="G1720" s="10" t="str">
        <f>Github!H$1894</f>
        <v>Algorithms</v>
      </c>
      <c r="H1720" s="13" t="str">
        <f>SUBSTITUTE(Github!L$1894, ";", ", ")</f>
        <v>Array, Hash Table, Prefix Sum, </v>
      </c>
      <c r="I1720" s="10" t="str">
        <f>Github!E$1894</f>
        <v>Easy</v>
      </c>
      <c r="J1720" s="10" t="str">
        <f>IF(TRIM(Github!D$1894)="TRUE","FALSE","TRUE")</f>
        <v>TRUE</v>
      </c>
      <c r="K1720" s="10" t="b">
        <f>Github!M$1894</f>
        <v>0</v>
      </c>
      <c r="L1720" s="10" t="b">
        <f>Github!N$1894</f>
        <v>0</v>
      </c>
      <c r="M1720" s="10" t="str">
        <f>ROUND(Github!O$1894, 2)&amp;"%"</f>
        <v>50.72%</v>
      </c>
      <c r="N1720" s="10">
        <f>Github!P$1894</f>
        <v>20844</v>
      </c>
      <c r="O1720" s="10">
        <f>Github!Q$1894</f>
        <v>41097</v>
      </c>
    </row>
    <row r="1721">
      <c r="A1721" s="10">
        <f>Github!J$2155</f>
        <v>2154</v>
      </c>
      <c r="B1721" s="11" t="str">
        <f>HYPERLINK(CONCAT("http://leetcode.com/problems/",Github!C$2155), Github!B$2155)</f>
        <v>Keep Multiplying Found Values by Two</v>
      </c>
      <c r="C1721" s="10">
        <f>Github!F$2155</f>
        <v>260</v>
      </c>
      <c r="D1721" s="10">
        <f>Github!G$2155</f>
        <v>11</v>
      </c>
      <c r="E1721" s="10">
        <f>Github!F$2155+Github!G$2155</f>
        <v>271</v>
      </c>
      <c r="F1721" s="12">
        <f t="shared" si="1"/>
        <v>23.64</v>
      </c>
      <c r="G1721" s="10" t="str">
        <f>Github!H$2155</f>
        <v>Algorithms</v>
      </c>
      <c r="H1721" s="13" t="str">
        <f>SUBSTITUTE(Github!L$2155, ";", ", ")</f>
        <v>Array, Hash Table, Sorting, Simulation, </v>
      </c>
      <c r="I1721" s="10" t="str">
        <f>Github!E$2155</f>
        <v>Easy</v>
      </c>
      <c r="J1721" s="10" t="str">
        <f>IF(TRIM(Github!D$2155)="TRUE","FALSE","TRUE")</f>
        <v>TRUE</v>
      </c>
      <c r="K1721" s="10" t="b">
        <f>Github!M$2155</f>
        <v>0</v>
      </c>
      <c r="L1721" s="10" t="b">
        <f>Github!N$2155</f>
        <v>0</v>
      </c>
      <c r="M1721" s="10" t="str">
        <f>ROUND(Github!O$2155, 2)&amp;"%"</f>
        <v>73.68%</v>
      </c>
      <c r="N1721" s="10">
        <f>Github!P$2155</f>
        <v>34001</v>
      </c>
      <c r="O1721" s="10">
        <f>Github!Q$2155</f>
        <v>46145</v>
      </c>
    </row>
    <row r="1722">
      <c r="A1722" s="10">
        <f>Github!J$1251</f>
        <v>1250</v>
      </c>
      <c r="B1722" s="11" t="str">
        <f>HYPERLINK(CONCAT("http://leetcode.com/problems/",Github!C$1251), Github!B$1251)</f>
        <v>Check If It Is a Good Array</v>
      </c>
      <c r="C1722" s="10">
        <f>Github!F$1251</f>
        <v>256</v>
      </c>
      <c r="D1722" s="10">
        <f>Github!G$1251</f>
        <v>280</v>
      </c>
      <c r="E1722" s="10">
        <f>Github!F$1251+Github!G$1251</f>
        <v>536</v>
      </c>
      <c r="F1722" s="12">
        <f t="shared" si="1"/>
        <v>0.91</v>
      </c>
      <c r="G1722" s="10" t="str">
        <f>Github!H$1251</f>
        <v>Algorithms</v>
      </c>
      <c r="H1722" s="13" t="str">
        <f>SUBSTITUTE(Github!L$1251, ";", ", ")</f>
        <v>Array, Math, Number Theory, </v>
      </c>
      <c r="I1722" s="10" t="str">
        <f>Github!E$1251</f>
        <v>Hard</v>
      </c>
      <c r="J1722" s="10" t="str">
        <f>IF(TRIM(Github!D$1251)="TRUE","FALSE","TRUE")</f>
        <v>TRUE</v>
      </c>
      <c r="K1722" s="10" t="b">
        <f>Github!M$1251</f>
        <v>0</v>
      </c>
      <c r="L1722" s="10" t="b">
        <f>Github!N$1251</f>
        <v>0</v>
      </c>
      <c r="M1722" s="10" t="str">
        <f>ROUND(Github!O$1251, 2)&amp;"%"</f>
        <v>57.95%</v>
      </c>
      <c r="N1722" s="10">
        <f>Github!P$1251</f>
        <v>13227</v>
      </c>
      <c r="O1722" s="10">
        <f>Github!Q$1251</f>
        <v>22825</v>
      </c>
    </row>
    <row r="1723">
      <c r="A1723" s="10">
        <f>Github!J$2107</f>
        <v>2106</v>
      </c>
      <c r="B1723" s="11" t="str">
        <f>HYPERLINK(CONCAT("http://leetcode.com/problems/",Github!C$2107), Github!B$2107)</f>
        <v>Maximum Fruits Harvested After at Most K Steps</v>
      </c>
      <c r="C1723" s="10">
        <f>Github!F$2107</f>
        <v>255</v>
      </c>
      <c r="D1723" s="10">
        <f>Github!G$2107</f>
        <v>15</v>
      </c>
      <c r="E1723" s="10">
        <f>Github!F$2107+Github!G$2107</f>
        <v>270</v>
      </c>
      <c r="F1723" s="12">
        <f t="shared" si="1"/>
        <v>17</v>
      </c>
      <c r="G1723" s="10" t="str">
        <f>Github!H$2107</f>
        <v>Algorithms</v>
      </c>
      <c r="H1723" s="13" t="str">
        <f>SUBSTITUTE(Github!L$2107, ";", ", ")</f>
        <v>Array, Binary Search, Sliding Window, Prefix Sum, </v>
      </c>
      <c r="I1723" s="10" t="str">
        <f>Github!E$2107</f>
        <v>Hard</v>
      </c>
      <c r="J1723" s="10" t="str">
        <f>IF(TRIM(Github!D$2107)="TRUE","FALSE","TRUE")</f>
        <v>TRUE</v>
      </c>
      <c r="K1723" s="10" t="b">
        <f>Github!M$2107</f>
        <v>0</v>
      </c>
      <c r="L1723" s="10" t="b">
        <f>Github!N$2107</f>
        <v>0</v>
      </c>
      <c r="M1723" s="10" t="str">
        <f>ROUND(Github!O$2107, 2)&amp;"%"</f>
        <v>35.19%</v>
      </c>
      <c r="N1723" s="10">
        <f>Github!P$2107</f>
        <v>6188</v>
      </c>
      <c r="O1723" s="10">
        <f>Github!Q$2107</f>
        <v>17586</v>
      </c>
    </row>
    <row r="1724">
      <c r="A1724" s="10">
        <f>Github!J$1895</f>
        <v>1894</v>
      </c>
      <c r="B1724" s="11" t="str">
        <f>HYPERLINK(CONCAT("http://leetcode.com/problems/",Github!C$1895), Github!B$1895)</f>
        <v>Find the Student that Will Replace the Chalk</v>
      </c>
      <c r="C1724" s="10">
        <f>Github!F$1895</f>
        <v>258</v>
      </c>
      <c r="D1724" s="10">
        <f>Github!G$1895</f>
        <v>38</v>
      </c>
      <c r="E1724" s="10">
        <f>Github!F$1895+Github!G$1895</f>
        <v>296</v>
      </c>
      <c r="F1724" s="12">
        <f t="shared" si="1"/>
        <v>6.79</v>
      </c>
      <c r="G1724" s="10" t="str">
        <f>Github!H$1895</f>
        <v>Algorithms</v>
      </c>
      <c r="H1724" s="13" t="str">
        <f>SUBSTITUTE(Github!L$1895, ";", ", ")</f>
        <v>Array, Binary Search, Simulation, Prefix Sum, </v>
      </c>
      <c r="I1724" s="10" t="str">
        <f>Github!E$1895</f>
        <v>Medium</v>
      </c>
      <c r="J1724" s="10" t="str">
        <f>IF(TRIM(Github!D$1895)="TRUE","FALSE","TRUE")</f>
        <v>TRUE</v>
      </c>
      <c r="K1724" s="10" t="b">
        <f>Github!M$1895</f>
        <v>0</v>
      </c>
      <c r="L1724" s="10" t="b">
        <f>Github!N$1895</f>
        <v>0</v>
      </c>
      <c r="M1724" s="10" t="str">
        <f>ROUND(Github!O$1895, 2)&amp;"%"</f>
        <v>41.64%</v>
      </c>
      <c r="N1724" s="10">
        <f>Github!P$1895</f>
        <v>17479</v>
      </c>
      <c r="O1724" s="10">
        <f>Github!Q$1895</f>
        <v>41981</v>
      </c>
    </row>
    <row r="1725">
      <c r="A1725" s="10">
        <f>Github!J$2110</f>
        <v>2109</v>
      </c>
      <c r="B1725" s="11" t="str">
        <f>HYPERLINK(CONCAT("http://leetcode.com/problems/",Github!C$2110), Github!B$2110)</f>
        <v>Adding Spaces to a String</v>
      </c>
      <c r="C1725" s="10">
        <f>Github!F$2110</f>
        <v>254</v>
      </c>
      <c r="D1725" s="10">
        <f>Github!G$2110</f>
        <v>26</v>
      </c>
      <c r="E1725" s="10">
        <f>Github!F$2110+Github!G$2110</f>
        <v>280</v>
      </c>
      <c r="F1725" s="12">
        <f t="shared" si="1"/>
        <v>9.77</v>
      </c>
      <c r="G1725" s="10" t="str">
        <f>Github!H$2110</f>
        <v>Algorithms</v>
      </c>
      <c r="H1725" s="13" t="str">
        <f>SUBSTITUTE(Github!L$2110, ";", ", ")</f>
        <v>Array, String, Simulation, </v>
      </c>
      <c r="I1725" s="10" t="str">
        <f>Github!E$2110</f>
        <v>Medium</v>
      </c>
      <c r="J1725" s="10" t="str">
        <f>IF(TRIM(Github!D$2110)="TRUE","FALSE","TRUE")</f>
        <v>TRUE</v>
      </c>
      <c r="K1725" s="10" t="b">
        <f>Github!M$2110</f>
        <v>0</v>
      </c>
      <c r="L1725" s="10" t="b">
        <f>Github!N$2110</f>
        <v>0</v>
      </c>
      <c r="M1725" s="10" t="str">
        <f>ROUND(Github!O$2110, 2)&amp;"%"</f>
        <v>56.1%</v>
      </c>
      <c r="N1725" s="10">
        <f>Github!P$2110</f>
        <v>20903</v>
      </c>
      <c r="O1725" s="10">
        <f>Github!Q$2110</f>
        <v>37263</v>
      </c>
    </row>
    <row r="1726">
      <c r="A1726" s="10">
        <f>Github!J$817</f>
        <v>816</v>
      </c>
      <c r="B1726" s="11" t="str">
        <f>HYPERLINK(CONCAT("http://leetcode.com/problems/",Github!C$817), Github!B$817)</f>
        <v>Ambiguous Coordinates</v>
      </c>
      <c r="C1726" s="10">
        <f>Github!F$817</f>
        <v>252</v>
      </c>
      <c r="D1726" s="10">
        <f>Github!G$817</f>
        <v>587</v>
      </c>
      <c r="E1726" s="10">
        <f>Github!F$817+Github!G$817</f>
        <v>839</v>
      </c>
      <c r="F1726" s="12">
        <f t="shared" si="1"/>
        <v>0.43</v>
      </c>
      <c r="G1726" s="10" t="str">
        <f>Github!H$817</f>
        <v>Algorithms</v>
      </c>
      <c r="H1726" s="13" t="str">
        <f>SUBSTITUTE(Github!L$817, ";", ", ")</f>
        <v>String, Backtracking, </v>
      </c>
      <c r="I1726" s="10" t="str">
        <f>Github!E$817</f>
        <v>Medium</v>
      </c>
      <c r="J1726" s="10" t="str">
        <f>IF(TRIM(Github!D$817)="TRUE","FALSE","TRUE")</f>
        <v>TRUE</v>
      </c>
      <c r="K1726" s="10" t="b">
        <f>Github!M$817</f>
        <v>1</v>
      </c>
      <c r="L1726" s="10" t="b">
        <f>Github!N$817</f>
        <v>0</v>
      </c>
      <c r="M1726" s="10" t="str">
        <f>ROUND(Github!O$817, 2)&amp;"%"</f>
        <v>55.93%</v>
      </c>
      <c r="N1726" s="10">
        <f>Github!P$817</f>
        <v>25521</v>
      </c>
      <c r="O1726" s="10">
        <f>Github!Q$817</f>
        <v>45627</v>
      </c>
    </row>
    <row r="1727">
      <c r="A1727" s="10">
        <f>Github!J$1999</f>
        <v>1998</v>
      </c>
      <c r="B1727" s="11" t="str">
        <f>HYPERLINK(CONCAT("http://leetcode.com/problems/",Github!C$1999), Github!B$1999)</f>
        <v>GCD Sort of an Array</v>
      </c>
      <c r="C1727" s="10">
        <f>Github!F$1999</f>
        <v>254</v>
      </c>
      <c r="D1727" s="10">
        <f>Github!G$1999</f>
        <v>5</v>
      </c>
      <c r="E1727" s="10">
        <f>Github!F$1999+Github!G$1999</f>
        <v>259</v>
      </c>
      <c r="F1727" s="12">
        <f t="shared" si="1"/>
        <v>50.8</v>
      </c>
      <c r="G1727" s="10" t="str">
        <f>Github!H$1999</f>
        <v>Algorithms</v>
      </c>
      <c r="H1727" s="13" t="str">
        <f>SUBSTITUTE(Github!L$1999, ";", ", ")</f>
        <v>Array, Math, Union Find, Sorting, </v>
      </c>
      <c r="I1727" s="10" t="str">
        <f>Github!E$1999</f>
        <v>Hard</v>
      </c>
      <c r="J1727" s="10" t="str">
        <f>IF(TRIM(Github!D$1999)="TRUE","FALSE","TRUE")</f>
        <v>TRUE</v>
      </c>
      <c r="K1727" s="10" t="b">
        <f>Github!M$1999</f>
        <v>0</v>
      </c>
      <c r="L1727" s="10" t="b">
        <f>Github!N$1999</f>
        <v>0</v>
      </c>
      <c r="M1727" s="10" t="str">
        <f>ROUND(Github!O$1999, 2)&amp;"%"</f>
        <v>45.41%</v>
      </c>
      <c r="N1727" s="10">
        <f>Github!P$1999</f>
        <v>4666</v>
      </c>
      <c r="O1727" s="10">
        <f>Github!Q$1999</f>
        <v>10276</v>
      </c>
    </row>
    <row r="1728">
      <c r="A1728" s="10">
        <f>Github!J$614</f>
        <v>613</v>
      </c>
      <c r="B1728" s="11" t="str">
        <f>HYPERLINK(CONCAT("http://leetcode.com/problems/",Github!C$614), Github!B$614)</f>
        <v>Shortest Distance in a Line</v>
      </c>
      <c r="C1728" s="10">
        <f>Github!F$614</f>
        <v>250</v>
      </c>
      <c r="D1728" s="10">
        <f>Github!G$614</f>
        <v>36</v>
      </c>
      <c r="E1728" s="10">
        <f>Github!F$614+Github!G$614</f>
        <v>286</v>
      </c>
      <c r="F1728" s="12">
        <f t="shared" si="1"/>
        <v>6.94</v>
      </c>
      <c r="G1728" s="10" t="str">
        <f>Github!H$614</f>
        <v>Database</v>
      </c>
      <c r="H1728" s="13" t="str">
        <f>SUBSTITUTE(Github!L$614, ";", ", ")</f>
        <v>Database, </v>
      </c>
      <c r="I1728" s="10" t="str">
        <f>Github!E$614</f>
        <v>Easy</v>
      </c>
      <c r="J1728" s="10" t="str">
        <f>IF(TRIM(Github!D$614)="TRUE","FALSE","TRUE")</f>
        <v>FALSE</v>
      </c>
      <c r="K1728" s="10" t="b">
        <f>Github!M$614</f>
        <v>1</v>
      </c>
      <c r="L1728" s="10" t="b">
        <f>Github!N$614</f>
        <v>0</v>
      </c>
      <c r="M1728" s="10" t="str">
        <f>ROUND(Github!O$614, 2)&amp;"%"</f>
        <v>81.11%</v>
      </c>
      <c r="N1728" s="10">
        <f>Github!P$614</f>
        <v>50671</v>
      </c>
      <c r="O1728" s="10">
        <f>Github!Q$614</f>
        <v>62472</v>
      </c>
    </row>
    <row r="1729">
      <c r="A1729" s="10">
        <f>Github!J$1841</f>
        <v>1840</v>
      </c>
      <c r="B1729" s="11" t="str">
        <f>HYPERLINK(CONCAT("http://leetcode.com/problems/",Github!C$1841), Github!B$1841)</f>
        <v>Maximum Building Height</v>
      </c>
      <c r="C1729" s="10">
        <f>Github!F$1841</f>
        <v>251</v>
      </c>
      <c r="D1729" s="10">
        <f>Github!G$1841</f>
        <v>9</v>
      </c>
      <c r="E1729" s="10">
        <f>Github!F$1841+Github!G$1841</f>
        <v>260</v>
      </c>
      <c r="F1729" s="12">
        <f t="shared" si="1"/>
        <v>27.89</v>
      </c>
      <c r="G1729" s="10" t="str">
        <f>Github!H$1841</f>
        <v>Algorithms</v>
      </c>
      <c r="H1729" s="13" t="str">
        <f>SUBSTITUTE(Github!L$1841, ";", ", ")</f>
        <v>Array, Math, </v>
      </c>
      <c r="I1729" s="10" t="str">
        <f>Github!E$1841</f>
        <v>Hard</v>
      </c>
      <c r="J1729" s="10" t="str">
        <f>IF(TRIM(Github!D$1841)="TRUE","FALSE","TRUE")</f>
        <v>TRUE</v>
      </c>
      <c r="K1729" s="10" t="b">
        <f>Github!M$1841</f>
        <v>0</v>
      </c>
      <c r="L1729" s="10" t="b">
        <f>Github!N$1841</f>
        <v>0</v>
      </c>
      <c r="M1729" s="10" t="str">
        <f>ROUND(Github!O$1841, 2)&amp;"%"</f>
        <v>34.69%</v>
      </c>
      <c r="N1729" s="10">
        <f>Github!P$1841</f>
        <v>4880</v>
      </c>
      <c r="O1729" s="10">
        <f>Github!Q$1841</f>
        <v>14067</v>
      </c>
    </row>
    <row r="1730">
      <c r="A1730" s="10">
        <f>Github!J$2147</f>
        <v>2146</v>
      </c>
      <c r="B1730" s="11" t="str">
        <f>HYPERLINK(CONCAT("http://leetcode.com/problems/",Github!C$2147), Github!B$2147)</f>
        <v>K Highest Ranked Items Within a Price Range</v>
      </c>
      <c r="C1730" s="10">
        <f>Github!F$2147</f>
        <v>252</v>
      </c>
      <c r="D1730" s="10">
        <f>Github!G$2147</f>
        <v>113</v>
      </c>
      <c r="E1730" s="10">
        <f>Github!F$2147+Github!G$2147</f>
        <v>365</v>
      </c>
      <c r="F1730" s="12">
        <f t="shared" si="1"/>
        <v>2.23</v>
      </c>
      <c r="G1730" s="10" t="str">
        <f>Github!H$2147</f>
        <v>Algorithms</v>
      </c>
      <c r="H1730" s="13" t="str">
        <f>SUBSTITUTE(Github!L$2147, ";", ", ")</f>
        <v>Array, Breadth-First Search, Sorting, Heap (Priority Queue), Matrix, </v>
      </c>
      <c r="I1730" s="10" t="str">
        <f>Github!E$2147</f>
        <v>Medium</v>
      </c>
      <c r="J1730" s="10" t="str">
        <f>IF(TRIM(Github!D$2147)="TRUE","FALSE","TRUE")</f>
        <v>TRUE</v>
      </c>
      <c r="K1730" s="10" t="b">
        <f>Github!M$2147</f>
        <v>0</v>
      </c>
      <c r="L1730" s="10" t="b">
        <f>Github!N$2147</f>
        <v>0</v>
      </c>
      <c r="M1730" s="10" t="str">
        <f>ROUND(Github!O$2147, 2)&amp;"%"</f>
        <v>40.48%</v>
      </c>
      <c r="N1730" s="10">
        <f>Github!P$2147</f>
        <v>8471</v>
      </c>
      <c r="O1730" s="10">
        <f>Github!Q$2147</f>
        <v>20926</v>
      </c>
    </row>
    <row r="1731">
      <c r="A1731" s="10">
        <f>Github!J$336</f>
        <v>335</v>
      </c>
      <c r="B1731" s="11" t="str">
        <f>HYPERLINK(CONCAT("http://leetcode.com/problems/",Github!C$336), Github!B$336)</f>
        <v>Self Crossing</v>
      </c>
      <c r="C1731" s="10">
        <f>Github!F$336</f>
        <v>253</v>
      </c>
      <c r="D1731" s="10">
        <f>Github!G$336</f>
        <v>445</v>
      </c>
      <c r="E1731" s="10">
        <f>Github!F$336+Github!G$336</f>
        <v>698</v>
      </c>
      <c r="F1731" s="12">
        <f t="shared" si="1"/>
        <v>0.57</v>
      </c>
      <c r="G1731" s="10" t="str">
        <f>Github!H$336</f>
        <v>Algorithms</v>
      </c>
      <c r="H1731" s="13" t="str">
        <f>SUBSTITUTE(Github!L$336, ";", ", ")</f>
        <v>Array, Math, Geometry, </v>
      </c>
      <c r="I1731" s="10" t="str">
        <f>Github!E$336</f>
        <v>Hard</v>
      </c>
      <c r="J1731" s="10" t="str">
        <f>IF(TRIM(Github!D$336)="TRUE","FALSE","TRUE")</f>
        <v>TRUE</v>
      </c>
      <c r="K1731" s="10" t="b">
        <f>Github!M$336</f>
        <v>0</v>
      </c>
      <c r="L1731" s="10" t="b">
        <f>Github!N$336</f>
        <v>0</v>
      </c>
      <c r="M1731" s="10" t="str">
        <f>ROUND(Github!O$336, 2)&amp;"%"</f>
        <v>29.1%</v>
      </c>
      <c r="N1731" s="10">
        <f>Github!P$336</f>
        <v>27576</v>
      </c>
      <c r="O1731" s="10">
        <f>Github!Q$336</f>
        <v>94762</v>
      </c>
    </row>
    <row r="1732">
      <c r="A1732" s="10">
        <f>Github!J$2045</f>
        <v>2044</v>
      </c>
      <c r="B1732" s="11" t="str">
        <f>HYPERLINK(CONCAT("http://leetcode.com/problems/",Github!C$2045), Github!B$2045)</f>
        <v>Count Number of Maximum Bitwise-OR Subsets</v>
      </c>
      <c r="C1732" s="10">
        <f>Github!F$2045</f>
        <v>253</v>
      </c>
      <c r="D1732" s="10">
        <f>Github!G$2045</f>
        <v>13</v>
      </c>
      <c r="E1732" s="10">
        <f>Github!F$2045+Github!G$2045</f>
        <v>266</v>
      </c>
      <c r="F1732" s="12">
        <f t="shared" si="1"/>
        <v>19.46</v>
      </c>
      <c r="G1732" s="10" t="str">
        <f>Github!H$2045</f>
        <v>Algorithms</v>
      </c>
      <c r="H1732" s="13" t="str">
        <f>SUBSTITUTE(Github!L$2045, ";", ", ")</f>
        <v>Array, Backtracking, Bit Manipulation, </v>
      </c>
      <c r="I1732" s="10" t="str">
        <f>Github!E$2045</f>
        <v>Medium</v>
      </c>
      <c r="J1732" s="10" t="str">
        <f>IF(TRIM(Github!D$2045)="TRUE","FALSE","TRUE")</f>
        <v>TRUE</v>
      </c>
      <c r="K1732" s="10" t="b">
        <f>Github!M$2045</f>
        <v>0</v>
      </c>
      <c r="L1732" s="10" t="b">
        <f>Github!N$2045</f>
        <v>0</v>
      </c>
      <c r="M1732" s="10" t="str">
        <f>ROUND(Github!O$2045, 2)&amp;"%"</f>
        <v>74.74%</v>
      </c>
      <c r="N1732" s="10">
        <f>Github!P$2045</f>
        <v>13131</v>
      </c>
      <c r="O1732" s="10">
        <f>Github!Q$2045</f>
        <v>17570</v>
      </c>
    </row>
    <row r="1733">
      <c r="A1733" s="10">
        <f>Github!J$603</f>
        <v>602</v>
      </c>
      <c r="B1733" s="11" t="str">
        <f>HYPERLINK(CONCAT("http://leetcode.com/problems/",Github!C$603), Github!B$603)</f>
        <v>Friend Requests II: Who Has the Most Friends</v>
      </c>
      <c r="C1733" s="10">
        <f>Github!F$603</f>
        <v>249</v>
      </c>
      <c r="D1733" s="10">
        <f>Github!G$603</f>
        <v>73</v>
      </c>
      <c r="E1733" s="10">
        <f>Github!F$603+Github!G$603</f>
        <v>322</v>
      </c>
      <c r="F1733" s="12">
        <f t="shared" si="1"/>
        <v>3.41</v>
      </c>
      <c r="G1733" s="10" t="str">
        <f>Github!H$603</f>
        <v>Database</v>
      </c>
      <c r="H1733" s="13" t="str">
        <f>SUBSTITUTE(Github!L$603, ";", ", ")</f>
        <v>Database, </v>
      </c>
      <c r="I1733" s="10" t="str">
        <f>Github!E$603</f>
        <v>Medium</v>
      </c>
      <c r="J1733" s="10" t="str">
        <f>IF(TRIM(Github!D$603)="TRUE","FALSE","TRUE")</f>
        <v>FALSE</v>
      </c>
      <c r="K1733" s="10" t="b">
        <f>Github!M$603</f>
        <v>0</v>
      </c>
      <c r="L1733" s="10" t="b">
        <f>Github!N$603</f>
        <v>0</v>
      </c>
      <c r="M1733" s="10" t="str">
        <f>ROUND(Github!O$603, 2)&amp;"%"</f>
        <v>60.77%</v>
      </c>
      <c r="N1733" s="10">
        <f>Github!P$603</f>
        <v>48999</v>
      </c>
      <c r="O1733" s="10">
        <f>Github!Q$603</f>
        <v>80626</v>
      </c>
    </row>
    <row r="1734">
      <c r="A1734" s="10">
        <f>Github!J$2059</f>
        <v>2058</v>
      </c>
      <c r="B1734" s="11" t="str">
        <f>HYPERLINK(CONCAT("http://leetcode.com/problems/",Github!C$2059), Github!B$2059)</f>
        <v>Find the Minimum and Maximum Number of Nodes Between Critical Points</v>
      </c>
      <c r="C1734" s="10">
        <f>Github!F$2059</f>
        <v>251</v>
      </c>
      <c r="D1734" s="10">
        <f>Github!G$2059</f>
        <v>12</v>
      </c>
      <c r="E1734" s="10">
        <f>Github!F$2059+Github!G$2059</f>
        <v>263</v>
      </c>
      <c r="F1734" s="12">
        <f t="shared" si="1"/>
        <v>20.92</v>
      </c>
      <c r="G1734" s="10" t="str">
        <f>Github!H$2059</f>
        <v>Algorithms</v>
      </c>
      <c r="H1734" s="13" t="str">
        <f>SUBSTITUTE(Github!L$2059, ";", ", ")</f>
        <v>Linked List, </v>
      </c>
      <c r="I1734" s="10" t="str">
        <f>Github!E$2059</f>
        <v>Medium</v>
      </c>
      <c r="J1734" s="10" t="str">
        <f>IF(TRIM(Github!D$2059)="TRUE","FALSE","TRUE")</f>
        <v>TRUE</v>
      </c>
      <c r="K1734" s="10" t="b">
        <f>Github!M$2059</f>
        <v>0</v>
      </c>
      <c r="L1734" s="10" t="b">
        <f>Github!N$2059</f>
        <v>0</v>
      </c>
      <c r="M1734" s="10" t="str">
        <f>ROUND(Github!O$2059, 2)&amp;"%"</f>
        <v>57.71%</v>
      </c>
      <c r="N1734" s="10">
        <f>Github!P$2059</f>
        <v>15355</v>
      </c>
      <c r="O1734" s="10">
        <f>Github!Q$2059</f>
        <v>26605</v>
      </c>
    </row>
    <row r="1735">
      <c r="A1735" s="10">
        <f>Github!J$1917</f>
        <v>1916</v>
      </c>
      <c r="B1735" s="11" t="str">
        <f>HYPERLINK(CONCAT("http://leetcode.com/problems/",Github!C$1917), Github!B$1917)</f>
        <v>Count Ways to Build Rooms in an Ant Colony</v>
      </c>
      <c r="C1735" s="10">
        <f>Github!F$1917</f>
        <v>249</v>
      </c>
      <c r="D1735" s="10">
        <f>Github!G$1917</f>
        <v>34</v>
      </c>
      <c r="E1735" s="10">
        <f>Github!F$1917+Github!G$1917</f>
        <v>283</v>
      </c>
      <c r="F1735" s="12">
        <f t="shared" si="1"/>
        <v>7.32</v>
      </c>
      <c r="G1735" s="10" t="str">
        <f>Github!H$1917</f>
        <v>Algorithms</v>
      </c>
      <c r="H1735" s="13" t="str">
        <f>SUBSTITUTE(Github!L$1917, ";", ", ")</f>
        <v>Math, Dynamic Programming, Tree, Graph, Topological Sort, Combinatorics, </v>
      </c>
      <c r="I1735" s="10" t="str">
        <f>Github!E$1917</f>
        <v>Hard</v>
      </c>
      <c r="J1735" s="10" t="str">
        <f>IF(TRIM(Github!D$1917)="TRUE","FALSE","TRUE")</f>
        <v>TRUE</v>
      </c>
      <c r="K1735" s="10" t="b">
        <f>Github!M$1917</f>
        <v>0</v>
      </c>
      <c r="L1735" s="10" t="b">
        <f>Github!N$1917</f>
        <v>0</v>
      </c>
      <c r="M1735" s="10" t="str">
        <f>ROUND(Github!O$1917, 2)&amp;"%"</f>
        <v>48.19%</v>
      </c>
      <c r="N1735" s="10">
        <f>Github!P$1917</f>
        <v>3611</v>
      </c>
      <c r="O1735" s="10">
        <f>Github!Q$1917</f>
        <v>7493</v>
      </c>
    </row>
    <row r="1736">
      <c r="A1736" s="10">
        <f>Github!J$1453</f>
        <v>1452</v>
      </c>
      <c r="B1736" s="11" t="str">
        <f>HYPERLINK(CONCAT("http://leetcode.com/problems/",Github!C$1453), Github!B$1453)</f>
        <v>People Whose List of Favorite Companies Is Not a Subset of Another List</v>
      </c>
      <c r="C1736" s="10">
        <f>Github!F$1453</f>
        <v>247</v>
      </c>
      <c r="D1736" s="10">
        <f>Github!G$1453</f>
        <v>193</v>
      </c>
      <c r="E1736" s="10">
        <f>Github!F$1453+Github!G$1453</f>
        <v>440</v>
      </c>
      <c r="F1736" s="12">
        <f t="shared" si="1"/>
        <v>1.28</v>
      </c>
      <c r="G1736" s="10" t="str">
        <f>Github!H$1453</f>
        <v>Algorithms</v>
      </c>
      <c r="H1736" s="13" t="str">
        <f>SUBSTITUTE(Github!L$1453, ";", ", ")</f>
        <v>Array, Hash Table, String, </v>
      </c>
      <c r="I1736" s="10" t="str">
        <f>Github!E$1453</f>
        <v>Medium</v>
      </c>
      <c r="J1736" s="10" t="str">
        <f>IF(TRIM(Github!D$1453)="TRUE","FALSE","TRUE")</f>
        <v>TRUE</v>
      </c>
      <c r="K1736" s="10" t="b">
        <f>Github!M$1453</f>
        <v>0</v>
      </c>
      <c r="L1736" s="10" t="b">
        <f>Github!N$1453</f>
        <v>0</v>
      </c>
      <c r="M1736" s="10" t="str">
        <f>ROUND(Github!O$1453, 2)&amp;"%"</f>
        <v>56.6%</v>
      </c>
      <c r="N1736" s="10">
        <f>Github!P$1453</f>
        <v>18681</v>
      </c>
      <c r="O1736" s="10">
        <f>Github!Q$1453</f>
        <v>33005</v>
      </c>
    </row>
    <row r="1737">
      <c r="A1737" s="10">
        <f>Github!J$1017</f>
        <v>1016</v>
      </c>
      <c r="B1737" s="11" t="str">
        <f>HYPERLINK(CONCAT("http://leetcode.com/problems/",Github!C$1017), Github!B$1017)</f>
        <v>Binary String With Substrings Representing 1 To N</v>
      </c>
      <c r="C1737" s="10">
        <f>Github!F$1017</f>
        <v>247</v>
      </c>
      <c r="D1737" s="10">
        <f>Github!G$1017</f>
        <v>453</v>
      </c>
      <c r="E1737" s="10">
        <f>Github!F$1017+Github!G$1017</f>
        <v>700</v>
      </c>
      <c r="F1737" s="12">
        <f t="shared" si="1"/>
        <v>0.55</v>
      </c>
      <c r="G1737" s="10" t="str">
        <f>Github!H$1017</f>
        <v>Algorithms</v>
      </c>
      <c r="H1737" s="13" t="str">
        <f>SUBSTITUTE(Github!L$1017, ";", ", ")</f>
        <v>String, </v>
      </c>
      <c r="I1737" s="10" t="str">
        <f>Github!E$1017</f>
        <v>Medium</v>
      </c>
      <c r="J1737" s="10" t="str">
        <f>IF(TRIM(Github!D$1017)="TRUE","FALSE","TRUE")</f>
        <v>TRUE</v>
      </c>
      <c r="K1737" s="10" t="b">
        <f>Github!M$1017</f>
        <v>0</v>
      </c>
      <c r="L1737" s="10" t="b">
        <f>Github!N$1017</f>
        <v>0</v>
      </c>
      <c r="M1737" s="10" t="str">
        <f>ROUND(Github!O$1017, 2)&amp;"%"</f>
        <v>57.9%</v>
      </c>
      <c r="N1737" s="10">
        <f>Github!P$1017</f>
        <v>28592</v>
      </c>
      <c r="O1737" s="10">
        <f>Github!Q$1017</f>
        <v>49378</v>
      </c>
    </row>
    <row r="1738">
      <c r="A1738" s="10">
        <f>Github!J$2213</f>
        <v>2212</v>
      </c>
      <c r="B1738" s="11" t="str">
        <f>HYPERLINK(CONCAT("http://leetcode.com/problems/",Github!C$2213), Github!B$2213)</f>
        <v>Maximum Points in an Archery Competition</v>
      </c>
      <c r="C1738" s="10">
        <f>Github!F$2213</f>
        <v>249</v>
      </c>
      <c r="D1738" s="10">
        <f>Github!G$2213</f>
        <v>21</v>
      </c>
      <c r="E1738" s="10">
        <f>Github!F$2213+Github!G$2213</f>
        <v>270</v>
      </c>
      <c r="F1738" s="12">
        <f t="shared" si="1"/>
        <v>11.86</v>
      </c>
      <c r="G1738" s="10" t="str">
        <f>Github!H$2213</f>
        <v>Algorithms</v>
      </c>
      <c r="H1738" s="13" t="str">
        <f>SUBSTITUTE(Github!L$2213, ";", ", ")</f>
        <v>Array, Bit Manipulation, Recursion, Enumeration, </v>
      </c>
      <c r="I1738" s="10" t="str">
        <f>Github!E$2213</f>
        <v>Medium</v>
      </c>
      <c r="J1738" s="10" t="str">
        <f>IF(TRIM(Github!D$2213)="TRUE","FALSE","TRUE")</f>
        <v>TRUE</v>
      </c>
      <c r="K1738" s="10" t="b">
        <f>Github!M$2213</f>
        <v>0</v>
      </c>
      <c r="L1738" s="10" t="b">
        <f>Github!N$2213</f>
        <v>0</v>
      </c>
      <c r="M1738" s="10" t="str">
        <f>ROUND(Github!O$2213, 2)&amp;"%"</f>
        <v>47.37%</v>
      </c>
      <c r="N1738" s="10">
        <f>Github!P$2213</f>
        <v>8498</v>
      </c>
      <c r="O1738" s="10">
        <f>Github!Q$2213</f>
        <v>17941</v>
      </c>
    </row>
    <row r="1739">
      <c r="A1739" s="10">
        <f>Github!J$2031</f>
        <v>2030</v>
      </c>
      <c r="B1739" s="11" t="str">
        <f>HYPERLINK(CONCAT("http://leetcode.com/problems/",Github!C$2031), Github!B$2031)</f>
        <v>Smallest K-Length Subsequence With Occurrences of a Letter</v>
      </c>
      <c r="C1739" s="10">
        <f>Github!F$2031</f>
        <v>252</v>
      </c>
      <c r="D1739" s="10">
        <f>Github!G$2031</f>
        <v>6</v>
      </c>
      <c r="E1739" s="10">
        <f>Github!F$2031+Github!G$2031</f>
        <v>258</v>
      </c>
      <c r="F1739" s="12">
        <f t="shared" si="1"/>
        <v>42</v>
      </c>
      <c r="G1739" s="10" t="str">
        <f>Github!H$2031</f>
        <v>Algorithms</v>
      </c>
      <c r="H1739" s="13" t="str">
        <f>SUBSTITUTE(Github!L$2031, ";", ", ")</f>
        <v>String, Stack, Greedy, Monotonic Stack, </v>
      </c>
      <c r="I1739" s="10" t="str">
        <f>Github!E$2031</f>
        <v>Hard</v>
      </c>
      <c r="J1739" s="10" t="str">
        <f>IF(TRIM(Github!D$2031)="TRUE","FALSE","TRUE")</f>
        <v>TRUE</v>
      </c>
      <c r="K1739" s="10" t="b">
        <f>Github!M$2031</f>
        <v>0</v>
      </c>
      <c r="L1739" s="10" t="b">
        <f>Github!N$2031</f>
        <v>0</v>
      </c>
      <c r="M1739" s="10" t="str">
        <f>ROUND(Github!O$2031, 2)&amp;"%"</f>
        <v>38.81%</v>
      </c>
      <c r="N1739" s="10">
        <f>Github!P$2031</f>
        <v>4444</v>
      </c>
      <c r="O1739" s="10">
        <f>Github!Q$2031</f>
        <v>11450</v>
      </c>
    </row>
    <row r="1740">
      <c r="A1740" s="10">
        <f>Github!J$1508</f>
        <v>1507</v>
      </c>
      <c r="B1740" s="11" t="str">
        <f>HYPERLINK(CONCAT("http://leetcode.com/problems/",Github!C$1508), Github!B$1508)</f>
        <v>Reformat Date</v>
      </c>
      <c r="C1740" s="10">
        <f>Github!F$1508</f>
        <v>250</v>
      </c>
      <c r="D1740" s="10">
        <f>Github!G$1508</f>
        <v>331</v>
      </c>
      <c r="E1740" s="10">
        <f>Github!F$1508+Github!G$1508</f>
        <v>581</v>
      </c>
      <c r="F1740" s="12">
        <f t="shared" si="1"/>
        <v>0.76</v>
      </c>
      <c r="G1740" s="10" t="str">
        <f>Github!H$1508</f>
        <v>Algorithms</v>
      </c>
      <c r="H1740" s="13" t="str">
        <f>SUBSTITUTE(Github!L$1508, ";", ", ")</f>
        <v>String, </v>
      </c>
      <c r="I1740" s="10" t="str">
        <f>Github!E$1508</f>
        <v>Easy</v>
      </c>
      <c r="J1740" s="10" t="str">
        <f>IF(TRIM(Github!D$1508)="TRUE","FALSE","TRUE")</f>
        <v>TRUE</v>
      </c>
      <c r="K1740" s="10" t="b">
        <f>Github!M$1508</f>
        <v>0</v>
      </c>
      <c r="L1740" s="10" t="b">
        <f>Github!N$1508</f>
        <v>0</v>
      </c>
      <c r="M1740" s="10" t="str">
        <f>ROUND(Github!O$1508, 2)&amp;"%"</f>
        <v>61.76%</v>
      </c>
      <c r="N1740" s="10">
        <f>Github!P$1508</f>
        <v>39605</v>
      </c>
      <c r="O1740" s="10">
        <f>Github!Q$1508</f>
        <v>64130</v>
      </c>
    </row>
    <row r="1741">
      <c r="A1741" s="10">
        <f>Github!J$841</f>
        <v>840</v>
      </c>
      <c r="B1741" s="11" t="str">
        <f>HYPERLINK(CONCAT("http://leetcode.com/problems/",Github!C$841), Github!B$841)</f>
        <v>Magic Squares In Grid</v>
      </c>
      <c r="C1741" s="10">
        <f>Github!F$841</f>
        <v>246</v>
      </c>
      <c r="D1741" s="10">
        <f>Github!G$841</f>
        <v>1456</v>
      </c>
      <c r="E1741" s="10">
        <f>Github!F$841+Github!G$841</f>
        <v>1702</v>
      </c>
      <c r="F1741" s="12">
        <f t="shared" si="1"/>
        <v>0.17</v>
      </c>
      <c r="G1741" s="10" t="str">
        <f>Github!H$841</f>
        <v>Algorithms</v>
      </c>
      <c r="H1741" s="13" t="str">
        <f>SUBSTITUTE(Github!L$841, ";", ", ")</f>
        <v>Array, Math, Matrix, </v>
      </c>
      <c r="I1741" s="10" t="str">
        <f>Github!E$841</f>
        <v>Medium</v>
      </c>
      <c r="J1741" s="10" t="str">
        <f>IF(TRIM(Github!D$841)="TRUE","FALSE","TRUE")</f>
        <v>TRUE</v>
      </c>
      <c r="K1741" s="10" t="b">
        <f>Github!M$841</f>
        <v>0</v>
      </c>
      <c r="L1741" s="10" t="b">
        <f>Github!N$841</f>
        <v>0</v>
      </c>
      <c r="M1741" s="10" t="str">
        <f>ROUND(Github!O$841, 2)&amp;"%"</f>
        <v>38.35%</v>
      </c>
      <c r="N1741" s="10">
        <f>Github!P$841</f>
        <v>32099</v>
      </c>
      <c r="O1741" s="10">
        <f>Github!Q$841</f>
        <v>83691</v>
      </c>
    </row>
    <row r="1742">
      <c r="A1742" s="10">
        <f>Github!J$1797</f>
        <v>1796</v>
      </c>
      <c r="B1742" s="11" t="str">
        <f>HYPERLINK(CONCAT("http://leetcode.com/problems/",Github!C$1797), Github!B$1797)</f>
        <v>Second Largest Digit in a String</v>
      </c>
      <c r="C1742" s="10">
        <f>Github!F$1797</f>
        <v>249</v>
      </c>
      <c r="D1742" s="10">
        <f>Github!G$1797</f>
        <v>72</v>
      </c>
      <c r="E1742" s="10">
        <f>Github!F$1797+Github!G$1797</f>
        <v>321</v>
      </c>
      <c r="F1742" s="12">
        <f t="shared" si="1"/>
        <v>3.46</v>
      </c>
      <c r="G1742" s="10" t="str">
        <f>Github!H$1797</f>
        <v>Algorithms</v>
      </c>
      <c r="H1742" s="13" t="str">
        <f>SUBSTITUTE(Github!L$1797, ";", ", ")</f>
        <v>Hash Table, String, </v>
      </c>
      <c r="I1742" s="10" t="str">
        <f>Github!E$1797</f>
        <v>Easy</v>
      </c>
      <c r="J1742" s="10" t="str">
        <f>IF(TRIM(Github!D$1797)="TRUE","FALSE","TRUE")</f>
        <v>TRUE</v>
      </c>
      <c r="K1742" s="10" t="b">
        <f>Github!M$1797</f>
        <v>0</v>
      </c>
      <c r="L1742" s="10" t="b">
        <f>Github!N$1797</f>
        <v>0</v>
      </c>
      <c r="M1742" s="10" t="str">
        <f>ROUND(Github!O$1797, 2)&amp;"%"</f>
        <v>49.07%</v>
      </c>
      <c r="N1742" s="10">
        <f>Github!P$1797</f>
        <v>25221</v>
      </c>
      <c r="O1742" s="10">
        <f>Github!Q$1797</f>
        <v>51398</v>
      </c>
    </row>
    <row r="1743">
      <c r="A1743" s="10">
        <f>Github!J$1688</f>
        <v>1687</v>
      </c>
      <c r="B1743" s="11" t="str">
        <f>HYPERLINK(CONCAT("http://leetcode.com/problems/",Github!C$1688), Github!B$1688)</f>
        <v>Delivering Boxes from Storage to Ports</v>
      </c>
      <c r="C1743" s="10">
        <f>Github!F$1688</f>
        <v>247</v>
      </c>
      <c r="D1743" s="10">
        <f>Github!G$1688</f>
        <v>16</v>
      </c>
      <c r="E1743" s="10">
        <f>Github!F$1688+Github!G$1688</f>
        <v>263</v>
      </c>
      <c r="F1743" s="12">
        <f t="shared" si="1"/>
        <v>15.44</v>
      </c>
      <c r="G1743" s="10" t="str">
        <f>Github!H$1688</f>
        <v>Algorithms</v>
      </c>
      <c r="H1743" s="13" t="str">
        <f>SUBSTITUTE(Github!L$1688, ";", ", ")</f>
        <v>Array, Dynamic Programming, Segment Tree, Queue, Heap (Priority Queue), Monotonic Queue, </v>
      </c>
      <c r="I1743" s="10" t="str">
        <f>Github!E$1688</f>
        <v>Hard</v>
      </c>
      <c r="J1743" s="10" t="str">
        <f>IF(TRIM(Github!D$1688)="TRUE","FALSE","TRUE")</f>
        <v>TRUE</v>
      </c>
      <c r="K1743" s="10" t="b">
        <f>Github!M$1688</f>
        <v>0</v>
      </c>
      <c r="L1743" s="10" t="b">
        <f>Github!N$1688</f>
        <v>0</v>
      </c>
      <c r="M1743" s="10" t="str">
        <f>ROUND(Github!O$1688, 2)&amp;"%"</f>
        <v>37.44%</v>
      </c>
      <c r="N1743" s="10">
        <f>Github!P$1688</f>
        <v>3701</v>
      </c>
      <c r="O1743" s="10">
        <f>Github!Q$1688</f>
        <v>9886</v>
      </c>
    </row>
    <row r="1744">
      <c r="A1744" s="10">
        <f>Github!J$2149</f>
        <v>2148</v>
      </c>
      <c r="B1744" s="11" t="str">
        <f>HYPERLINK(CONCAT("http://leetcode.com/problems/",Github!C$2149), Github!B$2149)</f>
        <v>Count Elements With Strictly Smaller and Greater Elements </v>
      </c>
      <c r="C1744" s="10">
        <f>Github!F$2149</f>
        <v>251</v>
      </c>
      <c r="D1744" s="10">
        <f>Github!G$2149</f>
        <v>7</v>
      </c>
      <c r="E1744" s="10">
        <f>Github!F$2149+Github!G$2149</f>
        <v>258</v>
      </c>
      <c r="F1744" s="12">
        <f t="shared" si="1"/>
        <v>35.86</v>
      </c>
      <c r="G1744" s="10" t="str">
        <f>Github!H$2149</f>
        <v>Algorithms</v>
      </c>
      <c r="H1744" s="13" t="str">
        <f>SUBSTITUTE(Github!L$2149, ";", ", ")</f>
        <v>Array, Sorting, </v>
      </c>
      <c r="I1744" s="10" t="str">
        <f>Github!E$2149</f>
        <v>Easy</v>
      </c>
      <c r="J1744" s="10" t="str">
        <f>IF(TRIM(Github!D$2149)="TRUE","FALSE","TRUE")</f>
        <v>TRUE</v>
      </c>
      <c r="K1744" s="10" t="b">
        <f>Github!M$2149</f>
        <v>0</v>
      </c>
      <c r="L1744" s="10" t="b">
        <f>Github!N$2149</f>
        <v>0</v>
      </c>
      <c r="M1744" s="10" t="str">
        <f>ROUND(Github!O$2149, 2)&amp;"%"</f>
        <v>60.58%</v>
      </c>
      <c r="N1744" s="10">
        <f>Github!P$2149</f>
        <v>26131</v>
      </c>
      <c r="O1744" s="10">
        <f>Github!Q$2149</f>
        <v>43136</v>
      </c>
    </row>
    <row r="1745">
      <c r="A1745" s="10">
        <f>Github!J$587</f>
        <v>586</v>
      </c>
      <c r="B1745" s="11" t="str">
        <f>HYPERLINK(CONCAT("http://leetcode.com/problems/",Github!C$587), Github!B$587)</f>
        <v>Customer Placing the Largest Number of Orders</v>
      </c>
      <c r="C1745" s="10">
        <f>Github!F$587</f>
        <v>255</v>
      </c>
      <c r="D1745" s="10">
        <f>Github!G$587</f>
        <v>21</v>
      </c>
      <c r="E1745" s="10">
        <f>Github!F$587+Github!G$587</f>
        <v>276</v>
      </c>
      <c r="F1745" s="12">
        <f t="shared" si="1"/>
        <v>12.14</v>
      </c>
      <c r="G1745" s="10" t="str">
        <f>Github!H$587</f>
        <v>Database</v>
      </c>
      <c r="H1745" s="13" t="str">
        <f>SUBSTITUTE(Github!L$587, ";", ", ")</f>
        <v>Database, </v>
      </c>
      <c r="I1745" s="10" t="str">
        <f>Github!E$587</f>
        <v>Easy</v>
      </c>
      <c r="J1745" s="10" t="str">
        <f>IF(TRIM(Github!D$587)="TRUE","FALSE","TRUE")</f>
        <v>TRUE</v>
      </c>
      <c r="K1745" s="10" t="b">
        <f>Github!M$587</f>
        <v>1</v>
      </c>
      <c r="L1745" s="10" t="b">
        <f>Github!N$587</f>
        <v>0</v>
      </c>
      <c r="M1745" s="10" t="str">
        <f>ROUND(Github!O$587, 2)&amp;"%"</f>
        <v>74.17%</v>
      </c>
      <c r="N1745" s="10">
        <f>Github!P$587</f>
        <v>71650</v>
      </c>
      <c r="O1745" s="10">
        <f>Github!Q$587</f>
        <v>96600</v>
      </c>
    </row>
    <row r="1746">
      <c r="A1746" s="10">
        <f>Github!J$2137</f>
        <v>2136</v>
      </c>
      <c r="B1746" s="11" t="str">
        <f>HYPERLINK(CONCAT("http://leetcode.com/problems/",Github!C$2137), Github!B$2137)</f>
        <v>Earliest Possible Day of Full Bloom</v>
      </c>
      <c r="C1746" s="10">
        <f>Github!F$2137</f>
        <v>250</v>
      </c>
      <c r="D1746" s="10">
        <f>Github!G$2137</f>
        <v>12</v>
      </c>
      <c r="E1746" s="10">
        <f>Github!F$2137+Github!G$2137</f>
        <v>262</v>
      </c>
      <c r="F1746" s="12">
        <f t="shared" si="1"/>
        <v>20.83</v>
      </c>
      <c r="G1746" s="10" t="str">
        <f>Github!H$2137</f>
        <v>Algorithms</v>
      </c>
      <c r="H1746" s="13" t="str">
        <f>SUBSTITUTE(Github!L$2137, ";", ", ")</f>
        <v>Array, Greedy, Sorting, </v>
      </c>
      <c r="I1746" s="10" t="str">
        <f>Github!E$2137</f>
        <v>Hard</v>
      </c>
      <c r="J1746" s="10" t="str">
        <f>IF(TRIM(Github!D$2137)="TRUE","FALSE","TRUE")</f>
        <v>TRUE</v>
      </c>
      <c r="K1746" s="10" t="b">
        <f>Github!M$2137</f>
        <v>0</v>
      </c>
      <c r="L1746" s="10" t="b">
        <f>Github!N$2137</f>
        <v>0</v>
      </c>
      <c r="M1746" s="10" t="str">
        <f>ROUND(Github!O$2137, 2)&amp;"%"</f>
        <v>67.48%</v>
      </c>
      <c r="N1746" s="10">
        <f>Github!P$2137</f>
        <v>6888</v>
      </c>
      <c r="O1746" s="10">
        <f>Github!Q$2137</f>
        <v>10208</v>
      </c>
    </row>
    <row r="1747">
      <c r="A1747" s="10">
        <f>Github!J$1176</f>
        <v>1175</v>
      </c>
      <c r="B1747" s="11" t="str">
        <f>HYPERLINK(CONCAT("http://leetcode.com/problems/",Github!C$1176), Github!B$1176)</f>
        <v>Prime Arrangements</v>
      </c>
      <c r="C1747" s="10">
        <f>Github!F$1176</f>
        <v>244</v>
      </c>
      <c r="D1747" s="10">
        <f>Github!G$1176</f>
        <v>355</v>
      </c>
      <c r="E1747" s="10">
        <f>Github!F$1176+Github!G$1176</f>
        <v>599</v>
      </c>
      <c r="F1747" s="12">
        <f t="shared" si="1"/>
        <v>0.69</v>
      </c>
      <c r="G1747" s="10" t="str">
        <f>Github!H$1176</f>
        <v>Algorithms</v>
      </c>
      <c r="H1747" s="13" t="str">
        <f>SUBSTITUTE(Github!L$1176, ";", ", ")</f>
        <v>Math, </v>
      </c>
      <c r="I1747" s="10" t="str">
        <f>Github!E$1176</f>
        <v>Easy</v>
      </c>
      <c r="J1747" s="10" t="str">
        <f>IF(TRIM(Github!D$1176)="TRUE","FALSE","TRUE")</f>
        <v>TRUE</v>
      </c>
      <c r="K1747" s="10" t="b">
        <f>Github!M$1176</f>
        <v>0</v>
      </c>
      <c r="L1747" s="10" t="b">
        <f>Github!N$1176</f>
        <v>0</v>
      </c>
      <c r="M1747" s="10" t="str">
        <f>ROUND(Github!O$1176, 2)&amp;"%"</f>
        <v>52.88%</v>
      </c>
      <c r="N1747" s="10">
        <f>Github!P$1176</f>
        <v>19969</v>
      </c>
      <c r="O1747" s="10">
        <f>Github!Q$1176</f>
        <v>37765</v>
      </c>
    </row>
    <row r="1748">
      <c r="A1748" s="10">
        <f>Github!J$2121</f>
        <v>2120</v>
      </c>
      <c r="B1748" s="11" t="str">
        <f>HYPERLINK(CONCAT("http://leetcode.com/problems/",Github!C$2121), Github!B$2121)</f>
        <v>Execution of All Suffix Instructions Staying in a Grid</v>
      </c>
      <c r="C1748" s="10">
        <f>Github!F$2121</f>
        <v>248</v>
      </c>
      <c r="D1748" s="10">
        <f>Github!G$2121</f>
        <v>24</v>
      </c>
      <c r="E1748" s="10">
        <f>Github!F$2121+Github!G$2121</f>
        <v>272</v>
      </c>
      <c r="F1748" s="12">
        <f t="shared" si="1"/>
        <v>10.33</v>
      </c>
      <c r="G1748" s="10" t="str">
        <f>Github!H$2121</f>
        <v>Algorithms</v>
      </c>
      <c r="H1748" s="13" t="str">
        <f>SUBSTITUTE(Github!L$2121, ";", ", ")</f>
        <v>String, Simulation, </v>
      </c>
      <c r="I1748" s="10" t="str">
        <f>Github!E$2121</f>
        <v>Medium</v>
      </c>
      <c r="J1748" s="10" t="str">
        <f>IF(TRIM(Github!D$2121)="TRUE","FALSE","TRUE")</f>
        <v>TRUE</v>
      </c>
      <c r="K1748" s="10" t="b">
        <f>Github!M$2121</f>
        <v>0</v>
      </c>
      <c r="L1748" s="10" t="b">
        <f>Github!N$2121</f>
        <v>0</v>
      </c>
      <c r="M1748" s="10" t="str">
        <f>ROUND(Github!O$2121, 2)&amp;"%"</f>
        <v>83.29%</v>
      </c>
      <c r="N1748" s="10">
        <f>Github!P$2121</f>
        <v>14741</v>
      </c>
      <c r="O1748" s="10">
        <f>Github!Q$2121</f>
        <v>17699</v>
      </c>
    </row>
    <row r="1749">
      <c r="A1749" s="10">
        <f>Github!J$1640</f>
        <v>1639</v>
      </c>
      <c r="B1749" s="11" t="str">
        <f>HYPERLINK(CONCAT("http://leetcode.com/problems/",Github!C$1640), Github!B$1640)</f>
        <v>Number of Ways to Form a Target String Given a Dictionary</v>
      </c>
      <c r="C1749" s="10">
        <f>Github!F$1640</f>
        <v>246</v>
      </c>
      <c r="D1749" s="10">
        <f>Github!G$1640</f>
        <v>12</v>
      </c>
      <c r="E1749" s="10">
        <f>Github!F$1640+Github!G$1640</f>
        <v>258</v>
      </c>
      <c r="F1749" s="12">
        <f t="shared" si="1"/>
        <v>20.5</v>
      </c>
      <c r="G1749" s="10" t="str">
        <f>Github!H$1640</f>
        <v>Algorithms</v>
      </c>
      <c r="H1749" s="13" t="str">
        <f>SUBSTITUTE(Github!L$1640, ";", ", ")</f>
        <v>Array, String, Dynamic Programming, </v>
      </c>
      <c r="I1749" s="10" t="str">
        <f>Github!E$1640</f>
        <v>Hard</v>
      </c>
      <c r="J1749" s="10" t="str">
        <f>IF(TRIM(Github!D$1640)="TRUE","FALSE","TRUE")</f>
        <v>TRUE</v>
      </c>
      <c r="K1749" s="10" t="b">
        <f>Github!M$1640</f>
        <v>0</v>
      </c>
      <c r="L1749" s="10" t="b">
        <f>Github!N$1640</f>
        <v>0</v>
      </c>
      <c r="M1749" s="10" t="str">
        <f>ROUND(Github!O$1640, 2)&amp;"%"</f>
        <v>42.35%</v>
      </c>
      <c r="N1749" s="10">
        <f>Github!P$1640</f>
        <v>6616</v>
      </c>
      <c r="O1749" s="10">
        <f>Github!Q$1640</f>
        <v>15624</v>
      </c>
    </row>
    <row r="1750">
      <c r="A1750" s="10">
        <f>Github!J$2158</f>
        <v>2157</v>
      </c>
      <c r="B1750" s="11" t="str">
        <f>HYPERLINK(CONCAT("http://leetcode.com/problems/",Github!C$2158), Github!B$2158)</f>
        <v>Groups of Strings</v>
      </c>
      <c r="C1750" s="10">
        <f>Github!F$2158</f>
        <v>243</v>
      </c>
      <c r="D1750" s="10">
        <f>Github!G$2158</f>
        <v>37</v>
      </c>
      <c r="E1750" s="10">
        <f>Github!F$2158+Github!G$2158</f>
        <v>280</v>
      </c>
      <c r="F1750" s="12">
        <f t="shared" si="1"/>
        <v>6.57</v>
      </c>
      <c r="G1750" s="10" t="str">
        <f>Github!H$2158</f>
        <v>Algorithms</v>
      </c>
      <c r="H1750" s="13" t="str">
        <f>SUBSTITUTE(Github!L$2158, ";", ", ")</f>
        <v>String, Bit Manipulation, Union Find, </v>
      </c>
      <c r="I1750" s="10" t="str">
        <f>Github!E$2158</f>
        <v>Hard</v>
      </c>
      <c r="J1750" s="10" t="str">
        <f>IF(TRIM(Github!D$2158)="TRUE","FALSE","TRUE")</f>
        <v>TRUE</v>
      </c>
      <c r="K1750" s="10" t="b">
        <f>Github!M$2158</f>
        <v>0</v>
      </c>
      <c r="L1750" s="10" t="b">
        <f>Github!N$2158</f>
        <v>0</v>
      </c>
      <c r="M1750" s="10" t="str">
        <f>ROUND(Github!O$2158, 2)&amp;"%"</f>
        <v>24.56%</v>
      </c>
      <c r="N1750" s="10">
        <f>Github!P$2158</f>
        <v>5449</v>
      </c>
      <c r="O1750" s="10">
        <f>Github!Q$2158</f>
        <v>22184</v>
      </c>
    </row>
    <row r="1751">
      <c r="A1751" s="10">
        <f>Github!J$971</f>
        <v>970</v>
      </c>
      <c r="B1751" s="11" t="str">
        <f>HYPERLINK(CONCAT("http://leetcode.com/problems/",Github!C$971), Github!B$971)</f>
        <v>Powerful Integers</v>
      </c>
      <c r="C1751" s="10">
        <f>Github!F$971</f>
        <v>242</v>
      </c>
      <c r="D1751" s="10">
        <f>Github!G$971</f>
        <v>63</v>
      </c>
      <c r="E1751" s="10">
        <f>Github!F$971+Github!G$971</f>
        <v>305</v>
      </c>
      <c r="F1751" s="12">
        <f t="shared" si="1"/>
        <v>3.84</v>
      </c>
      <c r="G1751" s="10" t="str">
        <f>Github!H$971</f>
        <v>Algorithms</v>
      </c>
      <c r="H1751" s="13" t="str">
        <f>SUBSTITUTE(Github!L$971, ";", ", ")</f>
        <v>Hash Table, Math, </v>
      </c>
      <c r="I1751" s="10" t="str">
        <f>Github!E$971</f>
        <v>Medium</v>
      </c>
      <c r="J1751" s="10" t="str">
        <f>IF(TRIM(Github!D$971)="TRUE","FALSE","TRUE")</f>
        <v>TRUE</v>
      </c>
      <c r="K1751" s="10" t="b">
        <f>Github!M$971</f>
        <v>1</v>
      </c>
      <c r="L1751" s="10" t="b">
        <f>Github!N$971</f>
        <v>0</v>
      </c>
      <c r="M1751" s="10" t="str">
        <f>ROUND(Github!O$971, 2)&amp;"%"</f>
        <v>43.56%</v>
      </c>
      <c r="N1751" s="10">
        <f>Github!P$971</f>
        <v>46255</v>
      </c>
      <c r="O1751" s="10">
        <f>Github!Q$971</f>
        <v>106186</v>
      </c>
    </row>
    <row r="1752">
      <c r="A1752" s="10">
        <f>Github!J$1165</f>
        <v>1164</v>
      </c>
      <c r="B1752" s="11" t="str">
        <f>HYPERLINK(CONCAT("http://leetcode.com/problems/",Github!C$1165), Github!B$1165)</f>
        <v>Product Price at a Given Date</v>
      </c>
      <c r="C1752" s="10">
        <f>Github!F$1165</f>
        <v>246</v>
      </c>
      <c r="D1752" s="10">
        <f>Github!G$1165</f>
        <v>68</v>
      </c>
      <c r="E1752" s="10">
        <f>Github!F$1165+Github!G$1165</f>
        <v>314</v>
      </c>
      <c r="F1752" s="12">
        <f t="shared" si="1"/>
        <v>3.62</v>
      </c>
      <c r="G1752" s="10" t="str">
        <f>Github!H$1165</f>
        <v>Database</v>
      </c>
      <c r="H1752" s="13" t="str">
        <f>SUBSTITUTE(Github!L$1165, ";", ", ")</f>
        <v>Database, </v>
      </c>
      <c r="I1752" s="10" t="str">
        <f>Github!E$1165</f>
        <v>Medium</v>
      </c>
      <c r="J1752" s="10" t="str">
        <f>IF(TRIM(Github!D$1165)="TRUE","FALSE","TRUE")</f>
        <v>FALSE</v>
      </c>
      <c r="K1752" s="10" t="b">
        <f>Github!M$1165</f>
        <v>0</v>
      </c>
      <c r="L1752" s="10" t="b">
        <f>Github!N$1165</f>
        <v>0</v>
      </c>
      <c r="M1752" s="10" t="str">
        <f>ROUND(Github!O$1165, 2)&amp;"%"</f>
        <v>68.47%</v>
      </c>
      <c r="N1752" s="10">
        <f>Github!P$1165</f>
        <v>29740</v>
      </c>
      <c r="O1752" s="10">
        <f>Github!Q$1165</f>
        <v>43435</v>
      </c>
    </row>
    <row r="1753">
      <c r="A1753" s="10">
        <f>Github!J$1229</f>
        <v>1228</v>
      </c>
      <c r="B1753" s="11" t="str">
        <f>HYPERLINK(CONCAT("http://leetcode.com/problems/",Github!C$1229), Github!B$1229)</f>
        <v>Missing Number In Arithmetic Progression</v>
      </c>
      <c r="C1753" s="10">
        <f>Github!F$1229</f>
        <v>242</v>
      </c>
      <c r="D1753" s="10">
        <f>Github!G$1229</f>
        <v>31</v>
      </c>
      <c r="E1753" s="10">
        <f>Github!F$1229+Github!G$1229</f>
        <v>273</v>
      </c>
      <c r="F1753" s="12">
        <f t="shared" si="1"/>
        <v>7.81</v>
      </c>
      <c r="G1753" s="10" t="str">
        <f>Github!H$1229</f>
        <v>Algorithms</v>
      </c>
      <c r="H1753" s="13" t="str">
        <f>SUBSTITUTE(Github!L$1229, ";", ", ")</f>
        <v>Array, Math, </v>
      </c>
      <c r="I1753" s="10" t="str">
        <f>Github!E$1229</f>
        <v>Easy</v>
      </c>
      <c r="J1753" s="10" t="str">
        <f>IF(TRIM(Github!D$1229)="TRUE","FALSE","TRUE")</f>
        <v>FALSE</v>
      </c>
      <c r="K1753" s="10" t="b">
        <f>Github!M$1229</f>
        <v>1</v>
      </c>
      <c r="L1753" s="10" t="b">
        <f>Github!N$1229</f>
        <v>1</v>
      </c>
      <c r="M1753" s="10" t="str">
        <f>ROUND(Github!O$1229, 2)&amp;"%"</f>
        <v>51.17%</v>
      </c>
      <c r="N1753" s="10">
        <f>Github!P$1229</f>
        <v>20601</v>
      </c>
      <c r="O1753" s="10">
        <f>Github!Q$1229</f>
        <v>40258</v>
      </c>
    </row>
    <row r="1754">
      <c r="A1754" s="10">
        <f>Github!J$1623</f>
        <v>1622</v>
      </c>
      <c r="B1754" s="11" t="str">
        <f>HYPERLINK(CONCAT("http://leetcode.com/problems/",Github!C$1623), Github!B$1623)</f>
        <v>Fancy Sequence</v>
      </c>
      <c r="C1754" s="10">
        <f>Github!F$1623</f>
        <v>243</v>
      </c>
      <c r="D1754" s="10">
        <f>Github!G$1623</f>
        <v>90</v>
      </c>
      <c r="E1754" s="10">
        <f>Github!F$1623+Github!G$1623</f>
        <v>333</v>
      </c>
      <c r="F1754" s="12">
        <f t="shared" si="1"/>
        <v>2.7</v>
      </c>
      <c r="G1754" s="10" t="str">
        <f>Github!H$1623</f>
        <v>Algorithms</v>
      </c>
      <c r="H1754" s="13" t="str">
        <f>SUBSTITUTE(Github!L$1623, ";", ", ")</f>
        <v>Math, Design, Segment Tree, </v>
      </c>
      <c r="I1754" s="10" t="str">
        <f>Github!E$1623</f>
        <v>Hard</v>
      </c>
      <c r="J1754" s="10" t="str">
        <f>IF(TRIM(Github!D$1623)="TRUE","FALSE","TRUE")</f>
        <v>TRUE</v>
      </c>
      <c r="K1754" s="10" t="b">
        <f>Github!M$1623</f>
        <v>0</v>
      </c>
      <c r="L1754" s="10" t="b">
        <f>Github!N$1623</f>
        <v>0</v>
      </c>
      <c r="M1754" s="10" t="str">
        <f>ROUND(Github!O$1623, 2)&amp;"%"</f>
        <v>15.45%</v>
      </c>
      <c r="N1754" s="10">
        <f>Github!P$1623</f>
        <v>7054</v>
      </c>
      <c r="O1754" s="10">
        <f>Github!Q$1623</f>
        <v>45650</v>
      </c>
    </row>
    <row r="1755">
      <c r="A1755" s="10">
        <f>Github!J$2098</f>
        <v>2097</v>
      </c>
      <c r="B1755" s="11" t="str">
        <f>HYPERLINK(CONCAT("http://leetcode.com/problems/",Github!C$2098), Github!B$2098)</f>
        <v>Valid Arrangement of Pairs</v>
      </c>
      <c r="C1755" s="10">
        <f>Github!F$2098</f>
        <v>243</v>
      </c>
      <c r="D1755" s="10">
        <f>Github!G$2098</f>
        <v>10</v>
      </c>
      <c r="E1755" s="10">
        <f>Github!F$2098+Github!G$2098</f>
        <v>253</v>
      </c>
      <c r="F1755" s="12">
        <f t="shared" si="1"/>
        <v>24.3</v>
      </c>
      <c r="G1755" s="10" t="str">
        <f>Github!H$2098</f>
        <v>Algorithms</v>
      </c>
      <c r="H1755" s="13" t="str">
        <f>SUBSTITUTE(Github!L$2098, ";", ", ")</f>
        <v>Depth-First Search, Graph, Eulerian Circuit, </v>
      </c>
      <c r="I1755" s="10" t="str">
        <f>Github!E$2098</f>
        <v>Hard</v>
      </c>
      <c r="J1755" s="10" t="str">
        <f>IF(TRIM(Github!D$2098)="TRUE","FALSE","TRUE")</f>
        <v>TRUE</v>
      </c>
      <c r="K1755" s="10" t="b">
        <f>Github!M$2098</f>
        <v>0</v>
      </c>
      <c r="L1755" s="10" t="b">
        <f>Github!N$2098</f>
        <v>0</v>
      </c>
      <c r="M1755" s="10" t="str">
        <f>ROUND(Github!O$2098, 2)&amp;"%"</f>
        <v>40.01%</v>
      </c>
      <c r="N1755" s="10">
        <f>Github!P$2098</f>
        <v>4492</v>
      </c>
      <c r="O1755" s="10">
        <f>Github!Q$2098</f>
        <v>11228</v>
      </c>
    </row>
    <row r="1756">
      <c r="A1756" s="10">
        <f>Github!J$2162</f>
        <v>2161</v>
      </c>
      <c r="B1756" s="11" t="str">
        <f>HYPERLINK(CONCAT("http://leetcode.com/problems/",Github!C$2162), Github!B$2162)</f>
        <v>Partition Array According to Given Pivot</v>
      </c>
      <c r="C1756" s="10">
        <f>Github!F$2162</f>
        <v>249</v>
      </c>
      <c r="D1756" s="10">
        <f>Github!G$2162</f>
        <v>22</v>
      </c>
      <c r="E1756" s="10">
        <f>Github!F$2162+Github!G$2162</f>
        <v>271</v>
      </c>
      <c r="F1756" s="12">
        <f t="shared" si="1"/>
        <v>11.32</v>
      </c>
      <c r="G1756" s="10" t="str">
        <f>Github!H$2162</f>
        <v>Algorithms</v>
      </c>
      <c r="H1756" s="13" t="str">
        <f>SUBSTITUTE(Github!L$2162, ";", ", ")</f>
        <v>Array, Two Pointers, Simulation, </v>
      </c>
      <c r="I1756" s="10" t="str">
        <f>Github!E$2162</f>
        <v>Medium</v>
      </c>
      <c r="J1756" s="10" t="str">
        <f>IF(TRIM(Github!D$2162)="TRUE","FALSE","TRUE")</f>
        <v>TRUE</v>
      </c>
      <c r="K1756" s="10" t="b">
        <f>Github!M$2162</f>
        <v>0</v>
      </c>
      <c r="L1756" s="10" t="b">
        <f>Github!N$2162</f>
        <v>0</v>
      </c>
      <c r="M1756" s="10" t="str">
        <f>ROUND(Github!O$2162, 2)&amp;"%"</f>
        <v>82.49%</v>
      </c>
      <c r="N1756" s="10">
        <f>Github!P$2162</f>
        <v>19513</v>
      </c>
      <c r="O1756" s="10">
        <f>Github!Q$2162</f>
        <v>23655</v>
      </c>
    </row>
    <row r="1757">
      <c r="A1757" s="10">
        <f>Github!J$1155</f>
        <v>1154</v>
      </c>
      <c r="B1757" s="11" t="str">
        <f>HYPERLINK(CONCAT("http://leetcode.com/problems/",Github!C$1155), Github!B$1155)</f>
        <v>Day of the Year</v>
      </c>
      <c r="C1757" s="10">
        <f>Github!F$1155</f>
        <v>241</v>
      </c>
      <c r="D1757" s="10">
        <f>Github!G$1155</f>
        <v>306</v>
      </c>
      <c r="E1757" s="10">
        <f>Github!F$1155+Github!G$1155</f>
        <v>547</v>
      </c>
      <c r="F1757" s="12">
        <f t="shared" si="1"/>
        <v>0.79</v>
      </c>
      <c r="G1757" s="10" t="str">
        <f>Github!H$1155</f>
        <v>Algorithms</v>
      </c>
      <c r="H1757" s="13" t="str">
        <f>SUBSTITUTE(Github!L$1155, ";", ", ")</f>
        <v>Math, String, </v>
      </c>
      <c r="I1757" s="10" t="str">
        <f>Github!E$1155</f>
        <v>Easy</v>
      </c>
      <c r="J1757" s="10" t="str">
        <f>IF(TRIM(Github!D$1155)="TRUE","FALSE","TRUE")</f>
        <v>TRUE</v>
      </c>
      <c r="K1757" s="10" t="b">
        <f>Github!M$1155</f>
        <v>0</v>
      </c>
      <c r="L1757" s="10" t="b">
        <f>Github!N$1155</f>
        <v>0</v>
      </c>
      <c r="M1757" s="10" t="str">
        <f>ROUND(Github!O$1155, 2)&amp;"%"</f>
        <v>50.94%</v>
      </c>
      <c r="N1757" s="10">
        <f>Github!P$1155</f>
        <v>32941</v>
      </c>
      <c r="O1757" s="10">
        <f>Github!Q$1155</f>
        <v>64664</v>
      </c>
    </row>
    <row r="1758">
      <c r="A1758" s="10">
        <f>Github!J$1890</f>
        <v>1889</v>
      </c>
      <c r="B1758" s="11" t="str">
        <f>HYPERLINK(CONCAT("http://leetcode.com/problems/",Github!C$1890), Github!B$1890)</f>
        <v>Minimum Space Wasted From Packaging</v>
      </c>
      <c r="C1758" s="10">
        <f>Github!F$1890</f>
        <v>241</v>
      </c>
      <c r="D1758" s="10">
        <f>Github!G$1890</f>
        <v>28</v>
      </c>
      <c r="E1758" s="10">
        <f>Github!F$1890+Github!G$1890</f>
        <v>269</v>
      </c>
      <c r="F1758" s="12">
        <f t="shared" si="1"/>
        <v>8.61</v>
      </c>
      <c r="G1758" s="10" t="str">
        <f>Github!H$1890</f>
        <v>Algorithms</v>
      </c>
      <c r="H1758" s="13" t="str">
        <f>SUBSTITUTE(Github!L$1890, ";", ", ")</f>
        <v>Array, Binary Search, Sorting, Prefix Sum, </v>
      </c>
      <c r="I1758" s="10" t="str">
        <f>Github!E$1890</f>
        <v>Hard</v>
      </c>
      <c r="J1758" s="10" t="str">
        <f>IF(TRIM(Github!D$1890)="TRUE","FALSE","TRUE")</f>
        <v>TRUE</v>
      </c>
      <c r="K1758" s="10" t="b">
        <f>Github!M$1890</f>
        <v>0</v>
      </c>
      <c r="L1758" s="10" t="b">
        <f>Github!N$1890</f>
        <v>0</v>
      </c>
      <c r="M1758" s="10" t="str">
        <f>ROUND(Github!O$1890, 2)&amp;"%"</f>
        <v>30.06%</v>
      </c>
      <c r="N1758" s="10">
        <f>Github!P$1890</f>
        <v>7617</v>
      </c>
      <c r="O1758" s="10">
        <f>Github!Q$1890</f>
        <v>25337</v>
      </c>
    </row>
    <row r="1759">
      <c r="A1759" s="10">
        <f>Github!J$2139</f>
        <v>2138</v>
      </c>
      <c r="B1759" s="11" t="str">
        <f>HYPERLINK(CONCAT("http://leetcode.com/problems/",Github!C$2139), Github!B$2139)</f>
        <v>Divide a String Into Groups of Size k</v>
      </c>
      <c r="C1759" s="10">
        <f>Github!F$2139</f>
        <v>241</v>
      </c>
      <c r="D1759" s="10">
        <f>Github!G$2139</f>
        <v>10</v>
      </c>
      <c r="E1759" s="10">
        <f>Github!F$2139+Github!G$2139</f>
        <v>251</v>
      </c>
      <c r="F1759" s="12">
        <f t="shared" si="1"/>
        <v>24.1</v>
      </c>
      <c r="G1759" s="10" t="str">
        <f>Github!H$2139</f>
        <v>Algorithms</v>
      </c>
      <c r="H1759" s="13" t="str">
        <f>SUBSTITUTE(Github!L$2139, ";", ", ")</f>
        <v>String, Simulation, </v>
      </c>
      <c r="I1759" s="10" t="str">
        <f>Github!E$2139</f>
        <v>Easy</v>
      </c>
      <c r="J1759" s="10" t="str">
        <f>IF(TRIM(Github!D$2139)="TRUE","FALSE","TRUE")</f>
        <v>TRUE</v>
      </c>
      <c r="K1759" s="10" t="b">
        <f>Github!M$2139</f>
        <v>0</v>
      </c>
      <c r="L1759" s="10" t="b">
        <f>Github!N$2139</f>
        <v>0</v>
      </c>
      <c r="M1759" s="10" t="str">
        <f>ROUND(Github!O$2139, 2)&amp;"%"</f>
        <v>65.51%</v>
      </c>
      <c r="N1759" s="10">
        <f>Github!P$2139</f>
        <v>24468</v>
      </c>
      <c r="O1759" s="10">
        <f>Github!Q$2139</f>
        <v>37352</v>
      </c>
    </row>
    <row r="1760">
      <c r="A1760" s="10">
        <f>Github!J$1882</f>
        <v>1881</v>
      </c>
      <c r="B1760" s="11" t="str">
        <f>HYPERLINK(CONCAT("http://leetcode.com/problems/",Github!C$1882), Github!B$1882)</f>
        <v>Maximum Value after Insertion</v>
      </c>
      <c r="C1760" s="10">
        <f>Github!F$1882</f>
        <v>240</v>
      </c>
      <c r="D1760" s="10">
        <f>Github!G$1882</f>
        <v>42</v>
      </c>
      <c r="E1760" s="10">
        <f>Github!F$1882+Github!G$1882</f>
        <v>282</v>
      </c>
      <c r="F1760" s="12">
        <f t="shared" si="1"/>
        <v>5.71</v>
      </c>
      <c r="G1760" s="10" t="str">
        <f>Github!H$1882</f>
        <v>Algorithms</v>
      </c>
      <c r="H1760" s="13" t="str">
        <f>SUBSTITUTE(Github!L$1882, ";", ", ")</f>
        <v>String, Greedy, </v>
      </c>
      <c r="I1760" s="10" t="str">
        <f>Github!E$1882</f>
        <v>Medium</v>
      </c>
      <c r="J1760" s="10" t="str">
        <f>IF(TRIM(Github!D$1882)="TRUE","FALSE","TRUE")</f>
        <v>TRUE</v>
      </c>
      <c r="K1760" s="10" t="b">
        <f>Github!M$1882</f>
        <v>0</v>
      </c>
      <c r="L1760" s="10" t="b">
        <f>Github!N$1882</f>
        <v>0</v>
      </c>
      <c r="M1760" s="10" t="str">
        <f>ROUND(Github!O$1882, 2)&amp;"%"</f>
        <v>35.84%</v>
      </c>
      <c r="N1760" s="10">
        <f>Github!P$1882</f>
        <v>17837</v>
      </c>
      <c r="O1760" s="10">
        <f>Github!Q$1882</f>
        <v>49771</v>
      </c>
    </row>
    <row r="1761">
      <c r="A1761" s="10">
        <f>Github!J$1239</f>
        <v>1238</v>
      </c>
      <c r="B1761" s="11" t="str">
        <f>HYPERLINK(CONCAT("http://leetcode.com/problems/",Github!C$1239), Github!B$1239)</f>
        <v>Circular Permutation in Binary Representation</v>
      </c>
      <c r="C1761" s="10">
        <f>Github!F$1239</f>
        <v>242</v>
      </c>
      <c r="D1761" s="10">
        <f>Github!G$1239</f>
        <v>157</v>
      </c>
      <c r="E1761" s="10">
        <f>Github!F$1239+Github!G$1239</f>
        <v>399</v>
      </c>
      <c r="F1761" s="12">
        <f t="shared" si="1"/>
        <v>1.54</v>
      </c>
      <c r="G1761" s="10" t="str">
        <f>Github!H$1239</f>
        <v>Algorithms</v>
      </c>
      <c r="H1761" s="13" t="str">
        <f>SUBSTITUTE(Github!L$1239, ";", ", ")</f>
        <v>Math, Backtracking, Bit Manipulation, </v>
      </c>
      <c r="I1761" s="10" t="str">
        <f>Github!E$1239</f>
        <v>Medium</v>
      </c>
      <c r="J1761" s="10" t="str">
        <f>IF(TRIM(Github!D$1239)="TRUE","FALSE","TRUE")</f>
        <v>TRUE</v>
      </c>
      <c r="K1761" s="10" t="b">
        <f>Github!M$1239</f>
        <v>0</v>
      </c>
      <c r="L1761" s="10" t="b">
        <f>Github!N$1239</f>
        <v>0</v>
      </c>
      <c r="M1761" s="10" t="str">
        <f>ROUND(Github!O$1239, 2)&amp;"%"</f>
        <v>68.03%</v>
      </c>
      <c r="N1761" s="10">
        <f>Github!P$1239</f>
        <v>12124</v>
      </c>
      <c r="O1761" s="10">
        <f>Github!Q$1239</f>
        <v>17822</v>
      </c>
    </row>
    <row r="1762">
      <c r="A1762" s="10">
        <f>Github!J$1281</f>
        <v>1280</v>
      </c>
      <c r="B1762" s="11" t="str">
        <f>HYPERLINK(CONCAT("http://leetcode.com/problems/",Github!C$1281), Github!B$1281)</f>
        <v>Students and Examinations</v>
      </c>
      <c r="C1762" s="10">
        <f>Github!F$1281</f>
        <v>242</v>
      </c>
      <c r="D1762" s="10">
        <f>Github!G$1281</f>
        <v>33</v>
      </c>
      <c r="E1762" s="10">
        <f>Github!F$1281+Github!G$1281</f>
        <v>275</v>
      </c>
      <c r="F1762" s="12">
        <f t="shared" si="1"/>
        <v>7.33</v>
      </c>
      <c r="G1762" s="10" t="str">
        <f>Github!H$1281</f>
        <v>Database</v>
      </c>
      <c r="H1762" s="13" t="str">
        <f>SUBSTITUTE(Github!L$1281, ";", ", ")</f>
        <v>Database, </v>
      </c>
      <c r="I1762" s="10" t="str">
        <f>Github!E$1281</f>
        <v>Easy</v>
      </c>
      <c r="J1762" s="10" t="str">
        <f>IF(TRIM(Github!D$1281)="TRUE","FALSE","TRUE")</f>
        <v>FALSE</v>
      </c>
      <c r="K1762" s="10" t="b">
        <f>Github!M$1281</f>
        <v>0</v>
      </c>
      <c r="L1762" s="10" t="b">
        <f>Github!N$1281</f>
        <v>0</v>
      </c>
      <c r="M1762" s="10" t="str">
        <f>ROUND(Github!O$1281, 2)&amp;"%"</f>
        <v>74.48%</v>
      </c>
      <c r="N1762" s="10">
        <f>Github!P$1281</f>
        <v>23812</v>
      </c>
      <c r="O1762" s="10">
        <f>Github!Q$1281</f>
        <v>31971</v>
      </c>
    </row>
    <row r="1763">
      <c r="A1763" s="10">
        <f>Github!J$983</f>
        <v>982</v>
      </c>
      <c r="B1763" s="11" t="str">
        <f>HYPERLINK(CONCAT("http://leetcode.com/problems/",Github!C$983), Github!B$983)</f>
        <v>Triples with Bitwise AND Equal To Zero</v>
      </c>
      <c r="C1763" s="10">
        <f>Github!F$983</f>
        <v>241</v>
      </c>
      <c r="D1763" s="10">
        <f>Github!G$983</f>
        <v>181</v>
      </c>
      <c r="E1763" s="10">
        <f>Github!F$983+Github!G$983</f>
        <v>422</v>
      </c>
      <c r="F1763" s="12">
        <f t="shared" si="1"/>
        <v>1.33</v>
      </c>
      <c r="G1763" s="10" t="str">
        <f>Github!H$983</f>
        <v>Algorithms</v>
      </c>
      <c r="H1763" s="13" t="str">
        <f>SUBSTITUTE(Github!L$983, ";", ", ")</f>
        <v>Array, Hash Table, Bit Manipulation, </v>
      </c>
      <c r="I1763" s="10" t="str">
        <f>Github!E$983</f>
        <v>Hard</v>
      </c>
      <c r="J1763" s="10" t="str">
        <f>IF(TRIM(Github!D$983)="TRUE","FALSE","TRUE")</f>
        <v>TRUE</v>
      </c>
      <c r="K1763" s="10" t="b">
        <f>Github!M$983</f>
        <v>0</v>
      </c>
      <c r="L1763" s="10" t="b">
        <f>Github!N$983</f>
        <v>0</v>
      </c>
      <c r="M1763" s="10" t="str">
        <f>ROUND(Github!O$983, 2)&amp;"%"</f>
        <v>57.51%</v>
      </c>
      <c r="N1763" s="10">
        <f>Github!P$983</f>
        <v>12225</v>
      </c>
      <c r="O1763" s="10">
        <f>Github!Q$983</f>
        <v>21256</v>
      </c>
    </row>
    <row r="1764">
      <c r="A1764" s="10">
        <f>Github!J$2043</f>
        <v>2042</v>
      </c>
      <c r="B1764" s="11" t="str">
        <f>HYPERLINK(CONCAT("http://leetcode.com/problems/",Github!C$2043), Github!B$2043)</f>
        <v>Check if Numbers Are Ascending in a Sentence</v>
      </c>
      <c r="C1764" s="10">
        <f>Github!F$2043</f>
        <v>243</v>
      </c>
      <c r="D1764" s="10">
        <f>Github!G$2043</f>
        <v>12</v>
      </c>
      <c r="E1764" s="10">
        <f>Github!F$2043+Github!G$2043</f>
        <v>255</v>
      </c>
      <c r="F1764" s="12">
        <f t="shared" si="1"/>
        <v>20.25</v>
      </c>
      <c r="G1764" s="10" t="str">
        <f>Github!H$2043</f>
        <v>Algorithms</v>
      </c>
      <c r="H1764" s="13" t="str">
        <f>SUBSTITUTE(Github!L$2043, ";", ", ")</f>
        <v>String, </v>
      </c>
      <c r="I1764" s="10" t="str">
        <f>Github!E$2043</f>
        <v>Easy</v>
      </c>
      <c r="J1764" s="10" t="str">
        <f>IF(TRIM(Github!D$2043)="TRUE","FALSE","TRUE")</f>
        <v>TRUE</v>
      </c>
      <c r="K1764" s="10" t="b">
        <f>Github!M$2043</f>
        <v>0</v>
      </c>
      <c r="L1764" s="10" t="b">
        <f>Github!N$2043</f>
        <v>0</v>
      </c>
      <c r="M1764" s="10" t="str">
        <f>ROUND(Github!O$2043, 2)&amp;"%"</f>
        <v>67.73%</v>
      </c>
      <c r="N1764" s="10">
        <f>Github!P$2043</f>
        <v>23654</v>
      </c>
      <c r="O1764" s="10">
        <f>Github!Q$2043</f>
        <v>34926</v>
      </c>
    </row>
    <row r="1765">
      <c r="A1765" s="10">
        <f>Github!J$2178</f>
        <v>2177</v>
      </c>
      <c r="B1765" s="11" t="str">
        <f>HYPERLINK(CONCAT("http://leetcode.com/problems/",Github!C$2178), Github!B$2178)</f>
        <v>Find Three Consecutive Integers That Sum to a Given Number</v>
      </c>
      <c r="C1765" s="10">
        <f>Github!F$2178</f>
        <v>244</v>
      </c>
      <c r="D1765" s="10">
        <f>Github!G$2178</f>
        <v>62</v>
      </c>
      <c r="E1765" s="10">
        <f>Github!F$2178+Github!G$2178</f>
        <v>306</v>
      </c>
      <c r="F1765" s="12">
        <f t="shared" si="1"/>
        <v>3.94</v>
      </c>
      <c r="G1765" s="10" t="str">
        <f>Github!H$2178</f>
        <v>Algorithms</v>
      </c>
      <c r="H1765" s="13" t="str">
        <f>SUBSTITUTE(Github!L$2178, ";", ", ")</f>
        <v>Math, Simulation, </v>
      </c>
      <c r="I1765" s="10" t="str">
        <f>Github!E$2178</f>
        <v>Medium</v>
      </c>
      <c r="J1765" s="10" t="str">
        <f>IF(TRIM(Github!D$2178)="TRUE","FALSE","TRUE")</f>
        <v>TRUE</v>
      </c>
      <c r="K1765" s="10" t="b">
        <f>Github!M$2178</f>
        <v>0</v>
      </c>
      <c r="L1765" s="10" t="b">
        <f>Github!N$2178</f>
        <v>0</v>
      </c>
      <c r="M1765" s="10" t="str">
        <f>ROUND(Github!O$2178, 2)&amp;"%"</f>
        <v>60.62%</v>
      </c>
      <c r="N1765" s="10">
        <f>Github!P$2178</f>
        <v>19027</v>
      </c>
      <c r="O1765" s="10">
        <f>Github!Q$2178</f>
        <v>31389</v>
      </c>
    </row>
    <row r="1766">
      <c r="A1766" s="10">
        <f>Github!J$1933</f>
        <v>1932</v>
      </c>
      <c r="B1766" s="11" t="str">
        <f>HYPERLINK(CONCAT("http://leetcode.com/problems/",Github!C$1933), Github!B$1933)</f>
        <v>Merge BSTs to Create Single BST</v>
      </c>
      <c r="C1766" s="10">
        <f>Github!F$1933</f>
        <v>243</v>
      </c>
      <c r="D1766" s="10">
        <f>Github!G$1933</f>
        <v>22</v>
      </c>
      <c r="E1766" s="10">
        <f>Github!F$1933+Github!G$1933</f>
        <v>265</v>
      </c>
      <c r="F1766" s="12">
        <f t="shared" si="1"/>
        <v>11.05</v>
      </c>
      <c r="G1766" s="10" t="str">
        <f>Github!H$1933</f>
        <v>Algorithms</v>
      </c>
      <c r="H1766" s="13" t="str">
        <f>SUBSTITUTE(Github!L$1933, ";", ", ")</f>
        <v>Hash Table, Binary Search, Tree, Depth-First Search, Binary Tree, </v>
      </c>
      <c r="I1766" s="10" t="str">
        <f>Github!E$1933</f>
        <v>Hard</v>
      </c>
      <c r="J1766" s="10" t="str">
        <f>IF(TRIM(Github!D$1933)="TRUE","FALSE","TRUE")</f>
        <v>TRUE</v>
      </c>
      <c r="K1766" s="10" t="b">
        <f>Github!M$1933</f>
        <v>0</v>
      </c>
      <c r="L1766" s="10" t="b">
        <f>Github!N$1933</f>
        <v>0</v>
      </c>
      <c r="M1766" s="10" t="str">
        <f>ROUND(Github!O$1933, 2)&amp;"%"</f>
        <v>34.97%</v>
      </c>
      <c r="N1766" s="10">
        <f>Github!P$1933</f>
        <v>4350</v>
      </c>
      <c r="O1766" s="10">
        <f>Github!Q$1933</f>
        <v>12440</v>
      </c>
    </row>
    <row r="1767">
      <c r="A1767" s="10">
        <f>Github!J$1448</f>
        <v>1447</v>
      </c>
      <c r="B1767" s="11" t="str">
        <f>HYPERLINK(CONCAT("http://leetcode.com/problems/",Github!C$1448), Github!B$1448)</f>
        <v>Simplified Fractions</v>
      </c>
      <c r="C1767" s="10">
        <f>Github!F$1448</f>
        <v>238</v>
      </c>
      <c r="D1767" s="10">
        <f>Github!G$1448</f>
        <v>32</v>
      </c>
      <c r="E1767" s="10">
        <f>Github!F$1448+Github!G$1448</f>
        <v>270</v>
      </c>
      <c r="F1767" s="12">
        <f t="shared" si="1"/>
        <v>7.44</v>
      </c>
      <c r="G1767" s="10" t="str">
        <f>Github!H$1448</f>
        <v>Algorithms</v>
      </c>
      <c r="H1767" s="13" t="str">
        <f>SUBSTITUTE(Github!L$1448, ";", ", ")</f>
        <v>Math, String, Number Theory, </v>
      </c>
      <c r="I1767" s="10" t="str">
        <f>Github!E$1448</f>
        <v>Medium</v>
      </c>
      <c r="J1767" s="10" t="str">
        <f>IF(TRIM(Github!D$1448)="TRUE","FALSE","TRUE")</f>
        <v>TRUE</v>
      </c>
      <c r="K1767" s="10" t="b">
        <f>Github!M$1448</f>
        <v>0</v>
      </c>
      <c r="L1767" s="10" t="b">
        <f>Github!N$1448</f>
        <v>0</v>
      </c>
      <c r="M1767" s="10" t="str">
        <f>ROUND(Github!O$1448, 2)&amp;"%"</f>
        <v>64.01%</v>
      </c>
      <c r="N1767" s="10">
        <f>Github!P$1448</f>
        <v>20659</v>
      </c>
      <c r="O1767" s="10">
        <f>Github!Q$1448</f>
        <v>32274</v>
      </c>
    </row>
    <row r="1768">
      <c r="A1768" s="10">
        <f>Github!J$759</f>
        <v>758</v>
      </c>
      <c r="B1768" s="11" t="str">
        <f>HYPERLINK(CONCAT("http://leetcode.com/problems/",Github!C$759), Github!B$759)</f>
        <v>Bold Words in String</v>
      </c>
      <c r="C1768" s="10">
        <f>Github!F$759</f>
        <v>237</v>
      </c>
      <c r="D1768" s="10">
        <f>Github!G$759</f>
        <v>117</v>
      </c>
      <c r="E1768" s="10">
        <f>Github!F$759+Github!G$759</f>
        <v>354</v>
      </c>
      <c r="F1768" s="12">
        <f t="shared" si="1"/>
        <v>2.03</v>
      </c>
      <c r="G1768" s="10" t="str">
        <f>Github!H$759</f>
        <v>Algorithms</v>
      </c>
      <c r="H1768" s="13" t="str">
        <f>SUBSTITUTE(Github!L$759, ";", ", ")</f>
        <v>Array, Hash Table, String, Trie, String Matching, </v>
      </c>
      <c r="I1768" s="10" t="str">
        <f>Github!E$759</f>
        <v>Medium</v>
      </c>
      <c r="J1768" s="10" t="str">
        <f>IF(TRIM(Github!D$759)="TRUE","FALSE","TRUE")</f>
        <v>FALSE</v>
      </c>
      <c r="K1768" s="10" t="b">
        <f>Github!M$759</f>
        <v>0</v>
      </c>
      <c r="L1768" s="10" t="b">
        <f>Github!N$759</f>
        <v>0</v>
      </c>
      <c r="M1768" s="10" t="str">
        <f>ROUND(Github!O$759, 2)&amp;"%"</f>
        <v>50.24%</v>
      </c>
      <c r="N1768" s="10">
        <f>Github!P$759</f>
        <v>16542</v>
      </c>
      <c r="O1768" s="10">
        <f>Github!Q$759</f>
        <v>32927</v>
      </c>
    </row>
    <row r="1769">
      <c r="A1769" s="10">
        <f>Github!J$598</f>
        <v>597</v>
      </c>
      <c r="B1769" s="11" t="str">
        <f>HYPERLINK(CONCAT("http://leetcode.com/problems/",Github!C$598), Github!B$598)</f>
        <v>Friend Requests I: Overall Acceptance Rate</v>
      </c>
      <c r="C1769" s="10">
        <f>Github!F$598</f>
        <v>237</v>
      </c>
      <c r="D1769" s="10">
        <f>Github!G$598</f>
        <v>588</v>
      </c>
      <c r="E1769" s="10">
        <f>Github!F$598+Github!G$598</f>
        <v>825</v>
      </c>
      <c r="F1769" s="12">
        <f t="shared" si="1"/>
        <v>0.4</v>
      </c>
      <c r="G1769" s="10" t="str">
        <f>Github!H$598</f>
        <v>Database</v>
      </c>
      <c r="H1769" s="13" t="str">
        <f>SUBSTITUTE(Github!L$598, ";", ", ")</f>
        <v>Database, </v>
      </c>
      <c r="I1769" s="10" t="str">
        <f>Github!E$598</f>
        <v>Easy</v>
      </c>
      <c r="J1769" s="10" t="str">
        <f>IF(TRIM(Github!D$598)="TRUE","FALSE","TRUE")</f>
        <v>FALSE</v>
      </c>
      <c r="K1769" s="10" t="b">
        <f>Github!M$598</f>
        <v>1</v>
      </c>
      <c r="L1769" s="10" t="b">
        <f>Github!N$598</f>
        <v>0</v>
      </c>
      <c r="M1769" s="10" t="str">
        <f>ROUND(Github!O$598, 2)&amp;"%"</f>
        <v>42.62%</v>
      </c>
      <c r="N1769" s="10">
        <f>Github!P$598</f>
        <v>57632</v>
      </c>
      <c r="O1769" s="10">
        <f>Github!Q$598</f>
        <v>135238</v>
      </c>
    </row>
    <row r="1770">
      <c r="A1770" s="10">
        <f>Github!J$1578</f>
        <v>1577</v>
      </c>
      <c r="B1770" s="11" t="str">
        <f>HYPERLINK(CONCAT("http://leetcode.com/problems/",Github!C$1578), Github!B$1578)</f>
        <v>Number of Ways Where Square of Number Is Equal to Product of Two Numbers</v>
      </c>
      <c r="C1770" s="10">
        <f>Github!F$1578</f>
        <v>236</v>
      </c>
      <c r="D1770" s="10">
        <f>Github!G$1578</f>
        <v>45</v>
      </c>
      <c r="E1770" s="10">
        <f>Github!F$1578+Github!G$1578</f>
        <v>281</v>
      </c>
      <c r="F1770" s="12">
        <f t="shared" si="1"/>
        <v>5.24</v>
      </c>
      <c r="G1770" s="10" t="str">
        <f>Github!H$1578</f>
        <v>Algorithms</v>
      </c>
      <c r="H1770" s="13" t="str">
        <f>SUBSTITUTE(Github!L$1578, ";", ", ")</f>
        <v>Array, Hash Table, Math, Two Pointers, </v>
      </c>
      <c r="I1770" s="10" t="str">
        <f>Github!E$1578</f>
        <v>Medium</v>
      </c>
      <c r="J1770" s="10" t="str">
        <f>IF(TRIM(Github!D$1578)="TRUE","FALSE","TRUE")</f>
        <v>TRUE</v>
      </c>
      <c r="K1770" s="10" t="b">
        <f>Github!M$1578</f>
        <v>0</v>
      </c>
      <c r="L1770" s="10" t="b">
        <f>Github!N$1578</f>
        <v>0</v>
      </c>
      <c r="M1770" s="10" t="str">
        <f>ROUND(Github!O$1578, 2)&amp;"%"</f>
        <v>39.27%</v>
      </c>
      <c r="N1770" s="10">
        <f>Github!P$1578</f>
        <v>15299</v>
      </c>
      <c r="O1770" s="10">
        <f>Github!Q$1578</f>
        <v>38954</v>
      </c>
    </row>
    <row r="1771">
      <c r="A1771" s="10">
        <f>Github!J$1741</f>
        <v>1740</v>
      </c>
      <c r="B1771" s="11" t="str">
        <f>HYPERLINK(CONCAT("http://leetcode.com/problems/",Github!C$1741), Github!B$1741)</f>
        <v>Find Distance in a Binary Tree</v>
      </c>
      <c r="C1771" s="10">
        <f>Github!F$1741</f>
        <v>241</v>
      </c>
      <c r="D1771" s="10">
        <f>Github!G$1741</f>
        <v>10</v>
      </c>
      <c r="E1771" s="10">
        <f>Github!F$1741+Github!G$1741</f>
        <v>251</v>
      </c>
      <c r="F1771" s="12">
        <f t="shared" si="1"/>
        <v>24.1</v>
      </c>
      <c r="G1771" s="10" t="str">
        <f>Github!H$1741</f>
        <v>Algorithms</v>
      </c>
      <c r="H1771" s="13" t="str">
        <f>SUBSTITUTE(Github!L$1741, ";", ", ")</f>
        <v>Hash Table, Tree, Depth-First Search, Breadth-First Search, Binary Tree, </v>
      </c>
      <c r="I1771" s="10" t="str">
        <f>Github!E$1741</f>
        <v>Medium</v>
      </c>
      <c r="J1771" s="10" t="str">
        <f>IF(TRIM(Github!D$1741)="TRUE","FALSE","TRUE")</f>
        <v>FALSE</v>
      </c>
      <c r="K1771" s="10" t="b">
        <f>Github!M$1741</f>
        <v>0</v>
      </c>
      <c r="L1771" s="10" t="b">
        <f>Github!N$1741</f>
        <v>0</v>
      </c>
      <c r="M1771" s="10" t="str">
        <f>ROUND(Github!O$1741, 2)&amp;"%"</f>
        <v>68.31%</v>
      </c>
      <c r="N1771" s="10">
        <f>Github!P$1741</f>
        <v>11066</v>
      </c>
      <c r="O1771" s="10">
        <f>Github!Q$1741</f>
        <v>16199</v>
      </c>
    </row>
    <row r="1772">
      <c r="A1772" s="10">
        <f>Github!J$1322</f>
        <v>1321</v>
      </c>
      <c r="B1772" s="11" t="str">
        <f>HYPERLINK(CONCAT("http://leetcode.com/problems/",Github!C$1322), Github!B$1322)</f>
        <v>Restaurant Growth</v>
      </c>
      <c r="C1772" s="10">
        <f>Github!F$1322</f>
        <v>240</v>
      </c>
      <c r="D1772" s="10">
        <f>Github!G$1322</f>
        <v>40</v>
      </c>
      <c r="E1772" s="10">
        <f>Github!F$1322+Github!G$1322</f>
        <v>280</v>
      </c>
      <c r="F1772" s="12">
        <f t="shared" si="1"/>
        <v>6</v>
      </c>
      <c r="G1772" s="10" t="str">
        <f>Github!H$1322</f>
        <v>Database</v>
      </c>
      <c r="H1772" s="13" t="str">
        <f>SUBSTITUTE(Github!L$1322, ";", ", ")</f>
        <v>Database, </v>
      </c>
      <c r="I1772" s="10" t="str">
        <f>Github!E$1322</f>
        <v>Medium</v>
      </c>
      <c r="J1772" s="10" t="str">
        <f>IF(TRIM(Github!D$1322)="TRUE","FALSE","TRUE")</f>
        <v>FALSE</v>
      </c>
      <c r="K1772" s="10" t="b">
        <f>Github!M$1322</f>
        <v>0</v>
      </c>
      <c r="L1772" s="10" t="b">
        <f>Github!N$1322</f>
        <v>0</v>
      </c>
      <c r="M1772" s="10" t="str">
        <f>ROUND(Github!O$1322, 2)&amp;"%"</f>
        <v>72.52%</v>
      </c>
      <c r="N1772" s="10">
        <f>Github!P$1322</f>
        <v>20933</v>
      </c>
      <c r="O1772" s="10">
        <f>Github!Q$1322</f>
        <v>28866</v>
      </c>
    </row>
    <row r="1773">
      <c r="A1773" s="10">
        <f>Github!J$1738</f>
        <v>1737</v>
      </c>
      <c r="B1773" s="11" t="str">
        <f>HYPERLINK(CONCAT("http://leetcode.com/problems/",Github!C$1738), Github!B$1738)</f>
        <v>Change Minimum Characters to Satisfy One of Three Conditions</v>
      </c>
      <c r="C1773" s="10">
        <f>Github!F$1738</f>
        <v>237</v>
      </c>
      <c r="D1773" s="10">
        <f>Github!G$1738</f>
        <v>260</v>
      </c>
      <c r="E1773" s="10">
        <f>Github!F$1738+Github!G$1738</f>
        <v>497</v>
      </c>
      <c r="F1773" s="12">
        <f t="shared" si="1"/>
        <v>0.91</v>
      </c>
      <c r="G1773" s="10" t="str">
        <f>Github!H$1738</f>
        <v>Algorithms</v>
      </c>
      <c r="H1773" s="13" t="str">
        <f>SUBSTITUTE(Github!L$1738, ";", ", ")</f>
        <v>Hash Table, String, Counting, Prefix Sum, </v>
      </c>
      <c r="I1773" s="10" t="str">
        <f>Github!E$1738</f>
        <v>Medium</v>
      </c>
      <c r="J1773" s="10" t="str">
        <f>IF(TRIM(Github!D$1738)="TRUE","FALSE","TRUE")</f>
        <v>TRUE</v>
      </c>
      <c r="K1773" s="10" t="b">
        <f>Github!M$1738</f>
        <v>0</v>
      </c>
      <c r="L1773" s="10" t="b">
        <f>Github!N$1738</f>
        <v>0</v>
      </c>
      <c r="M1773" s="10" t="str">
        <f>ROUND(Github!O$1738, 2)&amp;"%"</f>
        <v>34.29%</v>
      </c>
      <c r="N1773" s="10">
        <f>Github!P$1738</f>
        <v>9364</v>
      </c>
      <c r="O1773" s="10">
        <f>Github!Q$1738</f>
        <v>27311</v>
      </c>
    </row>
    <row r="1774">
      <c r="A1774" s="10">
        <f>Github!J$1213</f>
        <v>1212</v>
      </c>
      <c r="B1774" s="11" t="str">
        <f>HYPERLINK(CONCAT("http://leetcode.com/problems/",Github!C$1213), Github!B$1213)</f>
        <v>Team Scores in Football Tournament</v>
      </c>
      <c r="C1774" s="10">
        <f>Github!F$1213</f>
        <v>237</v>
      </c>
      <c r="D1774" s="10">
        <f>Github!G$1213</f>
        <v>19</v>
      </c>
      <c r="E1774" s="10">
        <f>Github!F$1213+Github!G$1213</f>
        <v>256</v>
      </c>
      <c r="F1774" s="12">
        <f t="shared" si="1"/>
        <v>12.47</v>
      </c>
      <c r="G1774" s="10" t="str">
        <f>Github!H$1213</f>
        <v>Database</v>
      </c>
      <c r="H1774" s="13" t="str">
        <f>SUBSTITUTE(Github!L$1213, ";", ", ")</f>
        <v>Database, </v>
      </c>
      <c r="I1774" s="10" t="str">
        <f>Github!E$1213</f>
        <v>Medium</v>
      </c>
      <c r="J1774" s="10" t="str">
        <f>IF(TRIM(Github!D$1213)="TRUE","FALSE","TRUE")</f>
        <v>FALSE</v>
      </c>
      <c r="K1774" s="10" t="b">
        <f>Github!M$1213</f>
        <v>0</v>
      </c>
      <c r="L1774" s="10" t="b">
        <f>Github!N$1213</f>
        <v>0</v>
      </c>
      <c r="M1774" s="10" t="str">
        <f>ROUND(Github!O$1213, 2)&amp;"%"</f>
        <v>57.32%</v>
      </c>
      <c r="N1774" s="10">
        <f>Github!P$1213</f>
        <v>25005</v>
      </c>
      <c r="O1774" s="10">
        <f>Github!Q$1213</f>
        <v>43623</v>
      </c>
    </row>
    <row r="1775">
      <c r="A1775" s="10">
        <f>Github!J$2072</f>
        <v>2071</v>
      </c>
      <c r="B1775" s="11" t="str">
        <f>HYPERLINK(CONCAT("http://leetcode.com/problems/",Github!C$2072), Github!B$2072)</f>
        <v>Maximum Number of Tasks You Can Assign</v>
      </c>
      <c r="C1775" s="10">
        <f>Github!F$2072</f>
        <v>239</v>
      </c>
      <c r="D1775" s="10">
        <f>Github!G$2072</f>
        <v>12</v>
      </c>
      <c r="E1775" s="10">
        <f>Github!F$2072+Github!G$2072</f>
        <v>251</v>
      </c>
      <c r="F1775" s="12">
        <f t="shared" si="1"/>
        <v>19.92</v>
      </c>
      <c r="G1775" s="10" t="str">
        <f>Github!H$2072</f>
        <v>Algorithms</v>
      </c>
      <c r="H1775" s="13" t="str">
        <f>SUBSTITUTE(Github!L$2072, ";", ", ")</f>
        <v>Array, Binary Search, Greedy, Queue, Sorting, Monotonic Queue, </v>
      </c>
      <c r="I1775" s="10" t="str">
        <f>Github!E$2072</f>
        <v>Hard</v>
      </c>
      <c r="J1775" s="10" t="str">
        <f>IF(TRIM(Github!D$2072)="TRUE","FALSE","TRUE")</f>
        <v>TRUE</v>
      </c>
      <c r="K1775" s="10" t="b">
        <f>Github!M$2072</f>
        <v>0</v>
      </c>
      <c r="L1775" s="10" t="b">
        <f>Github!N$2072</f>
        <v>0</v>
      </c>
      <c r="M1775" s="10" t="str">
        <f>ROUND(Github!O$2072, 2)&amp;"%"</f>
        <v>36.76%</v>
      </c>
      <c r="N1775" s="10">
        <f>Github!P$2072</f>
        <v>4737</v>
      </c>
      <c r="O1775" s="10">
        <f>Github!Q$2072</f>
        <v>12882</v>
      </c>
    </row>
    <row r="1776">
      <c r="A1776" s="10">
        <f>Github!J$1231</f>
        <v>1230</v>
      </c>
      <c r="B1776" s="11" t="str">
        <f>HYPERLINK(CONCAT("http://leetcode.com/problems/",Github!C$1231), Github!B$1231)</f>
        <v>Toss Strange Coins</v>
      </c>
      <c r="C1776" s="10">
        <f>Github!F$1231</f>
        <v>232</v>
      </c>
      <c r="D1776" s="10">
        <f>Github!G$1231</f>
        <v>20</v>
      </c>
      <c r="E1776" s="10">
        <f>Github!F$1231+Github!G$1231</f>
        <v>252</v>
      </c>
      <c r="F1776" s="12">
        <f t="shared" si="1"/>
        <v>11.6</v>
      </c>
      <c r="G1776" s="10" t="str">
        <f>Github!H$1231</f>
        <v>Algorithms</v>
      </c>
      <c r="H1776" s="13" t="str">
        <f>SUBSTITUTE(Github!L$1231, ";", ", ")</f>
        <v>Math, Dynamic Programming, Probability and Statistics, </v>
      </c>
      <c r="I1776" s="10" t="str">
        <f>Github!E$1231</f>
        <v>Medium</v>
      </c>
      <c r="J1776" s="10" t="str">
        <f>IF(TRIM(Github!D$1231)="TRUE","FALSE","TRUE")</f>
        <v>FALSE</v>
      </c>
      <c r="K1776" s="10" t="b">
        <f>Github!M$1231</f>
        <v>0</v>
      </c>
      <c r="L1776" s="10" t="b">
        <f>Github!N$1231</f>
        <v>0</v>
      </c>
      <c r="M1776" s="10" t="str">
        <f>ROUND(Github!O$1231, 2)&amp;"%"</f>
        <v>52.67%</v>
      </c>
      <c r="N1776" s="10">
        <f>Github!P$1231</f>
        <v>10104</v>
      </c>
      <c r="O1776" s="10">
        <f>Github!Q$1231</f>
        <v>19185</v>
      </c>
    </row>
    <row r="1777">
      <c r="A1777" s="10">
        <f>Github!J$2129</f>
        <v>2128</v>
      </c>
      <c r="B1777" s="11" t="str">
        <f>HYPERLINK(CONCAT("http://leetcode.com/problems/",Github!C$2129), Github!B$2129)</f>
        <v>Remove All Ones With Row and Column Flips</v>
      </c>
      <c r="C1777" s="10">
        <f>Github!F$2129</f>
        <v>238</v>
      </c>
      <c r="D1777" s="10">
        <f>Github!G$2129</f>
        <v>66</v>
      </c>
      <c r="E1777" s="10">
        <f>Github!F$2129+Github!G$2129</f>
        <v>304</v>
      </c>
      <c r="F1777" s="12">
        <f t="shared" si="1"/>
        <v>3.61</v>
      </c>
      <c r="G1777" s="10" t="str">
        <f>Github!H$2129</f>
        <v>Algorithms</v>
      </c>
      <c r="H1777" s="13" t="str">
        <f>SUBSTITUTE(Github!L$2129, ";", ", ")</f>
        <v>Array, Math, Bit Manipulation, Matrix, </v>
      </c>
      <c r="I1777" s="10" t="str">
        <f>Github!E$2129</f>
        <v>Medium</v>
      </c>
      <c r="J1777" s="10" t="str">
        <f>IF(TRIM(Github!D$2129)="TRUE","FALSE","TRUE")</f>
        <v>FALSE</v>
      </c>
      <c r="K1777" s="10" t="b">
        <f>Github!M$2129</f>
        <v>0</v>
      </c>
      <c r="L1777" s="10" t="b">
        <f>Github!N$2129</f>
        <v>0</v>
      </c>
      <c r="M1777" s="10" t="str">
        <f>ROUND(Github!O$2129, 2)&amp;"%"</f>
        <v>76.74%</v>
      </c>
      <c r="N1777" s="10">
        <f>Github!P$2129</f>
        <v>13274</v>
      </c>
      <c r="O1777" s="10">
        <f>Github!Q$2129</f>
        <v>17298</v>
      </c>
    </row>
    <row r="1778">
      <c r="A1778" s="10">
        <f>Github!J$1555</f>
        <v>1554</v>
      </c>
      <c r="B1778" s="11" t="str">
        <f>HYPERLINK(CONCAT("http://leetcode.com/problems/",Github!C$1555), Github!B$1555)</f>
        <v>Strings Differ by One Character</v>
      </c>
      <c r="C1778" s="10">
        <f>Github!F$1555</f>
        <v>233</v>
      </c>
      <c r="D1778" s="10">
        <f>Github!G$1555</f>
        <v>17</v>
      </c>
      <c r="E1778" s="10">
        <f>Github!F$1555+Github!G$1555</f>
        <v>250</v>
      </c>
      <c r="F1778" s="12">
        <f t="shared" si="1"/>
        <v>13.71</v>
      </c>
      <c r="G1778" s="10" t="str">
        <f>Github!H$1555</f>
        <v>Algorithms</v>
      </c>
      <c r="H1778" s="13" t="str">
        <f>SUBSTITUTE(Github!L$1555, ";", ", ")</f>
        <v>Hash Table, String, Rolling Hash, Hash Function, </v>
      </c>
      <c r="I1778" s="10" t="str">
        <f>Github!E$1555</f>
        <v>Medium</v>
      </c>
      <c r="J1778" s="10" t="str">
        <f>IF(TRIM(Github!D$1555)="TRUE","FALSE","TRUE")</f>
        <v>FALSE</v>
      </c>
      <c r="K1778" s="10" t="b">
        <f>Github!M$1555</f>
        <v>0</v>
      </c>
      <c r="L1778" s="10" t="b">
        <f>Github!N$1555</f>
        <v>0</v>
      </c>
      <c r="M1778" s="10" t="str">
        <f>ROUND(Github!O$1555, 2)&amp;"%"</f>
        <v>56.37%</v>
      </c>
      <c r="N1778" s="10">
        <f>Github!P$1555</f>
        <v>13469</v>
      </c>
      <c r="O1778" s="10">
        <f>Github!Q$1555</f>
        <v>23885</v>
      </c>
    </row>
    <row r="1779">
      <c r="A1779" s="10">
        <f>Github!J$1186</f>
        <v>1185</v>
      </c>
      <c r="B1779" s="11" t="str">
        <f>HYPERLINK(CONCAT("http://leetcode.com/problems/",Github!C$1186), Github!B$1186)</f>
        <v>Day of the Week</v>
      </c>
      <c r="C1779" s="10">
        <f>Github!F$1186</f>
        <v>231</v>
      </c>
      <c r="D1779" s="10">
        <f>Github!G$1186</f>
        <v>1887</v>
      </c>
      <c r="E1779" s="10">
        <f>Github!F$1186+Github!G$1186</f>
        <v>2118</v>
      </c>
      <c r="F1779" s="12">
        <f t="shared" si="1"/>
        <v>0.12</v>
      </c>
      <c r="G1779" s="10" t="str">
        <f>Github!H$1186</f>
        <v>Algorithms</v>
      </c>
      <c r="H1779" s="13" t="str">
        <f>SUBSTITUTE(Github!L$1186, ";", ", ")</f>
        <v>Math, </v>
      </c>
      <c r="I1779" s="10" t="str">
        <f>Github!E$1186</f>
        <v>Easy</v>
      </c>
      <c r="J1779" s="10" t="str">
        <f>IF(TRIM(Github!D$1186)="TRUE","FALSE","TRUE")</f>
        <v>TRUE</v>
      </c>
      <c r="K1779" s="10" t="b">
        <f>Github!M$1186</f>
        <v>0</v>
      </c>
      <c r="L1779" s="10" t="b">
        <f>Github!N$1186</f>
        <v>0</v>
      </c>
      <c r="M1779" s="10" t="str">
        <f>ROUND(Github!O$1186, 2)&amp;"%"</f>
        <v>58.42%</v>
      </c>
      <c r="N1779" s="10">
        <f>Github!P$1186</f>
        <v>43080</v>
      </c>
      <c r="O1779" s="10">
        <f>Github!Q$1186</f>
        <v>73739</v>
      </c>
    </row>
    <row r="1780">
      <c r="A1780" s="10">
        <f>Github!J$750</f>
        <v>749</v>
      </c>
      <c r="B1780" s="11" t="str">
        <f>HYPERLINK(CONCAT("http://leetcode.com/problems/",Github!C$750), Github!B$750)</f>
        <v>Contain Virus</v>
      </c>
      <c r="C1780" s="10">
        <f>Github!F$750</f>
        <v>234</v>
      </c>
      <c r="D1780" s="10">
        <f>Github!G$750</f>
        <v>368</v>
      </c>
      <c r="E1780" s="10">
        <f>Github!F$750+Github!G$750</f>
        <v>602</v>
      </c>
      <c r="F1780" s="12">
        <f t="shared" si="1"/>
        <v>0.64</v>
      </c>
      <c r="G1780" s="10" t="str">
        <f>Github!H$750</f>
        <v>Algorithms</v>
      </c>
      <c r="H1780" s="13" t="str">
        <f>SUBSTITUTE(Github!L$750, ";", ", ")</f>
        <v>Array, Depth-First Search, Breadth-First Search, Matrix, Simulation, </v>
      </c>
      <c r="I1780" s="10" t="str">
        <f>Github!E$750</f>
        <v>Hard</v>
      </c>
      <c r="J1780" s="10" t="str">
        <f>IF(TRIM(Github!D$750)="TRUE","FALSE","TRUE")</f>
        <v>TRUE</v>
      </c>
      <c r="K1780" s="10" t="b">
        <f>Github!M$750</f>
        <v>0</v>
      </c>
      <c r="L1780" s="10" t="b">
        <f>Github!N$750</f>
        <v>0</v>
      </c>
      <c r="M1780" s="10" t="str">
        <f>ROUND(Github!O$750, 2)&amp;"%"</f>
        <v>50.01%</v>
      </c>
      <c r="N1780" s="10">
        <f>Github!P$750</f>
        <v>8211</v>
      </c>
      <c r="O1780" s="10">
        <f>Github!Q$750</f>
        <v>16419</v>
      </c>
    </row>
    <row r="1781">
      <c r="A1781" s="10">
        <f>Github!J$570</f>
        <v>569</v>
      </c>
      <c r="B1781" s="11" t="str">
        <f>HYPERLINK(CONCAT("http://leetcode.com/problems/",Github!C$570), Github!B$570)</f>
        <v>Median Employee Salary</v>
      </c>
      <c r="C1781" s="10">
        <f>Github!F$570</f>
        <v>231</v>
      </c>
      <c r="D1781" s="10">
        <f>Github!G$570</f>
        <v>124</v>
      </c>
      <c r="E1781" s="10">
        <f>Github!F$570+Github!G$570</f>
        <v>355</v>
      </c>
      <c r="F1781" s="12">
        <f t="shared" si="1"/>
        <v>1.86</v>
      </c>
      <c r="G1781" s="10" t="str">
        <f>Github!H$570</f>
        <v>Database</v>
      </c>
      <c r="H1781" s="13" t="str">
        <f>SUBSTITUTE(Github!L$570, ";", ", ")</f>
        <v>Database, </v>
      </c>
      <c r="I1781" s="10" t="str">
        <f>Github!E$570</f>
        <v>Hard</v>
      </c>
      <c r="J1781" s="10" t="str">
        <f>IF(TRIM(Github!D$570)="TRUE","FALSE","TRUE")</f>
        <v>FALSE</v>
      </c>
      <c r="K1781" s="10" t="b">
        <f>Github!M$570</f>
        <v>0</v>
      </c>
      <c r="L1781" s="10" t="b">
        <f>Github!N$570</f>
        <v>0</v>
      </c>
      <c r="M1781" s="10" t="str">
        <f>ROUND(Github!O$570, 2)&amp;"%"</f>
        <v>66.7%</v>
      </c>
      <c r="N1781" s="10">
        <f>Github!P$570</f>
        <v>27103</v>
      </c>
      <c r="O1781" s="10">
        <f>Github!Q$570</f>
        <v>40633</v>
      </c>
    </row>
    <row r="1782">
      <c r="A1782" s="10">
        <f>Github!J$1134</f>
        <v>1133</v>
      </c>
      <c r="B1782" s="11" t="str">
        <f>HYPERLINK(CONCAT("http://leetcode.com/problems/",Github!C$1134), Github!B$1134)</f>
        <v>Largest Unique Number</v>
      </c>
      <c r="C1782" s="10">
        <f>Github!F$1134</f>
        <v>229</v>
      </c>
      <c r="D1782" s="10">
        <f>Github!G$1134</f>
        <v>16</v>
      </c>
      <c r="E1782" s="10">
        <f>Github!F$1134+Github!G$1134</f>
        <v>245</v>
      </c>
      <c r="F1782" s="12">
        <f t="shared" si="1"/>
        <v>14.31</v>
      </c>
      <c r="G1782" s="10" t="str">
        <f>Github!H$1134</f>
        <v>Algorithms</v>
      </c>
      <c r="H1782" s="13" t="str">
        <f>SUBSTITUTE(Github!L$1134, ";", ", ")</f>
        <v>Array, Hash Table, Sorting, </v>
      </c>
      <c r="I1782" s="10" t="str">
        <f>Github!E$1134</f>
        <v>Easy</v>
      </c>
      <c r="J1782" s="10" t="str">
        <f>IF(TRIM(Github!D$1134)="TRUE","FALSE","TRUE")</f>
        <v>FALSE</v>
      </c>
      <c r="K1782" s="10" t="b">
        <f>Github!M$1134</f>
        <v>1</v>
      </c>
      <c r="L1782" s="10" t="b">
        <f>Github!N$1134</f>
        <v>0</v>
      </c>
      <c r="M1782" s="10" t="str">
        <f>ROUND(Github!O$1134, 2)&amp;"%"</f>
        <v>67.4%</v>
      </c>
      <c r="N1782" s="10">
        <f>Github!P$1134</f>
        <v>29203</v>
      </c>
      <c r="O1782" s="10">
        <f>Github!Q$1134</f>
        <v>43329</v>
      </c>
    </row>
    <row r="1783">
      <c r="A1783" s="10">
        <f>Github!J$1767</f>
        <v>1766</v>
      </c>
      <c r="B1783" s="11" t="str">
        <f>HYPERLINK(CONCAT("http://leetcode.com/problems/",Github!C$1767), Github!B$1767)</f>
        <v>Tree of Coprimes</v>
      </c>
      <c r="C1783" s="10">
        <f>Github!F$1767</f>
        <v>232</v>
      </c>
      <c r="D1783" s="10">
        <f>Github!G$1767</f>
        <v>18</v>
      </c>
      <c r="E1783" s="10">
        <f>Github!F$1767+Github!G$1767</f>
        <v>250</v>
      </c>
      <c r="F1783" s="12">
        <f t="shared" si="1"/>
        <v>12.89</v>
      </c>
      <c r="G1783" s="10" t="str">
        <f>Github!H$1767</f>
        <v>Algorithms</v>
      </c>
      <c r="H1783" s="13" t="str">
        <f>SUBSTITUTE(Github!L$1767, ";", ", ")</f>
        <v>Math, Tree, Depth-First Search, Breadth-First Search, </v>
      </c>
      <c r="I1783" s="10" t="str">
        <f>Github!E$1767</f>
        <v>Hard</v>
      </c>
      <c r="J1783" s="10" t="str">
        <f>IF(TRIM(Github!D$1767)="TRUE","FALSE","TRUE")</f>
        <v>TRUE</v>
      </c>
      <c r="K1783" s="10" t="b">
        <f>Github!M$1767</f>
        <v>0</v>
      </c>
      <c r="L1783" s="10" t="b">
        <f>Github!N$1767</f>
        <v>0</v>
      </c>
      <c r="M1783" s="10" t="str">
        <f>ROUND(Github!O$1767, 2)&amp;"%"</f>
        <v>38.19%</v>
      </c>
      <c r="N1783" s="10">
        <f>Github!P$1767</f>
        <v>5532</v>
      </c>
      <c r="O1783" s="10">
        <f>Github!Q$1767</f>
        <v>14484</v>
      </c>
    </row>
    <row r="1784">
      <c r="A1784" s="10">
        <f>Github!J$2120</f>
        <v>2119</v>
      </c>
      <c r="B1784" s="11" t="str">
        <f>HYPERLINK(CONCAT("http://leetcode.com/problems/",Github!C$2120), Github!B$2120)</f>
        <v>A Number After a Double Reversal</v>
      </c>
      <c r="C1784" s="10">
        <f>Github!F$2120</f>
        <v>229</v>
      </c>
      <c r="D1784" s="10">
        <f>Github!G$2120</f>
        <v>14</v>
      </c>
      <c r="E1784" s="10">
        <f>Github!F$2120+Github!G$2120</f>
        <v>243</v>
      </c>
      <c r="F1784" s="12">
        <f t="shared" si="1"/>
        <v>16.36</v>
      </c>
      <c r="G1784" s="10" t="str">
        <f>Github!H$2120</f>
        <v>Algorithms</v>
      </c>
      <c r="H1784" s="13" t="str">
        <f>SUBSTITUTE(Github!L$2120, ";", ", ")</f>
        <v>Math, </v>
      </c>
      <c r="I1784" s="10" t="str">
        <f>Github!E$2120</f>
        <v>Easy</v>
      </c>
      <c r="J1784" s="10" t="str">
        <f>IF(TRIM(Github!D$2120)="TRUE","FALSE","TRUE")</f>
        <v>TRUE</v>
      </c>
      <c r="K1784" s="10" t="b">
        <f>Github!M$2120</f>
        <v>0</v>
      </c>
      <c r="L1784" s="10" t="b">
        <f>Github!N$2120</f>
        <v>0</v>
      </c>
      <c r="M1784" s="10" t="str">
        <f>ROUND(Github!O$2120, 2)&amp;"%"</f>
        <v>76.75%</v>
      </c>
      <c r="N1784" s="10">
        <f>Github!P$2120</f>
        <v>27625</v>
      </c>
      <c r="O1784" s="10">
        <f>Github!Q$2120</f>
        <v>35992</v>
      </c>
    </row>
    <row r="1785">
      <c r="A1785" s="10">
        <f>Github!J$2145</f>
        <v>2144</v>
      </c>
      <c r="B1785" s="11" t="str">
        <f>HYPERLINK(CONCAT("http://leetcode.com/problems/",Github!C$2145), Github!B$2145)</f>
        <v>Minimum Cost of Buying Candies With Discount</v>
      </c>
      <c r="C1785" s="10">
        <f>Github!F$2145</f>
        <v>230</v>
      </c>
      <c r="D1785" s="10">
        <f>Github!G$2145</f>
        <v>8</v>
      </c>
      <c r="E1785" s="10">
        <f>Github!F$2145+Github!G$2145</f>
        <v>238</v>
      </c>
      <c r="F1785" s="12">
        <f t="shared" si="1"/>
        <v>28.75</v>
      </c>
      <c r="G1785" s="10" t="str">
        <f>Github!H$2145</f>
        <v>Algorithms</v>
      </c>
      <c r="H1785" s="13" t="str">
        <f>SUBSTITUTE(Github!L$2145, ";", ", ")</f>
        <v>Array, Greedy, Sorting, </v>
      </c>
      <c r="I1785" s="10" t="str">
        <f>Github!E$2145</f>
        <v>Easy</v>
      </c>
      <c r="J1785" s="10" t="str">
        <f>IF(TRIM(Github!D$2145)="TRUE","FALSE","TRUE")</f>
        <v>TRUE</v>
      </c>
      <c r="K1785" s="10" t="b">
        <f>Github!M$2145</f>
        <v>0</v>
      </c>
      <c r="L1785" s="10" t="b">
        <f>Github!N$2145</f>
        <v>0</v>
      </c>
      <c r="M1785" s="10" t="str">
        <f>ROUND(Github!O$2145, 2)&amp;"%"</f>
        <v>60.62%</v>
      </c>
      <c r="N1785" s="10">
        <f>Github!P$2145</f>
        <v>21253</v>
      </c>
      <c r="O1785" s="10">
        <f>Github!Q$2145</f>
        <v>35057</v>
      </c>
    </row>
    <row r="1786">
      <c r="A1786" s="10">
        <f>Github!J$1565</f>
        <v>1564</v>
      </c>
      <c r="B1786" s="11" t="str">
        <f>HYPERLINK(CONCAT("http://leetcode.com/problems/",Github!C$1565), Github!B$1565)</f>
        <v>Put Boxes Into the Warehouse I</v>
      </c>
      <c r="C1786" s="10">
        <f>Github!F$1565</f>
        <v>228</v>
      </c>
      <c r="D1786" s="10">
        <f>Github!G$1565</f>
        <v>19</v>
      </c>
      <c r="E1786" s="10">
        <f>Github!F$1565+Github!G$1565</f>
        <v>247</v>
      </c>
      <c r="F1786" s="12">
        <f t="shared" si="1"/>
        <v>12</v>
      </c>
      <c r="G1786" s="10" t="str">
        <f>Github!H$1565</f>
        <v>Algorithms</v>
      </c>
      <c r="H1786" s="13" t="str">
        <f>SUBSTITUTE(Github!L$1565, ";", ", ")</f>
        <v>Array, Greedy, Sorting, </v>
      </c>
      <c r="I1786" s="10" t="str">
        <f>Github!E$1565</f>
        <v>Medium</v>
      </c>
      <c r="J1786" s="10" t="str">
        <f>IF(TRIM(Github!D$1565)="TRUE","FALSE","TRUE")</f>
        <v>FALSE</v>
      </c>
      <c r="K1786" s="10" t="b">
        <f>Github!M$1565</f>
        <v>1</v>
      </c>
      <c r="L1786" s="10" t="b">
        <f>Github!N$1565</f>
        <v>0</v>
      </c>
      <c r="M1786" s="10" t="str">
        <f>ROUND(Github!O$1565, 2)&amp;"%"</f>
        <v>64.53%</v>
      </c>
      <c r="N1786" s="10">
        <f>Github!P$1565</f>
        <v>10278</v>
      </c>
      <c r="O1786" s="10">
        <f>Github!Q$1565</f>
        <v>15927</v>
      </c>
    </row>
    <row r="1787">
      <c r="A1787" s="10">
        <f>Github!J$1066</f>
        <v>1065</v>
      </c>
      <c r="B1787" s="11" t="str">
        <f>HYPERLINK(CONCAT("http://leetcode.com/problems/",Github!C$1066), Github!B$1066)</f>
        <v>Index Pairs of a String</v>
      </c>
      <c r="C1787" s="10">
        <f>Github!F$1066</f>
        <v>227</v>
      </c>
      <c r="D1787" s="10">
        <f>Github!G$1066</f>
        <v>77</v>
      </c>
      <c r="E1787" s="10">
        <f>Github!F$1066+Github!G$1066</f>
        <v>304</v>
      </c>
      <c r="F1787" s="12">
        <f t="shared" si="1"/>
        <v>2.95</v>
      </c>
      <c r="G1787" s="10" t="str">
        <f>Github!H$1066</f>
        <v>Algorithms</v>
      </c>
      <c r="H1787" s="13" t="str">
        <f>SUBSTITUTE(Github!L$1066, ";", ", ")</f>
        <v>Array, String, Trie, Sorting, </v>
      </c>
      <c r="I1787" s="10" t="str">
        <f>Github!E$1066</f>
        <v>Easy</v>
      </c>
      <c r="J1787" s="10" t="str">
        <f>IF(TRIM(Github!D$1066)="TRUE","FALSE","TRUE")</f>
        <v>FALSE</v>
      </c>
      <c r="K1787" s="10" t="b">
        <f>Github!M$1066</f>
        <v>0</v>
      </c>
      <c r="L1787" s="10" t="b">
        <f>Github!N$1066</f>
        <v>0</v>
      </c>
      <c r="M1787" s="10" t="str">
        <f>ROUND(Github!O$1066, 2)&amp;"%"</f>
        <v>62.23%</v>
      </c>
      <c r="N1787" s="10">
        <f>Github!P$1066</f>
        <v>16796</v>
      </c>
      <c r="O1787" s="10">
        <f>Github!Q$1066</f>
        <v>26989</v>
      </c>
    </row>
    <row r="1788">
      <c r="A1788" s="10">
        <f>Github!J$1054</f>
        <v>1053</v>
      </c>
      <c r="B1788" s="11" t="str">
        <f>HYPERLINK(CONCAT("http://leetcode.com/problems/",Github!C$1054), Github!B$1054)</f>
        <v>Previous Permutation With One Swap</v>
      </c>
      <c r="C1788" s="10">
        <f>Github!F$1054</f>
        <v>231</v>
      </c>
      <c r="D1788" s="10">
        <f>Github!G$1054</f>
        <v>23</v>
      </c>
      <c r="E1788" s="10">
        <f>Github!F$1054+Github!G$1054</f>
        <v>254</v>
      </c>
      <c r="F1788" s="12">
        <f t="shared" si="1"/>
        <v>10.04</v>
      </c>
      <c r="G1788" s="10" t="str">
        <f>Github!H$1054</f>
        <v>Algorithms</v>
      </c>
      <c r="H1788" s="13" t="str">
        <f>SUBSTITUTE(Github!L$1054, ";", ", ")</f>
        <v>Array, Greedy, </v>
      </c>
      <c r="I1788" s="10" t="str">
        <f>Github!E$1054</f>
        <v>Medium</v>
      </c>
      <c r="J1788" s="10" t="str">
        <f>IF(TRIM(Github!D$1054)="TRUE","FALSE","TRUE")</f>
        <v>TRUE</v>
      </c>
      <c r="K1788" s="10" t="b">
        <f>Github!M$1054</f>
        <v>0</v>
      </c>
      <c r="L1788" s="10" t="b">
        <f>Github!N$1054</f>
        <v>0</v>
      </c>
      <c r="M1788" s="10" t="str">
        <f>ROUND(Github!O$1054, 2)&amp;"%"</f>
        <v>51.78%</v>
      </c>
      <c r="N1788" s="10">
        <f>Github!P$1054</f>
        <v>30821</v>
      </c>
      <c r="O1788" s="10">
        <f>Github!Q$1054</f>
        <v>59524</v>
      </c>
    </row>
    <row r="1789">
      <c r="A1789" s="10">
        <f>Github!J$1978</f>
        <v>1977</v>
      </c>
      <c r="B1789" s="11" t="str">
        <f>HYPERLINK(CONCAT("http://leetcode.com/problems/",Github!C$1978), Github!B$1978)</f>
        <v>Number of Ways to Separate Numbers</v>
      </c>
      <c r="C1789" s="10">
        <f>Github!F$1978</f>
        <v>228</v>
      </c>
      <c r="D1789" s="10">
        <f>Github!G$1978</f>
        <v>30</v>
      </c>
      <c r="E1789" s="10">
        <f>Github!F$1978+Github!G$1978</f>
        <v>258</v>
      </c>
      <c r="F1789" s="12">
        <f t="shared" si="1"/>
        <v>7.6</v>
      </c>
      <c r="G1789" s="10" t="str">
        <f>Github!H$1978</f>
        <v>Algorithms</v>
      </c>
      <c r="H1789" s="13" t="str">
        <f>SUBSTITUTE(Github!L$1978, ";", ", ")</f>
        <v>String, Dynamic Programming, Suffix Array, </v>
      </c>
      <c r="I1789" s="10" t="str">
        <f>Github!E$1978</f>
        <v>Hard</v>
      </c>
      <c r="J1789" s="10" t="str">
        <f>IF(TRIM(Github!D$1978)="TRUE","FALSE","TRUE")</f>
        <v>TRUE</v>
      </c>
      <c r="K1789" s="10" t="b">
        <f>Github!M$1978</f>
        <v>0</v>
      </c>
      <c r="L1789" s="10" t="b">
        <f>Github!N$1978</f>
        <v>0</v>
      </c>
      <c r="M1789" s="10" t="str">
        <f>ROUND(Github!O$1978, 2)&amp;"%"</f>
        <v>22.24%</v>
      </c>
      <c r="N1789" s="10">
        <f>Github!P$1978</f>
        <v>2790</v>
      </c>
      <c r="O1789" s="10">
        <f>Github!Q$1978</f>
        <v>12544</v>
      </c>
    </row>
    <row r="1790">
      <c r="A1790" s="10">
        <f>Github!J$357</f>
        <v>356</v>
      </c>
      <c r="B1790" s="11" t="str">
        <f>HYPERLINK(CONCAT("http://leetcode.com/problems/",Github!C$357), Github!B$357)</f>
        <v>Line Reflection</v>
      </c>
      <c r="C1790" s="10">
        <f>Github!F$357</f>
        <v>225</v>
      </c>
      <c r="D1790" s="10">
        <f>Github!G$357</f>
        <v>481</v>
      </c>
      <c r="E1790" s="10">
        <f>Github!F$357+Github!G$357</f>
        <v>706</v>
      </c>
      <c r="F1790" s="12">
        <f t="shared" si="1"/>
        <v>0.47</v>
      </c>
      <c r="G1790" s="10" t="str">
        <f>Github!H$357</f>
        <v>Algorithms</v>
      </c>
      <c r="H1790" s="13" t="str">
        <f>SUBSTITUTE(Github!L$357, ";", ", ")</f>
        <v>Array, Hash Table, Math, </v>
      </c>
      <c r="I1790" s="10" t="str">
        <f>Github!E$357</f>
        <v>Medium</v>
      </c>
      <c r="J1790" s="10" t="str">
        <f>IF(TRIM(Github!D$357)="TRUE","FALSE","TRUE")</f>
        <v>FALSE</v>
      </c>
      <c r="K1790" s="10" t="b">
        <f>Github!M$357</f>
        <v>0</v>
      </c>
      <c r="L1790" s="10" t="b">
        <f>Github!N$357</f>
        <v>0</v>
      </c>
      <c r="M1790" s="10" t="str">
        <f>ROUND(Github!O$357, 2)&amp;"%"</f>
        <v>34.36%</v>
      </c>
      <c r="N1790" s="10">
        <f>Github!P$357</f>
        <v>31861</v>
      </c>
      <c r="O1790" s="10">
        <f>Github!Q$357</f>
        <v>92723</v>
      </c>
    </row>
    <row r="1791">
      <c r="A1791" s="10">
        <f>Github!J$1626</f>
        <v>1625</v>
      </c>
      <c r="B1791" s="11" t="str">
        <f>HYPERLINK(CONCAT("http://leetcode.com/problems/",Github!C$1626), Github!B$1626)</f>
        <v>Lexicographically Smallest String After Applying Operations</v>
      </c>
      <c r="C1791" s="10">
        <f>Github!F$1626</f>
        <v>228</v>
      </c>
      <c r="D1791" s="10">
        <f>Github!G$1626</f>
        <v>221</v>
      </c>
      <c r="E1791" s="10">
        <f>Github!F$1626+Github!G$1626</f>
        <v>449</v>
      </c>
      <c r="F1791" s="12">
        <f t="shared" si="1"/>
        <v>1.03</v>
      </c>
      <c r="G1791" s="10" t="str">
        <f>Github!H$1626</f>
        <v>Algorithms</v>
      </c>
      <c r="H1791" s="13" t="str">
        <f>SUBSTITUTE(Github!L$1626, ";", ", ")</f>
        <v>String, Breadth-First Search, </v>
      </c>
      <c r="I1791" s="10" t="str">
        <f>Github!E$1626</f>
        <v>Medium</v>
      </c>
      <c r="J1791" s="10" t="str">
        <f>IF(TRIM(Github!D$1626)="TRUE","FALSE","TRUE")</f>
        <v>TRUE</v>
      </c>
      <c r="K1791" s="10" t="b">
        <f>Github!M$1626</f>
        <v>0</v>
      </c>
      <c r="L1791" s="10" t="b">
        <f>Github!N$1626</f>
        <v>0</v>
      </c>
      <c r="M1791" s="10" t="str">
        <f>ROUND(Github!O$1626, 2)&amp;"%"</f>
        <v>66.01%</v>
      </c>
      <c r="N1791" s="10">
        <f>Github!P$1626</f>
        <v>10342</v>
      </c>
      <c r="O1791" s="10">
        <f>Github!Q$1626</f>
        <v>15667</v>
      </c>
    </row>
    <row r="1792">
      <c r="A1792" s="10">
        <f>Github!J$1512</f>
        <v>1511</v>
      </c>
      <c r="B1792" s="11" t="str">
        <f>HYPERLINK(CONCAT("http://leetcode.com/problems/",Github!C$1512), Github!B$1512)</f>
        <v>Customer Order Frequency</v>
      </c>
      <c r="C1792" s="10">
        <f>Github!F$1512</f>
        <v>225</v>
      </c>
      <c r="D1792" s="10">
        <f>Github!G$1512</f>
        <v>45</v>
      </c>
      <c r="E1792" s="10">
        <f>Github!F$1512+Github!G$1512</f>
        <v>270</v>
      </c>
      <c r="F1792" s="12">
        <f t="shared" si="1"/>
        <v>5</v>
      </c>
      <c r="G1792" s="10" t="str">
        <f>Github!H$1512</f>
        <v>Database</v>
      </c>
      <c r="H1792" s="13" t="str">
        <f>SUBSTITUTE(Github!L$1512, ";", ", ")</f>
        <v>Database, </v>
      </c>
      <c r="I1792" s="10" t="str">
        <f>Github!E$1512</f>
        <v>Easy</v>
      </c>
      <c r="J1792" s="10" t="str">
        <f>IF(TRIM(Github!D$1512)="TRUE","FALSE","TRUE")</f>
        <v>FALSE</v>
      </c>
      <c r="K1792" s="10" t="b">
        <f>Github!M$1512</f>
        <v>0</v>
      </c>
      <c r="L1792" s="10" t="b">
        <f>Github!N$1512</f>
        <v>0</v>
      </c>
      <c r="M1792" s="10" t="str">
        <f>ROUND(Github!O$1512, 2)&amp;"%"</f>
        <v>73.29%</v>
      </c>
      <c r="N1792" s="10">
        <f>Github!P$1512</f>
        <v>27708</v>
      </c>
      <c r="O1792" s="10">
        <f>Github!Q$1512</f>
        <v>37805</v>
      </c>
    </row>
    <row r="1793">
      <c r="A1793" s="10">
        <f>Github!J$1259</f>
        <v>1258</v>
      </c>
      <c r="B1793" s="11" t="str">
        <f>HYPERLINK(CONCAT("http://leetcode.com/problems/",Github!C$1259), Github!B$1259)</f>
        <v>Synonymous Sentences</v>
      </c>
      <c r="C1793" s="10">
        <f>Github!F$1259</f>
        <v>228</v>
      </c>
      <c r="D1793" s="10">
        <f>Github!G$1259</f>
        <v>91</v>
      </c>
      <c r="E1793" s="10">
        <f>Github!F$1259+Github!G$1259</f>
        <v>319</v>
      </c>
      <c r="F1793" s="12">
        <f t="shared" si="1"/>
        <v>2.51</v>
      </c>
      <c r="G1793" s="10" t="str">
        <f>Github!H$1259</f>
        <v>Algorithms</v>
      </c>
      <c r="H1793" s="13" t="str">
        <f>SUBSTITUTE(Github!L$1259, ";", ", ")</f>
        <v>Array, Hash Table, String, Backtracking, Union Find, </v>
      </c>
      <c r="I1793" s="10" t="str">
        <f>Github!E$1259</f>
        <v>Medium</v>
      </c>
      <c r="J1793" s="10" t="str">
        <f>IF(TRIM(Github!D$1259)="TRUE","FALSE","TRUE")</f>
        <v>FALSE</v>
      </c>
      <c r="K1793" s="10" t="b">
        <f>Github!M$1259</f>
        <v>0</v>
      </c>
      <c r="L1793" s="10" t="b">
        <f>Github!N$1259</f>
        <v>0</v>
      </c>
      <c r="M1793" s="10" t="str">
        <f>ROUND(Github!O$1259, 2)&amp;"%"</f>
        <v>56.38%</v>
      </c>
      <c r="N1793" s="10">
        <f>Github!P$1259</f>
        <v>13418</v>
      </c>
      <c r="O1793" s="10">
        <f>Github!Q$1259</f>
        <v>23799</v>
      </c>
    </row>
    <row r="1794">
      <c r="A1794" s="10">
        <f>Github!J$2187</f>
        <v>2186</v>
      </c>
      <c r="B1794" s="11" t="str">
        <f>HYPERLINK(CONCAT("http://leetcode.com/problems/",Github!C$2187), Github!B$2187)</f>
        <v>Minimum Number of Steps to Make Two Strings Anagram II</v>
      </c>
      <c r="C1794" s="10">
        <f>Github!F$2187</f>
        <v>227</v>
      </c>
      <c r="D1794" s="10">
        <f>Github!G$2187</f>
        <v>4</v>
      </c>
      <c r="E1794" s="10">
        <f>Github!F$2187+Github!G$2187</f>
        <v>231</v>
      </c>
      <c r="F1794" s="12">
        <f t="shared" si="1"/>
        <v>56.75</v>
      </c>
      <c r="G1794" s="10" t="str">
        <f>Github!H$2187</f>
        <v>Algorithms</v>
      </c>
      <c r="H1794" s="13" t="str">
        <f>SUBSTITUTE(Github!L$2187, ";", ", ")</f>
        <v>Hash Table, String, Counting, </v>
      </c>
      <c r="I1794" s="10" t="str">
        <f>Github!E$2187</f>
        <v>Medium</v>
      </c>
      <c r="J1794" s="10" t="str">
        <f>IF(TRIM(Github!D$2187)="TRUE","FALSE","TRUE")</f>
        <v>TRUE</v>
      </c>
      <c r="K1794" s="10" t="b">
        <f>Github!M$2187</f>
        <v>0</v>
      </c>
      <c r="L1794" s="10" t="b">
        <f>Github!N$2187</f>
        <v>0</v>
      </c>
      <c r="M1794" s="10" t="str">
        <f>ROUND(Github!O$2187, 2)&amp;"%"</f>
        <v>70.6%</v>
      </c>
      <c r="N1794" s="10">
        <f>Github!P$2187</f>
        <v>21434</v>
      </c>
      <c r="O1794" s="10">
        <f>Github!Q$2187</f>
        <v>30361</v>
      </c>
    </row>
    <row r="1795">
      <c r="A1795" s="10">
        <f>Github!J$1038</f>
        <v>1037</v>
      </c>
      <c r="B1795" s="11" t="str">
        <f>HYPERLINK(CONCAT("http://leetcode.com/problems/",Github!C$1038), Github!B$1038)</f>
        <v>Valid Boomerang</v>
      </c>
      <c r="C1795" s="10">
        <f>Github!F$1038</f>
        <v>226</v>
      </c>
      <c r="D1795" s="10">
        <f>Github!G$1038</f>
        <v>349</v>
      </c>
      <c r="E1795" s="10">
        <f>Github!F$1038+Github!G$1038</f>
        <v>575</v>
      </c>
      <c r="F1795" s="12">
        <f t="shared" si="1"/>
        <v>0.65</v>
      </c>
      <c r="G1795" s="10" t="str">
        <f>Github!H$1038</f>
        <v>Algorithms</v>
      </c>
      <c r="H1795" s="13" t="str">
        <f>SUBSTITUTE(Github!L$1038, ";", ", ")</f>
        <v>Math, Geometry, </v>
      </c>
      <c r="I1795" s="10" t="str">
        <f>Github!E$1038</f>
        <v>Easy</v>
      </c>
      <c r="J1795" s="10" t="str">
        <f>IF(TRIM(Github!D$1038)="TRUE","FALSE","TRUE")</f>
        <v>TRUE</v>
      </c>
      <c r="K1795" s="10" t="b">
        <f>Github!M$1038</f>
        <v>0</v>
      </c>
      <c r="L1795" s="10" t="b">
        <f>Github!N$1038</f>
        <v>0</v>
      </c>
      <c r="M1795" s="10" t="str">
        <f>ROUND(Github!O$1038, 2)&amp;"%"</f>
        <v>37.45%</v>
      </c>
      <c r="N1795" s="10">
        <f>Github!P$1038</f>
        <v>31099</v>
      </c>
      <c r="O1795" s="10">
        <f>Github!Q$1038</f>
        <v>83040</v>
      </c>
    </row>
    <row r="1796">
      <c r="A1796" s="10">
        <f>Github!J$1816</f>
        <v>1815</v>
      </c>
      <c r="B1796" s="11" t="str">
        <f>HYPERLINK(CONCAT("http://leetcode.com/problems/",Github!C$1816), Github!B$1816)</f>
        <v>Maximum Number of Groups Getting Fresh Donuts</v>
      </c>
      <c r="C1796" s="10">
        <f>Github!F$1816</f>
        <v>226</v>
      </c>
      <c r="D1796" s="10">
        <f>Github!G$1816</f>
        <v>15</v>
      </c>
      <c r="E1796" s="10">
        <f>Github!F$1816+Github!G$1816</f>
        <v>241</v>
      </c>
      <c r="F1796" s="12">
        <f t="shared" si="1"/>
        <v>15.07</v>
      </c>
      <c r="G1796" s="10" t="str">
        <f>Github!H$1816</f>
        <v>Algorithms</v>
      </c>
      <c r="H1796" s="13" t="str">
        <f>SUBSTITUTE(Github!L$1816, ";", ", ")</f>
        <v>Array, Dynamic Programming, Bit Manipulation, Memoization, Bitmask, </v>
      </c>
      <c r="I1796" s="10" t="str">
        <f>Github!E$1816</f>
        <v>Hard</v>
      </c>
      <c r="J1796" s="10" t="str">
        <f>IF(TRIM(Github!D$1816)="TRUE","FALSE","TRUE")</f>
        <v>TRUE</v>
      </c>
      <c r="K1796" s="10" t="b">
        <f>Github!M$1816</f>
        <v>0</v>
      </c>
      <c r="L1796" s="10" t="b">
        <f>Github!N$1816</f>
        <v>0</v>
      </c>
      <c r="M1796" s="10" t="str">
        <f>ROUND(Github!O$1816, 2)&amp;"%"</f>
        <v>39.92%</v>
      </c>
      <c r="N1796" s="10">
        <f>Github!P$1816</f>
        <v>4220</v>
      </c>
      <c r="O1796" s="10">
        <f>Github!Q$1816</f>
        <v>10570</v>
      </c>
    </row>
    <row r="1797">
      <c r="A1797" s="10">
        <f>Github!J$1252</f>
        <v>1251</v>
      </c>
      <c r="B1797" s="11" t="str">
        <f>HYPERLINK(CONCAT("http://leetcode.com/problems/",Github!C$1252), Github!B$1252)</f>
        <v>Average Selling Price</v>
      </c>
      <c r="C1797" s="10">
        <f>Github!F$1252</f>
        <v>228</v>
      </c>
      <c r="D1797" s="10">
        <f>Github!G$1252</f>
        <v>22</v>
      </c>
      <c r="E1797" s="10">
        <f>Github!F$1252+Github!G$1252</f>
        <v>250</v>
      </c>
      <c r="F1797" s="12">
        <f t="shared" si="1"/>
        <v>10.36</v>
      </c>
      <c r="G1797" s="10" t="str">
        <f>Github!H$1252</f>
        <v>Database</v>
      </c>
      <c r="H1797" s="13" t="str">
        <f>SUBSTITUTE(Github!L$1252, ";", ", ")</f>
        <v>Database, </v>
      </c>
      <c r="I1797" s="10" t="str">
        <f>Github!E$1252</f>
        <v>Easy</v>
      </c>
      <c r="J1797" s="10" t="str">
        <f>IF(TRIM(Github!D$1252)="TRUE","FALSE","TRUE")</f>
        <v>FALSE</v>
      </c>
      <c r="K1797" s="10" t="b">
        <f>Github!M$1252</f>
        <v>0</v>
      </c>
      <c r="L1797" s="10" t="b">
        <f>Github!N$1252</f>
        <v>0</v>
      </c>
      <c r="M1797" s="10" t="str">
        <f>ROUND(Github!O$1252, 2)&amp;"%"</f>
        <v>83.33%</v>
      </c>
      <c r="N1797" s="10">
        <f>Github!P$1252</f>
        <v>34400</v>
      </c>
      <c r="O1797" s="10">
        <f>Github!Q$1252</f>
        <v>41280</v>
      </c>
    </row>
    <row r="1798">
      <c r="A1798" s="10">
        <f>Github!J$1402</f>
        <v>1401</v>
      </c>
      <c r="B1798" s="11" t="str">
        <f>HYPERLINK(CONCAT("http://leetcode.com/problems/",Github!C$1402), Github!B$1402)</f>
        <v>Circle and Rectangle Overlapping</v>
      </c>
      <c r="C1798" s="10">
        <f>Github!F$1402</f>
        <v>223</v>
      </c>
      <c r="D1798" s="10">
        <f>Github!G$1402</f>
        <v>56</v>
      </c>
      <c r="E1798" s="10">
        <f>Github!F$1402+Github!G$1402</f>
        <v>279</v>
      </c>
      <c r="F1798" s="12">
        <f t="shared" si="1"/>
        <v>3.98</v>
      </c>
      <c r="G1798" s="10" t="str">
        <f>Github!H$1402</f>
        <v>Algorithms</v>
      </c>
      <c r="H1798" s="13" t="str">
        <f>SUBSTITUTE(Github!L$1402, ";", ", ")</f>
        <v>Math, Geometry, </v>
      </c>
      <c r="I1798" s="10" t="str">
        <f>Github!E$1402</f>
        <v>Medium</v>
      </c>
      <c r="J1798" s="10" t="str">
        <f>IF(TRIM(Github!D$1402)="TRUE","FALSE","TRUE")</f>
        <v>TRUE</v>
      </c>
      <c r="K1798" s="10" t="b">
        <f>Github!M$1402</f>
        <v>0</v>
      </c>
      <c r="L1798" s="10" t="b">
        <f>Github!N$1402</f>
        <v>0</v>
      </c>
      <c r="M1798" s="10" t="str">
        <f>ROUND(Github!O$1402, 2)&amp;"%"</f>
        <v>43.68%</v>
      </c>
      <c r="N1798" s="10">
        <f>Github!P$1402</f>
        <v>9745</v>
      </c>
      <c r="O1798" s="10">
        <f>Github!Q$1402</f>
        <v>22310</v>
      </c>
    </row>
    <row r="1799">
      <c r="A1799" s="10">
        <f>Github!J$2198</f>
        <v>2197</v>
      </c>
      <c r="B1799" s="11" t="str">
        <f>HYPERLINK(CONCAT("http://leetcode.com/problems/",Github!C$2198), Github!B$2198)</f>
        <v>Replace Non-Coprime Numbers in Array</v>
      </c>
      <c r="C1799" s="10">
        <f>Github!F$2198</f>
        <v>225</v>
      </c>
      <c r="D1799" s="10">
        <f>Github!G$2198</f>
        <v>6</v>
      </c>
      <c r="E1799" s="10">
        <f>Github!F$2198+Github!G$2198</f>
        <v>231</v>
      </c>
      <c r="F1799" s="12">
        <f t="shared" si="1"/>
        <v>37.5</v>
      </c>
      <c r="G1799" s="10" t="str">
        <f>Github!H$2198</f>
        <v>Algorithms</v>
      </c>
      <c r="H1799" s="13" t="str">
        <f>SUBSTITUTE(Github!L$2198, ";", ", ")</f>
        <v>Array, Math, Stack, Number Theory, </v>
      </c>
      <c r="I1799" s="10" t="str">
        <f>Github!E$2198</f>
        <v>Hard</v>
      </c>
      <c r="J1799" s="10" t="str">
        <f>IF(TRIM(Github!D$2198)="TRUE","FALSE","TRUE")</f>
        <v>TRUE</v>
      </c>
      <c r="K1799" s="10" t="b">
        <f>Github!M$2198</f>
        <v>0</v>
      </c>
      <c r="L1799" s="10" t="b">
        <f>Github!N$2198</f>
        <v>0</v>
      </c>
      <c r="M1799" s="10" t="str">
        <f>ROUND(Github!O$2198, 2)&amp;"%"</f>
        <v>35.01%</v>
      </c>
      <c r="N1799" s="10">
        <f>Github!P$2198</f>
        <v>7145</v>
      </c>
      <c r="O1799" s="10">
        <f>Github!Q$2198</f>
        <v>20410</v>
      </c>
    </row>
    <row r="1800">
      <c r="A1800" s="10">
        <f>Github!J$1869</f>
        <v>1868</v>
      </c>
      <c r="B1800" s="11" t="str">
        <f>HYPERLINK(CONCAT("http://leetcode.com/problems/",Github!C$1869), Github!B$1869)</f>
        <v>Product of Two Run-Length Encoded Arrays</v>
      </c>
      <c r="C1800" s="10">
        <f>Github!F$1869</f>
        <v>226</v>
      </c>
      <c r="D1800" s="10">
        <f>Github!G$1869</f>
        <v>37</v>
      </c>
      <c r="E1800" s="10">
        <f>Github!F$1869+Github!G$1869</f>
        <v>263</v>
      </c>
      <c r="F1800" s="12">
        <f t="shared" si="1"/>
        <v>6.11</v>
      </c>
      <c r="G1800" s="10" t="str">
        <f>Github!H$1869</f>
        <v>Algorithms</v>
      </c>
      <c r="H1800" s="13" t="str">
        <f>SUBSTITUTE(Github!L$1869, ";", ", ")</f>
        <v>Array, Two Pointers, </v>
      </c>
      <c r="I1800" s="10" t="str">
        <f>Github!E$1869</f>
        <v>Medium</v>
      </c>
      <c r="J1800" s="10" t="str">
        <f>IF(TRIM(Github!D$1869)="TRUE","FALSE","TRUE")</f>
        <v>FALSE</v>
      </c>
      <c r="K1800" s="10" t="b">
        <f>Github!M$1869</f>
        <v>0</v>
      </c>
      <c r="L1800" s="10" t="b">
        <f>Github!N$1869</f>
        <v>0</v>
      </c>
      <c r="M1800" s="10" t="str">
        <f>ROUND(Github!O$1869, 2)&amp;"%"</f>
        <v>58.13%</v>
      </c>
      <c r="N1800" s="10">
        <f>Github!P$1869</f>
        <v>19747</v>
      </c>
      <c r="O1800" s="10">
        <f>Github!Q$1869</f>
        <v>33973</v>
      </c>
    </row>
    <row r="1801">
      <c r="A1801" s="10">
        <f>Github!J$2181</f>
        <v>2180</v>
      </c>
      <c r="B1801" s="11" t="str">
        <f>HYPERLINK(CONCAT("http://leetcode.com/problems/",Github!C$2181), Github!B$2181)</f>
        <v>Count Integers With Even Digit Sum</v>
      </c>
      <c r="C1801" s="10">
        <f>Github!F$2181</f>
        <v>227</v>
      </c>
      <c r="D1801" s="10">
        <f>Github!G$2181</f>
        <v>14</v>
      </c>
      <c r="E1801" s="10">
        <f>Github!F$2181+Github!G$2181</f>
        <v>241</v>
      </c>
      <c r="F1801" s="12">
        <f t="shared" si="1"/>
        <v>16.21</v>
      </c>
      <c r="G1801" s="10" t="str">
        <f>Github!H$2181</f>
        <v>Algorithms</v>
      </c>
      <c r="H1801" s="13" t="str">
        <f>SUBSTITUTE(Github!L$2181, ";", ", ")</f>
        <v>Math, Simulation, </v>
      </c>
      <c r="I1801" s="10" t="str">
        <f>Github!E$2181</f>
        <v>Easy</v>
      </c>
      <c r="J1801" s="10" t="str">
        <f>IF(TRIM(Github!D$2181)="TRUE","FALSE","TRUE")</f>
        <v>TRUE</v>
      </c>
      <c r="K1801" s="10" t="b">
        <f>Github!M$2181</f>
        <v>0</v>
      </c>
      <c r="L1801" s="10" t="b">
        <f>Github!N$2181</f>
        <v>0</v>
      </c>
      <c r="M1801" s="10" t="str">
        <f>ROUND(Github!O$2181, 2)&amp;"%"</f>
        <v>64.6%</v>
      </c>
      <c r="N1801" s="10">
        <f>Github!P$2181</f>
        <v>24185</v>
      </c>
      <c r="O1801" s="10">
        <f>Github!Q$2181</f>
        <v>37441</v>
      </c>
    </row>
    <row r="1802">
      <c r="A1802" s="10">
        <f>Github!J$572</f>
        <v>571</v>
      </c>
      <c r="B1802" s="11" t="str">
        <f>HYPERLINK(CONCAT("http://leetcode.com/problems/",Github!C$572), Github!B$572)</f>
        <v>Find Median Given Frequency of Numbers</v>
      </c>
      <c r="C1802" s="10">
        <f>Github!F$572</f>
        <v>222</v>
      </c>
      <c r="D1802" s="10">
        <f>Github!G$572</f>
        <v>64</v>
      </c>
      <c r="E1802" s="10">
        <f>Github!F$572+Github!G$572</f>
        <v>286</v>
      </c>
      <c r="F1802" s="12">
        <f t="shared" si="1"/>
        <v>3.47</v>
      </c>
      <c r="G1802" s="10" t="str">
        <f>Github!H$572</f>
        <v>Database</v>
      </c>
      <c r="H1802" s="13" t="str">
        <f>SUBSTITUTE(Github!L$572, ";", ", ")</f>
        <v>Database, </v>
      </c>
      <c r="I1802" s="10" t="str">
        <f>Github!E$572</f>
        <v>Hard</v>
      </c>
      <c r="J1802" s="10" t="str">
        <f>IF(TRIM(Github!D$572)="TRUE","FALSE","TRUE")</f>
        <v>FALSE</v>
      </c>
      <c r="K1802" s="10" t="b">
        <f>Github!M$572</f>
        <v>0</v>
      </c>
      <c r="L1802" s="10" t="b">
        <f>Github!N$572</f>
        <v>0</v>
      </c>
      <c r="M1802" s="10" t="str">
        <f>ROUND(Github!O$572, 2)&amp;"%"</f>
        <v>44.48%</v>
      </c>
      <c r="N1802" s="10">
        <f>Github!P$572</f>
        <v>18824</v>
      </c>
      <c r="O1802" s="10">
        <f>Github!Q$572</f>
        <v>42320</v>
      </c>
    </row>
    <row r="1803">
      <c r="A1803" s="10">
        <f>Github!J$1953</f>
        <v>1952</v>
      </c>
      <c r="B1803" s="11" t="str">
        <f>HYPERLINK(CONCAT("http://leetcode.com/problems/",Github!C$1953), Github!B$1953)</f>
        <v>Three Divisors</v>
      </c>
      <c r="C1803" s="10">
        <f>Github!F$1953</f>
        <v>225</v>
      </c>
      <c r="D1803" s="10">
        <f>Github!G$1953</f>
        <v>16</v>
      </c>
      <c r="E1803" s="10">
        <f>Github!F$1953+Github!G$1953</f>
        <v>241</v>
      </c>
      <c r="F1803" s="12">
        <f t="shared" si="1"/>
        <v>14.06</v>
      </c>
      <c r="G1803" s="10" t="str">
        <f>Github!H$1953</f>
        <v>Algorithms</v>
      </c>
      <c r="H1803" s="13" t="str">
        <f>SUBSTITUTE(Github!L$1953, ";", ", ")</f>
        <v>Math, </v>
      </c>
      <c r="I1803" s="10" t="str">
        <f>Github!E$1953</f>
        <v>Easy</v>
      </c>
      <c r="J1803" s="10" t="str">
        <f>IF(TRIM(Github!D$1953)="TRUE","FALSE","TRUE")</f>
        <v>TRUE</v>
      </c>
      <c r="K1803" s="10" t="b">
        <f>Github!M$1953</f>
        <v>0</v>
      </c>
      <c r="L1803" s="10" t="b">
        <f>Github!N$1953</f>
        <v>0</v>
      </c>
      <c r="M1803" s="10" t="str">
        <f>ROUND(Github!O$1953, 2)&amp;"%"</f>
        <v>56.54%</v>
      </c>
      <c r="N1803" s="10">
        <f>Github!P$1953</f>
        <v>25945</v>
      </c>
      <c r="O1803" s="10">
        <f>Github!Q$1953</f>
        <v>45887</v>
      </c>
    </row>
    <row r="1804">
      <c r="A1804" s="10">
        <f>Github!J$1937</f>
        <v>1936</v>
      </c>
      <c r="B1804" s="11" t="str">
        <f>HYPERLINK(CONCAT("http://leetcode.com/problems/",Github!C$1937), Github!B$1937)</f>
        <v>Add Minimum Number of Rungs</v>
      </c>
      <c r="C1804" s="10">
        <f>Github!F$1937</f>
        <v>220</v>
      </c>
      <c r="D1804" s="10">
        <f>Github!G$1937</f>
        <v>18</v>
      </c>
      <c r="E1804" s="10">
        <f>Github!F$1937+Github!G$1937</f>
        <v>238</v>
      </c>
      <c r="F1804" s="12">
        <f t="shared" si="1"/>
        <v>12.22</v>
      </c>
      <c r="G1804" s="10" t="str">
        <f>Github!H$1937</f>
        <v>Algorithms</v>
      </c>
      <c r="H1804" s="13" t="str">
        <f>SUBSTITUTE(Github!L$1937, ";", ", ")</f>
        <v>Array, Greedy, </v>
      </c>
      <c r="I1804" s="10" t="str">
        <f>Github!E$1937</f>
        <v>Medium</v>
      </c>
      <c r="J1804" s="10" t="str">
        <f>IF(TRIM(Github!D$1937)="TRUE","FALSE","TRUE")</f>
        <v>TRUE</v>
      </c>
      <c r="K1804" s="10" t="b">
        <f>Github!M$1937</f>
        <v>0</v>
      </c>
      <c r="L1804" s="10" t="b">
        <f>Github!N$1937</f>
        <v>0</v>
      </c>
      <c r="M1804" s="10" t="str">
        <f>ROUND(Github!O$1937, 2)&amp;"%"</f>
        <v>42.43%</v>
      </c>
      <c r="N1804" s="10">
        <f>Github!P$1937</f>
        <v>18628</v>
      </c>
      <c r="O1804" s="10">
        <f>Github!Q$1937</f>
        <v>43902</v>
      </c>
    </row>
    <row r="1805">
      <c r="A1805" s="10">
        <f>Github!J$2173</f>
        <v>2172</v>
      </c>
      <c r="B1805" s="11" t="str">
        <f>HYPERLINK(CONCAT("http://leetcode.com/problems/",Github!C$2173), Github!B$2173)</f>
        <v>Maximum AND Sum of Array</v>
      </c>
      <c r="C1805" s="10">
        <f>Github!F$2173</f>
        <v>223</v>
      </c>
      <c r="D1805" s="10">
        <f>Github!G$2173</f>
        <v>11</v>
      </c>
      <c r="E1805" s="10">
        <f>Github!F$2173+Github!G$2173</f>
        <v>234</v>
      </c>
      <c r="F1805" s="12">
        <f t="shared" si="1"/>
        <v>20.27</v>
      </c>
      <c r="G1805" s="10" t="str">
        <f>Github!H$2173</f>
        <v>Algorithms</v>
      </c>
      <c r="H1805" s="13" t="str">
        <f>SUBSTITUTE(Github!L$2173, ";", ", ")</f>
        <v>Array, Dynamic Programming, Bit Manipulation, Bitmask, </v>
      </c>
      <c r="I1805" s="10" t="str">
        <f>Github!E$2173</f>
        <v>Hard</v>
      </c>
      <c r="J1805" s="10" t="str">
        <f>IF(TRIM(Github!D$2173)="TRUE","FALSE","TRUE")</f>
        <v>TRUE</v>
      </c>
      <c r="K1805" s="10" t="b">
        <f>Github!M$2173</f>
        <v>0</v>
      </c>
      <c r="L1805" s="10" t="b">
        <f>Github!N$2173</f>
        <v>0</v>
      </c>
      <c r="M1805" s="10" t="str">
        <f>ROUND(Github!O$2173, 2)&amp;"%"</f>
        <v>43.21%</v>
      </c>
      <c r="N1805" s="10">
        <f>Github!P$2173</f>
        <v>5314</v>
      </c>
      <c r="O1805" s="10">
        <f>Github!Q$2173</f>
        <v>12297</v>
      </c>
    </row>
    <row r="1806">
      <c r="A1806" s="10">
        <f>Github!J$657</f>
        <v>656</v>
      </c>
      <c r="B1806" s="11" t="str">
        <f>HYPERLINK(CONCAT("http://leetcode.com/problems/",Github!C$657), Github!B$657)</f>
        <v>Coin Path</v>
      </c>
      <c r="C1806" s="10">
        <f>Github!F$657</f>
        <v>220</v>
      </c>
      <c r="D1806" s="10">
        <f>Github!G$657</f>
        <v>98</v>
      </c>
      <c r="E1806" s="10">
        <f>Github!F$657+Github!G$657</f>
        <v>318</v>
      </c>
      <c r="F1806" s="12">
        <f t="shared" si="1"/>
        <v>2.24</v>
      </c>
      <c r="G1806" s="10" t="str">
        <f>Github!H$657</f>
        <v>Algorithms</v>
      </c>
      <c r="H1806" s="13" t="str">
        <f>SUBSTITUTE(Github!L$657, ";", ", ")</f>
        <v>Array, Dynamic Programming, </v>
      </c>
      <c r="I1806" s="10" t="str">
        <f>Github!E$657</f>
        <v>Hard</v>
      </c>
      <c r="J1806" s="10" t="str">
        <f>IF(TRIM(Github!D$657)="TRUE","FALSE","TRUE")</f>
        <v>FALSE</v>
      </c>
      <c r="K1806" s="10" t="b">
        <f>Github!M$657</f>
        <v>1</v>
      </c>
      <c r="L1806" s="10" t="b">
        <f>Github!N$657</f>
        <v>0</v>
      </c>
      <c r="M1806" s="10" t="str">
        <f>ROUND(Github!O$657, 2)&amp;"%"</f>
        <v>31.25%</v>
      </c>
      <c r="N1806" s="10">
        <f>Github!P$657</f>
        <v>12422</v>
      </c>
      <c r="O1806" s="10">
        <f>Github!Q$657</f>
        <v>39749</v>
      </c>
    </row>
    <row r="1807">
      <c r="A1807" s="10">
        <f>Github!J$1939</f>
        <v>1938</v>
      </c>
      <c r="B1807" s="11" t="str">
        <f>HYPERLINK(CONCAT("http://leetcode.com/problems/",Github!C$1939), Github!B$1939)</f>
        <v>Maximum Genetic Difference Query</v>
      </c>
      <c r="C1807" s="10">
        <f>Github!F$1939</f>
        <v>221</v>
      </c>
      <c r="D1807" s="10">
        <f>Github!G$1939</f>
        <v>11</v>
      </c>
      <c r="E1807" s="10">
        <f>Github!F$1939+Github!G$1939</f>
        <v>232</v>
      </c>
      <c r="F1807" s="12">
        <f t="shared" si="1"/>
        <v>20.09</v>
      </c>
      <c r="G1807" s="10" t="str">
        <f>Github!H$1939</f>
        <v>Algorithms</v>
      </c>
      <c r="H1807" s="13" t="str">
        <f>SUBSTITUTE(Github!L$1939, ";", ", ")</f>
        <v>Array, Bit Manipulation, Trie, </v>
      </c>
      <c r="I1807" s="10" t="str">
        <f>Github!E$1939</f>
        <v>Hard</v>
      </c>
      <c r="J1807" s="10" t="str">
        <f>IF(TRIM(Github!D$1939)="TRUE","FALSE","TRUE")</f>
        <v>TRUE</v>
      </c>
      <c r="K1807" s="10" t="b">
        <f>Github!M$1939</f>
        <v>0</v>
      </c>
      <c r="L1807" s="10" t="b">
        <f>Github!N$1939</f>
        <v>0</v>
      </c>
      <c r="M1807" s="10" t="str">
        <f>ROUND(Github!O$1939, 2)&amp;"%"</f>
        <v>39.04%</v>
      </c>
      <c r="N1807" s="10">
        <f>Github!P$1939</f>
        <v>3265</v>
      </c>
      <c r="O1807" s="10">
        <f>Github!Q$1939</f>
        <v>8364</v>
      </c>
    </row>
    <row r="1808">
      <c r="A1808" s="10">
        <f>Github!J$1660</f>
        <v>1659</v>
      </c>
      <c r="B1808" s="11" t="str">
        <f>HYPERLINK(CONCAT("http://leetcode.com/problems/",Github!C$1660), Github!B$1660)</f>
        <v>Maximize Grid Happiness</v>
      </c>
      <c r="C1808" s="10">
        <f>Github!F$1660</f>
        <v>221</v>
      </c>
      <c r="D1808" s="10">
        <f>Github!G$1660</f>
        <v>47</v>
      </c>
      <c r="E1808" s="10">
        <f>Github!F$1660+Github!G$1660</f>
        <v>268</v>
      </c>
      <c r="F1808" s="12">
        <f t="shared" si="1"/>
        <v>4.7</v>
      </c>
      <c r="G1808" s="10" t="str">
        <f>Github!H$1660</f>
        <v>Algorithms</v>
      </c>
      <c r="H1808" s="13" t="str">
        <f>SUBSTITUTE(Github!L$1660, ";", ", ")</f>
        <v>Dynamic Programming, Bit Manipulation, Memoization, Bitmask, </v>
      </c>
      <c r="I1808" s="10" t="str">
        <f>Github!E$1660</f>
        <v>Hard</v>
      </c>
      <c r="J1808" s="10" t="str">
        <f>IF(TRIM(Github!D$1660)="TRUE","FALSE","TRUE")</f>
        <v>TRUE</v>
      </c>
      <c r="K1808" s="10" t="b">
        <f>Github!M$1660</f>
        <v>0</v>
      </c>
      <c r="L1808" s="10" t="b">
        <f>Github!N$1660</f>
        <v>0</v>
      </c>
      <c r="M1808" s="10" t="str">
        <f>ROUND(Github!O$1660, 2)&amp;"%"</f>
        <v>37.63%</v>
      </c>
      <c r="N1808" s="10">
        <f>Github!P$1660</f>
        <v>3617</v>
      </c>
      <c r="O1808" s="10">
        <f>Github!Q$1660</f>
        <v>9611</v>
      </c>
    </row>
    <row r="1809">
      <c r="A1809" s="10">
        <f>Github!J$571</f>
        <v>570</v>
      </c>
      <c r="B1809" s="11" t="str">
        <f>HYPERLINK(CONCAT("http://leetcode.com/problems/",Github!C$571), Github!B$571)</f>
        <v>Managers with at Least 5 Direct Reports</v>
      </c>
      <c r="C1809" s="10">
        <f>Github!F$571</f>
        <v>221</v>
      </c>
      <c r="D1809" s="10">
        <f>Github!G$571</f>
        <v>31</v>
      </c>
      <c r="E1809" s="10">
        <f>Github!F$571+Github!G$571</f>
        <v>252</v>
      </c>
      <c r="F1809" s="12">
        <f t="shared" si="1"/>
        <v>7.13</v>
      </c>
      <c r="G1809" s="10" t="str">
        <f>Github!H$571</f>
        <v>Database</v>
      </c>
      <c r="H1809" s="13" t="str">
        <f>SUBSTITUTE(Github!L$571, ";", ", ")</f>
        <v>Database, </v>
      </c>
      <c r="I1809" s="10" t="str">
        <f>Github!E$571</f>
        <v>Medium</v>
      </c>
      <c r="J1809" s="10" t="str">
        <f>IF(TRIM(Github!D$571)="TRUE","FALSE","TRUE")</f>
        <v>FALSE</v>
      </c>
      <c r="K1809" s="10" t="b">
        <f>Github!M$571</f>
        <v>1</v>
      </c>
      <c r="L1809" s="10" t="b">
        <f>Github!N$571</f>
        <v>0</v>
      </c>
      <c r="M1809" s="10" t="str">
        <f>ROUND(Github!O$571, 2)&amp;"%"</f>
        <v>67.01%</v>
      </c>
      <c r="N1809" s="10">
        <f>Github!P$571</f>
        <v>57930</v>
      </c>
      <c r="O1809" s="10">
        <f>Github!Q$571</f>
        <v>86456</v>
      </c>
    </row>
    <row r="1810">
      <c r="A1810" s="10">
        <f>Github!J$1226</f>
        <v>1225</v>
      </c>
      <c r="B1810" s="11" t="str">
        <f>HYPERLINK(CONCAT("http://leetcode.com/problems/",Github!C$1226), Github!B$1226)</f>
        <v>Report Contiguous Dates</v>
      </c>
      <c r="C1810" s="10">
        <f>Github!F$1226</f>
        <v>221</v>
      </c>
      <c r="D1810" s="10">
        <f>Github!G$1226</f>
        <v>18</v>
      </c>
      <c r="E1810" s="10">
        <f>Github!F$1226+Github!G$1226</f>
        <v>239</v>
      </c>
      <c r="F1810" s="12">
        <f t="shared" si="1"/>
        <v>12.28</v>
      </c>
      <c r="G1810" s="10" t="str">
        <f>Github!H$1226</f>
        <v>Database</v>
      </c>
      <c r="H1810" s="13" t="str">
        <f>SUBSTITUTE(Github!L$1226, ";", ", ")</f>
        <v>Database, </v>
      </c>
      <c r="I1810" s="10" t="str">
        <f>Github!E$1226</f>
        <v>Hard</v>
      </c>
      <c r="J1810" s="10" t="str">
        <f>IF(TRIM(Github!D$1226)="TRUE","FALSE","TRUE")</f>
        <v>FALSE</v>
      </c>
      <c r="K1810" s="10" t="b">
        <f>Github!M$1226</f>
        <v>0</v>
      </c>
      <c r="L1810" s="10" t="b">
        <f>Github!N$1226</f>
        <v>0</v>
      </c>
      <c r="M1810" s="10" t="str">
        <f>ROUND(Github!O$1226, 2)&amp;"%"</f>
        <v>63.23%</v>
      </c>
      <c r="N1810" s="10">
        <f>Github!P$1226</f>
        <v>13720</v>
      </c>
      <c r="O1810" s="10">
        <f>Github!Q$1226</f>
        <v>21698</v>
      </c>
    </row>
    <row r="1811">
      <c r="A1811" s="10">
        <f>Github!J$2123</f>
        <v>2122</v>
      </c>
      <c r="B1811" s="11" t="str">
        <f>HYPERLINK(CONCAT("http://leetcode.com/problems/",Github!C$2123), Github!B$2123)</f>
        <v>Recover the Original Array</v>
      </c>
      <c r="C1811" s="10">
        <f>Github!F$2123</f>
        <v>221</v>
      </c>
      <c r="D1811" s="10">
        <f>Github!G$2123</f>
        <v>26</v>
      </c>
      <c r="E1811" s="10">
        <f>Github!F$2123+Github!G$2123</f>
        <v>247</v>
      </c>
      <c r="F1811" s="12">
        <f t="shared" si="1"/>
        <v>8.5</v>
      </c>
      <c r="G1811" s="10" t="str">
        <f>Github!H$2123</f>
        <v>Algorithms</v>
      </c>
      <c r="H1811" s="13" t="str">
        <f>SUBSTITUTE(Github!L$2123, ";", ", ")</f>
        <v>Array, Hash Table, Sorting, Enumeration, </v>
      </c>
      <c r="I1811" s="10" t="str">
        <f>Github!E$2123</f>
        <v>Hard</v>
      </c>
      <c r="J1811" s="10" t="str">
        <f>IF(TRIM(Github!D$2123)="TRUE","FALSE","TRUE")</f>
        <v>TRUE</v>
      </c>
      <c r="K1811" s="10" t="b">
        <f>Github!M$2123</f>
        <v>0</v>
      </c>
      <c r="L1811" s="10" t="b">
        <f>Github!N$2123</f>
        <v>0</v>
      </c>
      <c r="M1811" s="10" t="str">
        <f>ROUND(Github!O$2123, 2)&amp;"%"</f>
        <v>37.49%</v>
      </c>
      <c r="N1811" s="10">
        <f>Github!P$2123</f>
        <v>6404</v>
      </c>
      <c r="O1811" s="10">
        <f>Github!Q$2123</f>
        <v>17082</v>
      </c>
    </row>
    <row r="1812">
      <c r="A1812" s="10">
        <f>Github!J$1602</f>
        <v>1601</v>
      </c>
      <c r="B1812" s="11" t="str">
        <f>HYPERLINK(CONCAT("http://leetcode.com/problems/",Github!C$1602), Github!B$1602)</f>
        <v>Maximum Number of Achievable Transfer Requests</v>
      </c>
      <c r="C1812" s="10">
        <f>Github!F$1602</f>
        <v>217</v>
      </c>
      <c r="D1812" s="10">
        <f>Github!G$1602</f>
        <v>26</v>
      </c>
      <c r="E1812" s="10">
        <f>Github!F$1602+Github!G$1602</f>
        <v>243</v>
      </c>
      <c r="F1812" s="12">
        <f t="shared" si="1"/>
        <v>8.35</v>
      </c>
      <c r="G1812" s="10" t="str">
        <f>Github!H$1602</f>
        <v>Algorithms</v>
      </c>
      <c r="H1812" s="13" t="str">
        <f>SUBSTITUTE(Github!L$1602, ";", ", ")</f>
        <v>Array, Backtracking, Bit Manipulation, Enumeration, </v>
      </c>
      <c r="I1812" s="10" t="str">
        <f>Github!E$1602</f>
        <v>Hard</v>
      </c>
      <c r="J1812" s="10" t="str">
        <f>IF(TRIM(Github!D$1602)="TRUE","FALSE","TRUE")</f>
        <v>TRUE</v>
      </c>
      <c r="K1812" s="10" t="b">
        <f>Github!M$1602</f>
        <v>0</v>
      </c>
      <c r="L1812" s="10" t="b">
        <f>Github!N$1602</f>
        <v>0</v>
      </c>
      <c r="M1812" s="10" t="str">
        <f>ROUND(Github!O$1602, 2)&amp;"%"</f>
        <v>50.74%</v>
      </c>
      <c r="N1812" s="10">
        <f>Github!P$1602</f>
        <v>7872</v>
      </c>
      <c r="O1812" s="10">
        <f>Github!Q$1602</f>
        <v>15514</v>
      </c>
    </row>
    <row r="1813">
      <c r="A1813" s="10">
        <f>Github!J$1958</f>
        <v>1957</v>
      </c>
      <c r="B1813" s="11" t="str">
        <f>HYPERLINK(CONCAT("http://leetcode.com/problems/",Github!C$1958), Github!B$1958)</f>
        <v>Delete Characters to Make Fancy String</v>
      </c>
      <c r="C1813" s="10">
        <f>Github!F$1958</f>
        <v>218</v>
      </c>
      <c r="D1813" s="10">
        <f>Github!G$1958</f>
        <v>10</v>
      </c>
      <c r="E1813" s="10">
        <f>Github!F$1958+Github!G$1958</f>
        <v>228</v>
      </c>
      <c r="F1813" s="12">
        <f t="shared" si="1"/>
        <v>21.8</v>
      </c>
      <c r="G1813" s="10" t="str">
        <f>Github!H$1958</f>
        <v>Algorithms</v>
      </c>
      <c r="H1813" s="13" t="str">
        <f>SUBSTITUTE(Github!L$1958, ";", ", ")</f>
        <v>String, </v>
      </c>
      <c r="I1813" s="10" t="str">
        <f>Github!E$1958</f>
        <v>Easy</v>
      </c>
      <c r="J1813" s="10" t="str">
        <f>IF(TRIM(Github!D$1958)="TRUE","FALSE","TRUE")</f>
        <v>TRUE</v>
      </c>
      <c r="K1813" s="10" t="b">
        <f>Github!M$1958</f>
        <v>0</v>
      </c>
      <c r="L1813" s="10" t="b">
        <f>Github!N$1958</f>
        <v>0</v>
      </c>
      <c r="M1813" s="10" t="str">
        <f>ROUND(Github!O$1958, 2)&amp;"%"</f>
        <v>56.81%</v>
      </c>
      <c r="N1813" s="10">
        <f>Github!P$1958</f>
        <v>18822</v>
      </c>
      <c r="O1813" s="10">
        <f>Github!Q$1958</f>
        <v>33129</v>
      </c>
    </row>
    <row r="1814">
      <c r="A1814" s="10">
        <f>Github!J$2208</f>
        <v>2207</v>
      </c>
      <c r="B1814" s="11" t="str">
        <f>HYPERLINK(CONCAT("http://leetcode.com/problems/",Github!C$2208), Github!B$2208)</f>
        <v>Maximize Number of Subsequences in a String</v>
      </c>
      <c r="C1814" s="10">
        <f>Github!F$2208</f>
        <v>217</v>
      </c>
      <c r="D1814" s="10">
        <f>Github!G$2208</f>
        <v>12</v>
      </c>
      <c r="E1814" s="10">
        <f>Github!F$2208+Github!G$2208</f>
        <v>229</v>
      </c>
      <c r="F1814" s="12">
        <f t="shared" si="1"/>
        <v>18.08</v>
      </c>
      <c r="G1814" s="10" t="str">
        <f>Github!H$2208</f>
        <v>Algorithms</v>
      </c>
      <c r="H1814" s="13" t="str">
        <f>SUBSTITUTE(Github!L$2208, ";", ", ")</f>
        <v>String, Greedy, Prefix Sum, </v>
      </c>
      <c r="I1814" s="10" t="str">
        <f>Github!E$2208</f>
        <v>Medium</v>
      </c>
      <c r="J1814" s="10" t="str">
        <f>IF(TRIM(Github!D$2208)="TRUE","FALSE","TRUE")</f>
        <v>TRUE</v>
      </c>
      <c r="K1814" s="10" t="b">
        <f>Github!M$2208</f>
        <v>0</v>
      </c>
      <c r="L1814" s="10" t="b">
        <f>Github!N$2208</f>
        <v>0</v>
      </c>
      <c r="M1814" s="10" t="str">
        <f>ROUND(Github!O$2208, 2)&amp;"%"</f>
        <v>30.89%</v>
      </c>
      <c r="N1814" s="10">
        <f>Github!P$2208</f>
        <v>10727</v>
      </c>
      <c r="O1814" s="10">
        <f>Github!Q$2208</f>
        <v>34725</v>
      </c>
    </row>
    <row r="1815">
      <c r="A1815" s="10">
        <f>Github!J$2133</f>
        <v>2132</v>
      </c>
      <c r="B1815" s="11" t="str">
        <f>HYPERLINK(CONCAT("http://leetcode.com/problems/",Github!C$2133), Github!B$2133)</f>
        <v>Stamping the Grid</v>
      </c>
      <c r="C1815" s="10">
        <f>Github!F$2133</f>
        <v>222</v>
      </c>
      <c r="D1815" s="10">
        <f>Github!G$2133</f>
        <v>21</v>
      </c>
      <c r="E1815" s="10">
        <f>Github!F$2133+Github!G$2133</f>
        <v>243</v>
      </c>
      <c r="F1815" s="12">
        <f t="shared" si="1"/>
        <v>10.57</v>
      </c>
      <c r="G1815" s="10" t="str">
        <f>Github!H$2133</f>
        <v>Algorithms</v>
      </c>
      <c r="H1815" s="13" t="str">
        <f>SUBSTITUTE(Github!L$2133, ";", ", ")</f>
        <v>Array, Greedy, Matrix, Prefix Sum, </v>
      </c>
      <c r="I1815" s="10" t="str">
        <f>Github!E$2133</f>
        <v>Hard</v>
      </c>
      <c r="J1815" s="10" t="str">
        <f>IF(TRIM(Github!D$2133)="TRUE","FALSE","TRUE")</f>
        <v>TRUE</v>
      </c>
      <c r="K1815" s="10" t="b">
        <f>Github!M$2133</f>
        <v>0</v>
      </c>
      <c r="L1815" s="10" t="b">
        <f>Github!N$2133</f>
        <v>0</v>
      </c>
      <c r="M1815" s="10" t="str">
        <f>ROUND(Github!O$2133, 2)&amp;"%"</f>
        <v>28.61%</v>
      </c>
      <c r="N1815" s="10">
        <f>Github!P$2133</f>
        <v>3451</v>
      </c>
      <c r="O1815" s="10">
        <f>Github!Q$2133</f>
        <v>12061</v>
      </c>
    </row>
    <row r="1816">
      <c r="A1816" s="10">
        <f>Github!J$2151</f>
        <v>2150</v>
      </c>
      <c r="B1816" s="11" t="str">
        <f>HYPERLINK(CONCAT("http://leetcode.com/problems/",Github!C$2151), Github!B$2151)</f>
        <v>Find All Lonely Numbers in the Array</v>
      </c>
      <c r="C1816" s="10">
        <f>Github!F$2151</f>
        <v>225</v>
      </c>
      <c r="D1816" s="10">
        <f>Github!G$2151</f>
        <v>31</v>
      </c>
      <c r="E1816" s="10">
        <f>Github!F$2151+Github!G$2151</f>
        <v>256</v>
      </c>
      <c r="F1816" s="12">
        <f t="shared" si="1"/>
        <v>7.26</v>
      </c>
      <c r="G1816" s="10" t="str">
        <f>Github!H$2151</f>
        <v>Algorithms</v>
      </c>
      <c r="H1816" s="13" t="str">
        <f>SUBSTITUTE(Github!L$2151, ";", ", ")</f>
        <v>Array, Hash Table, Counting, </v>
      </c>
      <c r="I1816" s="10" t="str">
        <f>Github!E$2151</f>
        <v>Medium</v>
      </c>
      <c r="J1816" s="10" t="str">
        <f>IF(TRIM(Github!D$2151)="TRUE","FALSE","TRUE")</f>
        <v>TRUE</v>
      </c>
      <c r="K1816" s="10" t="b">
        <f>Github!M$2151</f>
        <v>0</v>
      </c>
      <c r="L1816" s="10" t="b">
        <f>Github!N$2151</f>
        <v>0</v>
      </c>
      <c r="M1816" s="10" t="str">
        <f>ROUND(Github!O$2151, 2)&amp;"%"</f>
        <v>60.62%</v>
      </c>
      <c r="N1816" s="10">
        <f>Github!P$2151</f>
        <v>23166</v>
      </c>
      <c r="O1816" s="10">
        <f>Github!Q$2151</f>
        <v>38216</v>
      </c>
    </row>
    <row r="1817">
      <c r="A1817" s="10">
        <f>Github!J$1277</f>
        <v>1276</v>
      </c>
      <c r="B1817" s="11" t="str">
        <f>HYPERLINK(CONCAT("http://leetcode.com/problems/",Github!C$1277), Github!B$1277)</f>
        <v>Number of Burgers with No Waste of Ingredients</v>
      </c>
      <c r="C1817" s="10">
        <f>Github!F$1277</f>
        <v>214</v>
      </c>
      <c r="D1817" s="10">
        <f>Github!G$1277</f>
        <v>187</v>
      </c>
      <c r="E1817" s="10">
        <f>Github!F$1277+Github!G$1277</f>
        <v>401</v>
      </c>
      <c r="F1817" s="12">
        <f t="shared" si="1"/>
        <v>1.14</v>
      </c>
      <c r="G1817" s="10" t="str">
        <f>Github!H$1277</f>
        <v>Algorithms</v>
      </c>
      <c r="H1817" s="13" t="str">
        <f>SUBSTITUTE(Github!L$1277, ";", ", ")</f>
        <v>Math, </v>
      </c>
      <c r="I1817" s="10" t="str">
        <f>Github!E$1277</f>
        <v>Medium</v>
      </c>
      <c r="J1817" s="10" t="str">
        <f>IF(TRIM(Github!D$1277)="TRUE","FALSE","TRUE")</f>
        <v>TRUE</v>
      </c>
      <c r="K1817" s="10" t="b">
        <f>Github!M$1277</f>
        <v>0</v>
      </c>
      <c r="L1817" s="10" t="b">
        <f>Github!N$1277</f>
        <v>0</v>
      </c>
      <c r="M1817" s="10" t="str">
        <f>ROUND(Github!O$1277, 2)&amp;"%"</f>
        <v>50.62%</v>
      </c>
      <c r="N1817" s="10">
        <f>Github!P$1277</f>
        <v>17976</v>
      </c>
      <c r="O1817" s="10">
        <f>Github!Q$1277</f>
        <v>35513</v>
      </c>
    </row>
    <row r="1818">
      <c r="A1818" s="10">
        <f>Github!J$1074</f>
        <v>1073</v>
      </c>
      <c r="B1818" s="11" t="str">
        <f>HYPERLINK(CONCAT("http://leetcode.com/problems/",Github!C$1074), Github!B$1074)</f>
        <v>Adding Two Negabinary Numbers</v>
      </c>
      <c r="C1818" s="10">
        <f>Github!F$1074</f>
        <v>214</v>
      </c>
      <c r="D1818" s="10">
        <f>Github!G$1074</f>
        <v>89</v>
      </c>
      <c r="E1818" s="10">
        <f>Github!F$1074+Github!G$1074</f>
        <v>303</v>
      </c>
      <c r="F1818" s="12">
        <f t="shared" si="1"/>
        <v>2.4</v>
      </c>
      <c r="G1818" s="10" t="str">
        <f>Github!H$1074</f>
        <v>Algorithms</v>
      </c>
      <c r="H1818" s="13" t="str">
        <f>SUBSTITUTE(Github!L$1074, ";", ", ")</f>
        <v>Array, Math, </v>
      </c>
      <c r="I1818" s="10" t="str">
        <f>Github!E$1074</f>
        <v>Medium</v>
      </c>
      <c r="J1818" s="10" t="str">
        <f>IF(TRIM(Github!D$1074)="TRUE","FALSE","TRUE")</f>
        <v>TRUE</v>
      </c>
      <c r="K1818" s="10" t="b">
        <f>Github!M$1074</f>
        <v>0</v>
      </c>
      <c r="L1818" s="10" t="b">
        <f>Github!N$1074</f>
        <v>0</v>
      </c>
      <c r="M1818" s="10" t="str">
        <f>ROUND(Github!O$1074, 2)&amp;"%"</f>
        <v>35.83%</v>
      </c>
      <c r="N1818" s="10">
        <f>Github!P$1074</f>
        <v>11859</v>
      </c>
      <c r="O1818" s="10">
        <f>Github!Q$1074</f>
        <v>33100</v>
      </c>
    </row>
    <row r="1819">
      <c r="A1819" s="10">
        <f>Github!J$1826</f>
        <v>1825</v>
      </c>
      <c r="B1819" s="11" t="str">
        <f>HYPERLINK(CONCAT("http://leetcode.com/problems/",Github!C$1826), Github!B$1826)</f>
        <v>Finding MK Average</v>
      </c>
      <c r="C1819" s="10">
        <f>Github!F$1826</f>
        <v>214</v>
      </c>
      <c r="D1819" s="10">
        <f>Github!G$1826</f>
        <v>81</v>
      </c>
      <c r="E1819" s="10">
        <f>Github!F$1826+Github!G$1826</f>
        <v>295</v>
      </c>
      <c r="F1819" s="12">
        <f t="shared" si="1"/>
        <v>2.64</v>
      </c>
      <c r="G1819" s="10" t="str">
        <f>Github!H$1826</f>
        <v>Algorithms</v>
      </c>
      <c r="H1819" s="13" t="str">
        <f>SUBSTITUTE(Github!L$1826, ";", ", ")</f>
        <v>Design, Queue, Heap (Priority Queue), Ordered Set, </v>
      </c>
      <c r="I1819" s="10" t="str">
        <f>Github!E$1826</f>
        <v>Hard</v>
      </c>
      <c r="J1819" s="10" t="str">
        <f>IF(TRIM(Github!D$1826)="TRUE","FALSE","TRUE")</f>
        <v>TRUE</v>
      </c>
      <c r="K1819" s="10" t="b">
        <f>Github!M$1826</f>
        <v>0</v>
      </c>
      <c r="L1819" s="10" t="b">
        <f>Github!N$1826</f>
        <v>0</v>
      </c>
      <c r="M1819" s="10" t="str">
        <f>ROUND(Github!O$1826, 2)&amp;"%"</f>
        <v>33.49%</v>
      </c>
      <c r="N1819" s="10">
        <f>Github!P$1826</f>
        <v>7016</v>
      </c>
      <c r="O1819" s="10">
        <f>Github!Q$1826</f>
        <v>20950</v>
      </c>
    </row>
    <row r="1820">
      <c r="A1820" s="10">
        <f>Github!J$712</f>
        <v>711</v>
      </c>
      <c r="B1820" s="11" t="str">
        <f>HYPERLINK(CONCAT("http://leetcode.com/problems/",Github!C$712), Github!B$712)</f>
        <v>Number of Distinct Islands II</v>
      </c>
      <c r="C1820" s="10">
        <f>Github!F$712</f>
        <v>213</v>
      </c>
      <c r="D1820" s="10">
        <f>Github!G$712</f>
        <v>220</v>
      </c>
      <c r="E1820" s="10">
        <f>Github!F$712+Github!G$712</f>
        <v>433</v>
      </c>
      <c r="F1820" s="12">
        <f t="shared" si="1"/>
        <v>0.97</v>
      </c>
      <c r="G1820" s="10" t="str">
        <f>Github!H$712</f>
        <v>Algorithms</v>
      </c>
      <c r="H1820" s="13" t="str">
        <f>SUBSTITUTE(Github!L$712, ";", ", ")</f>
        <v>Hash Table, Depth-First Search, Breadth-First Search, Union Find, Hash Function, </v>
      </c>
      <c r="I1820" s="10" t="str">
        <f>Github!E$712</f>
        <v>Hard</v>
      </c>
      <c r="J1820" s="10" t="str">
        <f>IF(TRIM(Github!D$712)="TRUE","FALSE","TRUE")</f>
        <v>FALSE</v>
      </c>
      <c r="K1820" s="10" t="b">
        <f>Github!M$712</f>
        <v>0</v>
      </c>
      <c r="L1820" s="10" t="b">
        <f>Github!N$712</f>
        <v>0</v>
      </c>
      <c r="M1820" s="10" t="str">
        <f>ROUND(Github!O$712, 2)&amp;"%"</f>
        <v>51.01%</v>
      </c>
      <c r="N1820" s="10">
        <f>Github!P$712</f>
        <v>8189</v>
      </c>
      <c r="O1820" s="10">
        <f>Github!Q$712</f>
        <v>16053</v>
      </c>
    </row>
    <row r="1821">
      <c r="A1821" s="10">
        <f>Github!J$1814</f>
        <v>1813</v>
      </c>
      <c r="B1821" s="11" t="str">
        <f>HYPERLINK(CONCAT("http://leetcode.com/problems/",Github!C$1814), Github!B$1814)</f>
        <v>Sentence Similarity III</v>
      </c>
      <c r="C1821" s="10">
        <f>Github!F$1814</f>
        <v>214</v>
      </c>
      <c r="D1821" s="10">
        <f>Github!G$1814</f>
        <v>39</v>
      </c>
      <c r="E1821" s="10">
        <f>Github!F$1814+Github!G$1814</f>
        <v>253</v>
      </c>
      <c r="F1821" s="12">
        <f t="shared" si="1"/>
        <v>5.49</v>
      </c>
      <c r="G1821" s="10" t="str">
        <f>Github!H$1814</f>
        <v>Algorithms</v>
      </c>
      <c r="H1821" s="13" t="str">
        <f>SUBSTITUTE(Github!L$1814, ";", ", ")</f>
        <v>Array, Two Pointers, String, </v>
      </c>
      <c r="I1821" s="10" t="str">
        <f>Github!E$1814</f>
        <v>Medium</v>
      </c>
      <c r="J1821" s="10" t="str">
        <f>IF(TRIM(Github!D$1814)="TRUE","FALSE","TRUE")</f>
        <v>TRUE</v>
      </c>
      <c r="K1821" s="10" t="b">
        <f>Github!M$1814</f>
        <v>0</v>
      </c>
      <c r="L1821" s="10" t="b">
        <f>Github!N$1814</f>
        <v>0</v>
      </c>
      <c r="M1821" s="10" t="str">
        <f>ROUND(Github!O$1814, 2)&amp;"%"</f>
        <v>32.39%</v>
      </c>
      <c r="N1821" s="10">
        <f>Github!P$1814</f>
        <v>9606</v>
      </c>
      <c r="O1821" s="10">
        <f>Github!Q$1814</f>
        <v>29653</v>
      </c>
    </row>
    <row r="1822">
      <c r="A1822" s="10">
        <f>Github!J$1962</f>
        <v>1961</v>
      </c>
      <c r="B1822" s="11" t="str">
        <f>HYPERLINK(CONCAT("http://leetcode.com/problems/",Github!C$1962), Github!B$1962)</f>
        <v>Check If String Is a Prefix of Array</v>
      </c>
      <c r="C1822" s="10">
        <f>Github!F$1962</f>
        <v>215</v>
      </c>
      <c r="D1822" s="10">
        <f>Github!G$1962</f>
        <v>32</v>
      </c>
      <c r="E1822" s="10">
        <f>Github!F$1962+Github!G$1962</f>
        <v>247</v>
      </c>
      <c r="F1822" s="12">
        <f t="shared" si="1"/>
        <v>6.72</v>
      </c>
      <c r="G1822" s="10" t="str">
        <f>Github!H$1962</f>
        <v>Algorithms</v>
      </c>
      <c r="H1822" s="13" t="str">
        <f>SUBSTITUTE(Github!L$1962, ";", ", ")</f>
        <v>Array, String, </v>
      </c>
      <c r="I1822" s="10" t="str">
        <f>Github!E$1962</f>
        <v>Easy</v>
      </c>
      <c r="J1822" s="10" t="str">
        <f>IF(TRIM(Github!D$1962)="TRUE","FALSE","TRUE")</f>
        <v>TRUE</v>
      </c>
      <c r="K1822" s="10" t="b">
        <f>Github!M$1962</f>
        <v>0</v>
      </c>
      <c r="L1822" s="10" t="b">
        <f>Github!N$1962</f>
        <v>0</v>
      </c>
      <c r="M1822" s="10" t="str">
        <f>ROUND(Github!O$1962, 2)&amp;"%"</f>
        <v>54.61%</v>
      </c>
      <c r="N1822" s="10">
        <f>Github!P$1962</f>
        <v>24892</v>
      </c>
      <c r="O1822" s="10">
        <f>Github!Q$1962</f>
        <v>45580</v>
      </c>
    </row>
    <row r="1823">
      <c r="A1823" s="10">
        <f>Github!J$1587</f>
        <v>1586</v>
      </c>
      <c r="B1823" s="11" t="str">
        <f>HYPERLINK(CONCAT("http://leetcode.com/problems/",Github!C$1587), Github!B$1587)</f>
        <v>Binary Search Tree Iterator II</v>
      </c>
      <c r="C1823" s="10">
        <f>Github!F$1587</f>
        <v>219</v>
      </c>
      <c r="D1823" s="10">
        <f>Github!G$1587</f>
        <v>26</v>
      </c>
      <c r="E1823" s="10">
        <f>Github!F$1587+Github!G$1587</f>
        <v>245</v>
      </c>
      <c r="F1823" s="12">
        <f t="shared" si="1"/>
        <v>8.42</v>
      </c>
      <c r="G1823" s="10" t="str">
        <f>Github!H$1587</f>
        <v>Algorithms</v>
      </c>
      <c r="H1823" s="13" t="str">
        <f>SUBSTITUTE(Github!L$1587, ";", ", ")</f>
        <v>Stack, Tree, Design, Binary Search Tree, Binary Tree, Iterator, </v>
      </c>
      <c r="I1823" s="10" t="str">
        <f>Github!E$1587</f>
        <v>Medium</v>
      </c>
      <c r="J1823" s="10" t="str">
        <f>IF(TRIM(Github!D$1587)="TRUE","FALSE","TRUE")</f>
        <v>FALSE</v>
      </c>
      <c r="K1823" s="10" t="b">
        <f>Github!M$1587</f>
        <v>1</v>
      </c>
      <c r="L1823" s="10" t="b">
        <f>Github!N$1587</f>
        <v>0</v>
      </c>
      <c r="M1823" s="10" t="str">
        <f>ROUND(Github!O$1587, 2)&amp;"%"</f>
        <v>70.06%</v>
      </c>
      <c r="N1823" s="10">
        <f>Github!P$1587</f>
        <v>10261</v>
      </c>
      <c r="O1823" s="10">
        <f>Github!Q$1587</f>
        <v>14646</v>
      </c>
    </row>
    <row r="1824">
      <c r="A1824" s="10">
        <f>Github!J$2002</f>
        <v>2001</v>
      </c>
      <c r="B1824" s="11" t="str">
        <f>HYPERLINK(CONCAT("http://leetcode.com/problems/",Github!C$2002), Github!B$2002)</f>
        <v>Number of Pairs of Interchangeable Rectangles</v>
      </c>
      <c r="C1824" s="10">
        <f>Github!F$2002</f>
        <v>215</v>
      </c>
      <c r="D1824" s="10">
        <f>Github!G$2002</f>
        <v>20</v>
      </c>
      <c r="E1824" s="10">
        <f>Github!F$2002+Github!G$2002</f>
        <v>235</v>
      </c>
      <c r="F1824" s="12">
        <f t="shared" si="1"/>
        <v>10.75</v>
      </c>
      <c r="G1824" s="10" t="str">
        <f>Github!H$2002</f>
        <v>Algorithms</v>
      </c>
      <c r="H1824" s="13" t="str">
        <f>SUBSTITUTE(Github!L$2002, ";", ", ")</f>
        <v>Array, Hash Table, Math, Counting, Number Theory, </v>
      </c>
      <c r="I1824" s="10" t="str">
        <f>Github!E$2002</f>
        <v>Medium</v>
      </c>
      <c r="J1824" s="10" t="str">
        <f>IF(TRIM(Github!D$2002)="TRUE","FALSE","TRUE")</f>
        <v>TRUE</v>
      </c>
      <c r="K1824" s="10" t="b">
        <f>Github!M$2002</f>
        <v>0</v>
      </c>
      <c r="L1824" s="10" t="b">
        <f>Github!N$2002</f>
        <v>0</v>
      </c>
      <c r="M1824" s="10" t="str">
        <f>ROUND(Github!O$2002, 2)&amp;"%"</f>
        <v>43.08%</v>
      </c>
      <c r="N1824" s="10">
        <f>Github!P$2002</f>
        <v>15849</v>
      </c>
      <c r="O1824" s="10">
        <f>Github!Q$2002</f>
        <v>36793</v>
      </c>
    </row>
    <row r="1825">
      <c r="A1825" s="10">
        <f>Github!J$2192</f>
        <v>2191</v>
      </c>
      <c r="B1825" s="11" t="str">
        <f>HYPERLINK(CONCAT("http://leetcode.com/problems/",Github!C$2192), Github!B$2192)</f>
        <v>Sort the Jumbled Numbers</v>
      </c>
      <c r="C1825" s="10">
        <f>Github!F$2192</f>
        <v>213</v>
      </c>
      <c r="D1825" s="10">
        <f>Github!G$2192</f>
        <v>25</v>
      </c>
      <c r="E1825" s="10">
        <f>Github!F$2192+Github!G$2192</f>
        <v>238</v>
      </c>
      <c r="F1825" s="12">
        <f t="shared" si="1"/>
        <v>8.52</v>
      </c>
      <c r="G1825" s="10" t="str">
        <f>Github!H$2192</f>
        <v>Algorithms</v>
      </c>
      <c r="H1825" s="13" t="str">
        <f>SUBSTITUTE(Github!L$2192, ";", ", ")</f>
        <v>Array, Sorting, </v>
      </c>
      <c r="I1825" s="10" t="str">
        <f>Github!E$2192</f>
        <v>Medium</v>
      </c>
      <c r="J1825" s="10" t="str">
        <f>IF(TRIM(Github!D$2192)="TRUE","FALSE","TRUE")</f>
        <v>TRUE</v>
      </c>
      <c r="K1825" s="10" t="b">
        <f>Github!M$2192</f>
        <v>0</v>
      </c>
      <c r="L1825" s="10" t="b">
        <f>Github!N$2192</f>
        <v>0</v>
      </c>
      <c r="M1825" s="10" t="str">
        <f>ROUND(Github!O$2192, 2)&amp;"%"</f>
        <v>43.47%</v>
      </c>
      <c r="N1825" s="10">
        <f>Github!P$2192</f>
        <v>12142</v>
      </c>
      <c r="O1825" s="10">
        <f>Github!Q$2192</f>
        <v>27935</v>
      </c>
    </row>
    <row r="1826">
      <c r="A1826" s="10">
        <f>Github!J$1304</f>
        <v>1303</v>
      </c>
      <c r="B1826" s="11" t="str">
        <f>HYPERLINK(CONCAT("http://leetcode.com/problems/",Github!C$1304), Github!B$1304)</f>
        <v>Find the Team Size</v>
      </c>
      <c r="C1826" s="10">
        <f>Github!F$1304</f>
        <v>214</v>
      </c>
      <c r="D1826" s="10">
        <f>Github!G$1304</f>
        <v>12</v>
      </c>
      <c r="E1826" s="10">
        <f>Github!F$1304+Github!G$1304</f>
        <v>226</v>
      </c>
      <c r="F1826" s="12">
        <f t="shared" si="1"/>
        <v>17.83</v>
      </c>
      <c r="G1826" s="10" t="str">
        <f>Github!H$1304</f>
        <v>Database</v>
      </c>
      <c r="H1826" s="13" t="str">
        <f>SUBSTITUTE(Github!L$1304, ";", ", ")</f>
        <v>Database, </v>
      </c>
      <c r="I1826" s="10" t="str">
        <f>Github!E$1304</f>
        <v>Easy</v>
      </c>
      <c r="J1826" s="10" t="str">
        <f>IF(TRIM(Github!D$1304)="TRUE","FALSE","TRUE")</f>
        <v>FALSE</v>
      </c>
      <c r="K1826" s="10" t="b">
        <f>Github!M$1304</f>
        <v>0</v>
      </c>
      <c r="L1826" s="10" t="b">
        <f>Github!N$1304</f>
        <v>0</v>
      </c>
      <c r="M1826" s="10" t="str">
        <f>ROUND(Github!O$1304, 2)&amp;"%"</f>
        <v>90.8%</v>
      </c>
      <c r="N1826" s="10">
        <f>Github!P$1304</f>
        <v>40624</v>
      </c>
      <c r="O1826" s="10">
        <f>Github!Q$1304</f>
        <v>44742</v>
      </c>
    </row>
    <row r="1827">
      <c r="A1827" s="10">
        <f>Github!J$1995</f>
        <v>1994</v>
      </c>
      <c r="B1827" s="11" t="str">
        <f>HYPERLINK(CONCAT("http://leetcode.com/problems/",Github!C$1995), Github!B$1995)</f>
        <v>The Number of Good Subsets</v>
      </c>
      <c r="C1827" s="10">
        <f>Github!F$1995</f>
        <v>216</v>
      </c>
      <c r="D1827" s="10">
        <f>Github!G$1995</f>
        <v>8</v>
      </c>
      <c r="E1827" s="10">
        <f>Github!F$1995+Github!G$1995</f>
        <v>224</v>
      </c>
      <c r="F1827" s="12">
        <f t="shared" si="1"/>
        <v>27</v>
      </c>
      <c r="G1827" s="10" t="str">
        <f>Github!H$1995</f>
        <v>Algorithms</v>
      </c>
      <c r="H1827" s="13" t="str">
        <f>SUBSTITUTE(Github!L$1995, ";", ", ")</f>
        <v>Array, Math, Dynamic Programming, Bit Manipulation, Bitmask, </v>
      </c>
      <c r="I1827" s="10" t="str">
        <f>Github!E$1995</f>
        <v>Hard</v>
      </c>
      <c r="J1827" s="10" t="str">
        <f>IF(TRIM(Github!D$1995)="TRUE","FALSE","TRUE")</f>
        <v>TRUE</v>
      </c>
      <c r="K1827" s="10" t="b">
        <f>Github!M$1995</f>
        <v>0</v>
      </c>
      <c r="L1827" s="10" t="b">
        <f>Github!N$1995</f>
        <v>0</v>
      </c>
      <c r="M1827" s="10" t="str">
        <f>ROUND(Github!O$1995, 2)&amp;"%"</f>
        <v>34.04%</v>
      </c>
      <c r="N1827" s="10">
        <f>Github!P$1995</f>
        <v>3636</v>
      </c>
      <c r="O1827" s="10">
        <f>Github!Q$1995</f>
        <v>10681</v>
      </c>
    </row>
    <row r="1828">
      <c r="A1828" s="10">
        <f>Github!J$611</f>
        <v>610</v>
      </c>
      <c r="B1828" s="11" t="str">
        <f>HYPERLINK(CONCAT("http://leetcode.com/problems/",Github!C$611), Github!B$611)</f>
        <v>Triangle Judgement</v>
      </c>
      <c r="C1828" s="10">
        <f>Github!F$611</f>
        <v>211</v>
      </c>
      <c r="D1828" s="10">
        <f>Github!G$611</f>
        <v>50</v>
      </c>
      <c r="E1828" s="10">
        <f>Github!F$611+Github!G$611</f>
        <v>261</v>
      </c>
      <c r="F1828" s="12">
        <f t="shared" si="1"/>
        <v>4.22</v>
      </c>
      <c r="G1828" s="10" t="str">
        <f>Github!H$611</f>
        <v>Database</v>
      </c>
      <c r="H1828" s="13" t="str">
        <f>SUBSTITUTE(Github!L$611, ";", ", ")</f>
        <v>Database, </v>
      </c>
      <c r="I1828" s="10" t="str">
        <f>Github!E$611</f>
        <v>Easy</v>
      </c>
      <c r="J1828" s="10" t="str">
        <f>IF(TRIM(Github!D$611)="TRUE","FALSE","TRUE")</f>
        <v>FALSE</v>
      </c>
      <c r="K1828" s="10" t="b">
        <f>Github!M$611</f>
        <v>1</v>
      </c>
      <c r="L1828" s="10" t="b">
        <f>Github!N$611</f>
        <v>0</v>
      </c>
      <c r="M1828" s="10" t="str">
        <f>ROUND(Github!O$611, 2)&amp;"%"</f>
        <v>70.88%</v>
      </c>
      <c r="N1828" s="10">
        <f>Github!P$611</f>
        <v>50066</v>
      </c>
      <c r="O1828" s="10">
        <f>Github!Q$611</f>
        <v>70632</v>
      </c>
    </row>
    <row r="1829">
      <c r="A1829" s="10">
        <f>Github!J$2029</f>
        <v>2028</v>
      </c>
      <c r="B1829" s="11" t="str">
        <f>HYPERLINK(CONCAT("http://leetcode.com/problems/",Github!C$2029), Github!B$2029)</f>
        <v>Find Missing Observations</v>
      </c>
      <c r="C1829" s="10">
        <f>Github!F$2029</f>
        <v>212</v>
      </c>
      <c r="D1829" s="10">
        <f>Github!G$2029</f>
        <v>9</v>
      </c>
      <c r="E1829" s="10">
        <f>Github!F$2029+Github!G$2029</f>
        <v>221</v>
      </c>
      <c r="F1829" s="12">
        <f t="shared" si="1"/>
        <v>23.56</v>
      </c>
      <c r="G1829" s="10" t="str">
        <f>Github!H$2029</f>
        <v>Algorithms</v>
      </c>
      <c r="H1829" s="13" t="str">
        <f>SUBSTITUTE(Github!L$2029, ";", ", ")</f>
        <v>Array, Math, Simulation, </v>
      </c>
      <c r="I1829" s="10" t="str">
        <f>Github!E$2029</f>
        <v>Medium</v>
      </c>
      <c r="J1829" s="10" t="str">
        <f>IF(TRIM(Github!D$2029)="TRUE","FALSE","TRUE")</f>
        <v>TRUE</v>
      </c>
      <c r="K1829" s="10" t="b">
        <f>Github!M$2029</f>
        <v>0</v>
      </c>
      <c r="L1829" s="10" t="b">
        <f>Github!N$2029</f>
        <v>0</v>
      </c>
      <c r="M1829" s="10" t="str">
        <f>ROUND(Github!O$2029, 2)&amp;"%"</f>
        <v>42.09%</v>
      </c>
      <c r="N1829" s="10">
        <f>Github!P$2029</f>
        <v>13099</v>
      </c>
      <c r="O1829" s="10">
        <f>Github!Q$2029</f>
        <v>31118</v>
      </c>
    </row>
    <row r="1830">
      <c r="A1830" s="10">
        <f>Github!J$1656</f>
        <v>1655</v>
      </c>
      <c r="B1830" s="11" t="str">
        <f>HYPERLINK(CONCAT("http://leetcode.com/problems/",Github!C$1656), Github!B$1656)</f>
        <v>Distribute Repeating Integers</v>
      </c>
      <c r="C1830" s="10">
        <f>Github!F$1656</f>
        <v>211</v>
      </c>
      <c r="D1830" s="10">
        <f>Github!G$1656</f>
        <v>15</v>
      </c>
      <c r="E1830" s="10">
        <f>Github!F$1656+Github!G$1656</f>
        <v>226</v>
      </c>
      <c r="F1830" s="12">
        <f t="shared" si="1"/>
        <v>14.07</v>
      </c>
      <c r="G1830" s="10" t="str">
        <f>Github!H$1656</f>
        <v>Algorithms</v>
      </c>
      <c r="H1830" s="13" t="str">
        <f>SUBSTITUTE(Github!L$1656, ";", ", ")</f>
        <v>Array, Dynamic Programming, Backtracking, Bit Manipulation, Bitmask, </v>
      </c>
      <c r="I1830" s="10" t="str">
        <f>Github!E$1656</f>
        <v>Hard</v>
      </c>
      <c r="J1830" s="10" t="str">
        <f>IF(TRIM(Github!D$1656)="TRUE","FALSE","TRUE")</f>
        <v>TRUE</v>
      </c>
      <c r="K1830" s="10" t="b">
        <f>Github!M$1656</f>
        <v>0</v>
      </c>
      <c r="L1830" s="10" t="b">
        <f>Github!N$1656</f>
        <v>0</v>
      </c>
      <c r="M1830" s="10" t="str">
        <f>ROUND(Github!O$1656, 2)&amp;"%"</f>
        <v>40.23%</v>
      </c>
      <c r="N1830" s="10">
        <f>Github!P$1656</f>
        <v>7894</v>
      </c>
      <c r="O1830" s="10">
        <f>Github!Q$1656</f>
        <v>19617</v>
      </c>
    </row>
    <row r="1831">
      <c r="A1831" s="10">
        <f>Github!J$2039</f>
        <v>2038</v>
      </c>
      <c r="B1831" s="11" t="str">
        <f>HYPERLINK(CONCAT("http://leetcode.com/problems/",Github!C$2039), Github!B$2039)</f>
        <v>Remove Colored Pieces if Both Neighbors are the Same Color</v>
      </c>
      <c r="C1831" s="10">
        <f>Github!F$2039</f>
        <v>212</v>
      </c>
      <c r="D1831" s="10">
        <f>Github!G$2039</f>
        <v>19</v>
      </c>
      <c r="E1831" s="10">
        <f>Github!F$2039+Github!G$2039</f>
        <v>231</v>
      </c>
      <c r="F1831" s="12">
        <f t="shared" si="1"/>
        <v>11.16</v>
      </c>
      <c r="G1831" s="10" t="str">
        <f>Github!H$2039</f>
        <v>Algorithms</v>
      </c>
      <c r="H1831" s="13" t="str">
        <f>SUBSTITUTE(Github!L$2039, ";", ", ")</f>
        <v>Math, String, Greedy, Game Theory, </v>
      </c>
      <c r="I1831" s="10" t="str">
        <f>Github!E$2039</f>
        <v>Medium</v>
      </c>
      <c r="J1831" s="10" t="str">
        <f>IF(TRIM(Github!D$2039)="TRUE","FALSE","TRUE")</f>
        <v>TRUE</v>
      </c>
      <c r="K1831" s="10" t="b">
        <f>Github!M$2039</f>
        <v>0</v>
      </c>
      <c r="L1831" s="10" t="b">
        <f>Github!N$2039</f>
        <v>0</v>
      </c>
      <c r="M1831" s="10" t="str">
        <f>ROUND(Github!O$2039, 2)&amp;"%"</f>
        <v>56.16%</v>
      </c>
      <c r="N1831" s="10">
        <f>Github!P$2039</f>
        <v>11594</v>
      </c>
      <c r="O1831" s="10">
        <f>Github!Q$2039</f>
        <v>20643</v>
      </c>
    </row>
    <row r="1832">
      <c r="A1832" s="10">
        <f>Github!J$2095</f>
        <v>2094</v>
      </c>
      <c r="B1832" s="11" t="str">
        <f>HYPERLINK(CONCAT("http://leetcode.com/problems/",Github!C$2095), Github!B$2095)</f>
        <v>Finding 3-Digit Even Numbers</v>
      </c>
      <c r="C1832" s="10">
        <f>Github!F$2095</f>
        <v>216</v>
      </c>
      <c r="D1832" s="10">
        <f>Github!G$2095</f>
        <v>171</v>
      </c>
      <c r="E1832" s="10">
        <f>Github!F$2095+Github!G$2095</f>
        <v>387</v>
      </c>
      <c r="F1832" s="12">
        <f t="shared" si="1"/>
        <v>1.26</v>
      </c>
      <c r="G1832" s="10" t="str">
        <f>Github!H$2095</f>
        <v>Algorithms</v>
      </c>
      <c r="H1832" s="13" t="str">
        <f>SUBSTITUTE(Github!L$2095, ";", ", ")</f>
        <v>Array, Hash Table, Sorting, Enumeration, </v>
      </c>
      <c r="I1832" s="10" t="str">
        <f>Github!E$2095</f>
        <v>Easy</v>
      </c>
      <c r="J1832" s="10" t="str">
        <f>IF(TRIM(Github!D$2095)="TRUE","FALSE","TRUE")</f>
        <v>TRUE</v>
      </c>
      <c r="K1832" s="10" t="b">
        <f>Github!M$2095</f>
        <v>0</v>
      </c>
      <c r="L1832" s="10" t="b">
        <f>Github!N$2095</f>
        <v>0</v>
      </c>
      <c r="M1832" s="10" t="str">
        <f>ROUND(Github!O$2095, 2)&amp;"%"</f>
        <v>56.48%</v>
      </c>
      <c r="N1832" s="10">
        <f>Github!P$2095</f>
        <v>15199</v>
      </c>
      <c r="O1832" s="10">
        <f>Github!Q$2095</f>
        <v>26909</v>
      </c>
    </row>
    <row r="1833">
      <c r="A1833" s="10">
        <f>Github!J$1884</f>
        <v>1883</v>
      </c>
      <c r="B1833" s="11" t="str">
        <f>HYPERLINK(CONCAT("http://leetcode.com/problems/",Github!C$1884), Github!B$1884)</f>
        <v>Minimum Skips to Arrive at Meeting On Time</v>
      </c>
      <c r="C1833" s="10">
        <f>Github!F$1884</f>
        <v>212</v>
      </c>
      <c r="D1833" s="10">
        <f>Github!G$1884</f>
        <v>39</v>
      </c>
      <c r="E1833" s="10">
        <f>Github!F$1884+Github!G$1884</f>
        <v>251</v>
      </c>
      <c r="F1833" s="12">
        <f t="shared" si="1"/>
        <v>5.44</v>
      </c>
      <c r="G1833" s="10" t="str">
        <f>Github!H$1884</f>
        <v>Algorithms</v>
      </c>
      <c r="H1833" s="13" t="str">
        <f>SUBSTITUTE(Github!L$1884, ";", ", ")</f>
        <v>Array, Dynamic Programming, </v>
      </c>
      <c r="I1833" s="10" t="str">
        <f>Github!E$1884</f>
        <v>Hard</v>
      </c>
      <c r="J1833" s="10" t="str">
        <f>IF(TRIM(Github!D$1884)="TRUE","FALSE","TRUE")</f>
        <v>TRUE</v>
      </c>
      <c r="K1833" s="10" t="b">
        <f>Github!M$1884</f>
        <v>0</v>
      </c>
      <c r="L1833" s="10" t="b">
        <f>Github!N$1884</f>
        <v>0</v>
      </c>
      <c r="M1833" s="10" t="str">
        <f>ROUND(Github!O$1884, 2)&amp;"%"</f>
        <v>38.57%</v>
      </c>
      <c r="N1833" s="10">
        <f>Github!P$1884</f>
        <v>4601</v>
      </c>
      <c r="O1833" s="10">
        <f>Github!Q$1884</f>
        <v>11930</v>
      </c>
    </row>
    <row r="1834">
      <c r="A1834" s="10">
        <f>Github!J$1955</f>
        <v>1954</v>
      </c>
      <c r="B1834" s="11" t="str">
        <f>HYPERLINK(CONCAT("http://leetcode.com/problems/",Github!C$1955), Github!B$1955)</f>
        <v>Minimum Garden Perimeter to Collect Enough Apples</v>
      </c>
      <c r="C1834" s="10">
        <f>Github!F$1955</f>
        <v>212</v>
      </c>
      <c r="D1834" s="10">
        <f>Github!G$1955</f>
        <v>65</v>
      </c>
      <c r="E1834" s="10">
        <f>Github!F$1955+Github!G$1955</f>
        <v>277</v>
      </c>
      <c r="F1834" s="12">
        <f t="shared" si="1"/>
        <v>3.26</v>
      </c>
      <c r="G1834" s="10" t="str">
        <f>Github!H$1955</f>
        <v>Algorithms</v>
      </c>
      <c r="H1834" s="13" t="str">
        <f>SUBSTITUTE(Github!L$1955, ";", ", ")</f>
        <v>Math, Binary Search, </v>
      </c>
      <c r="I1834" s="10" t="str">
        <f>Github!E$1955</f>
        <v>Medium</v>
      </c>
      <c r="J1834" s="10" t="str">
        <f>IF(TRIM(Github!D$1955)="TRUE","FALSE","TRUE")</f>
        <v>TRUE</v>
      </c>
      <c r="K1834" s="10" t="b">
        <f>Github!M$1955</f>
        <v>0</v>
      </c>
      <c r="L1834" s="10" t="b">
        <f>Github!N$1955</f>
        <v>0</v>
      </c>
      <c r="M1834" s="10" t="str">
        <f>ROUND(Github!O$1955, 2)&amp;"%"</f>
        <v>52.47%</v>
      </c>
      <c r="N1834" s="10">
        <f>Github!P$1955</f>
        <v>10991</v>
      </c>
      <c r="O1834" s="10">
        <f>Github!Q$1955</f>
        <v>20949</v>
      </c>
    </row>
    <row r="1835">
      <c r="A1835" s="10">
        <f>Github!J$551</f>
        <v>550</v>
      </c>
      <c r="B1835" s="11" t="str">
        <f>HYPERLINK(CONCAT("http://leetcode.com/problems/",Github!C$551), Github!B$551)</f>
        <v>Game Play Analysis IV</v>
      </c>
      <c r="C1835" s="10">
        <f>Github!F$551</f>
        <v>213</v>
      </c>
      <c r="D1835" s="10">
        <f>Github!G$551</f>
        <v>61</v>
      </c>
      <c r="E1835" s="10">
        <f>Github!F$551+Github!G$551</f>
        <v>274</v>
      </c>
      <c r="F1835" s="12">
        <f t="shared" si="1"/>
        <v>3.49</v>
      </c>
      <c r="G1835" s="10" t="str">
        <f>Github!H$551</f>
        <v>Database</v>
      </c>
      <c r="H1835" s="13" t="str">
        <f>SUBSTITUTE(Github!L$551, ";", ", ")</f>
        <v>Database, </v>
      </c>
      <c r="I1835" s="10" t="str">
        <f>Github!E$551</f>
        <v>Medium</v>
      </c>
      <c r="J1835" s="10" t="str">
        <f>IF(TRIM(Github!D$551)="TRUE","FALSE","TRUE")</f>
        <v>FALSE</v>
      </c>
      <c r="K1835" s="10" t="b">
        <f>Github!M$551</f>
        <v>0</v>
      </c>
      <c r="L1835" s="10" t="b">
        <f>Github!N$551</f>
        <v>0</v>
      </c>
      <c r="M1835" s="10" t="str">
        <f>ROUND(Github!O$551, 2)&amp;"%"</f>
        <v>44.1%</v>
      </c>
      <c r="N1835" s="10">
        <f>Github!P$551</f>
        <v>39274</v>
      </c>
      <c r="O1835" s="10">
        <f>Github!Q$551</f>
        <v>89049</v>
      </c>
    </row>
    <row r="1836">
      <c r="A1836" s="10">
        <f>Github!J$585</f>
        <v>584</v>
      </c>
      <c r="B1836" s="11" t="str">
        <f>HYPERLINK(CONCAT("http://leetcode.com/problems/",Github!C$585), Github!B$585)</f>
        <v>Find Customer Referee</v>
      </c>
      <c r="C1836" s="10">
        <f>Github!F$585</f>
        <v>216</v>
      </c>
      <c r="D1836" s="10">
        <f>Github!G$585</f>
        <v>146</v>
      </c>
      <c r="E1836" s="10">
        <f>Github!F$585+Github!G$585</f>
        <v>362</v>
      </c>
      <c r="F1836" s="12">
        <f t="shared" si="1"/>
        <v>1.48</v>
      </c>
      <c r="G1836" s="10" t="str">
        <f>Github!H$585</f>
        <v>Database</v>
      </c>
      <c r="H1836" s="13" t="str">
        <f>SUBSTITUTE(Github!L$585, ";", ", ")</f>
        <v>Database, </v>
      </c>
      <c r="I1836" s="10" t="str">
        <f>Github!E$585</f>
        <v>Easy</v>
      </c>
      <c r="J1836" s="10" t="str">
        <f>IF(TRIM(Github!D$585)="TRUE","FALSE","TRUE")</f>
        <v>TRUE</v>
      </c>
      <c r="K1836" s="10" t="b">
        <f>Github!M$585</f>
        <v>1</v>
      </c>
      <c r="L1836" s="10" t="b">
        <f>Github!N$585</f>
        <v>0</v>
      </c>
      <c r="M1836" s="10" t="str">
        <f>ROUND(Github!O$585, 2)&amp;"%"</f>
        <v>76.85%</v>
      </c>
      <c r="N1836" s="10">
        <f>Github!P$585</f>
        <v>67845</v>
      </c>
      <c r="O1836" s="10">
        <f>Github!Q$585</f>
        <v>88279</v>
      </c>
    </row>
    <row r="1837">
      <c r="A1837" s="10">
        <f>Github!J$1334</f>
        <v>1333</v>
      </c>
      <c r="B1837" s="11" t="str">
        <f>HYPERLINK(CONCAT("http://leetcode.com/problems/",Github!C$1334), Github!B$1334)</f>
        <v>Filter Restaurants by Vegan-Friendly, Price and Distance</v>
      </c>
      <c r="C1837" s="10">
        <f>Github!F$1334</f>
        <v>208</v>
      </c>
      <c r="D1837" s="10">
        <f>Github!G$1334</f>
        <v>176</v>
      </c>
      <c r="E1837" s="10">
        <f>Github!F$1334+Github!G$1334</f>
        <v>384</v>
      </c>
      <c r="F1837" s="12">
        <f t="shared" si="1"/>
        <v>1.18</v>
      </c>
      <c r="G1837" s="10" t="str">
        <f>Github!H$1334</f>
        <v>Algorithms</v>
      </c>
      <c r="H1837" s="13" t="str">
        <f>SUBSTITUTE(Github!L$1334, ";", ", ")</f>
        <v>Array, Sorting, </v>
      </c>
      <c r="I1837" s="10" t="str">
        <f>Github!E$1334</f>
        <v>Medium</v>
      </c>
      <c r="J1837" s="10" t="str">
        <f>IF(TRIM(Github!D$1334)="TRUE","FALSE","TRUE")</f>
        <v>TRUE</v>
      </c>
      <c r="K1837" s="10" t="b">
        <f>Github!M$1334</f>
        <v>0</v>
      </c>
      <c r="L1837" s="10" t="b">
        <f>Github!N$1334</f>
        <v>0</v>
      </c>
      <c r="M1837" s="10" t="str">
        <f>ROUND(Github!O$1334, 2)&amp;"%"</f>
        <v>58.78%</v>
      </c>
      <c r="N1837" s="10">
        <f>Github!P$1334</f>
        <v>21928</v>
      </c>
      <c r="O1837" s="10">
        <f>Github!Q$1334</f>
        <v>37306</v>
      </c>
    </row>
    <row r="1838">
      <c r="A1838" s="10">
        <f>Github!J$1847</f>
        <v>1846</v>
      </c>
      <c r="B1838" s="11" t="str">
        <f>HYPERLINK(CONCAT("http://leetcode.com/problems/",Github!C$1847), Github!B$1847)</f>
        <v>Maximum Element After Decreasing and Rearranging</v>
      </c>
      <c r="C1838" s="10">
        <f>Github!F$1847</f>
        <v>210</v>
      </c>
      <c r="D1838" s="10">
        <f>Github!G$1847</f>
        <v>47</v>
      </c>
      <c r="E1838" s="10">
        <f>Github!F$1847+Github!G$1847</f>
        <v>257</v>
      </c>
      <c r="F1838" s="12">
        <f t="shared" si="1"/>
        <v>4.47</v>
      </c>
      <c r="G1838" s="10" t="str">
        <f>Github!H$1847</f>
        <v>Algorithms</v>
      </c>
      <c r="H1838" s="13" t="str">
        <f>SUBSTITUTE(Github!L$1847, ";", ", ")</f>
        <v>Array, Greedy, Sorting, </v>
      </c>
      <c r="I1838" s="10" t="str">
        <f>Github!E$1847</f>
        <v>Medium</v>
      </c>
      <c r="J1838" s="10" t="str">
        <f>IF(TRIM(Github!D$1847)="TRUE","FALSE","TRUE")</f>
        <v>TRUE</v>
      </c>
      <c r="K1838" s="10" t="b">
        <f>Github!M$1847</f>
        <v>0</v>
      </c>
      <c r="L1838" s="10" t="b">
        <f>Github!N$1847</f>
        <v>0</v>
      </c>
      <c r="M1838" s="10" t="str">
        <f>ROUND(Github!O$1847, 2)&amp;"%"</f>
        <v>57.87%</v>
      </c>
      <c r="N1838" s="10">
        <f>Github!P$1847</f>
        <v>13747</v>
      </c>
      <c r="O1838" s="10">
        <f>Github!Q$1847</f>
        <v>23755</v>
      </c>
    </row>
    <row r="1839">
      <c r="A1839" s="10">
        <f>Github!J$1312</f>
        <v>1311</v>
      </c>
      <c r="B1839" s="11" t="str">
        <f>HYPERLINK(CONCAT("http://leetcode.com/problems/",Github!C$1312), Github!B$1312)</f>
        <v>Get Watched Videos by Your Friends</v>
      </c>
      <c r="C1839" s="10">
        <f>Github!F$1312</f>
        <v>209</v>
      </c>
      <c r="D1839" s="10">
        <f>Github!G$1312</f>
        <v>291</v>
      </c>
      <c r="E1839" s="10">
        <f>Github!F$1312+Github!G$1312</f>
        <v>500</v>
      </c>
      <c r="F1839" s="12">
        <f t="shared" si="1"/>
        <v>0.72</v>
      </c>
      <c r="G1839" s="10" t="str">
        <f>Github!H$1312</f>
        <v>Algorithms</v>
      </c>
      <c r="H1839" s="13" t="str">
        <f>SUBSTITUTE(Github!L$1312, ";", ", ")</f>
        <v>Array, Hash Table, Breadth-First Search, Sorting, </v>
      </c>
      <c r="I1839" s="10" t="str">
        <f>Github!E$1312</f>
        <v>Medium</v>
      </c>
      <c r="J1839" s="10" t="str">
        <f>IF(TRIM(Github!D$1312)="TRUE","FALSE","TRUE")</f>
        <v>TRUE</v>
      </c>
      <c r="K1839" s="10" t="b">
        <f>Github!M$1312</f>
        <v>0</v>
      </c>
      <c r="L1839" s="10" t="b">
        <f>Github!N$1312</f>
        <v>0</v>
      </c>
      <c r="M1839" s="10" t="str">
        <f>ROUND(Github!O$1312, 2)&amp;"%"</f>
        <v>45.16%</v>
      </c>
      <c r="N1839" s="10">
        <f>Github!P$1312</f>
        <v>14976</v>
      </c>
      <c r="O1839" s="10">
        <f>Github!Q$1312</f>
        <v>33160</v>
      </c>
    </row>
    <row r="1840">
      <c r="A1840" s="10">
        <f>Github!J$1994</f>
        <v>1993</v>
      </c>
      <c r="B1840" s="11" t="str">
        <f>HYPERLINK(CONCAT("http://leetcode.com/problems/",Github!C$1994), Github!B$1994)</f>
        <v>Operations on Tree</v>
      </c>
      <c r="C1840" s="10">
        <f>Github!F$1994</f>
        <v>210</v>
      </c>
      <c r="D1840" s="10">
        <f>Github!G$1994</f>
        <v>37</v>
      </c>
      <c r="E1840" s="10">
        <f>Github!F$1994+Github!G$1994</f>
        <v>247</v>
      </c>
      <c r="F1840" s="12">
        <f t="shared" si="1"/>
        <v>5.68</v>
      </c>
      <c r="G1840" s="10" t="str">
        <f>Github!H$1994</f>
        <v>Algorithms</v>
      </c>
      <c r="H1840" s="13" t="str">
        <f>SUBSTITUTE(Github!L$1994, ";", ", ")</f>
        <v>Hash Table, Tree, Breadth-First Search, Design, </v>
      </c>
      <c r="I1840" s="10" t="str">
        <f>Github!E$1994</f>
        <v>Medium</v>
      </c>
      <c r="J1840" s="10" t="str">
        <f>IF(TRIM(Github!D$1994)="TRUE","FALSE","TRUE")</f>
        <v>TRUE</v>
      </c>
      <c r="K1840" s="10" t="b">
        <f>Github!M$1994</f>
        <v>0</v>
      </c>
      <c r="L1840" s="10" t="b">
        <f>Github!N$1994</f>
        <v>0</v>
      </c>
      <c r="M1840" s="10" t="str">
        <f>ROUND(Github!O$1994, 2)&amp;"%"</f>
        <v>42.13%</v>
      </c>
      <c r="N1840" s="10">
        <f>Github!P$1994</f>
        <v>6758</v>
      </c>
      <c r="O1840" s="10">
        <f>Github!Q$1994</f>
        <v>16039</v>
      </c>
    </row>
    <row r="1841">
      <c r="A1841" s="10">
        <f>Github!J$1657</f>
        <v>1656</v>
      </c>
      <c r="B1841" s="11" t="str">
        <f>HYPERLINK(CONCAT("http://leetcode.com/problems/",Github!C$1657), Github!B$1657)</f>
        <v>Design an Ordered Stream</v>
      </c>
      <c r="C1841" s="10">
        <f>Github!F$1657</f>
        <v>206</v>
      </c>
      <c r="D1841" s="10">
        <f>Github!G$1657</f>
        <v>1724</v>
      </c>
      <c r="E1841" s="10">
        <f>Github!F$1657+Github!G$1657</f>
        <v>1930</v>
      </c>
      <c r="F1841" s="12">
        <f t="shared" si="1"/>
        <v>0.12</v>
      </c>
      <c r="G1841" s="10" t="str">
        <f>Github!H$1657</f>
        <v>Algorithms</v>
      </c>
      <c r="H1841" s="13" t="str">
        <f>SUBSTITUTE(Github!L$1657, ";", ", ")</f>
        <v>Array, Hash Table, Design, Data Stream, </v>
      </c>
      <c r="I1841" s="10" t="str">
        <f>Github!E$1657</f>
        <v>Easy</v>
      </c>
      <c r="J1841" s="10" t="str">
        <f>IF(TRIM(Github!D$1657)="TRUE","FALSE","TRUE")</f>
        <v>TRUE</v>
      </c>
      <c r="K1841" s="10" t="b">
        <f>Github!M$1657</f>
        <v>0</v>
      </c>
      <c r="L1841" s="10" t="b">
        <f>Github!N$1657</f>
        <v>0</v>
      </c>
      <c r="M1841" s="10" t="str">
        <f>ROUND(Github!O$1657, 2)&amp;"%"</f>
        <v>83.75%</v>
      </c>
      <c r="N1841" s="10">
        <f>Github!P$1657</f>
        <v>36373</v>
      </c>
      <c r="O1841" s="10">
        <f>Github!Q$1657</f>
        <v>43428</v>
      </c>
    </row>
    <row r="1842">
      <c r="A1842" s="10">
        <f>Github!J$2209</f>
        <v>2208</v>
      </c>
      <c r="B1842" s="11" t="str">
        <f>HYPERLINK(CONCAT("http://leetcode.com/problems/",Github!C$2209), Github!B$2209)</f>
        <v>Minimum Operations to Halve Array Sum</v>
      </c>
      <c r="C1842" s="10">
        <f>Github!F$2209</f>
        <v>205</v>
      </c>
      <c r="D1842" s="10">
        <f>Github!G$2209</f>
        <v>9</v>
      </c>
      <c r="E1842" s="10">
        <f>Github!F$2209+Github!G$2209</f>
        <v>214</v>
      </c>
      <c r="F1842" s="12">
        <f t="shared" si="1"/>
        <v>22.78</v>
      </c>
      <c r="G1842" s="10" t="str">
        <f>Github!H$2209</f>
        <v>Algorithms</v>
      </c>
      <c r="H1842" s="13" t="str">
        <f>SUBSTITUTE(Github!L$2209, ";", ", ")</f>
        <v>Array, Greedy, Heap (Priority Queue), </v>
      </c>
      <c r="I1842" s="10" t="str">
        <f>Github!E$2209</f>
        <v>Medium</v>
      </c>
      <c r="J1842" s="10" t="str">
        <f>IF(TRIM(Github!D$2209)="TRUE","FALSE","TRUE")</f>
        <v>TRUE</v>
      </c>
      <c r="K1842" s="10" t="b">
        <f>Github!M$2209</f>
        <v>0</v>
      </c>
      <c r="L1842" s="10" t="b">
        <f>Github!N$2209</f>
        <v>0</v>
      </c>
      <c r="M1842" s="10" t="str">
        <f>ROUND(Github!O$2209, 2)&amp;"%"</f>
        <v>43.57%</v>
      </c>
      <c r="N1842" s="10">
        <f>Github!P$2209</f>
        <v>11662</v>
      </c>
      <c r="O1842" s="10">
        <f>Github!Q$2209</f>
        <v>26766</v>
      </c>
    </row>
    <row r="1843">
      <c r="A1843" s="10">
        <f>Github!J$1561</f>
        <v>1560</v>
      </c>
      <c r="B1843" s="11" t="str">
        <f>HYPERLINK(CONCAT("http://leetcode.com/problems/",Github!C$1561), Github!B$1561)</f>
        <v>Most Visited Sector in  a Circular Track</v>
      </c>
      <c r="C1843" s="10">
        <f>Github!F$1561</f>
        <v>203</v>
      </c>
      <c r="D1843" s="10">
        <f>Github!G$1561</f>
        <v>431</v>
      </c>
      <c r="E1843" s="10">
        <f>Github!F$1561+Github!G$1561</f>
        <v>634</v>
      </c>
      <c r="F1843" s="12">
        <f t="shared" si="1"/>
        <v>0.47</v>
      </c>
      <c r="G1843" s="10" t="str">
        <f>Github!H$1561</f>
        <v>Algorithms</v>
      </c>
      <c r="H1843" s="13" t="str">
        <f>SUBSTITUTE(Github!L$1561, ";", ", ")</f>
        <v>Array, Simulation, </v>
      </c>
      <c r="I1843" s="10" t="str">
        <f>Github!E$1561</f>
        <v>Easy</v>
      </c>
      <c r="J1843" s="10" t="str">
        <f>IF(TRIM(Github!D$1561)="TRUE","FALSE","TRUE")</f>
        <v>TRUE</v>
      </c>
      <c r="K1843" s="10" t="b">
        <f>Github!M$1561</f>
        <v>0</v>
      </c>
      <c r="L1843" s="10" t="b">
        <f>Github!N$1561</f>
        <v>0</v>
      </c>
      <c r="M1843" s="10" t="str">
        <f>ROUND(Github!O$1561, 2)&amp;"%"</f>
        <v>58.13%</v>
      </c>
      <c r="N1843" s="10">
        <f>Github!P$1561</f>
        <v>21203</v>
      </c>
      <c r="O1843" s="10">
        <f>Github!Q$1561</f>
        <v>36478</v>
      </c>
    </row>
    <row r="1844">
      <c r="A1844" s="10">
        <f>Github!J$1765</f>
        <v>1764</v>
      </c>
      <c r="B1844" s="11" t="str">
        <f>HYPERLINK(CONCAT("http://leetcode.com/problems/",Github!C$1765), Github!B$1765)</f>
        <v>Form Array by Concatenating Subarrays of Another Array</v>
      </c>
      <c r="C1844" s="10">
        <f>Github!F$1765</f>
        <v>203</v>
      </c>
      <c r="D1844" s="10">
        <f>Github!G$1765</f>
        <v>21</v>
      </c>
      <c r="E1844" s="10">
        <f>Github!F$1765+Github!G$1765</f>
        <v>224</v>
      </c>
      <c r="F1844" s="12">
        <f t="shared" si="1"/>
        <v>9.67</v>
      </c>
      <c r="G1844" s="10" t="str">
        <f>Github!H$1765</f>
        <v>Algorithms</v>
      </c>
      <c r="H1844" s="13" t="str">
        <f>SUBSTITUTE(Github!L$1765, ";", ", ")</f>
        <v>Array, Greedy, String Matching, </v>
      </c>
      <c r="I1844" s="10" t="str">
        <f>Github!E$1765</f>
        <v>Medium</v>
      </c>
      <c r="J1844" s="10" t="str">
        <f>IF(TRIM(Github!D$1765)="TRUE","FALSE","TRUE")</f>
        <v>TRUE</v>
      </c>
      <c r="K1844" s="10" t="b">
        <f>Github!M$1765</f>
        <v>0</v>
      </c>
      <c r="L1844" s="10" t="b">
        <f>Github!N$1765</f>
        <v>0</v>
      </c>
      <c r="M1844" s="10" t="str">
        <f>ROUND(Github!O$1765, 2)&amp;"%"</f>
        <v>52.99%</v>
      </c>
      <c r="N1844" s="10">
        <f>Github!P$1765</f>
        <v>10343</v>
      </c>
      <c r="O1844" s="10">
        <f>Github!Q$1765</f>
        <v>19520</v>
      </c>
    </row>
    <row r="1845">
      <c r="A1845" s="10">
        <f>Github!J$1737</f>
        <v>1736</v>
      </c>
      <c r="B1845" s="11" t="str">
        <f>HYPERLINK(CONCAT("http://leetcode.com/problems/",Github!C$1737), Github!B$1737)</f>
        <v>Latest Time by Replacing Hidden Digits</v>
      </c>
      <c r="C1845" s="10">
        <f>Github!F$1737</f>
        <v>204</v>
      </c>
      <c r="D1845" s="10">
        <f>Github!G$1737</f>
        <v>122</v>
      </c>
      <c r="E1845" s="10">
        <f>Github!F$1737+Github!G$1737</f>
        <v>326</v>
      </c>
      <c r="F1845" s="12">
        <f t="shared" si="1"/>
        <v>1.67</v>
      </c>
      <c r="G1845" s="10" t="str">
        <f>Github!H$1737</f>
        <v>Algorithms</v>
      </c>
      <c r="H1845" s="13" t="str">
        <f>SUBSTITUTE(Github!L$1737, ";", ", ")</f>
        <v>String, Greedy, </v>
      </c>
      <c r="I1845" s="10" t="str">
        <f>Github!E$1737</f>
        <v>Easy</v>
      </c>
      <c r="J1845" s="10" t="str">
        <f>IF(TRIM(Github!D$1737)="TRUE","FALSE","TRUE")</f>
        <v>TRUE</v>
      </c>
      <c r="K1845" s="10" t="b">
        <f>Github!M$1737</f>
        <v>0</v>
      </c>
      <c r="L1845" s="10" t="b">
        <f>Github!N$1737</f>
        <v>0</v>
      </c>
      <c r="M1845" s="10" t="str">
        <f>ROUND(Github!O$1737, 2)&amp;"%"</f>
        <v>42.1%</v>
      </c>
      <c r="N1845" s="10">
        <f>Github!P$1737</f>
        <v>22187</v>
      </c>
      <c r="O1845" s="10">
        <f>Github!Q$1737</f>
        <v>52703</v>
      </c>
    </row>
    <row r="1846">
      <c r="A1846" s="10">
        <f>Github!J$1695</f>
        <v>1694</v>
      </c>
      <c r="B1846" s="11" t="str">
        <f>HYPERLINK(CONCAT("http://leetcode.com/problems/",Github!C$1695), Github!B$1695)</f>
        <v>Reformat Phone Number</v>
      </c>
      <c r="C1846" s="10">
        <f>Github!F$1695</f>
        <v>203</v>
      </c>
      <c r="D1846" s="10">
        <f>Github!G$1695</f>
        <v>162</v>
      </c>
      <c r="E1846" s="10">
        <f>Github!F$1695+Github!G$1695</f>
        <v>365</v>
      </c>
      <c r="F1846" s="12">
        <f t="shared" si="1"/>
        <v>1.25</v>
      </c>
      <c r="G1846" s="10" t="str">
        <f>Github!H$1695</f>
        <v>Algorithms</v>
      </c>
      <c r="H1846" s="13" t="str">
        <f>SUBSTITUTE(Github!L$1695, ";", ", ")</f>
        <v>String, </v>
      </c>
      <c r="I1846" s="10" t="str">
        <f>Github!E$1695</f>
        <v>Easy</v>
      </c>
      <c r="J1846" s="10" t="str">
        <f>IF(TRIM(Github!D$1695)="TRUE","FALSE","TRUE")</f>
        <v>TRUE</v>
      </c>
      <c r="K1846" s="10" t="b">
        <f>Github!M$1695</f>
        <v>0</v>
      </c>
      <c r="L1846" s="10" t="b">
        <f>Github!N$1695</f>
        <v>0</v>
      </c>
      <c r="M1846" s="10" t="str">
        <f>ROUND(Github!O$1695, 2)&amp;"%"</f>
        <v>64.87%</v>
      </c>
      <c r="N1846" s="10">
        <f>Github!P$1695</f>
        <v>24252</v>
      </c>
      <c r="O1846" s="10">
        <f>Github!Q$1695</f>
        <v>37383</v>
      </c>
    </row>
    <row r="1847">
      <c r="A1847" s="10">
        <f>Github!J$1837</f>
        <v>1836</v>
      </c>
      <c r="B1847" s="11" t="str">
        <f>HYPERLINK(CONCAT("http://leetcode.com/problems/",Github!C$1837), Github!B$1837)</f>
        <v>Remove Duplicates From an Unsorted Linked List</v>
      </c>
      <c r="C1847" s="10">
        <f>Github!F$1837</f>
        <v>203</v>
      </c>
      <c r="D1847" s="10">
        <f>Github!G$1837</f>
        <v>5</v>
      </c>
      <c r="E1847" s="10">
        <f>Github!F$1837+Github!G$1837</f>
        <v>208</v>
      </c>
      <c r="F1847" s="12">
        <f t="shared" si="1"/>
        <v>40.6</v>
      </c>
      <c r="G1847" s="10" t="str">
        <f>Github!H$1837</f>
        <v>Algorithms</v>
      </c>
      <c r="H1847" s="13" t="str">
        <f>SUBSTITUTE(Github!L$1837, ";", ", ")</f>
        <v>Hash Table, Linked List, </v>
      </c>
      <c r="I1847" s="10" t="str">
        <f>Github!E$1837</f>
        <v>Medium</v>
      </c>
      <c r="J1847" s="10" t="str">
        <f>IF(TRIM(Github!D$1837)="TRUE","FALSE","TRUE")</f>
        <v>FALSE</v>
      </c>
      <c r="K1847" s="10" t="b">
        <f>Github!M$1837</f>
        <v>0</v>
      </c>
      <c r="L1847" s="10" t="b">
        <f>Github!N$1837</f>
        <v>0</v>
      </c>
      <c r="M1847" s="10" t="str">
        <f>ROUND(Github!O$1837, 2)&amp;"%"</f>
        <v>69.83%</v>
      </c>
      <c r="N1847" s="10">
        <f>Github!P$1837</f>
        <v>12542</v>
      </c>
      <c r="O1847" s="10">
        <f>Github!Q$1837</f>
        <v>17961</v>
      </c>
    </row>
    <row r="1848">
      <c r="A1848" s="10">
        <f>Github!J$1391</f>
        <v>1390</v>
      </c>
      <c r="B1848" s="11" t="str">
        <f>HYPERLINK(CONCAT("http://leetcode.com/problems/",Github!C$1391), Github!B$1391)</f>
        <v>Four Divisors</v>
      </c>
      <c r="C1848" s="10">
        <f>Github!F$1391</f>
        <v>205</v>
      </c>
      <c r="D1848" s="10">
        <f>Github!G$1391</f>
        <v>147</v>
      </c>
      <c r="E1848" s="10">
        <f>Github!F$1391+Github!G$1391</f>
        <v>352</v>
      </c>
      <c r="F1848" s="12">
        <f t="shared" si="1"/>
        <v>1.39</v>
      </c>
      <c r="G1848" s="10" t="str">
        <f>Github!H$1391</f>
        <v>Algorithms</v>
      </c>
      <c r="H1848" s="13" t="str">
        <f>SUBSTITUTE(Github!L$1391, ";", ", ")</f>
        <v>Array, Math, </v>
      </c>
      <c r="I1848" s="10" t="str">
        <f>Github!E$1391</f>
        <v>Medium</v>
      </c>
      <c r="J1848" s="10" t="str">
        <f>IF(TRIM(Github!D$1391)="TRUE","FALSE","TRUE")</f>
        <v>TRUE</v>
      </c>
      <c r="K1848" s="10" t="b">
        <f>Github!M$1391</f>
        <v>0</v>
      </c>
      <c r="L1848" s="10" t="b">
        <f>Github!N$1391</f>
        <v>0</v>
      </c>
      <c r="M1848" s="10" t="str">
        <f>ROUND(Github!O$1391, 2)&amp;"%"</f>
        <v>40.89%</v>
      </c>
      <c r="N1848" s="10">
        <f>Github!P$1391</f>
        <v>20256</v>
      </c>
      <c r="O1848" s="10">
        <f>Github!Q$1391</f>
        <v>49537</v>
      </c>
    </row>
    <row r="1849">
      <c r="A1849" s="10">
        <f>Github!J$2028</f>
        <v>2027</v>
      </c>
      <c r="B1849" s="11" t="str">
        <f>HYPERLINK(CONCAT("http://leetcode.com/problems/",Github!C$2028), Github!B$2028)</f>
        <v>Minimum Moves to Convert String</v>
      </c>
      <c r="C1849" s="10">
        <f>Github!F$2028</f>
        <v>205</v>
      </c>
      <c r="D1849" s="10">
        <f>Github!G$2028</f>
        <v>46</v>
      </c>
      <c r="E1849" s="10">
        <f>Github!F$2028+Github!G$2028</f>
        <v>251</v>
      </c>
      <c r="F1849" s="12">
        <f t="shared" si="1"/>
        <v>4.46</v>
      </c>
      <c r="G1849" s="10" t="str">
        <f>Github!H$2028</f>
        <v>Algorithms</v>
      </c>
      <c r="H1849" s="13" t="str">
        <f>SUBSTITUTE(Github!L$2028, ";", ", ")</f>
        <v>String, Greedy, </v>
      </c>
      <c r="I1849" s="10" t="str">
        <f>Github!E$2028</f>
        <v>Easy</v>
      </c>
      <c r="J1849" s="10" t="str">
        <f>IF(TRIM(Github!D$2028)="TRUE","FALSE","TRUE")</f>
        <v>TRUE</v>
      </c>
      <c r="K1849" s="10" t="b">
        <f>Github!M$2028</f>
        <v>0</v>
      </c>
      <c r="L1849" s="10" t="b">
        <f>Github!N$2028</f>
        <v>0</v>
      </c>
      <c r="M1849" s="10" t="str">
        <f>ROUND(Github!O$2028, 2)&amp;"%"</f>
        <v>53.45%</v>
      </c>
      <c r="N1849" s="10">
        <f>Github!P$2028</f>
        <v>18140</v>
      </c>
      <c r="O1849" s="10">
        <f>Github!Q$2028</f>
        <v>33936</v>
      </c>
    </row>
    <row r="1850">
      <c r="A1850" s="10">
        <f>Github!J$1419</f>
        <v>1418</v>
      </c>
      <c r="B1850" s="11" t="str">
        <f>HYPERLINK(CONCAT("http://leetcode.com/problems/",Github!C$1419), Github!B$1419)</f>
        <v>Display Table of Food Orders in a Restaurant</v>
      </c>
      <c r="C1850" s="10">
        <f>Github!F$1419</f>
        <v>200</v>
      </c>
      <c r="D1850" s="10">
        <f>Github!G$1419</f>
        <v>340</v>
      </c>
      <c r="E1850" s="10">
        <f>Github!F$1419+Github!G$1419</f>
        <v>540</v>
      </c>
      <c r="F1850" s="12">
        <f t="shared" si="1"/>
        <v>0.59</v>
      </c>
      <c r="G1850" s="10" t="str">
        <f>Github!H$1419</f>
        <v>Algorithms</v>
      </c>
      <c r="H1850" s="13" t="str">
        <f>SUBSTITUTE(Github!L$1419, ";", ", ")</f>
        <v>Array, Hash Table, String, Sorting, Ordered Set, </v>
      </c>
      <c r="I1850" s="10" t="str">
        <f>Github!E$1419</f>
        <v>Medium</v>
      </c>
      <c r="J1850" s="10" t="str">
        <f>IF(TRIM(Github!D$1419)="TRUE","FALSE","TRUE")</f>
        <v>TRUE</v>
      </c>
      <c r="K1850" s="10" t="b">
        <f>Github!M$1419</f>
        <v>0</v>
      </c>
      <c r="L1850" s="10" t="b">
        <f>Github!N$1419</f>
        <v>0</v>
      </c>
      <c r="M1850" s="10" t="str">
        <f>ROUND(Github!O$1419, 2)&amp;"%"</f>
        <v>72.41%</v>
      </c>
      <c r="N1850" s="10">
        <f>Github!P$1419</f>
        <v>18760</v>
      </c>
      <c r="O1850" s="10">
        <f>Github!Q$1419</f>
        <v>25909</v>
      </c>
    </row>
    <row r="1851">
      <c r="A1851" s="10">
        <f>Github!J$1211</f>
        <v>1210</v>
      </c>
      <c r="B1851" s="11" t="str">
        <f>HYPERLINK(CONCAT("http://leetcode.com/problems/",Github!C$1211), Github!B$1211)</f>
        <v>Minimum Moves to Reach Target with Rotations</v>
      </c>
      <c r="C1851" s="10">
        <f>Github!F$1211</f>
        <v>200</v>
      </c>
      <c r="D1851" s="10">
        <f>Github!G$1211</f>
        <v>59</v>
      </c>
      <c r="E1851" s="10">
        <f>Github!F$1211+Github!G$1211</f>
        <v>259</v>
      </c>
      <c r="F1851" s="12">
        <f t="shared" si="1"/>
        <v>3.39</v>
      </c>
      <c r="G1851" s="10" t="str">
        <f>Github!H$1211</f>
        <v>Algorithms</v>
      </c>
      <c r="H1851" s="13" t="str">
        <f>SUBSTITUTE(Github!L$1211, ";", ", ")</f>
        <v>Array, Breadth-First Search, Matrix, </v>
      </c>
      <c r="I1851" s="10" t="str">
        <f>Github!E$1211</f>
        <v>Hard</v>
      </c>
      <c r="J1851" s="10" t="str">
        <f>IF(TRIM(Github!D$1211)="TRUE","FALSE","TRUE")</f>
        <v>TRUE</v>
      </c>
      <c r="K1851" s="10" t="b">
        <f>Github!M$1211</f>
        <v>0</v>
      </c>
      <c r="L1851" s="10" t="b">
        <f>Github!N$1211</f>
        <v>0</v>
      </c>
      <c r="M1851" s="10" t="str">
        <f>ROUND(Github!O$1211, 2)&amp;"%"</f>
        <v>48.12%</v>
      </c>
      <c r="N1851" s="10">
        <f>Github!P$1211</f>
        <v>7214</v>
      </c>
      <c r="O1851" s="10">
        <f>Github!Q$1211</f>
        <v>14991</v>
      </c>
    </row>
    <row r="1852">
      <c r="A1852" s="10">
        <f>Github!J$2170</f>
        <v>2169</v>
      </c>
      <c r="B1852" s="11" t="str">
        <f>HYPERLINK(CONCAT("http://leetcode.com/problems/",Github!C$2170), Github!B$2170)</f>
        <v>Count Operations to Obtain Zero</v>
      </c>
      <c r="C1852" s="10">
        <f>Github!F$2170</f>
        <v>208</v>
      </c>
      <c r="D1852" s="10">
        <f>Github!G$2170</f>
        <v>6</v>
      </c>
      <c r="E1852" s="10">
        <f>Github!F$2170+Github!G$2170</f>
        <v>214</v>
      </c>
      <c r="F1852" s="12">
        <f t="shared" si="1"/>
        <v>34.67</v>
      </c>
      <c r="G1852" s="10" t="str">
        <f>Github!H$2170</f>
        <v>Algorithms</v>
      </c>
      <c r="H1852" s="13" t="str">
        <f>SUBSTITUTE(Github!L$2170, ";", ", ")</f>
        <v>Math, Simulation, </v>
      </c>
      <c r="I1852" s="10" t="str">
        <f>Github!E$2170</f>
        <v>Easy</v>
      </c>
      <c r="J1852" s="10" t="str">
        <f>IF(TRIM(Github!D$2170)="TRUE","FALSE","TRUE")</f>
        <v>TRUE</v>
      </c>
      <c r="K1852" s="10" t="b">
        <f>Github!M$2170</f>
        <v>0</v>
      </c>
      <c r="L1852" s="10" t="b">
        <f>Github!N$2170</f>
        <v>0</v>
      </c>
      <c r="M1852" s="10" t="str">
        <f>ROUND(Github!O$2170, 2)&amp;"%"</f>
        <v>75.36%</v>
      </c>
      <c r="N1852" s="10">
        <f>Github!P$2170</f>
        <v>28134</v>
      </c>
      <c r="O1852" s="10">
        <f>Github!Q$2170</f>
        <v>37335</v>
      </c>
    </row>
    <row r="1853">
      <c r="A1853" s="10">
        <f>Github!J$1807</f>
        <v>1806</v>
      </c>
      <c r="B1853" s="11" t="str">
        <f>HYPERLINK(CONCAT("http://leetcode.com/problems/",Github!C$1807), Github!B$1807)</f>
        <v>Minimum Number of Operations to Reinitialize a Permutation</v>
      </c>
      <c r="C1853" s="10">
        <f>Github!F$1807</f>
        <v>202</v>
      </c>
      <c r="D1853" s="10">
        <f>Github!G$1807</f>
        <v>115</v>
      </c>
      <c r="E1853" s="10">
        <f>Github!F$1807+Github!G$1807</f>
        <v>317</v>
      </c>
      <c r="F1853" s="12">
        <f t="shared" si="1"/>
        <v>1.76</v>
      </c>
      <c r="G1853" s="10" t="str">
        <f>Github!H$1807</f>
        <v>Algorithms</v>
      </c>
      <c r="H1853" s="13" t="str">
        <f>SUBSTITUTE(Github!L$1807, ";", ", ")</f>
        <v>Array, Math, Simulation, </v>
      </c>
      <c r="I1853" s="10" t="str">
        <f>Github!E$1807</f>
        <v>Medium</v>
      </c>
      <c r="J1853" s="10" t="str">
        <f>IF(TRIM(Github!D$1807)="TRUE","FALSE","TRUE")</f>
        <v>TRUE</v>
      </c>
      <c r="K1853" s="10" t="b">
        <f>Github!M$1807</f>
        <v>0</v>
      </c>
      <c r="L1853" s="10" t="b">
        <f>Github!N$1807</f>
        <v>0</v>
      </c>
      <c r="M1853" s="10" t="str">
        <f>ROUND(Github!O$1807, 2)&amp;"%"</f>
        <v>70.89%</v>
      </c>
      <c r="N1853" s="10">
        <f>Github!P$1807</f>
        <v>13062</v>
      </c>
      <c r="O1853" s="10">
        <f>Github!Q$1807</f>
        <v>18426</v>
      </c>
    </row>
    <row r="1854">
      <c r="A1854" s="10">
        <f>Github!J$1740</f>
        <v>1739</v>
      </c>
      <c r="B1854" s="11" t="str">
        <f>HYPERLINK(CONCAT("http://leetcode.com/problems/",Github!C$1740), Github!B$1740)</f>
        <v>Building Boxes</v>
      </c>
      <c r="C1854" s="10">
        <f>Github!F$1740</f>
        <v>201</v>
      </c>
      <c r="D1854" s="10">
        <f>Github!G$1740</f>
        <v>35</v>
      </c>
      <c r="E1854" s="10">
        <f>Github!F$1740+Github!G$1740</f>
        <v>236</v>
      </c>
      <c r="F1854" s="12">
        <f t="shared" si="1"/>
        <v>5.74</v>
      </c>
      <c r="G1854" s="10" t="str">
        <f>Github!H$1740</f>
        <v>Algorithms</v>
      </c>
      <c r="H1854" s="13" t="str">
        <f>SUBSTITUTE(Github!L$1740, ";", ", ")</f>
        <v>Math, Binary Search, Greedy, </v>
      </c>
      <c r="I1854" s="10" t="str">
        <f>Github!E$1740</f>
        <v>Hard</v>
      </c>
      <c r="J1854" s="10" t="str">
        <f>IF(TRIM(Github!D$1740)="TRUE","FALSE","TRUE")</f>
        <v>TRUE</v>
      </c>
      <c r="K1854" s="10" t="b">
        <f>Github!M$1740</f>
        <v>0</v>
      </c>
      <c r="L1854" s="10" t="b">
        <f>Github!N$1740</f>
        <v>0</v>
      </c>
      <c r="M1854" s="10" t="str">
        <f>ROUND(Github!O$1740, 2)&amp;"%"</f>
        <v>50.83%</v>
      </c>
      <c r="N1854" s="10">
        <f>Github!P$1740</f>
        <v>4836</v>
      </c>
      <c r="O1854" s="10">
        <f>Github!Q$1740</f>
        <v>9514</v>
      </c>
    </row>
    <row r="1855">
      <c r="A1855" s="10">
        <f>Github!J$1747</f>
        <v>1746</v>
      </c>
      <c r="B1855" s="11" t="str">
        <f>HYPERLINK(CONCAT("http://leetcode.com/problems/",Github!C$1747), Github!B$1747)</f>
        <v>Maximum Subarray Sum After One Operation</v>
      </c>
      <c r="C1855" s="10">
        <f>Github!F$1747</f>
        <v>200</v>
      </c>
      <c r="D1855" s="10">
        <f>Github!G$1747</f>
        <v>4</v>
      </c>
      <c r="E1855" s="10">
        <f>Github!F$1747+Github!G$1747</f>
        <v>204</v>
      </c>
      <c r="F1855" s="12">
        <f t="shared" si="1"/>
        <v>50</v>
      </c>
      <c r="G1855" s="10" t="str">
        <f>Github!H$1747</f>
        <v>Algorithms</v>
      </c>
      <c r="H1855" s="13" t="str">
        <f>SUBSTITUTE(Github!L$1747, ";", ", ")</f>
        <v>Array, Dynamic Programming, </v>
      </c>
      <c r="I1855" s="10" t="str">
        <f>Github!E$1747</f>
        <v>Medium</v>
      </c>
      <c r="J1855" s="10" t="str">
        <f>IF(TRIM(Github!D$1747)="TRUE","FALSE","TRUE")</f>
        <v>FALSE</v>
      </c>
      <c r="K1855" s="10" t="b">
        <f>Github!M$1747</f>
        <v>0</v>
      </c>
      <c r="L1855" s="10" t="b">
        <f>Github!N$1747</f>
        <v>0</v>
      </c>
      <c r="M1855" s="10" t="str">
        <f>ROUND(Github!O$1747, 2)&amp;"%"</f>
        <v>61.87%</v>
      </c>
      <c r="N1855" s="10">
        <f>Github!P$1747</f>
        <v>5531</v>
      </c>
      <c r="O1855" s="10">
        <f>Github!Q$1747</f>
        <v>8938</v>
      </c>
    </row>
    <row r="1856">
      <c r="A1856" s="10">
        <f>Github!J$2127</f>
        <v>2126</v>
      </c>
      <c r="B1856" s="11" t="str">
        <f>HYPERLINK(CONCAT("http://leetcode.com/problems/",Github!C$2127), Github!B$2127)</f>
        <v>Destroying Asteroids</v>
      </c>
      <c r="C1856" s="10">
        <f>Github!F$2127</f>
        <v>200</v>
      </c>
      <c r="D1856" s="10">
        <f>Github!G$2127</f>
        <v>107</v>
      </c>
      <c r="E1856" s="10">
        <f>Github!F$2127+Github!G$2127</f>
        <v>307</v>
      </c>
      <c r="F1856" s="12">
        <f t="shared" si="1"/>
        <v>1.87</v>
      </c>
      <c r="G1856" s="10" t="str">
        <f>Github!H$2127</f>
        <v>Algorithms</v>
      </c>
      <c r="H1856" s="13" t="str">
        <f>SUBSTITUTE(Github!L$2127, ";", ", ")</f>
        <v>Array, Greedy, Sorting, </v>
      </c>
      <c r="I1856" s="10" t="str">
        <f>Github!E$2127</f>
        <v>Medium</v>
      </c>
      <c r="J1856" s="10" t="str">
        <f>IF(TRIM(Github!D$2127)="TRUE","FALSE","TRUE")</f>
        <v>TRUE</v>
      </c>
      <c r="K1856" s="10" t="b">
        <f>Github!M$2127</f>
        <v>0</v>
      </c>
      <c r="L1856" s="10" t="b">
        <f>Github!N$2127</f>
        <v>0</v>
      </c>
      <c r="M1856" s="10" t="str">
        <f>ROUND(Github!O$2127, 2)&amp;"%"</f>
        <v>48.39%</v>
      </c>
      <c r="N1856" s="10">
        <f>Github!P$2127</f>
        <v>18454</v>
      </c>
      <c r="O1856" s="10">
        <f>Github!Q$2127</f>
        <v>38133</v>
      </c>
    </row>
    <row r="1857">
      <c r="A1857" s="10">
        <f>Github!J$1783</f>
        <v>1782</v>
      </c>
      <c r="B1857" s="11" t="str">
        <f>HYPERLINK(CONCAT("http://leetcode.com/problems/",Github!C$1783), Github!B$1783)</f>
        <v>Count Pairs Of Nodes</v>
      </c>
      <c r="C1857" s="10">
        <f>Github!F$1783</f>
        <v>198</v>
      </c>
      <c r="D1857" s="10">
        <f>Github!G$1783</f>
        <v>123</v>
      </c>
      <c r="E1857" s="10">
        <f>Github!F$1783+Github!G$1783</f>
        <v>321</v>
      </c>
      <c r="F1857" s="12">
        <f t="shared" si="1"/>
        <v>1.61</v>
      </c>
      <c r="G1857" s="10" t="str">
        <f>Github!H$1783</f>
        <v>Algorithms</v>
      </c>
      <c r="H1857" s="13" t="str">
        <f>SUBSTITUTE(Github!L$1783, ";", ", ")</f>
        <v>Two Pointers, Binary Search, Graph, </v>
      </c>
      <c r="I1857" s="10" t="str">
        <f>Github!E$1783</f>
        <v>Hard</v>
      </c>
      <c r="J1857" s="10" t="str">
        <f>IF(TRIM(Github!D$1783)="TRUE","FALSE","TRUE")</f>
        <v>TRUE</v>
      </c>
      <c r="K1857" s="10" t="b">
        <f>Github!M$1783</f>
        <v>0</v>
      </c>
      <c r="L1857" s="10" t="b">
        <f>Github!N$1783</f>
        <v>0</v>
      </c>
      <c r="M1857" s="10" t="str">
        <f>ROUND(Github!O$1783, 2)&amp;"%"</f>
        <v>37.47%</v>
      </c>
      <c r="N1857" s="10">
        <f>Github!P$1783</f>
        <v>4348</v>
      </c>
      <c r="O1857" s="10">
        <f>Github!Q$1783</f>
        <v>11605</v>
      </c>
    </row>
    <row r="1858">
      <c r="A1858" s="10">
        <f>Github!J$754</f>
        <v>753</v>
      </c>
      <c r="B1858" s="11" t="str">
        <f>HYPERLINK(CONCAT("http://leetcode.com/problems/",Github!C$754), Github!B$754)</f>
        <v>Cracking the Safe</v>
      </c>
      <c r="C1858" s="10">
        <f>Github!F$754</f>
        <v>203</v>
      </c>
      <c r="D1858" s="10">
        <f>Github!G$754</f>
        <v>36</v>
      </c>
      <c r="E1858" s="10">
        <f>Github!F$754+Github!G$754</f>
        <v>239</v>
      </c>
      <c r="F1858" s="12">
        <f t="shared" si="1"/>
        <v>5.64</v>
      </c>
      <c r="G1858" s="10" t="str">
        <f>Github!H$754</f>
        <v>Algorithms</v>
      </c>
      <c r="H1858" s="13" t="str">
        <f>SUBSTITUTE(Github!L$754, ";", ", ")</f>
        <v>Depth-First Search, Graph, Eulerian Circuit, </v>
      </c>
      <c r="I1858" s="10" t="str">
        <f>Github!E$754</f>
        <v>Hard</v>
      </c>
      <c r="J1858" s="10" t="str">
        <f>IF(TRIM(Github!D$754)="TRUE","FALSE","TRUE")</f>
        <v>TRUE</v>
      </c>
      <c r="K1858" s="10" t="b">
        <f>Github!M$754</f>
        <v>0</v>
      </c>
      <c r="L1858" s="10" t="b">
        <f>Github!N$754</f>
        <v>0</v>
      </c>
      <c r="M1858" s="10" t="str">
        <f>ROUND(Github!O$754, 2)&amp;"%"</f>
        <v>54.57%</v>
      </c>
      <c r="N1858" s="10">
        <f>Github!P$754</f>
        <v>45872</v>
      </c>
      <c r="O1858" s="10">
        <f>Github!Q$754</f>
        <v>84060</v>
      </c>
    </row>
    <row r="1859">
      <c r="A1859" s="10">
        <f>Github!J$2069</f>
        <v>2068</v>
      </c>
      <c r="B1859" s="11" t="str">
        <f>HYPERLINK(CONCAT("http://leetcode.com/problems/",Github!C$2069), Github!B$2069)</f>
        <v>Check Whether Two Strings are Almost Equivalent</v>
      </c>
      <c r="C1859" s="10">
        <f>Github!F$2069</f>
        <v>198</v>
      </c>
      <c r="D1859" s="10">
        <f>Github!G$2069</f>
        <v>6</v>
      </c>
      <c r="E1859" s="10">
        <f>Github!F$2069+Github!G$2069</f>
        <v>204</v>
      </c>
      <c r="F1859" s="12">
        <f t="shared" si="1"/>
        <v>33</v>
      </c>
      <c r="G1859" s="10" t="str">
        <f>Github!H$2069</f>
        <v>Algorithms</v>
      </c>
      <c r="H1859" s="13" t="str">
        <f>SUBSTITUTE(Github!L$2069, ";", ", ")</f>
        <v>Hash Table, String, Counting, </v>
      </c>
      <c r="I1859" s="10" t="str">
        <f>Github!E$2069</f>
        <v>Easy</v>
      </c>
      <c r="J1859" s="10" t="str">
        <f>IF(TRIM(Github!D$2069)="TRUE","FALSE","TRUE")</f>
        <v>TRUE</v>
      </c>
      <c r="K1859" s="10" t="b">
        <f>Github!M$2069</f>
        <v>0</v>
      </c>
      <c r="L1859" s="10" t="b">
        <f>Github!N$2069</f>
        <v>0</v>
      </c>
      <c r="M1859" s="10" t="str">
        <f>ROUND(Github!O$2069, 2)&amp;"%"</f>
        <v>66.27%</v>
      </c>
      <c r="N1859" s="10">
        <f>Github!P$2069</f>
        <v>16844</v>
      </c>
      <c r="O1859" s="10">
        <f>Github!Q$2069</f>
        <v>25416</v>
      </c>
    </row>
    <row r="1860">
      <c r="A1860" s="10">
        <f>Github!J$1205</f>
        <v>1204</v>
      </c>
      <c r="B1860" s="11" t="str">
        <f>HYPERLINK(CONCAT("http://leetcode.com/problems/",Github!C$1205), Github!B$1205)</f>
        <v>Last Person to Fit in the Bus</v>
      </c>
      <c r="C1860" s="10">
        <f>Github!F$1205</f>
        <v>201</v>
      </c>
      <c r="D1860" s="10">
        <f>Github!G$1205</f>
        <v>17</v>
      </c>
      <c r="E1860" s="10">
        <f>Github!F$1205+Github!G$1205</f>
        <v>218</v>
      </c>
      <c r="F1860" s="12">
        <f t="shared" si="1"/>
        <v>11.82</v>
      </c>
      <c r="G1860" s="10" t="str">
        <f>Github!H$1205</f>
        <v>Database</v>
      </c>
      <c r="H1860" s="13" t="str">
        <f>SUBSTITUTE(Github!L$1205, ";", ", ")</f>
        <v>Database, </v>
      </c>
      <c r="I1860" s="10" t="str">
        <f>Github!E$1205</f>
        <v>Medium</v>
      </c>
      <c r="J1860" s="10" t="str">
        <f>IF(TRIM(Github!D$1205)="TRUE","FALSE","TRUE")</f>
        <v>FALSE</v>
      </c>
      <c r="K1860" s="10" t="b">
        <f>Github!M$1205</f>
        <v>0</v>
      </c>
      <c r="L1860" s="10" t="b">
        <f>Github!N$1205</f>
        <v>0</v>
      </c>
      <c r="M1860" s="10" t="str">
        <f>ROUND(Github!O$1205, 2)&amp;"%"</f>
        <v>73.72%</v>
      </c>
      <c r="N1860" s="10">
        <f>Github!P$1205</f>
        <v>29072</v>
      </c>
      <c r="O1860" s="10">
        <f>Github!Q$1205</f>
        <v>39434</v>
      </c>
    </row>
    <row r="1861">
      <c r="A1861" s="10">
        <f>Github!J$2194</f>
        <v>2193</v>
      </c>
      <c r="B1861" s="11" t="str">
        <f>HYPERLINK(CONCAT("http://leetcode.com/problems/",Github!C$2194), Github!B$2194)</f>
        <v>Minimum Number of Moves to Make Palindrome</v>
      </c>
      <c r="C1861" s="10">
        <f>Github!F$2194</f>
        <v>198</v>
      </c>
      <c r="D1861" s="10">
        <f>Github!G$2194</f>
        <v>51</v>
      </c>
      <c r="E1861" s="10">
        <f>Github!F$2194+Github!G$2194</f>
        <v>249</v>
      </c>
      <c r="F1861" s="12">
        <f t="shared" si="1"/>
        <v>3.88</v>
      </c>
      <c r="G1861" s="10" t="str">
        <f>Github!H$2194</f>
        <v>Algorithms</v>
      </c>
      <c r="H1861" s="13" t="str">
        <f>SUBSTITUTE(Github!L$2194, ";", ", ")</f>
        <v>Two Pointers, String, Greedy, Binary Indexed Tree, </v>
      </c>
      <c r="I1861" s="10" t="str">
        <f>Github!E$2194</f>
        <v>Hard</v>
      </c>
      <c r="J1861" s="10" t="str">
        <f>IF(TRIM(Github!D$2194)="TRUE","FALSE","TRUE")</f>
        <v>TRUE</v>
      </c>
      <c r="K1861" s="10" t="b">
        <f>Github!M$2194</f>
        <v>0</v>
      </c>
      <c r="L1861" s="10" t="b">
        <f>Github!N$2194</f>
        <v>0</v>
      </c>
      <c r="M1861" s="10" t="str">
        <f>ROUND(Github!O$2194, 2)&amp;"%"</f>
        <v>41.78%</v>
      </c>
      <c r="N1861" s="10">
        <f>Github!P$2194</f>
        <v>4797</v>
      </c>
      <c r="O1861" s="10">
        <f>Github!Q$2194</f>
        <v>11481</v>
      </c>
    </row>
    <row r="1862">
      <c r="A1862" s="10">
        <f>Github!J$2186</f>
        <v>2185</v>
      </c>
      <c r="B1862" s="11" t="str">
        <f>HYPERLINK(CONCAT("http://leetcode.com/problems/",Github!C$2186), Github!B$2186)</f>
        <v>Counting Words With a Given Prefix</v>
      </c>
      <c r="C1862" s="10">
        <f>Github!F$2186</f>
        <v>198</v>
      </c>
      <c r="D1862" s="10">
        <f>Github!G$2186</f>
        <v>6</v>
      </c>
      <c r="E1862" s="10">
        <f>Github!F$2186+Github!G$2186</f>
        <v>204</v>
      </c>
      <c r="F1862" s="12">
        <f t="shared" si="1"/>
        <v>33</v>
      </c>
      <c r="G1862" s="10" t="str">
        <f>Github!H$2186</f>
        <v>Algorithms</v>
      </c>
      <c r="H1862" s="13" t="str">
        <f>SUBSTITUTE(Github!L$2186, ";", ", ")</f>
        <v>Array, String, </v>
      </c>
      <c r="I1862" s="10" t="str">
        <f>Github!E$2186</f>
        <v>Easy</v>
      </c>
      <c r="J1862" s="10" t="str">
        <f>IF(TRIM(Github!D$2186)="TRUE","FALSE","TRUE")</f>
        <v>TRUE</v>
      </c>
      <c r="K1862" s="10" t="b">
        <f>Github!M$2186</f>
        <v>0</v>
      </c>
      <c r="L1862" s="10" t="b">
        <f>Github!N$2186</f>
        <v>0</v>
      </c>
      <c r="M1862" s="10" t="str">
        <f>ROUND(Github!O$2186, 2)&amp;"%"</f>
        <v>77.64%</v>
      </c>
      <c r="N1862" s="10">
        <f>Github!P$2186</f>
        <v>28785</v>
      </c>
      <c r="O1862" s="10">
        <f>Github!Q$2186</f>
        <v>37075</v>
      </c>
    </row>
    <row r="1863">
      <c r="A1863" s="10">
        <f>Github!J$1468</f>
        <v>1467</v>
      </c>
      <c r="B1863" s="11" t="str">
        <f>HYPERLINK(CONCAT("http://leetcode.com/problems/",Github!C$1468), Github!B$1468)</f>
        <v>Probability of a Two Boxes Having The Same Number of Distinct Balls</v>
      </c>
      <c r="C1863" s="10">
        <f>Github!F$1468</f>
        <v>194</v>
      </c>
      <c r="D1863" s="10">
        <f>Github!G$1468</f>
        <v>142</v>
      </c>
      <c r="E1863" s="10">
        <f>Github!F$1468+Github!G$1468</f>
        <v>336</v>
      </c>
      <c r="F1863" s="12">
        <f t="shared" si="1"/>
        <v>1.37</v>
      </c>
      <c r="G1863" s="10" t="str">
        <f>Github!H$1468</f>
        <v>Algorithms</v>
      </c>
      <c r="H1863" s="13" t="str">
        <f>SUBSTITUTE(Github!L$1468, ";", ", ")</f>
        <v>Math, Dynamic Programming, Backtracking, Combinatorics, Probability and Statistics, </v>
      </c>
      <c r="I1863" s="10" t="str">
        <f>Github!E$1468</f>
        <v>Hard</v>
      </c>
      <c r="J1863" s="10" t="str">
        <f>IF(TRIM(Github!D$1468)="TRUE","FALSE","TRUE")</f>
        <v>TRUE</v>
      </c>
      <c r="K1863" s="10" t="b">
        <f>Github!M$1468</f>
        <v>0</v>
      </c>
      <c r="L1863" s="10" t="b">
        <f>Github!N$1468</f>
        <v>0</v>
      </c>
      <c r="M1863" s="10" t="str">
        <f>ROUND(Github!O$1468, 2)&amp;"%"</f>
        <v>60.9%</v>
      </c>
      <c r="N1863" s="10">
        <f>Github!P$1468</f>
        <v>5963</v>
      </c>
      <c r="O1863" s="10">
        <f>Github!Q$1468</f>
        <v>9792</v>
      </c>
    </row>
    <row r="1864">
      <c r="A1864" s="10">
        <f>Github!J$586</f>
        <v>585</v>
      </c>
      <c r="B1864" s="11" t="str">
        <f>HYPERLINK(CONCAT("http://leetcode.com/problems/",Github!C$586), Github!B$586)</f>
        <v>Investments in 2016</v>
      </c>
      <c r="C1864" s="10">
        <f>Github!F$586</f>
        <v>195</v>
      </c>
      <c r="D1864" s="10">
        <f>Github!G$586</f>
        <v>203</v>
      </c>
      <c r="E1864" s="10">
        <f>Github!F$586+Github!G$586</f>
        <v>398</v>
      </c>
      <c r="F1864" s="12">
        <f t="shared" si="1"/>
        <v>0.96</v>
      </c>
      <c r="G1864" s="10" t="str">
        <f>Github!H$586</f>
        <v>Database</v>
      </c>
      <c r="H1864" s="13" t="str">
        <f>SUBSTITUTE(Github!L$586, ";", ", ")</f>
        <v>Database, </v>
      </c>
      <c r="I1864" s="10" t="str">
        <f>Github!E$586</f>
        <v>Medium</v>
      </c>
      <c r="J1864" s="10" t="str">
        <f>IF(TRIM(Github!D$586)="TRUE","FALSE","TRUE")</f>
        <v>FALSE</v>
      </c>
      <c r="K1864" s="10" t="b">
        <f>Github!M$586</f>
        <v>1</v>
      </c>
      <c r="L1864" s="10" t="b">
        <f>Github!N$586</f>
        <v>0</v>
      </c>
      <c r="M1864" s="10" t="str">
        <f>ROUND(Github!O$586, 2)&amp;"%"</f>
        <v>54.89%</v>
      </c>
      <c r="N1864" s="10">
        <f>Github!P$586</f>
        <v>32401</v>
      </c>
      <c r="O1864" s="10">
        <f>Github!Q$586</f>
        <v>59025</v>
      </c>
    </row>
    <row r="1865">
      <c r="A1865" s="10">
        <f>Github!J$1333</f>
        <v>1332</v>
      </c>
      <c r="B1865" s="11" t="str">
        <f>HYPERLINK(CONCAT("http://leetcode.com/problems/",Github!C$1333), Github!B$1333)</f>
        <v>Remove Palindromic Subsequences</v>
      </c>
      <c r="C1865" s="10">
        <f>Github!F$1333</f>
        <v>193</v>
      </c>
      <c r="D1865" s="10">
        <f>Github!G$1333</f>
        <v>310</v>
      </c>
      <c r="E1865" s="10">
        <f>Github!F$1333+Github!G$1333</f>
        <v>503</v>
      </c>
      <c r="F1865" s="12">
        <f t="shared" si="1"/>
        <v>0.62</v>
      </c>
      <c r="G1865" s="10" t="str">
        <f>Github!H$1333</f>
        <v>Algorithms</v>
      </c>
      <c r="H1865" s="13" t="str">
        <f>SUBSTITUTE(Github!L$1333, ";", ", ")</f>
        <v>Two Pointers, String, </v>
      </c>
      <c r="I1865" s="10" t="str">
        <f>Github!E$1333</f>
        <v>Easy</v>
      </c>
      <c r="J1865" s="10" t="str">
        <f>IF(TRIM(Github!D$1333)="TRUE","FALSE","TRUE")</f>
        <v>TRUE</v>
      </c>
      <c r="K1865" s="10" t="b">
        <f>Github!M$1333</f>
        <v>1</v>
      </c>
      <c r="L1865" s="10" t="b">
        <f>Github!N$1333</f>
        <v>0</v>
      </c>
      <c r="M1865" s="10" t="str">
        <f>ROUND(Github!O$1333, 2)&amp;"%"</f>
        <v>69.56%</v>
      </c>
      <c r="N1865" s="10">
        <f>Github!P$1333</f>
        <v>54016</v>
      </c>
      <c r="O1865" s="10">
        <f>Github!Q$1333</f>
        <v>77650</v>
      </c>
    </row>
    <row r="1866">
      <c r="A1866" s="10">
        <f>Github!J$1762</f>
        <v>1761</v>
      </c>
      <c r="B1866" s="11" t="str">
        <f>HYPERLINK(CONCAT("http://leetcode.com/problems/",Github!C$1762), Github!B$1762)</f>
        <v>Minimum Degree of a Connected Trio in a Graph</v>
      </c>
      <c r="C1866" s="10">
        <f>Github!F$1762</f>
        <v>194</v>
      </c>
      <c r="D1866" s="10">
        <f>Github!G$1762</f>
        <v>217</v>
      </c>
      <c r="E1866" s="10">
        <f>Github!F$1762+Github!G$1762</f>
        <v>411</v>
      </c>
      <c r="F1866" s="12">
        <f t="shared" si="1"/>
        <v>0.89</v>
      </c>
      <c r="G1866" s="10" t="str">
        <f>Github!H$1762</f>
        <v>Algorithms</v>
      </c>
      <c r="H1866" s="13" t="str">
        <f>SUBSTITUTE(Github!L$1762, ";", ", ")</f>
        <v>Graph, </v>
      </c>
      <c r="I1866" s="10" t="str">
        <f>Github!E$1762</f>
        <v>Hard</v>
      </c>
      <c r="J1866" s="10" t="str">
        <f>IF(TRIM(Github!D$1762)="TRUE","FALSE","TRUE")</f>
        <v>TRUE</v>
      </c>
      <c r="K1866" s="10" t="b">
        <f>Github!M$1762</f>
        <v>0</v>
      </c>
      <c r="L1866" s="10" t="b">
        <f>Github!N$1762</f>
        <v>0</v>
      </c>
      <c r="M1866" s="10" t="str">
        <f>ROUND(Github!O$1762, 2)&amp;"%"</f>
        <v>41.51%</v>
      </c>
      <c r="N1866" s="10">
        <f>Github!P$1762</f>
        <v>15458</v>
      </c>
      <c r="O1866" s="10">
        <f>Github!Q$1762</f>
        <v>37241</v>
      </c>
    </row>
    <row r="1867">
      <c r="A1867" s="10">
        <f>Github!J$1274</f>
        <v>1273</v>
      </c>
      <c r="B1867" s="11" t="str">
        <f>HYPERLINK(CONCAT("http://leetcode.com/problems/",Github!C$1274), Github!B$1274)</f>
        <v>Delete Tree Nodes</v>
      </c>
      <c r="C1867" s="10">
        <f>Github!F$1274</f>
        <v>191</v>
      </c>
      <c r="D1867" s="10">
        <f>Github!G$1274</f>
        <v>59</v>
      </c>
      <c r="E1867" s="10">
        <f>Github!F$1274+Github!G$1274</f>
        <v>250</v>
      </c>
      <c r="F1867" s="12">
        <f t="shared" si="1"/>
        <v>3.24</v>
      </c>
      <c r="G1867" s="10" t="str">
        <f>Github!H$1274</f>
        <v>Algorithms</v>
      </c>
      <c r="H1867" s="13" t="str">
        <f>SUBSTITUTE(Github!L$1274, ";", ", ")</f>
        <v>Tree, Depth-First Search, Breadth-First Search, </v>
      </c>
      <c r="I1867" s="10" t="str">
        <f>Github!E$1274</f>
        <v>Medium</v>
      </c>
      <c r="J1867" s="10" t="str">
        <f>IF(TRIM(Github!D$1274)="TRUE","FALSE","TRUE")</f>
        <v>FALSE</v>
      </c>
      <c r="K1867" s="10" t="b">
        <f>Github!M$1274</f>
        <v>0</v>
      </c>
      <c r="L1867" s="10" t="b">
        <f>Github!N$1274</f>
        <v>0</v>
      </c>
      <c r="M1867" s="10" t="str">
        <f>ROUND(Github!O$1274, 2)&amp;"%"</f>
        <v>61.08%</v>
      </c>
      <c r="N1867" s="10">
        <f>Github!P$1274</f>
        <v>8368</v>
      </c>
      <c r="O1867" s="10">
        <f>Github!Q$1274</f>
        <v>13701</v>
      </c>
    </row>
    <row r="1868">
      <c r="A1868" s="10">
        <f>Github!J$2211</f>
        <v>2210</v>
      </c>
      <c r="B1868" s="11" t="str">
        <f>HYPERLINK(CONCAT("http://leetcode.com/problems/",Github!C$2211), Github!B$2211)</f>
        <v>Count Hills and Valleys in an Array</v>
      </c>
      <c r="C1868" s="10">
        <f>Github!F$2211</f>
        <v>193</v>
      </c>
      <c r="D1868" s="10">
        <f>Github!G$2211</f>
        <v>47</v>
      </c>
      <c r="E1868" s="10">
        <f>Github!F$2211+Github!G$2211</f>
        <v>240</v>
      </c>
      <c r="F1868" s="12">
        <f t="shared" si="1"/>
        <v>4.11</v>
      </c>
      <c r="G1868" s="10" t="str">
        <f>Github!H$2211</f>
        <v>Algorithms</v>
      </c>
      <c r="H1868" s="13" t="str">
        <f>SUBSTITUTE(Github!L$2211, ";", ", ")</f>
        <v>Array, </v>
      </c>
      <c r="I1868" s="10" t="str">
        <f>Github!E$2211</f>
        <v>Easy</v>
      </c>
      <c r="J1868" s="10" t="str">
        <f>IF(TRIM(Github!D$2211)="TRUE","FALSE","TRUE")</f>
        <v>TRUE</v>
      </c>
      <c r="K1868" s="10" t="b">
        <f>Github!M$2211</f>
        <v>0</v>
      </c>
      <c r="L1868" s="10" t="b">
        <f>Github!N$2211</f>
        <v>0</v>
      </c>
      <c r="M1868" s="10" t="str">
        <f>ROUND(Github!O$2211, 2)&amp;"%"</f>
        <v>56.48%</v>
      </c>
      <c r="N1868" s="10">
        <f>Github!P$2211</f>
        <v>17952</v>
      </c>
      <c r="O1868" s="10">
        <f>Github!Q$2211</f>
        <v>31786</v>
      </c>
    </row>
    <row r="1869">
      <c r="A1869" s="10">
        <f>Github!J$1363</f>
        <v>1362</v>
      </c>
      <c r="B1869" s="11" t="str">
        <f>HYPERLINK(CONCAT("http://leetcode.com/problems/",Github!C$1363), Github!B$1363)</f>
        <v>Closest Divisors</v>
      </c>
      <c r="C1869" s="10">
        <f>Github!F$1363</f>
        <v>188</v>
      </c>
      <c r="D1869" s="10">
        <f>Github!G$1363</f>
        <v>82</v>
      </c>
      <c r="E1869" s="10">
        <f>Github!F$1363+Github!G$1363</f>
        <v>270</v>
      </c>
      <c r="F1869" s="12">
        <f t="shared" si="1"/>
        <v>2.29</v>
      </c>
      <c r="G1869" s="10" t="str">
        <f>Github!H$1363</f>
        <v>Algorithms</v>
      </c>
      <c r="H1869" s="13" t="str">
        <f>SUBSTITUTE(Github!L$1363, ";", ", ")</f>
        <v>Math, </v>
      </c>
      <c r="I1869" s="10" t="str">
        <f>Github!E$1363</f>
        <v>Medium</v>
      </c>
      <c r="J1869" s="10" t="str">
        <f>IF(TRIM(Github!D$1363)="TRUE","FALSE","TRUE")</f>
        <v>TRUE</v>
      </c>
      <c r="K1869" s="10" t="b">
        <f>Github!M$1363</f>
        <v>0</v>
      </c>
      <c r="L1869" s="10" t="b">
        <f>Github!N$1363</f>
        <v>0</v>
      </c>
      <c r="M1869" s="10" t="str">
        <f>ROUND(Github!O$1363, 2)&amp;"%"</f>
        <v>59.17%</v>
      </c>
      <c r="N1869" s="10">
        <f>Github!P$1363</f>
        <v>15528</v>
      </c>
      <c r="O1869" s="10">
        <f>Github!Q$1363</f>
        <v>26243</v>
      </c>
    </row>
    <row r="1870">
      <c r="A1870" s="10">
        <f>Github!J$1007</f>
        <v>1006</v>
      </c>
      <c r="B1870" s="11" t="str">
        <f>HYPERLINK(CONCAT("http://leetcode.com/problems/",Github!C$1007), Github!B$1007)</f>
        <v>Clumsy Factorial</v>
      </c>
      <c r="C1870" s="10">
        <f>Github!F$1007</f>
        <v>189</v>
      </c>
      <c r="D1870" s="10">
        <f>Github!G$1007</f>
        <v>229</v>
      </c>
      <c r="E1870" s="10">
        <f>Github!F$1007+Github!G$1007</f>
        <v>418</v>
      </c>
      <c r="F1870" s="12">
        <f t="shared" si="1"/>
        <v>0.83</v>
      </c>
      <c r="G1870" s="10" t="str">
        <f>Github!H$1007</f>
        <v>Algorithms</v>
      </c>
      <c r="H1870" s="13" t="str">
        <f>SUBSTITUTE(Github!L$1007, ";", ", ")</f>
        <v>Math, Stack, Simulation, </v>
      </c>
      <c r="I1870" s="10" t="str">
        <f>Github!E$1007</f>
        <v>Medium</v>
      </c>
      <c r="J1870" s="10" t="str">
        <f>IF(TRIM(Github!D$1007)="TRUE","FALSE","TRUE")</f>
        <v>TRUE</v>
      </c>
      <c r="K1870" s="10" t="b">
        <f>Github!M$1007</f>
        <v>0</v>
      </c>
      <c r="L1870" s="10" t="b">
        <f>Github!N$1007</f>
        <v>0</v>
      </c>
      <c r="M1870" s="10" t="str">
        <f>ROUND(Github!O$1007, 2)&amp;"%"</f>
        <v>54.71%</v>
      </c>
      <c r="N1870" s="10">
        <f>Github!P$1007</f>
        <v>19968</v>
      </c>
      <c r="O1870" s="10">
        <f>Github!Q$1007</f>
        <v>36501</v>
      </c>
    </row>
    <row r="1871">
      <c r="A1871" s="10">
        <f>Github!J$1062</f>
        <v>1061</v>
      </c>
      <c r="B1871" s="11" t="str">
        <f>HYPERLINK(CONCAT("http://leetcode.com/problems/",Github!C$1062), Github!B$1062)</f>
        <v>Lexicographically Smallest Equivalent String</v>
      </c>
      <c r="C1871" s="10">
        <f>Github!F$1062</f>
        <v>188</v>
      </c>
      <c r="D1871" s="10">
        <f>Github!G$1062</f>
        <v>10</v>
      </c>
      <c r="E1871" s="10">
        <f>Github!F$1062+Github!G$1062</f>
        <v>198</v>
      </c>
      <c r="F1871" s="12">
        <f t="shared" si="1"/>
        <v>18.8</v>
      </c>
      <c r="G1871" s="10" t="str">
        <f>Github!H$1062</f>
        <v>Algorithms</v>
      </c>
      <c r="H1871" s="13" t="str">
        <f>SUBSTITUTE(Github!L$1062, ";", ", ")</f>
        <v>String, Union Find, </v>
      </c>
      <c r="I1871" s="10" t="str">
        <f>Github!E$1062</f>
        <v>Medium</v>
      </c>
      <c r="J1871" s="10" t="str">
        <f>IF(TRIM(Github!D$1062)="TRUE","FALSE","TRUE")</f>
        <v>FALSE</v>
      </c>
      <c r="K1871" s="10" t="b">
        <f>Github!M$1062</f>
        <v>0</v>
      </c>
      <c r="L1871" s="10" t="b">
        <f>Github!N$1062</f>
        <v>0</v>
      </c>
      <c r="M1871" s="10" t="str">
        <f>ROUND(Github!O$1062, 2)&amp;"%"</f>
        <v>69.31%</v>
      </c>
      <c r="N1871" s="10">
        <f>Github!P$1062</f>
        <v>7643</v>
      </c>
      <c r="O1871" s="10">
        <f>Github!Q$1062</f>
        <v>11027</v>
      </c>
    </row>
    <row r="1872">
      <c r="A1872" s="10">
        <f>Github!J$1896</f>
        <v>1895</v>
      </c>
      <c r="B1872" s="11" t="str">
        <f>HYPERLINK(CONCAT("http://leetcode.com/problems/",Github!C$1896), Github!B$1896)</f>
        <v>Largest Magic Square</v>
      </c>
      <c r="C1872" s="10">
        <f>Github!F$1896</f>
        <v>187</v>
      </c>
      <c r="D1872" s="10">
        <f>Github!G$1896</f>
        <v>199</v>
      </c>
      <c r="E1872" s="10">
        <f>Github!F$1896+Github!G$1896</f>
        <v>386</v>
      </c>
      <c r="F1872" s="12">
        <f t="shared" si="1"/>
        <v>0.94</v>
      </c>
      <c r="G1872" s="10" t="str">
        <f>Github!H$1896</f>
        <v>Algorithms</v>
      </c>
      <c r="H1872" s="13" t="str">
        <f>SUBSTITUTE(Github!L$1896, ";", ", ")</f>
        <v>Array, Matrix, Prefix Sum, </v>
      </c>
      <c r="I1872" s="10" t="str">
        <f>Github!E$1896</f>
        <v>Medium</v>
      </c>
      <c r="J1872" s="10" t="str">
        <f>IF(TRIM(Github!D$1896)="TRUE","FALSE","TRUE")</f>
        <v>TRUE</v>
      </c>
      <c r="K1872" s="10" t="b">
        <f>Github!M$1896</f>
        <v>0</v>
      </c>
      <c r="L1872" s="10" t="b">
        <f>Github!N$1896</f>
        <v>0</v>
      </c>
      <c r="M1872" s="10" t="str">
        <f>ROUND(Github!O$1896, 2)&amp;"%"</f>
        <v>51.27%</v>
      </c>
      <c r="N1872" s="10">
        <f>Github!P$1896</f>
        <v>7480</v>
      </c>
      <c r="O1872" s="10">
        <f>Github!Q$1896</f>
        <v>14590</v>
      </c>
    </row>
    <row r="1873">
      <c r="A1873" s="10">
        <f>Github!J$1113</f>
        <v>1112</v>
      </c>
      <c r="B1873" s="11" t="str">
        <f>HYPERLINK(CONCAT("http://leetcode.com/problems/",Github!C$1113), Github!B$1113)</f>
        <v>Highest Grade For Each Student</v>
      </c>
      <c r="C1873" s="10">
        <f>Github!F$1113</f>
        <v>187</v>
      </c>
      <c r="D1873" s="10">
        <f>Github!G$1113</f>
        <v>7</v>
      </c>
      <c r="E1873" s="10">
        <f>Github!F$1113+Github!G$1113</f>
        <v>194</v>
      </c>
      <c r="F1873" s="12">
        <f t="shared" si="1"/>
        <v>26.71</v>
      </c>
      <c r="G1873" s="10" t="str">
        <f>Github!H$1113</f>
        <v>Database</v>
      </c>
      <c r="H1873" s="13" t="str">
        <f>SUBSTITUTE(Github!L$1113, ";", ", ")</f>
        <v>Database, </v>
      </c>
      <c r="I1873" s="10" t="str">
        <f>Github!E$1113</f>
        <v>Medium</v>
      </c>
      <c r="J1873" s="10" t="str">
        <f>IF(TRIM(Github!D$1113)="TRUE","FALSE","TRUE")</f>
        <v>FALSE</v>
      </c>
      <c r="K1873" s="10" t="b">
        <f>Github!M$1113</f>
        <v>0</v>
      </c>
      <c r="L1873" s="10" t="b">
        <f>Github!N$1113</f>
        <v>0</v>
      </c>
      <c r="M1873" s="10" t="str">
        <f>ROUND(Github!O$1113, 2)&amp;"%"</f>
        <v>73.59%</v>
      </c>
      <c r="N1873" s="10">
        <f>Github!P$1113</f>
        <v>33922</v>
      </c>
      <c r="O1873" s="10">
        <f>Github!Q$1113</f>
        <v>46095</v>
      </c>
    </row>
    <row r="1874">
      <c r="A1874" s="10">
        <f>Github!J$2015</f>
        <v>2014</v>
      </c>
      <c r="B1874" s="11" t="str">
        <f>HYPERLINK(CONCAT("http://leetcode.com/problems/",Github!C$2015), Github!B$2015)</f>
        <v>Longest Subsequence Repeated k Times</v>
      </c>
      <c r="C1874" s="10">
        <f>Github!F$2015</f>
        <v>190</v>
      </c>
      <c r="D1874" s="10">
        <f>Github!G$2015</f>
        <v>53</v>
      </c>
      <c r="E1874" s="10">
        <f>Github!F$2015+Github!G$2015</f>
        <v>243</v>
      </c>
      <c r="F1874" s="12">
        <f t="shared" si="1"/>
        <v>3.58</v>
      </c>
      <c r="G1874" s="10" t="str">
        <f>Github!H$2015</f>
        <v>Algorithms</v>
      </c>
      <c r="H1874" s="13" t="str">
        <f>SUBSTITUTE(Github!L$2015, ";", ", ")</f>
        <v>String, Backtracking, Greedy, Counting, Enumeration, </v>
      </c>
      <c r="I1874" s="10" t="str">
        <f>Github!E$2015</f>
        <v>Hard</v>
      </c>
      <c r="J1874" s="10" t="str">
        <f>IF(TRIM(Github!D$2015)="TRUE","FALSE","TRUE")</f>
        <v>TRUE</v>
      </c>
      <c r="K1874" s="10" t="b">
        <f>Github!M$2015</f>
        <v>0</v>
      </c>
      <c r="L1874" s="10" t="b">
        <f>Github!N$2015</f>
        <v>0</v>
      </c>
      <c r="M1874" s="10" t="str">
        <f>ROUND(Github!O$2015, 2)&amp;"%"</f>
        <v>54.88%</v>
      </c>
      <c r="N1874" s="10">
        <f>Github!P$2015</f>
        <v>4034</v>
      </c>
      <c r="O1874" s="10">
        <f>Github!Q$2015</f>
        <v>7351</v>
      </c>
    </row>
    <row r="1875">
      <c r="A1875" s="10">
        <f>Github!J$581</f>
        <v>580</v>
      </c>
      <c r="B1875" s="11" t="str">
        <f>HYPERLINK(CONCAT("http://leetcode.com/problems/",Github!C$581), Github!B$581)</f>
        <v>Count Student Number in Departments</v>
      </c>
      <c r="C1875" s="10">
        <f>Github!F$581</f>
        <v>186</v>
      </c>
      <c r="D1875" s="10">
        <f>Github!G$581</f>
        <v>30</v>
      </c>
      <c r="E1875" s="10">
        <f>Github!F$581+Github!G$581</f>
        <v>216</v>
      </c>
      <c r="F1875" s="12">
        <f t="shared" si="1"/>
        <v>6.2</v>
      </c>
      <c r="G1875" s="10" t="str">
        <f>Github!H$581</f>
        <v>Database</v>
      </c>
      <c r="H1875" s="13" t="str">
        <f>SUBSTITUTE(Github!L$581, ";", ", ")</f>
        <v>Database, </v>
      </c>
      <c r="I1875" s="10" t="str">
        <f>Github!E$581</f>
        <v>Medium</v>
      </c>
      <c r="J1875" s="10" t="str">
        <f>IF(TRIM(Github!D$581)="TRUE","FALSE","TRUE")</f>
        <v>FALSE</v>
      </c>
      <c r="K1875" s="10" t="b">
        <f>Github!M$581</f>
        <v>1</v>
      </c>
      <c r="L1875" s="10" t="b">
        <f>Github!N$581</f>
        <v>0</v>
      </c>
      <c r="M1875" s="10" t="str">
        <f>ROUND(Github!O$581, 2)&amp;"%"</f>
        <v>56.66%</v>
      </c>
      <c r="N1875" s="10">
        <f>Github!P$581</f>
        <v>44483</v>
      </c>
      <c r="O1875" s="10">
        <f>Github!Q$581</f>
        <v>78505</v>
      </c>
    </row>
    <row r="1876">
      <c r="A1876" s="10">
        <f>Github!J$1361</f>
        <v>1360</v>
      </c>
      <c r="B1876" s="11" t="str">
        <f>HYPERLINK(CONCAT("http://leetcode.com/problems/",Github!C$1361), Github!B$1361)</f>
        <v>Number of Days Between Two Dates</v>
      </c>
      <c r="C1876" s="10">
        <f>Github!F$1361</f>
        <v>186</v>
      </c>
      <c r="D1876" s="10">
        <f>Github!G$1361</f>
        <v>813</v>
      </c>
      <c r="E1876" s="10">
        <f>Github!F$1361+Github!G$1361</f>
        <v>999</v>
      </c>
      <c r="F1876" s="12">
        <f t="shared" si="1"/>
        <v>0.23</v>
      </c>
      <c r="G1876" s="10" t="str">
        <f>Github!H$1361</f>
        <v>Algorithms</v>
      </c>
      <c r="H1876" s="13" t="str">
        <f>SUBSTITUTE(Github!L$1361, ";", ", ")</f>
        <v>Math, String, </v>
      </c>
      <c r="I1876" s="10" t="str">
        <f>Github!E$1361</f>
        <v>Easy</v>
      </c>
      <c r="J1876" s="10" t="str">
        <f>IF(TRIM(Github!D$1361)="TRUE","FALSE","TRUE")</f>
        <v>TRUE</v>
      </c>
      <c r="K1876" s="10" t="b">
        <f>Github!M$1361</f>
        <v>0</v>
      </c>
      <c r="L1876" s="10" t="b">
        <f>Github!N$1361</f>
        <v>0</v>
      </c>
      <c r="M1876" s="10" t="str">
        <f>ROUND(Github!O$1361, 2)&amp;"%"</f>
        <v>46.77%</v>
      </c>
      <c r="N1876" s="10">
        <f>Github!P$1361</f>
        <v>28884</v>
      </c>
      <c r="O1876" s="10">
        <f>Github!Q$1361</f>
        <v>61756</v>
      </c>
    </row>
    <row r="1877">
      <c r="A1877" s="10">
        <f>Github!J$1323</f>
        <v>1322</v>
      </c>
      <c r="B1877" s="11" t="str">
        <f>HYPERLINK(CONCAT("http://leetcode.com/problems/",Github!C$1323), Github!B$1323)</f>
        <v>Ads Performance</v>
      </c>
      <c r="C1877" s="10">
        <f>Github!F$1323</f>
        <v>186</v>
      </c>
      <c r="D1877" s="10">
        <f>Github!G$1323</f>
        <v>46</v>
      </c>
      <c r="E1877" s="10">
        <f>Github!F$1323+Github!G$1323</f>
        <v>232</v>
      </c>
      <c r="F1877" s="12">
        <f t="shared" si="1"/>
        <v>4.04</v>
      </c>
      <c r="G1877" s="10" t="str">
        <f>Github!H$1323</f>
        <v>Database</v>
      </c>
      <c r="H1877" s="13" t="str">
        <f>SUBSTITUTE(Github!L$1323, ";", ", ")</f>
        <v>Database, </v>
      </c>
      <c r="I1877" s="10" t="str">
        <f>Github!E$1323</f>
        <v>Easy</v>
      </c>
      <c r="J1877" s="10" t="str">
        <f>IF(TRIM(Github!D$1323)="TRUE","FALSE","TRUE")</f>
        <v>FALSE</v>
      </c>
      <c r="K1877" s="10" t="b">
        <f>Github!M$1323</f>
        <v>0</v>
      </c>
      <c r="L1877" s="10" t="b">
        <f>Github!N$1323</f>
        <v>0</v>
      </c>
      <c r="M1877" s="10" t="str">
        <f>ROUND(Github!O$1323, 2)&amp;"%"</f>
        <v>60.24%</v>
      </c>
      <c r="N1877" s="10">
        <f>Github!P$1323</f>
        <v>28373</v>
      </c>
      <c r="O1877" s="10">
        <f>Github!Q$1323</f>
        <v>47098</v>
      </c>
    </row>
    <row r="1878">
      <c r="A1878" s="10">
        <f>Github!J$1084</f>
        <v>1083</v>
      </c>
      <c r="B1878" s="11" t="str">
        <f>HYPERLINK(CONCAT("http://leetcode.com/problems/",Github!C$1084), Github!B$1084)</f>
        <v>Sales Analysis II</v>
      </c>
      <c r="C1878" s="10">
        <f>Github!F$1084</f>
        <v>187</v>
      </c>
      <c r="D1878" s="10">
        <f>Github!G$1084</f>
        <v>37</v>
      </c>
      <c r="E1878" s="10">
        <f>Github!F$1084+Github!G$1084</f>
        <v>224</v>
      </c>
      <c r="F1878" s="12">
        <f t="shared" si="1"/>
        <v>5.05</v>
      </c>
      <c r="G1878" s="10" t="str">
        <f>Github!H$1084</f>
        <v>Database</v>
      </c>
      <c r="H1878" s="13" t="str">
        <f>SUBSTITUTE(Github!L$1084, ";", ", ")</f>
        <v>Database, </v>
      </c>
      <c r="I1878" s="10" t="str">
        <f>Github!E$1084</f>
        <v>Easy</v>
      </c>
      <c r="J1878" s="10" t="str">
        <f>IF(TRIM(Github!D$1084)="TRUE","FALSE","TRUE")</f>
        <v>FALSE</v>
      </c>
      <c r="K1878" s="10" t="b">
        <f>Github!M$1084</f>
        <v>0</v>
      </c>
      <c r="L1878" s="10" t="b">
        <f>Github!N$1084</f>
        <v>0</v>
      </c>
      <c r="M1878" s="10" t="str">
        <f>ROUND(Github!O$1084, 2)&amp;"%"</f>
        <v>50.48%</v>
      </c>
      <c r="N1878" s="10">
        <f>Github!P$1084</f>
        <v>41099</v>
      </c>
      <c r="O1878" s="10">
        <f>Github!Q$1084</f>
        <v>81417</v>
      </c>
    </row>
    <row r="1879">
      <c r="A1879" s="10">
        <f>Github!J$2201</f>
        <v>2200</v>
      </c>
      <c r="B1879" s="11" t="str">
        <f>HYPERLINK(CONCAT("http://leetcode.com/problems/",Github!C$2201), Github!B$2201)</f>
        <v>Find All K-Distant Indices in an Array</v>
      </c>
      <c r="C1879" s="10">
        <f>Github!F$2201</f>
        <v>190</v>
      </c>
      <c r="D1879" s="10">
        <f>Github!G$2201</f>
        <v>27</v>
      </c>
      <c r="E1879" s="10">
        <f>Github!F$2201+Github!G$2201</f>
        <v>217</v>
      </c>
      <c r="F1879" s="12">
        <f t="shared" si="1"/>
        <v>7.04</v>
      </c>
      <c r="G1879" s="10" t="str">
        <f>Github!H$2201</f>
        <v>Algorithms</v>
      </c>
      <c r="H1879" s="13" t="str">
        <f>SUBSTITUTE(Github!L$2201, ";", ", ")</f>
        <v>Array, </v>
      </c>
      <c r="I1879" s="10" t="str">
        <f>Github!E$2201</f>
        <v>Easy</v>
      </c>
      <c r="J1879" s="10" t="str">
        <f>IF(TRIM(Github!D$2201)="TRUE","FALSE","TRUE")</f>
        <v>TRUE</v>
      </c>
      <c r="K1879" s="10" t="b">
        <f>Github!M$2201</f>
        <v>0</v>
      </c>
      <c r="L1879" s="10" t="b">
        <f>Github!N$2201</f>
        <v>0</v>
      </c>
      <c r="M1879" s="10" t="str">
        <f>ROUND(Github!O$2201, 2)&amp;"%"</f>
        <v>64.14%</v>
      </c>
      <c r="N1879" s="10">
        <f>Github!P$2201</f>
        <v>21875</v>
      </c>
      <c r="O1879" s="10">
        <f>Github!Q$2201</f>
        <v>34107</v>
      </c>
    </row>
    <row r="1880">
      <c r="A1880" s="10">
        <f>Github!J$1758</f>
        <v>1757</v>
      </c>
      <c r="B1880" s="11" t="str">
        <f>HYPERLINK(CONCAT("http://leetcode.com/problems/",Github!C$1758), Github!B$1758)</f>
        <v>Recyclable and Low Fat Products</v>
      </c>
      <c r="C1880" s="10">
        <f>Github!F$1758</f>
        <v>199</v>
      </c>
      <c r="D1880" s="10">
        <f>Github!G$1758</f>
        <v>53</v>
      </c>
      <c r="E1880" s="10">
        <f>Github!F$1758+Github!G$1758</f>
        <v>252</v>
      </c>
      <c r="F1880" s="12">
        <f t="shared" si="1"/>
        <v>3.75</v>
      </c>
      <c r="G1880" s="10" t="str">
        <f>Github!H$1758</f>
        <v>Database</v>
      </c>
      <c r="H1880" s="13" t="str">
        <f>SUBSTITUTE(Github!L$1758, ";", ", ")</f>
        <v>Database, </v>
      </c>
      <c r="I1880" s="10" t="str">
        <f>Github!E$1758</f>
        <v>Easy</v>
      </c>
      <c r="J1880" s="10" t="str">
        <f>IF(TRIM(Github!D$1758)="TRUE","FALSE","TRUE")</f>
        <v>TRUE</v>
      </c>
      <c r="K1880" s="10" t="b">
        <f>Github!M$1758</f>
        <v>0</v>
      </c>
      <c r="L1880" s="10" t="b">
        <f>Github!N$1758</f>
        <v>0</v>
      </c>
      <c r="M1880" s="10" t="str">
        <f>ROUND(Github!O$1758, 2)&amp;"%"</f>
        <v>95.03%</v>
      </c>
      <c r="N1880" s="10">
        <f>Github!P$1758</f>
        <v>47663</v>
      </c>
      <c r="O1880" s="10">
        <f>Github!Q$1758</f>
        <v>50156</v>
      </c>
    </row>
    <row r="1881">
      <c r="A1881" s="10">
        <f>Github!J$1127</f>
        <v>1126</v>
      </c>
      <c r="B1881" s="11" t="str">
        <f>HYPERLINK(CONCAT("http://leetcode.com/problems/",Github!C$1127), Github!B$1127)</f>
        <v>Active Businesses</v>
      </c>
      <c r="C1881" s="10">
        <f>Github!F$1127</f>
        <v>182</v>
      </c>
      <c r="D1881" s="10">
        <f>Github!G$1127</f>
        <v>21</v>
      </c>
      <c r="E1881" s="10">
        <f>Github!F$1127+Github!G$1127</f>
        <v>203</v>
      </c>
      <c r="F1881" s="12">
        <f t="shared" si="1"/>
        <v>8.67</v>
      </c>
      <c r="G1881" s="10" t="str">
        <f>Github!H$1127</f>
        <v>Database</v>
      </c>
      <c r="H1881" s="13" t="str">
        <f>SUBSTITUTE(Github!L$1127, ";", ", ")</f>
        <v>Database, </v>
      </c>
      <c r="I1881" s="10" t="str">
        <f>Github!E$1127</f>
        <v>Medium</v>
      </c>
      <c r="J1881" s="10" t="str">
        <f>IF(TRIM(Github!D$1127)="TRUE","FALSE","TRUE")</f>
        <v>FALSE</v>
      </c>
      <c r="K1881" s="10" t="b">
        <f>Github!M$1127</f>
        <v>0</v>
      </c>
      <c r="L1881" s="10" t="b">
        <f>Github!N$1127</f>
        <v>0</v>
      </c>
      <c r="M1881" s="10" t="str">
        <f>ROUND(Github!O$1127, 2)&amp;"%"</f>
        <v>67.76%</v>
      </c>
      <c r="N1881" s="10">
        <f>Github!P$1127</f>
        <v>29719</v>
      </c>
      <c r="O1881" s="10">
        <f>Github!Q$1127</f>
        <v>43860</v>
      </c>
    </row>
    <row r="1882">
      <c r="A1882" s="10">
        <f>Github!J$656</f>
        <v>655</v>
      </c>
      <c r="B1882" s="11" t="str">
        <f>HYPERLINK(CONCAT("http://leetcode.com/problems/",Github!C$656), Github!B$656)</f>
        <v>Print Binary Tree</v>
      </c>
      <c r="C1882" s="10">
        <f>Github!F$656</f>
        <v>182</v>
      </c>
      <c r="D1882" s="10">
        <f>Github!G$656</f>
        <v>208</v>
      </c>
      <c r="E1882" s="10">
        <f>Github!F$656+Github!G$656</f>
        <v>390</v>
      </c>
      <c r="F1882" s="12">
        <f t="shared" si="1"/>
        <v>0.88</v>
      </c>
      <c r="G1882" s="10" t="str">
        <f>Github!H$656</f>
        <v>Algorithms</v>
      </c>
      <c r="H1882" s="13" t="str">
        <f>SUBSTITUTE(Github!L$656, ";", ", ")</f>
        <v>Tree, Depth-First Search, Breadth-First Search, Binary Tree, </v>
      </c>
      <c r="I1882" s="10" t="str">
        <f>Github!E$656</f>
        <v>Medium</v>
      </c>
      <c r="J1882" s="10" t="str">
        <f>IF(TRIM(Github!D$656)="TRUE","FALSE","TRUE")</f>
        <v>TRUE</v>
      </c>
      <c r="K1882" s="10" t="b">
        <f>Github!M$656</f>
        <v>0</v>
      </c>
      <c r="L1882" s="10" t="b">
        <f>Github!N$656</f>
        <v>0</v>
      </c>
      <c r="M1882" s="10" t="str">
        <f>ROUND(Github!O$656, 2)&amp;"%"</f>
        <v>59.8%</v>
      </c>
      <c r="N1882" s="10">
        <f>Github!P$656</f>
        <v>50638</v>
      </c>
      <c r="O1882" s="10">
        <f>Github!Q$656</f>
        <v>84681</v>
      </c>
    </row>
    <row r="1883">
      <c r="A1883" s="10">
        <f>Github!J$482</f>
        <v>481</v>
      </c>
      <c r="B1883" s="11" t="str">
        <f>HYPERLINK(CONCAT("http://leetcode.com/problems/",Github!C$482), Github!B$482)</f>
        <v>Magical String</v>
      </c>
      <c r="C1883" s="10">
        <f>Github!F$482</f>
        <v>181</v>
      </c>
      <c r="D1883" s="10">
        <f>Github!G$482</f>
        <v>937</v>
      </c>
      <c r="E1883" s="10">
        <f>Github!F$482+Github!G$482</f>
        <v>1118</v>
      </c>
      <c r="F1883" s="12">
        <f t="shared" si="1"/>
        <v>0.19</v>
      </c>
      <c r="G1883" s="10" t="str">
        <f>Github!H$482</f>
        <v>Algorithms</v>
      </c>
      <c r="H1883" s="13" t="str">
        <f>SUBSTITUTE(Github!L$482, ";", ", ")</f>
        <v>Two Pointers, String, </v>
      </c>
      <c r="I1883" s="10" t="str">
        <f>Github!E$482</f>
        <v>Medium</v>
      </c>
      <c r="J1883" s="10" t="str">
        <f>IF(TRIM(Github!D$482)="TRUE","FALSE","TRUE")</f>
        <v>TRUE</v>
      </c>
      <c r="K1883" s="10" t="b">
        <f>Github!M$482</f>
        <v>0</v>
      </c>
      <c r="L1883" s="10" t="b">
        <f>Github!N$482</f>
        <v>0</v>
      </c>
      <c r="M1883" s="10" t="str">
        <f>ROUND(Github!O$482, 2)&amp;"%"</f>
        <v>49.68%</v>
      </c>
      <c r="N1883" s="10">
        <f>Github!P$482</f>
        <v>27705</v>
      </c>
      <c r="O1883" s="10">
        <f>Github!Q$482</f>
        <v>55771</v>
      </c>
    </row>
    <row r="1884">
      <c r="A1884" s="10">
        <f>Github!J$1317</f>
        <v>1316</v>
      </c>
      <c r="B1884" s="11" t="str">
        <f>HYPERLINK(CONCAT("http://leetcode.com/problems/",Github!C$1317), Github!B$1317)</f>
        <v>Distinct Echo Substrings</v>
      </c>
      <c r="C1884" s="10">
        <f>Github!F$1317</f>
        <v>182</v>
      </c>
      <c r="D1884" s="10">
        <f>Github!G$1317</f>
        <v>172</v>
      </c>
      <c r="E1884" s="10">
        <f>Github!F$1317+Github!G$1317</f>
        <v>354</v>
      </c>
      <c r="F1884" s="12">
        <f t="shared" si="1"/>
        <v>1.06</v>
      </c>
      <c r="G1884" s="10" t="str">
        <f>Github!H$1317</f>
        <v>Algorithms</v>
      </c>
      <c r="H1884" s="13" t="str">
        <f>SUBSTITUTE(Github!L$1317, ";", ", ")</f>
        <v>String, Dynamic Programming, Trie, Sliding Window, Rolling Hash, Hash Function, </v>
      </c>
      <c r="I1884" s="10" t="str">
        <f>Github!E$1317</f>
        <v>Hard</v>
      </c>
      <c r="J1884" s="10" t="str">
        <f>IF(TRIM(Github!D$1317)="TRUE","FALSE","TRUE")</f>
        <v>TRUE</v>
      </c>
      <c r="K1884" s="10" t="b">
        <f>Github!M$1317</f>
        <v>0</v>
      </c>
      <c r="L1884" s="10" t="b">
        <f>Github!N$1317</f>
        <v>0</v>
      </c>
      <c r="M1884" s="10" t="str">
        <f>ROUND(Github!O$1317, 2)&amp;"%"</f>
        <v>49.92%</v>
      </c>
      <c r="N1884" s="10">
        <f>Github!P$1317</f>
        <v>11474</v>
      </c>
      <c r="O1884" s="10">
        <f>Github!Q$1317</f>
        <v>22986</v>
      </c>
    </row>
    <row r="1885">
      <c r="A1885" s="10">
        <f>Github!J$1237</f>
        <v>1236</v>
      </c>
      <c r="B1885" s="11" t="str">
        <f>HYPERLINK(CONCAT("http://leetcode.com/problems/",Github!C$1237), Github!B$1237)</f>
        <v>Web Crawler</v>
      </c>
      <c r="C1885" s="10">
        <f>Github!F$1237</f>
        <v>182</v>
      </c>
      <c r="D1885" s="10">
        <f>Github!G$1237</f>
        <v>201</v>
      </c>
      <c r="E1885" s="10">
        <f>Github!F$1237+Github!G$1237</f>
        <v>383</v>
      </c>
      <c r="F1885" s="12">
        <f t="shared" si="1"/>
        <v>0.91</v>
      </c>
      <c r="G1885" s="10" t="str">
        <f>Github!H$1237</f>
        <v>Algorithms</v>
      </c>
      <c r="H1885" s="13" t="str">
        <f>SUBSTITUTE(Github!L$1237, ";", ", ")</f>
        <v>String, Depth-First Search, Breadth-First Search, Interactive, </v>
      </c>
      <c r="I1885" s="10" t="str">
        <f>Github!E$1237</f>
        <v>Medium</v>
      </c>
      <c r="J1885" s="10" t="str">
        <f>IF(TRIM(Github!D$1237)="TRUE","FALSE","TRUE")</f>
        <v>FALSE</v>
      </c>
      <c r="K1885" s="10" t="b">
        <f>Github!M$1237</f>
        <v>0</v>
      </c>
      <c r="L1885" s="10" t="b">
        <f>Github!N$1237</f>
        <v>0</v>
      </c>
      <c r="M1885" s="10" t="str">
        <f>ROUND(Github!O$1237, 2)&amp;"%"</f>
        <v>65.64%</v>
      </c>
      <c r="N1885" s="10">
        <f>Github!P$1237</f>
        <v>22236</v>
      </c>
      <c r="O1885" s="10">
        <f>Github!Q$1237</f>
        <v>33874</v>
      </c>
    </row>
    <row r="1886">
      <c r="A1886" s="10">
        <f>Github!J$2148</f>
        <v>2147</v>
      </c>
      <c r="B1886" s="11" t="str">
        <f>HYPERLINK(CONCAT("http://leetcode.com/problems/",Github!C$2148), Github!B$2148)</f>
        <v>Number of Ways to Divide a Long Corridor</v>
      </c>
      <c r="C1886" s="10">
        <f>Github!F$2148</f>
        <v>184</v>
      </c>
      <c r="D1886" s="10">
        <f>Github!G$2148</f>
        <v>17</v>
      </c>
      <c r="E1886" s="10">
        <f>Github!F$2148+Github!G$2148</f>
        <v>201</v>
      </c>
      <c r="F1886" s="12">
        <f t="shared" si="1"/>
        <v>10.82</v>
      </c>
      <c r="G1886" s="10" t="str">
        <f>Github!H$2148</f>
        <v>Algorithms</v>
      </c>
      <c r="H1886" s="13" t="str">
        <f>SUBSTITUTE(Github!L$2148, ";", ", ")</f>
        <v>Math, String, Dynamic Programming, </v>
      </c>
      <c r="I1886" s="10" t="str">
        <f>Github!E$2148</f>
        <v>Hard</v>
      </c>
      <c r="J1886" s="10" t="str">
        <f>IF(TRIM(Github!D$2148)="TRUE","FALSE","TRUE")</f>
        <v>TRUE</v>
      </c>
      <c r="K1886" s="10" t="b">
        <f>Github!M$2148</f>
        <v>0</v>
      </c>
      <c r="L1886" s="10" t="b">
        <f>Github!N$2148</f>
        <v>0</v>
      </c>
      <c r="M1886" s="10" t="str">
        <f>ROUND(Github!O$2148, 2)&amp;"%"</f>
        <v>40.02%</v>
      </c>
      <c r="N1886" s="10">
        <f>Github!P$2148</f>
        <v>6609</v>
      </c>
      <c r="O1886" s="10">
        <f>Github!Q$2148</f>
        <v>16514</v>
      </c>
    </row>
    <row r="1887">
      <c r="A1887" s="10">
        <f>Github!J$2075</f>
        <v>2074</v>
      </c>
      <c r="B1887" s="11" t="str">
        <f>HYPERLINK(CONCAT("http://leetcode.com/problems/",Github!C$2075), Github!B$2075)</f>
        <v>Reverse Nodes in Even Length Groups</v>
      </c>
      <c r="C1887" s="10">
        <f>Github!F$2075</f>
        <v>185</v>
      </c>
      <c r="D1887" s="10">
        <f>Github!G$2075</f>
        <v>195</v>
      </c>
      <c r="E1887" s="10">
        <f>Github!F$2075+Github!G$2075</f>
        <v>380</v>
      </c>
      <c r="F1887" s="12">
        <f t="shared" si="1"/>
        <v>0.95</v>
      </c>
      <c r="G1887" s="10" t="str">
        <f>Github!H$2075</f>
        <v>Algorithms</v>
      </c>
      <c r="H1887" s="13" t="str">
        <f>SUBSTITUTE(Github!L$2075, ";", ", ")</f>
        <v>Linked List, </v>
      </c>
      <c r="I1887" s="10" t="str">
        <f>Github!E$2075</f>
        <v>Medium</v>
      </c>
      <c r="J1887" s="10" t="str">
        <f>IF(TRIM(Github!D$2075)="TRUE","FALSE","TRUE")</f>
        <v>TRUE</v>
      </c>
      <c r="K1887" s="10" t="b">
        <f>Github!M$2075</f>
        <v>0</v>
      </c>
      <c r="L1887" s="10" t="b">
        <f>Github!N$2075</f>
        <v>0</v>
      </c>
      <c r="M1887" s="10" t="str">
        <f>ROUND(Github!O$2075, 2)&amp;"%"</f>
        <v>50.43%</v>
      </c>
      <c r="N1887" s="10">
        <f>Github!P$2075</f>
        <v>9544</v>
      </c>
      <c r="O1887" s="10">
        <f>Github!Q$2075</f>
        <v>18926</v>
      </c>
    </row>
    <row r="1888">
      <c r="A1888" s="10">
        <f>Github!J$1926</f>
        <v>1925</v>
      </c>
      <c r="B1888" s="11" t="str">
        <f>HYPERLINK(CONCAT("http://leetcode.com/problems/",Github!C$1926), Github!B$1926)</f>
        <v>Count Square Sum Triples</v>
      </c>
      <c r="C1888" s="10">
        <f>Github!F$1926</f>
        <v>185</v>
      </c>
      <c r="D1888" s="10">
        <f>Github!G$1926</f>
        <v>19</v>
      </c>
      <c r="E1888" s="10">
        <f>Github!F$1926+Github!G$1926</f>
        <v>204</v>
      </c>
      <c r="F1888" s="12">
        <f t="shared" si="1"/>
        <v>9.74</v>
      </c>
      <c r="G1888" s="10" t="str">
        <f>Github!H$1926</f>
        <v>Algorithms</v>
      </c>
      <c r="H1888" s="13" t="str">
        <f>SUBSTITUTE(Github!L$1926, ";", ", ")</f>
        <v>Math, Enumeration, </v>
      </c>
      <c r="I1888" s="10" t="str">
        <f>Github!E$1926</f>
        <v>Easy</v>
      </c>
      <c r="J1888" s="10" t="str">
        <f>IF(TRIM(Github!D$1926)="TRUE","FALSE","TRUE")</f>
        <v>TRUE</v>
      </c>
      <c r="K1888" s="10" t="b">
        <f>Github!M$1926</f>
        <v>0</v>
      </c>
      <c r="L1888" s="10" t="b">
        <f>Github!N$1926</f>
        <v>0</v>
      </c>
      <c r="M1888" s="10" t="str">
        <f>ROUND(Github!O$1926, 2)&amp;"%"</f>
        <v>67.59%</v>
      </c>
      <c r="N1888" s="10">
        <f>Github!P$1926</f>
        <v>21194</v>
      </c>
      <c r="O1888" s="10">
        <f>Github!Q$1926</f>
        <v>31359</v>
      </c>
    </row>
    <row r="1889">
      <c r="A1889" s="10">
        <f>Github!J$1601</f>
        <v>1600</v>
      </c>
      <c r="B1889" s="11" t="str">
        <f>HYPERLINK(CONCAT("http://leetcode.com/problems/",Github!C$1601), Github!B$1601)</f>
        <v>Throne Inheritance</v>
      </c>
      <c r="C1889" s="10">
        <f>Github!F$1601</f>
        <v>184</v>
      </c>
      <c r="D1889" s="10">
        <f>Github!G$1601</f>
        <v>234</v>
      </c>
      <c r="E1889" s="10">
        <f>Github!F$1601+Github!G$1601</f>
        <v>418</v>
      </c>
      <c r="F1889" s="12">
        <f t="shared" si="1"/>
        <v>0.79</v>
      </c>
      <c r="G1889" s="10" t="str">
        <f>Github!H$1601</f>
        <v>Algorithms</v>
      </c>
      <c r="H1889" s="13" t="str">
        <f>SUBSTITUTE(Github!L$1601, ";", ", ")</f>
        <v>Hash Table, Tree, Depth-First Search, Design, </v>
      </c>
      <c r="I1889" s="10" t="str">
        <f>Github!E$1601</f>
        <v>Medium</v>
      </c>
      <c r="J1889" s="10" t="str">
        <f>IF(TRIM(Github!D$1601)="TRUE","FALSE","TRUE")</f>
        <v>TRUE</v>
      </c>
      <c r="K1889" s="10" t="b">
        <f>Github!M$1601</f>
        <v>0</v>
      </c>
      <c r="L1889" s="10" t="b">
        <f>Github!N$1601</f>
        <v>0</v>
      </c>
      <c r="M1889" s="10" t="str">
        <f>ROUND(Github!O$1601, 2)&amp;"%"</f>
        <v>63.13%</v>
      </c>
      <c r="N1889" s="10">
        <f>Github!P$1601</f>
        <v>11537</v>
      </c>
      <c r="O1889" s="10">
        <f>Github!Q$1601</f>
        <v>18274</v>
      </c>
    </row>
    <row r="1890">
      <c r="A1890" s="10">
        <f>Github!J$1227</f>
        <v>1226</v>
      </c>
      <c r="B1890" s="11" t="str">
        <f>HYPERLINK(CONCAT("http://leetcode.com/problems/",Github!C$1227), Github!B$1227)</f>
        <v>The Dining Philosophers</v>
      </c>
      <c r="C1890" s="10">
        <f>Github!F$1227</f>
        <v>181</v>
      </c>
      <c r="D1890" s="10">
        <f>Github!G$1227</f>
        <v>206</v>
      </c>
      <c r="E1890" s="10">
        <f>Github!F$1227+Github!G$1227</f>
        <v>387</v>
      </c>
      <c r="F1890" s="12">
        <f t="shared" si="1"/>
        <v>0.88</v>
      </c>
      <c r="G1890" s="10" t="str">
        <f>Github!H$1227</f>
        <v>Concurrency</v>
      </c>
      <c r="H1890" s="13" t="str">
        <f>SUBSTITUTE(Github!L$1227, ";", ", ")</f>
        <v>Concurrency, </v>
      </c>
      <c r="I1890" s="10" t="str">
        <f>Github!E$1227</f>
        <v>Medium</v>
      </c>
      <c r="J1890" s="10" t="str">
        <f>IF(TRIM(Github!D$1227)="TRUE","FALSE","TRUE")</f>
        <v>TRUE</v>
      </c>
      <c r="K1890" s="10" t="b">
        <f>Github!M$1227</f>
        <v>0</v>
      </c>
      <c r="L1890" s="10" t="b">
        <f>Github!N$1227</f>
        <v>0</v>
      </c>
      <c r="M1890" s="10" t="str">
        <f>ROUND(Github!O$1227, 2)&amp;"%"</f>
        <v>57.35%</v>
      </c>
      <c r="N1890" s="10">
        <f>Github!P$1227</f>
        <v>19089</v>
      </c>
      <c r="O1890" s="10">
        <f>Github!Q$1227</f>
        <v>33284</v>
      </c>
    </row>
    <row r="1891">
      <c r="A1891" s="10">
        <f>Github!J$1299</f>
        <v>1298</v>
      </c>
      <c r="B1891" s="11" t="str">
        <f>HYPERLINK(CONCAT("http://leetcode.com/problems/",Github!C$1299), Github!B$1299)</f>
        <v>Maximum Candies You Can Get from Boxes</v>
      </c>
      <c r="C1891" s="10">
        <f>Github!F$1299</f>
        <v>179</v>
      </c>
      <c r="D1891" s="10">
        <f>Github!G$1299</f>
        <v>112</v>
      </c>
      <c r="E1891" s="10">
        <f>Github!F$1299+Github!G$1299</f>
        <v>291</v>
      </c>
      <c r="F1891" s="12">
        <f t="shared" si="1"/>
        <v>1.6</v>
      </c>
      <c r="G1891" s="10" t="str">
        <f>Github!H$1299</f>
        <v>Algorithms</v>
      </c>
      <c r="H1891" s="13" t="str">
        <f>SUBSTITUTE(Github!L$1299, ";", ", ")</f>
        <v>Array, Breadth-First Search, </v>
      </c>
      <c r="I1891" s="10" t="str">
        <f>Github!E$1299</f>
        <v>Hard</v>
      </c>
      <c r="J1891" s="10" t="str">
        <f>IF(TRIM(Github!D$1299)="TRUE","FALSE","TRUE")</f>
        <v>TRUE</v>
      </c>
      <c r="K1891" s="10" t="b">
        <f>Github!M$1299</f>
        <v>0</v>
      </c>
      <c r="L1891" s="10" t="b">
        <f>Github!N$1299</f>
        <v>0</v>
      </c>
      <c r="M1891" s="10" t="str">
        <f>ROUND(Github!O$1299, 2)&amp;"%"</f>
        <v>60.85%</v>
      </c>
      <c r="N1891" s="10">
        <f>Github!P$1299</f>
        <v>10112</v>
      </c>
      <c r="O1891" s="10">
        <f>Github!Q$1299</f>
        <v>16618</v>
      </c>
    </row>
    <row r="1892">
      <c r="A1892" s="10">
        <f>Github!J$1085</f>
        <v>1084</v>
      </c>
      <c r="B1892" s="11" t="str">
        <f>HYPERLINK(CONCAT("http://leetcode.com/problems/",Github!C$1085), Github!B$1085)</f>
        <v>Sales Analysis III</v>
      </c>
      <c r="C1892" s="10">
        <f>Github!F$1085</f>
        <v>189</v>
      </c>
      <c r="D1892" s="10">
        <f>Github!G$1085</f>
        <v>62</v>
      </c>
      <c r="E1892" s="10">
        <f>Github!F$1085+Github!G$1085</f>
        <v>251</v>
      </c>
      <c r="F1892" s="12">
        <f t="shared" si="1"/>
        <v>3.05</v>
      </c>
      <c r="G1892" s="10" t="str">
        <f>Github!H$1085</f>
        <v>Database</v>
      </c>
      <c r="H1892" s="13" t="str">
        <f>SUBSTITUTE(Github!L$1085, ";", ", ")</f>
        <v>Database, </v>
      </c>
      <c r="I1892" s="10" t="str">
        <f>Github!E$1085</f>
        <v>Easy</v>
      </c>
      <c r="J1892" s="10" t="str">
        <f>IF(TRIM(Github!D$1085)="TRUE","FALSE","TRUE")</f>
        <v>TRUE</v>
      </c>
      <c r="K1892" s="10" t="b">
        <f>Github!M$1085</f>
        <v>0</v>
      </c>
      <c r="L1892" s="10" t="b">
        <f>Github!N$1085</f>
        <v>0</v>
      </c>
      <c r="M1892" s="10" t="str">
        <f>ROUND(Github!O$1085, 2)&amp;"%"</f>
        <v>53.71%</v>
      </c>
      <c r="N1892" s="10">
        <f>Github!P$1085</f>
        <v>43101</v>
      </c>
      <c r="O1892" s="10">
        <f>Github!Q$1085</f>
        <v>80253</v>
      </c>
    </row>
    <row r="1893">
      <c r="A1893" s="10">
        <f>Github!J$1682</f>
        <v>1681</v>
      </c>
      <c r="B1893" s="11" t="str">
        <f>HYPERLINK(CONCAT("http://leetcode.com/problems/",Github!C$1682), Github!B$1682)</f>
        <v>Minimum Incompatibility</v>
      </c>
      <c r="C1893" s="10">
        <f>Github!F$1682</f>
        <v>178</v>
      </c>
      <c r="D1893" s="10">
        <f>Github!G$1682</f>
        <v>82</v>
      </c>
      <c r="E1893" s="10">
        <f>Github!F$1682+Github!G$1682</f>
        <v>260</v>
      </c>
      <c r="F1893" s="12">
        <f t="shared" si="1"/>
        <v>2.17</v>
      </c>
      <c r="G1893" s="10" t="str">
        <f>Github!H$1682</f>
        <v>Algorithms</v>
      </c>
      <c r="H1893" s="13" t="str">
        <f>SUBSTITUTE(Github!L$1682, ";", ", ")</f>
        <v>Array, Dynamic Programming, Bit Manipulation, Bitmask, </v>
      </c>
      <c r="I1893" s="10" t="str">
        <f>Github!E$1682</f>
        <v>Hard</v>
      </c>
      <c r="J1893" s="10" t="str">
        <f>IF(TRIM(Github!D$1682)="TRUE","FALSE","TRUE")</f>
        <v>TRUE</v>
      </c>
      <c r="K1893" s="10" t="b">
        <f>Github!M$1682</f>
        <v>0</v>
      </c>
      <c r="L1893" s="10" t="b">
        <f>Github!N$1682</f>
        <v>0</v>
      </c>
      <c r="M1893" s="10" t="str">
        <f>ROUND(Github!O$1682, 2)&amp;"%"</f>
        <v>37.05%</v>
      </c>
      <c r="N1893" s="10">
        <f>Github!P$1682</f>
        <v>5802</v>
      </c>
      <c r="O1893" s="10">
        <f>Github!Q$1682</f>
        <v>15659</v>
      </c>
    </row>
    <row r="1894">
      <c r="A1894" s="10">
        <f>Github!J$2177</f>
        <v>2176</v>
      </c>
      <c r="B1894" s="11" t="str">
        <f>HYPERLINK(CONCAT("http://leetcode.com/problems/",Github!C$2177), Github!B$2177)</f>
        <v>Count Equal and Divisible Pairs in an Array</v>
      </c>
      <c r="C1894" s="10">
        <f>Github!F$2177</f>
        <v>182</v>
      </c>
      <c r="D1894" s="10">
        <f>Github!G$2177</f>
        <v>7</v>
      </c>
      <c r="E1894" s="10">
        <f>Github!F$2177+Github!G$2177</f>
        <v>189</v>
      </c>
      <c r="F1894" s="12">
        <f t="shared" si="1"/>
        <v>26</v>
      </c>
      <c r="G1894" s="10" t="str">
        <f>Github!H$2177</f>
        <v>Algorithms</v>
      </c>
      <c r="H1894" s="13" t="str">
        <f>SUBSTITUTE(Github!L$2177, ";", ", ")</f>
        <v>Array, </v>
      </c>
      <c r="I1894" s="10" t="str">
        <f>Github!E$2177</f>
        <v>Easy</v>
      </c>
      <c r="J1894" s="10" t="str">
        <f>IF(TRIM(Github!D$2177)="TRUE","FALSE","TRUE")</f>
        <v>TRUE</v>
      </c>
      <c r="K1894" s="10" t="b">
        <f>Github!M$2177</f>
        <v>0</v>
      </c>
      <c r="L1894" s="10" t="b">
        <f>Github!N$2177</f>
        <v>0</v>
      </c>
      <c r="M1894" s="10" t="str">
        <f>ROUND(Github!O$2177, 2)&amp;"%"</f>
        <v>80.28%</v>
      </c>
      <c r="N1894" s="10">
        <f>Github!P$2177</f>
        <v>23173</v>
      </c>
      <c r="O1894" s="10">
        <f>Github!Q$2177</f>
        <v>28865</v>
      </c>
    </row>
    <row r="1895">
      <c r="A1895" s="10">
        <f>Github!J$632</f>
        <v>631</v>
      </c>
      <c r="B1895" s="11" t="str">
        <f>HYPERLINK(CONCAT("http://leetcode.com/problems/",Github!C$632), Github!B$632)</f>
        <v>Design Excel Sum Formula</v>
      </c>
      <c r="C1895" s="10">
        <f>Github!F$632</f>
        <v>178</v>
      </c>
      <c r="D1895" s="10">
        <f>Github!G$632</f>
        <v>217</v>
      </c>
      <c r="E1895" s="10">
        <f>Github!F$632+Github!G$632</f>
        <v>395</v>
      </c>
      <c r="F1895" s="12">
        <f t="shared" si="1"/>
        <v>0.82</v>
      </c>
      <c r="G1895" s="10" t="str">
        <f>Github!H$632</f>
        <v>Algorithms</v>
      </c>
      <c r="H1895" s="13" t="str">
        <f>SUBSTITUTE(Github!L$632, ";", ", ")</f>
        <v>Graph, Design, Topological Sort, </v>
      </c>
      <c r="I1895" s="10" t="str">
        <f>Github!E$632</f>
        <v>Hard</v>
      </c>
      <c r="J1895" s="10" t="str">
        <f>IF(TRIM(Github!D$632)="TRUE","FALSE","TRUE")</f>
        <v>FALSE</v>
      </c>
      <c r="K1895" s="10" t="b">
        <f>Github!M$632</f>
        <v>1</v>
      </c>
      <c r="L1895" s="10" t="b">
        <f>Github!N$632</f>
        <v>0</v>
      </c>
      <c r="M1895" s="10" t="str">
        <f>ROUND(Github!O$632, 2)&amp;"%"</f>
        <v>41.82%</v>
      </c>
      <c r="N1895" s="10">
        <f>Github!P$632</f>
        <v>11111</v>
      </c>
      <c r="O1895" s="10">
        <f>Github!Q$632</f>
        <v>26569</v>
      </c>
    </row>
    <row r="1896">
      <c r="A1896" s="10">
        <f>Github!J$1046</f>
        <v>1045</v>
      </c>
      <c r="B1896" s="11" t="str">
        <f>HYPERLINK(CONCAT("http://leetcode.com/problems/",Github!C$1046), Github!B$1046)</f>
        <v>Customers Who Bought All Products</v>
      </c>
      <c r="C1896" s="10">
        <f>Github!F$1046</f>
        <v>180</v>
      </c>
      <c r="D1896" s="10">
        <f>Github!G$1046</f>
        <v>36</v>
      </c>
      <c r="E1896" s="10">
        <f>Github!F$1046+Github!G$1046</f>
        <v>216</v>
      </c>
      <c r="F1896" s="12">
        <f t="shared" si="1"/>
        <v>5</v>
      </c>
      <c r="G1896" s="10" t="str">
        <f>Github!H$1046</f>
        <v>Database</v>
      </c>
      <c r="H1896" s="13" t="str">
        <f>SUBSTITUTE(Github!L$1046, ";", ", ")</f>
        <v>Database, </v>
      </c>
      <c r="I1896" s="10" t="str">
        <f>Github!E$1046</f>
        <v>Medium</v>
      </c>
      <c r="J1896" s="10" t="str">
        <f>IF(TRIM(Github!D$1046)="TRUE","FALSE","TRUE")</f>
        <v>FALSE</v>
      </c>
      <c r="K1896" s="10" t="b">
        <f>Github!M$1046</f>
        <v>0</v>
      </c>
      <c r="L1896" s="10" t="b">
        <f>Github!N$1046</f>
        <v>0</v>
      </c>
      <c r="M1896" s="10" t="str">
        <f>ROUND(Github!O$1046, 2)&amp;"%"</f>
        <v>67.39%</v>
      </c>
      <c r="N1896" s="10">
        <f>Github!P$1046</f>
        <v>36383</v>
      </c>
      <c r="O1896" s="10">
        <f>Github!Q$1046</f>
        <v>53985</v>
      </c>
    </row>
    <row r="1897">
      <c r="A1897" s="10">
        <f>Github!J$1078</f>
        <v>1077</v>
      </c>
      <c r="B1897" s="11" t="str">
        <f>HYPERLINK(CONCAT("http://leetcode.com/problems/",Github!C$1078), Github!B$1078)</f>
        <v>Project Employees III</v>
      </c>
      <c r="C1897" s="10">
        <f>Github!F$1078</f>
        <v>177</v>
      </c>
      <c r="D1897" s="10">
        <f>Github!G$1078</f>
        <v>6</v>
      </c>
      <c r="E1897" s="10">
        <f>Github!F$1078+Github!G$1078</f>
        <v>183</v>
      </c>
      <c r="F1897" s="12">
        <f t="shared" si="1"/>
        <v>29.5</v>
      </c>
      <c r="G1897" s="10" t="str">
        <f>Github!H$1078</f>
        <v>Database</v>
      </c>
      <c r="H1897" s="13" t="str">
        <f>SUBSTITUTE(Github!L$1078, ";", ", ")</f>
        <v>Database, </v>
      </c>
      <c r="I1897" s="10" t="str">
        <f>Github!E$1078</f>
        <v>Medium</v>
      </c>
      <c r="J1897" s="10" t="str">
        <f>IF(TRIM(Github!D$1078)="TRUE","FALSE","TRUE")</f>
        <v>FALSE</v>
      </c>
      <c r="K1897" s="10" t="b">
        <f>Github!M$1078</f>
        <v>0</v>
      </c>
      <c r="L1897" s="10" t="b">
        <f>Github!N$1078</f>
        <v>0</v>
      </c>
      <c r="M1897" s="10" t="str">
        <f>ROUND(Github!O$1078, 2)&amp;"%"</f>
        <v>78.41%</v>
      </c>
      <c r="N1897" s="10">
        <f>Github!P$1078</f>
        <v>34664</v>
      </c>
      <c r="O1897" s="10">
        <f>Github!Q$1078</f>
        <v>44211</v>
      </c>
    </row>
    <row r="1898">
      <c r="A1898" s="10">
        <f>Github!J$616</f>
        <v>615</v>
      </c>
      <c r="B1898" s="11" t="str">
        <f>HYPERLINK(CONCAT("http://leetcode.com/problems/",Github!C$616), Github!B$616)</f>
        <v>Average Salary: Departments VS Company</v>
      </c>
      <c r="C1898" s="10">
        <f>Github!F$616</f>
        <v>175</v>
      </c>
      <c r="D1898" s="10">
        <f>Github!G$616</f>
        <v>59</v>
      </c>
      <c r="E1898" s="10">
        <f>Github!F$616+Github!G$616</f>
        <v>234</v>
      </c>
      <c r="F1898" s="12">
        <f t="shared" si="1"/>
        <v>2.97</v>
      </c>
      <c r="G1898" s="10" t="str">
        <f>Github!H$616</f>
        <v>Database</v>
      </c>
      <c r="H1898" s="13" t="str">
        <f>SUBSTITUTE(Github!L$616, ";", ", ")</f>
        <v>Database, </v>
      </c>
      <c r="I1898" s="10" t="str">
        <f>Github!E$616</f>
        <v>Hard</v>
      </c>
      <c r="J1898" s="10" t="str">
        <f>IF(TRIM(Github!D$616)="TRUE","FALSE","TRUE")</f>
        <v>FALSE</v>
      </c>
      <c r="K1898" s="10" t="b">
        <f>Github!M$616</f>
        <v>1</v>
      </c>
      <c r="L1898" s="10" t="b">
        <f>Github!N$616</f>
        <v>0</v>
      </c>
      <c r="M1898" s="10" t="str">
        <f>ROUND(Github!O$616, 2)&amp;"%"</f>
        <v>56.34%</v>
      </c>
      <c r="N1898" s="10">
        <f>Github!P$616</f>
        <v>26061</v>
      </c>
      <c r="O1898" s="10">
        <f>Github!Q$616</f>
        <v>46251</v>
      </c>
    </row>
    <row r="1899">
      <c r="A1899" s="10">
        <f>Github!J$1064</f>
        <v>1063</v>
      </c>
      <c r="B1899" s="11" t="str">
        <f>HYPERLINK(CONCAT("http://leetcode.com/problems/",Github!C$1064), Github!B$1064)</f>
        <v>Number of Valid Subarrays</v>
      </c>
      <c r="C1899" s="10">
        <f>Github!F$1064</f>
        <v>175</v>
      </c>
      <c r="D1899" s="10">
        <f>Github!G$1064</f>
        <v>8</v>
      </c>
      <c r="E1899" s="10">
        <f>Github!F$1064+Github!G$1064</f>
        <v>183</v>
      </c>
      <c r="F1899" s="12">
        <f t="shared" si="1"/>
        <v>21.88</v>
      </c>
      <c r="G1899" s="10" t="str">
        <f>Github!H$1064</f>
        <v>Algorithms</v>
      </c>
      <c r="H1899" s="13" t="str">
        <f>SUBSTITUTE(Github!L$1064, ";", ", ")</f>
        <v>Array, Stack, Monotonic Stack, </v>
      </c>
      <c r="I1899" s="10" t="str">
        <f>Github!E$1064</f>
        <v>Hard</v>
      </c>
      <c r="J1899" s="10" t="str">
        <f>IF(TRIM(Github!D$1064)="TRUE","FALSE","TRUE")</f>
        <v>FALSE</v>
      </c>
      <c r="K1899" s="10" t="b">
        <f>Github!M$1064</f>
        <v>0</v>
      </c>
      <c r="L1899" s="10" t="b">
        <f>Github!N$1064</f>
        <v>0</v>
      </c>
      <c r="M1899" s="10" t="str">
        <f>ROUND(Github!O$1064, 2)&amp;"%"</f>
        <v>73.61%</v>
      </c>
      <c r="N1899" s="10">
        <f>Github!P$1064</f>
        <v>6185</v>
      </c>
      <c r="O1899" s="10">
        <f>Github!Q$1064</f>
        <v>8402</v>
      </c>
    </row>
    <row r="1900">
      <c r="A1900" s="10">
        <f>Github!J$580</f>
        <v>579</v>
      </c>
      <c r="B1900" s="11" t="str">
        <f>HYPERLINK(CONCAT("http://leetcode.com/problems/",Github!C$580), Github!B$580)</f>
        <v>Find Cumulative Salary of an Employee</v>
      </c>
      <c r="C1900" s="10">
        <f>Github!F$580</f>
        <v>174</v>
      </c>
      <c r="D1900" s="10">
        <f>Github!G$580</f>
        <v>376</v>
      </c>
      <c r="E1900" s="10">
        <f>Github!F$580+Github!G$580</f>
        <v>550</v>
      </c>
      <c r="F1900" s="12">
        <f t="shared" si="1"/>
        <v>0.46</v>
      </c>
      <c r="G1900" s="10" t="str">
        <f>Github!H$580</f>
        <v>Database</v>
      </c>
      <c r="H1900" s="13" t="str">
        <f>SUBSTITUTE(Github!L$580, ";", ", ")</f>
        <v>Database, </v>
      </c>
      <c r="I1900" s="10" t="str">
        <f>Github!E$580</f>
        <v>Hard</v>
      </c>
      <c r="J1900" s="10" t="str">
        <f>IF(TRIM(Github!D$580)="TRUE","FALSE","TRUE")</f>
        <v>FALSE</v>
      </c>
      <c r="K1900" s="10" t="b">
        <f>Github!M$580</f>
        <v>1</v>
      </c>
      <c r="L1900" s="10" t="b">
        <f>Github!N$580</f>
        <v>0</v>
      </c>
      <c r="M1900" s="10" t="str">
        <f>ROUND(Github!O$580, 2)&amp;"%"</f>
        <v>43%</v>
      </c>
      <c r="N1900" s="10">
        <f>Github!P$580</f>
        <v>25864</v>
      </c>
      <c r="O1900" s="10">
        <f>Github!Q$580</f>
        <v>60154</v>
      </c>
    </row>
    <row r="1901">
      <c r="A1901" s="10">
        <f>Github!J$1605</f>
        <v>1604</v>
      </c>
      <c r="B1901" s="11" t="str">
        <f>HYPERLINK(CONCAT("http://leetcode.com/problems/",Github!C$1605), Github!B$1605)</f>
        <v>Alert Using Same Key-Card Three or More Times in a One Hour Period</v>
      </c>
      <c r="C1901" s="10">
        <f>Github!F$1605</f>
        <v>176</v>
      </c>
      <c r="D1901" s="10">
        <f>Github!G$1605</f>
        <v>277</v>
      </c>
      <c r="E1901" s="10">
        <f>Github!F$1605+Github!G$1605</f>
        <v>453</v>
      </c>
      <c r="F1901" s="12">
        <f t="shared" si="1"/>
        <v>0.64</v>
      </c>
      <c r="G1901" s="10" t="str">
        <f>Github!H$1605</f>
        <v>Algorithms</v>
      </c>
      <c r="H1901" s="13" t="str">
        <f>SUBSTITUTE(Github!L$1605, ";", ", ")</f>
        <v>Array, Hash Table, String, Sorting, </v>
      </c>
      <c r="I1901" s="10" t="str">
        <f>Github!E$1605</f>
        <v>Medium</v>
      </c>
      <c r="J1901" s="10" t="str">
        <f>IF(TRIM(Github!D$1605)="TRUE","FALSE","TRUE")</f>
        <v>TRUE</v>
      </c>
      <c r="K1901" s="10" t="b">
        <f>Github!M$1605</f>
        <v>0</v>
      </c>
      <c r="L1901" s="10" t="b">
        <f>Github!N$1605</f>
        <v>0</v>
      </c>
      <c r="M1901" s="10" t="str">
        <f>ROUND(Github!O$1605, 2)&amp;"%"</f>
        <v>46.99%</v>
      </c>
      <c r="N1901" s="10">
        <f>Github!P$1605</f>
        <v>19887</v>
      </c>
      <c r="O1901" s="10">
        <f>Github!Q$1605</f>
        <v>42324</v>
      </c>
    </row>
    <row r="1902">
      <c r="A1902" s="10">
        <f>Github!J$1849</f>
        <v>1848</v>
      </c>
      <c r="B1902" s="11" t="str">
        <f>HYPERLINK(CONCAT("http://leetcode.com/problems/",Github!C$1849), Github!B$1849)</f>
        <v>Minimum Distance to the Target Element</v>
      </c>
      <c r="C1902" s="10">
        <f>Github!F$1849</f>
        <v>173</v>
      </c>
      <c r="D1902" s="10">
        <f>Github!G$1849</f>
        <v>39</v>
      </c>
      <c r="E1902" s="10">
        <f>Github!F$1849+Github!G$1849</f>
        <v>212</v>
      </c>
      <c r="F1902" s="12">
        <f t="shared" si="1"/>
        <v>4.44</v>
      </c>
      <c r="G1902" s="10" t="str">
        <f>Github!H$1849</f>
        <v>Algorithms</v>
      </c>
      <c r="H1902" s="13" t="str">
        <f>SUBSTITUTE(Github!L$1849, ";", ", ")</f>
        <v>Array, </v>
      </c>
      <c r="I1902" s="10" t="str">
        <f>Github!E$1849</f>
        <v>Easy</v>
      </c>
      <c r="J1902" s="10" t="str">
        <f>IF(TRIM(Github!D$1849)="TRUE","FALSE","TRUE")</f>
        <v>TRUE</v>
      </c>
      <c r="K1902" s="10" t="b">
        <f>Github!M$1849</f>
        <v>0</v>
      </c>
      <c r="L1902" s="10" t="b">
        <f>Github!N$1849</f>
        <v>0</v>
      </c>
      <c r="M1902" s="10" t="str">
        <f>ROUND(Github!O$1849, 2)&amp;"%"</f>
        <v>59.68%</v>
      </c>
      <c r="N1902" s="10">
        <f>Github!P$1849</f>
        <v>24808</v>
      </c>
      <c r="O1902" s="10">
        <f>Github!Q$1849</f>
        <v>41569</v>
      </c>
    </row>
    <row r="1903">
      <c r="A1903" s="10">
        <f>Github!J$1802</f>
        <v>1801</v>
      </c>
      <c r="B1903" s="11" t="str">
        <f>HYPERLINK(CONCAT("http://leetcode.com/problems/",Github!C$1802), Github!B$1802)</f>
        <v>Number of Orders in the Backlog</v>
      </c>
      <c r="C1903" s="10">
        <f>Github!F$1802</f>
        <v>175</v>
      </c>
      <c r="D1903" s="10">
        <f>Github!G$1802</f>
        <v>179</v>
      </c>
      <c r="E1903" s="10">
        <f>Github!F$1802+Github!G$1802</f>
        <v>354</v>
      </c>
      <c r="F1903" s="12">
        <f t="shared" si="1"/>
        <v>0.98</v>
      </c>
      <c r="G1903" s="10" t="str">
        <f>Github!H$1802</f>
        <v>Algorithms</v>
      </c>
      <c r="H1903" s="13" t="str">
        <f>SUBSTITUTE(Github!L$1802, ";", ", ")</f>
        <v>Array, Heap (Priority Queue), Simulation, </v>
      </c>
      <c r="I1903" s="10" t="str">
        <f>Github!E$1802</f>
        <v>Medium</v>
      </c>
      <c r="J1903" s="10" t="str">
        <f>IF(TRIM(Github!D$1802)="TRUE","FALSE","TRUE")</f>
        <v>TRUE</v>
      </c>
      <c r="K1903" s="10" t="b">
        <f>Github!M$1802</f>
        <v>0</v>
      </c>
      <c r="L1903" s="10" t="b">
        <f>Github!N$1802</f>
        <v>0</v>
      </c>
      <c r="M1903" s="10" t="str">
        <f>ROUND(Github!O$1802, 2)&amp;"%"</f>
        <v>45.93%</v>
      </c>
      <c r="N1903" s="10">
        <f>Github!P$1802</f>
        <v>11962</v>
      </c>
      <c r="O1903" s="10">
        <f>Github!Q$1802</f>
        <v>26046</v>
      </c>
    </row>
    <row r="1904">
      <c r="A1904" s="10">
        <f>Github!J$2089</f>
        <v>2088</v>
      </c>
      <c r="B1904" s="11" t="str">
        <f>HYPERLINK(CONCAT("http://leetcode.com/problems/",Github!C$2089), Github!B$2089)</f>
        <v>Count Fertile Pyramids in a Land</v>
      </c>
      <c r="C1904" s="10">
        <f>Github!F$2089</f>
        <v>173</v>
      </c>
      <c r="D1904" s="10">
        <f>Github!G$2089</f>
        <v>7</v>
      </c>
      <c r="E1904" s="10">
        <f>Github!F$2089+Github!G$2089</f>
        <v>180</v>
      </c>
      <c r="F1904" s="12">
        <f t="shared" si="1"/>
        <v>24.71</v>
      </c>
      <c r="G1904" s="10" t="str">
        <f>Github!H$2089</f>
        <v>Algorithms</v>
      </c>
      <c r="H1904" s="13" t="str">
        <f>SUBSTITUTE(Github!L$2089, ";", ", ")</f>
        <v>Array, Dynamic Programming, Matrix, </v>
      </c>
      <c r="I1904" s="10" t="str">
        <f>Github!E$2089</f>
        <v>Hard</v>
      </c>
      <c r="J1904" s="10" t="str">
        <f>IF(TRIM(Github!D$2089)="TRUE","FALSE","TRUE")</f>
        <v>TRUE</v>
      </c>
      <c r="K1904" s="10" t="b">
        <f>Github!M$2089</f>
        <v>0</v>
      </c>
      <c r="L1904" s="10" t="b">
        <f>Github!N$2089</f>
        <v>0</v>
      </c>
      <c r="M1904" s="10" t="str">
        <f>ROUND(Github!O$2089, 2)&amp;"%"</f>
        <v>62.73%</v>
      </c>
      <c r="N1904" s="10">
        <f>Github!P$2089</f>
        <v>3790</v>
      </c>
      <c r="O1904" s="10">
        <f>Github!Q$2089</f>
        <v>6042</v>
      </c>
    </row>
    <row r="1905">
      <c r="A1905" s="10">
        <f>Github!J$513</f>
        <v>512</v>
      </c>
      <c r="B1905" s="11" t="str">
        <f>HYPERLINK(CONCAT("http://leetcode.com/problems/",Github!C$513), Github!B$513)</f>
        <v>Game Play Analysis II</v>
      </c>
      <c r="C1905" s="10">
        <f>Github!F$513</f>
        <v>172</v>
      </c>
      <c r="D1905" s="10">
        <f>Github!G$513</f>
        <v>30</v>
      </c>
      <c r="E1905" s="10">
        <f>Github!F$513+Github!G$513</f>
        <v>202</v>
      </c>
      <c r="F1905" s="12">
        <f t="shared" si="1"/>
        <v>5.73</v>
      </c>
      <c r="G1905" s="10" t="str">
        <f>Github!H$513</f>
        <v>Database</v>
      </c>
      <c r="H1905" s="13" t="str">
        <f>SUBSTITUTE(Github!L$513, ";", ", ")</f>
        <v>Database, </v>
      </c>
      <c r="I1905" s="10" t="str">
        <f>Github!E$513</f>
        <v>Easy</v>
      </c>
      <c r="J1905" s="10" t="str">
        <f>IF(TRIM(Github!D$513)="TRUE","FALSE","TRUE")</f>
        <v>FALSE</v>
      </c>
      <c r="K1905" s="10" t="b">
        <f>Github!M$513</f>
        <v>0</v>
      </c>
      <c r="L1905" s="10" t="b">
        <f>Github!N$513</f>
        <v>0</v>
      </c>
      <c r="M1905" s="10" t="str">
        <f>ROUND(Github!O$513, 2)&amp;"%"</f>
        <v>54.39%</v>
      </c>
      <c r="N1905" s="10">
        <f>Github!P$513</f>
        <v>54344</v>
      </c>
      <c r="O1905" s="10">
        <f>Github!Q$513</f>
        <v>99907</v>
      </c>
    </row>
    <row r="1906">
      <c r="A1906" s="10">
        <f>Github!J$1638</f>
        <v>1637</v>
      </c>
      <c r="B1906" s="11" t="str">
        <f>HYPERLINK(CONCAT("http://leetcode.com/problems/",Github!C$1638), Github!B$1638)</f>
        <v>Widest Vertical Area Between Two Points Containing No Points</v>
      </c>
      <c r="C1906" s="10">
        <f>Github!F$1638</f>
        <v>173</v>
      </c>
      <c r="D1906" s="10">
        <f>Github!G$1638</f>
        <v>499</v>
      </c>
      <c r="E1906" s="10">
        <f>Github!F$1638+Github!G$1638</f>
        <v>672</v>
      </c>
      <c r="F1906" s="12">
        <f t="shared" si="1"/>
        <v>0.35</v>
      </c>
      <c r="G1906" s="10" t="str">
        <f>Github!H$1638</f>
        <v>Algorithms</v>
      </c>
      <c r="H1906" s="13" t="str">
        <f>SUBSTITUTE(Github!L$1638, ";", ", ")</f>
        <v>Array, Sorting, </v>
      </c>
      <c r="I1906" s="10" t="str">
        <f>Github!E$1638</f>
        <v>Medium</v>
      </c>
      <c r="J1906" s="10" t="str">
        <f>IF(TRIM(Github!D$1638)="TRUE","FALSE","TRUE")</f>
        <v>TRUE</v>
      </c>
      <c r="K1906" s="10" t="b">
        <f>Github!M$1638</f>
        <v>0</v>
      </c>
      <c r="L1906" s="10" t="b">
        <f>Github!N$1638</f>
        <v>0</v>
      </c>
      <c r="M1906" s="10" t="str">
        <f>ROUND(Github!O$1638, 2)&amp;"%"</f>
        <v>84%</v>
      </c>
      <c r="N1906" s="10">
        <f>Github!P$1638</f>
        <v>28584</v>
      </c>
      <c r="O1906" s="10">
        <f>Github!Q$1638</f>
        <v>34030</v>
      </c>
    </row>
    <row r="1907">
      <c r="A1907" s="10">
        <f>Github!J$1915</f>
        <v>1914</v>
      </c>
      <c r="B1907" s="11" t="str">
        <f>HYPERLINK(CONCAT("http://leetcode.com/problems/",Github!C$1915), Github!B$1915)</f>
        <v>Cyclically Rotating a Grid</v>
      </c>
      <c r="C1907" s="10">
        <f>Github!F$1915</f>
        <v>171</v>
      </c>
      <c r="D1907" s="10">
        <f>Github!G$1915</f>
        <v>229</v>
      </c>
      <c r="E1907" s="10">
        <f>Github!F$1915+Github!G$1915</f>
        <v>400</v>
      </c>
      <c r="F1907" s="12">
        <f t="shared" si="1"/>
        <v>0.75</v>
      </c>
      <c r="G1907" s="10" t="str">
        <f>Github!H$1915</f>
        <v>Algorithms</v>
      </c>
      <c r="H1907" s="13" t="str">
        <f>SUBSTITUTE(Github!L$1915, ";", ", ")</f>
        <v>Array, Matrix, Simulation, </v>
      </c>
      <c r="I1907" s="10" t="str">
        <f>Github!E$1915</f>
        <v>Medium</v>
      </c>
      <c r="J1907" s="10" t="str">
        <f>IF(TRIM(Github!D$1915)="TRUE","FALSE","TRUE")</f>
        <v>TRUE</v>
      </c>
      <c r="K1907" s="10" t="b">
        <f>Github!M$1915</f>
        <v>0</v>
      </c>
      <c r="L1907" s="10" t="b">
        <f>Github!N$1915</f>
        <v>0</v>
      </c>
      <c r="M1907" s="10" t="str">
        <f>ROUND(Github!O$1915, 2)&amp;"%"</f>
        <v>47.06%</v>
      </c>
      <c r="N1907" s="10">
        <f>Github!P$1915</f>
        <v>9391</v>
      </c>
      <c r="O1907" s="10">
        <f>Github!Q$1915</f>
        <v>19957</v>
      </c>
    </row>
    <row r="1908">
      <c r="A1908" s="10">
        <f>Github!J$635</f>
        <v>634</v>
      </c>
      <c r="B1908" s="11" t="str">
        <f>HYPERLINK(CONCAT("http://leetcode.com/problems/",Github!C$635), Github!B$635)</f>
        <v>Find the Derangement of An Array</v>
      </c>
      <c r="C1908" s="10">
        <f>Github!F$635</f>
        <v>169</v>
      </c>
      <c r="D1908" s="10">
        <f>Github!G$635</f>
        <v>135</v>
      </c>
      <c r="E1908" s="10">
        <f>Github!F$635+Github!G$635</f>
        <v>304</v>
      </c>
      <c r="F1908" s="12">
        <f t="shared" si="1"/>
        <v>1.25</v>
      </c>
      <c r="G1908" s="10" t="str">
        <f>Github!H$635</f>
        <v>Algorithms</v>
      </c>
      <c r="H1908" s="13" t="str">
        <f>SUBSTITUTE(Github!L$635, ";", ", ")</f>
        <v>Math, Dynamic Programming, </v>
      </c>
      <c r="I1908" s="10" t="str">
        <f>Github!E$635</f>
        <v>Medium</v>
      </c>
      <c r="J1908" s="10" t="str">
        <f>IF(TRIM(Github!D$635)="TRUE","FALSE","TRUE")</f>
        <v>FALSE</v>
      </c>
      <c r="K1908" s="10" t="b">
        <f>Github!M$635</f>
        <v>1</v>
      </c>
      <c r="L1908" s="10" t="b">
        <f>Github!N$635</f>
        <v>0</v>
      </c>
      <c r="M1908" s="10" t="str">
        <f>ROUND(Github!O$635, 2)&amp;"%"</f>
        <v>41.24%</v>
      </c>
      <c r="N1908" s="10">
        <f>Github!P$635</f>
        <v>8386</v>
      </c>
      <c r="O1908" s="10">
        <f>Github!Q$635</f>
        <v>20333</v>
      </c>
    </row>
    <row r="1909">
      <c r="A1909" s="10">
        <f>Github!J$613</f>
        <v>612</v>
      </c>
      <c r="B1909" s="11" t="str">
        <f>HYPERLINK(CONCAT("http://leetcode.com/problems/",Github!C$613), Github!B$613)</f>
        <v>Shortest Distance in a Plane</v>
      </c>
      <c r="C1909" s="10">
        <f>Github!F$613</f>
        <v>169</v>
      </c>
      <c r="D1909" s="10">
        <f>Github!G$613</f>
        <v>60</v>
      </c>
      <c r="E1909" s="10">
        <f>Github!F$613+Github!G$613</f>
        <v>229</v>
      </c>
      <c r="F1909" s="12">
        <f t="shared" si="1"/>
        <v>2.82</v>
      </c>
      <c r="G1909" s="10" t="str">
        <f>Github!H$613</f>
        <v>Database</v>
      </c>
      <c r="H1909" s="13" t="str">
        <f>SUBSTITUTE(Github!L$613, ";", ", ")</f>
        <v>Database, </v>
      </c>
      <c r="I1909" s="10" t="str">
        <f>Github!E$613</f>
        <v>Medium</v>
      </c>
      <c r="J1909" s="10" t="str">
        <f>IF(TRIM(Github!D$613)="TRUE","FALSE","TRUE")</f>
        <v>FALSE</v>
      </c>
      <c r="K1909" s="10" t="b">
        <f>Github!M$613</f>
        <v>1</v>
      </c>
      <c r="L1909" s="10" t="b">
        <f>Github!N$613</f>
        <v>0</v>
      </c>
      <c r="M1909" s="10" t="str">
        <f>ROUND(Github!O$613, 2)&amp;"%"</f>
        <v>63.03%</v>
      </c>
      <c r="N1909" s="10">
        <f>Github!P$613</f>
        <v>30029</v>
      </c>
      <c r="O1909" s="10">
        <f>Github!Q$613</f>
        <v>47643</v>
      </c>
    </row>
    <row r="1910">
      <c r="A1910" s="10">
        <f>Github!J$512</f>
        <v>511</v>
      </c>
      <c r="B1910" s="11" t="str">
        <f>HYPERLINK(CONCAT("http://leetcode.com/problems/",Github!C$512), Github!B$512)</f>
        <v>Game Play Analysis I</v>
      </c>
      <c r="C1910" s="10">
        <f>Github!F$512</f>
        <v>173</v>
      </c>
      <c r="D1910" s="10">
        <f>Github!G$512</f>
        <v>9</v>
      </c>
      <c r="E1910" s="10">
        <f>Github!F$512+Github!G$512</f>
        <v>182</v>
      </c>
      <c r="F1910" s="12">
        <f t="shared" si="1"/>
        <v>19.22</v>
      </c>
      <c r="G1910" s="10" t="str">
        <f>Github!H$512</f>
        <v>Database</v>
      </c>
      <c r="H1910" s="13" t="str">
        <f>SUBSTITUTE(Github!L$512, ";", ", ")</f>
        <v>Database, </v>
      </c>
      <c r="I1910" s="10" t="str">
        <f>Github!E$512</f>
        <v>Easy</v>
      </c>
      <c r="J1910" s="10" t="str">
        <f>IF(TRIM(Github!D$512)="TRUE","FALSE","TRUE")</f>
        <v>TRUE</v>
      </c>
      <c r="K1910" s="10" t="b">
        <f>Github!M$512</f>
        <v>0</v>
      </c>
      <c r="L1910" s="10" t="b">
        <f>Github!N$512</f>
        <v>0</v>
      </c>
      <c r="M1910" s="10" t="str">
        <f>ROUND(Github!O$512, 2)&amp;"%"</f>
        <v>80.43%</v>
      </c>
      <c r="N1910" s="10">
        <f>Github!P$512</f>
        <v>65252</v>
      </c>
      <c r="O1910" s="10">
        <f>Github!Q$512</f>
        <v>81129</v>
      </c>
    </row>
    <row r="1911">
      <c r="A1911" s="10">
        <f>Github!J$1949</f>
        <v>1948</v>
      </c>
      <c r="B1911" s="11" t="str">
        <f>HYPERLINK(CONCAT("http://leetcode.com/problems/",Github!C$1949), Github!B$1949)</f>
        <v>Delete Duplicate Folders in System</v>
      </c>
      <c r="C1911" s="10">
        <f>Github!F$1949</f>
        <v>168</v>
      </c>
      <c r="D1911" s="10">
        <f>Github!G$1949</f>
        <v>48</v>
      </c>
      <c r="E1911" s="10">
        <f>Github!F$1949+Github!G$1949</f>
        <v>216</v>
      </c>
      <c r="F1911" s="12">
        <f t="shared" si="1"/>
        <v>3.5</v>
      </c>
      <c r="G1911" s="10" t="str">
        <f>Github!H$1949</f>
        <v>Algorithms</v>
      </c>
      <c r="H1911" s="13" t="str">
        <f>SUBSTITUTE(Github!L$1949, ";", ", ")</f>
        <v>Array, Hash Table, String, Trie, Hash Function, </v>
      </c>
      <c r="I1911" s="10" t="str">
        <f>Github!E$1949</f>
        <v>Hard</v>
      </c>
      <c r="J1911" s="10" t="str">
        <f>IF(TRIM(Github!D$1949)="TRUE","FALSE","TRUE")</f>
        <v>TRUE</v>
      </c>
      <c r="K1911" s="10" t="b">
        <f>Github!M$1949</f>
        <v>0</v>
      </c>
      <c r="L1911" s="10" t="b">
        <f>Github!N$1949</f>
        <v>0</v>
      </c>
      <c r="M1911" s="10" t="str">
        <f>ROUND(Github!O$1949, 2)&amp;"%"</f>
        <v>58.48%</v>
      </c>
      <c r="N1911" s="10">
        <f>Github!P$1949</f>
        <v>4636</v>
      </c>
      <c r="O1911" s="10">
        <f>Github!Q$1949</f>
        <v>7928</v>
      </c>
    </row>
    <row r="1912">
      <c r="A1912" s="10">
        <f>Github!J$1661</f>
        <v>1660</v>
      </c>
      <c r="B1912" s="11" t="str">
        <f>HYPERLINK(CONCAT("http://leetcode.com/problems/",Github!C$1661), Github!B$1661)</f>
        <v>Correct a Binary Tree</v>
      </c>
      <c r="C1912" s="10">
        <f>Github!F$1661</f>
        <v>167</v>
      </c>
      <c r="D1912" s="10">
        <f>Github!G$1661</f>
        <v>23</v>
      </c>
      <c r="E1912" s="10">
        <f>Github!F$1661+Github!G$1661</f>
        <v>190</v>
      </c>
      <c r="F1912" s="12">
        <f t="shared" si="1"/>
        <v>7.26</v>
      </c>
      <c r="G1912" s="10" t="str">
        <f>Github!H$1661</f>
        <v>Algorithms</v>
      </c>
      <c r="H1912" s="13" t="str">
        <f>SUBSTITUTE(Github!L$1661, ";", ", ")</f>
        <v>Hash Table, Tree, Depth-First Search, Breadth-First Search, Binary Tree, </v>
      </c>
      <c r="I1912" s="10" t="str">
        <f>Github!E$1661</f>
        <v>Medium</v>
      </c>
      <c r="J1912" s="10" t="str">
        <f>IF(TRIM(Github!D$1661)="TRUE","FALSE","TRUE")</f>
        <v>FALSE</v>
      </c>
      <c r="K1912" s="10" t="b">
        <f>Github!M$1661</f>
        <v>0</v>
      </c>
      <c r="L1912" s="10" t="b">
        <f>Github!N$1661</f>
        <v>0</v>
      </c>
      <c r="M1912" s="10" t="str">
        <f>ROUND(Github!O$1661, 2)&amp;"%"</f>
        <v>72.63%</v>
      </c>
      <c r="N1912" s="10">
        <f>Github!P$1661</f>
        <v>10592</v>
      </c>
      <c r="O1912" s="10">
        <f>Github!Q$1661</f>
        <v>14583</v>
      </c>
    </row>
    <row r="1913">
      <c r="A1913" s="10">
        <f>Github!J$2207</f>
        <v>2206</v>
      </c>
      <c r="B1913" s="11" t="str">
        <f>HYPERLINK(CONCAT("http://leetcode.com/problems/",Github!C$2207), Github!B$2207)</f>
        <v>Divide Array Into Equal Pairs</v>
      </c>
      <c r="C1913" s="10">
        <f>Github!F$2207</f>
        <v>169</v>
      </c>
      <c r="D1913" s="10">
        <f>Github!G$2207</f>
        <v>5</v>
      </c>
      <c r="E1913" s="10">
        <f>Github!F$2207+Github!G$2207</f>
        <v>174</v>
      </c>
      <c r="F1913" s="12">
        <f t="shared" si="1"/>
        <v>33.8</v>
      </c>
      <c r="G1913" s="10" t="str">
        <f>Github!H$2207</f>
        <v>Algorithms</v>
      </c>
      <c r="H1913" s="13" t="str">
        <f>SUBSTITUTE(Github!L$2207, ";", ", ")</f>
        <v>Array, Hash Table, Bit Manipulation, Counting, </v>
      </c>
      <c r="I1913" s="10" t="str">
        <f>Github!E$2207</f>
        <v>Easy</v>
      </c>
      <c r="J1913" s="10" t="str">
        <f>IF(TRIM(Github!D$2207)="TRUE","FALSE","TRUE")</f>
        <v>TRUE</v>
      </c>
      <c r="K1913" s="10" t="b">
        <f>Github!M$2207</f>
        <v>0</v>
      </c>
      <c r="L1913" s="10" t="b">
        <f>Github!N$2207</f>
        <v>0</v>
      </c>
      <c r="M1913" s="10" t="str">
        <f>ROUND(Github!O$2207, 2)&amp;"%"</f>
        <v>77.2%</v>
      </c>
      <c r="N1913" s="10">
        <f>Github!P$2207</f>
        <v>21196</v>
      </c>
      <c r="O1913" s="10">
        <f>Github!Q$2207</f>
        <v>27456</v>
      </c>
    </row>
    <row r="1914">
      <c r="A1914" s="10">
        <f>Github!J$412</f>
        <v>411</v>
      </c>
      <c r="B1914" s="11" t="str">
        <f>HYPERLINK(CONCAT("http://leetcode.com/problems/",Github!C$412), Github!B$412)</f>
        <v>Minimum Unique Word Abbreviation</v>
      </c>
      <c r="C1914" s="10">
        <f>Github!F$412</f>
        <v>164</v>
      </c>
      <c r="D1914" s="10">
        <f>Github!G$412</f>
        <v>137</v>
      </c>
      <c r="E1914" s="10">
        <f>Github!F$412+Github!G$412</f>
        <v>301</v>
      </c>
      <c r="F1914" s="12">
        <f t="shared" si="1"/>
        <v>1.2</v>
      </c>
      <c r="G1914" s="10" t="str">
        <f>Github!H$412</f>
        <v>Algorithms</v>
      </c>
      <c r="H1914" s="13" t="str">
        <f>SUBSTITUTE(Github!L$412, ";", ", ")</f>
        <v>String, Backtracking, Bit Manipulation, </v>
      </c>
      <c r="I1914" s="10" t="str">
        <f>Github!E$412</f>
        <v>Hard</v>
      </c>
      <c r="J1914" s="10" t="str">
        <f>IF(TRIM(Github!D$412)="TRUE","FALSE","TRUE")</f>
        <v>FALSE</v>
      </c>
      <c r="K1914" s="10" t="b">
        <f>Github!M$412</f>
        <v>0</v>
      </c>
      <c r="L1914" s="10" t="b">
        <f>Github!N$412</f>
        <v>0</v>
      </c>
      <c r="M1914" s="10" t="str">
        <f>ROUND(Github!O$412, 2)&amp;"%"</f>
        <v>38.42%</v>
      </c>
      <c r="N1914" s="10">
        <f>Github!P$412</f>
        <v>13293</v>
      </c>
      <c r="O1914" s="10">
        <f>Github!Q$412</f>
        <v>34595</v>
      </c>
    </row>
    <row r="1915">
      <c r="A1915" s="10">
        <f>Github!J$1057</f>
        <v>1056</v>
      </c>
      <c r="B1915" s="11" t="str">
        <f>HYPERLINK(CONCAT("http://leetcode.com/problems/",Github!C$1057), Github!B$1057)</f>
        <v>Confusing Number</v>
      </c>
      <c r="C1915" s="10">
        <f>Github!F$1057</f>
        <v>165</v>
      </c>
      <c r="D1915" s="10">
        <f>Github!G$1057</f>
        <v>92</v>
      </c>
      <c r="E1915" s="10">
        <f>Github!F$1057+Github!G$1057</f>
        <v>257</v>
      </c>
      <c r="F1915" s="12">
        <f t="shared" si="1"/>
        <v>1.79</v>
      </c>
      <c r="G1915" s="10" t="str">
        <f>Github!H$1057</f>
        <v>Algorithms</v>
      </c>
      <c r="H1915" s="13" t="str">
        <f>SUBSTITUTE(Github!L$1057, ";", ", ")</f>
        <v>Math, </v>
      </c>
      <c r="I1915" s="10" t="str">
        <f>Github!E$1057</f>
        <v>Easy</v>
      </c>
      <c r="J1915" s="10" t="str">
        <f>IF(TRIM(Github!D$1057)="TRUE","FALSE","TRUE")</f>
        <v>FALSE</v>
      </c>
      <c r="K1915" s="10" t="b">
        <f>Github!M$1057</f>
        <v>0</v>
      </c>
      <c r="L1915" s="10" t="b">
        <f>Github!N$1057</f>
        <v>0</v>
      </c>
      <c r="M1915" s="10" t="str">
        <f>ROUND(Github!O$1057, 2)&amp;"%"</f>
        <v>46.03%</v>
      </c>
      <c r="N1915" s="10">
        <f>Github!P$1057</f>
        <v>25176</v>
      </c>
      <c r="O1915" s="10">
        <f>Github!Q$1057</f>
        <v>54697</v>
      </c>
    </row>
    <row r="1916">
      <c r="A1916" s="10">
        <f>Github!J$1399</f>
        <v>1398</v>
      </c>
      <c r="B1916" s="11" t="str">
        <f>HYPERLINK(CONCAT("http://leetcode.com/problems/",Github!C$1399), Github!B$1399)</f>
        <v>Customers Who Bought Products A and B but Not C</v>
      </c>
      <c r="C1916" s="10">
        <f>Github!F$1399</f>
        <v>168</v>
      </c>
      <c r="D1916" s="10">
        <f>Github!G$1399</f>
        <v>8</v>
      </c>
      <c r="E1916" s="10">
        <f>Github!F$1399+Github!G$1399</f>
        <v>176</v>
      </c>
      <c r="F1916" s="12">
        <f t="shared" si="1"/>
        <v>21</v>
      </c>
      <c r="G1916" s="10" t="str">
        <f>Github!H$1399</f>
        <v>Database</v>
      </c>
      <c r="H1916" s="13" t="str">
        <f>SUBSTITUTE(Github!L$1399, ";", ", ")</f>
        <v>Database, </v>
      </c>
      <c r="I1916" s="10" t="str">
        <f>Github!E$1399</f>
        <v>Medium</v>
      </c>
      <c r="J1916" s="10" t="str">
        <f>IF(TRIM(Github!D$1399)="TRUE","FALSE","TRUE")</f>
        <v>FALSE</v>
      </c>
      <c r="K1916" s="10" t="b">
        <f>Github!M$1399</f>
        <v>0</v>
      </c>
      <c r="L1916" s="10" t="b">
        <f>Github!N$1399</f>
        <v>0</v>
      </c>
      <c r="M1916" s="10" t="str">
        <f>ROUND(Github!O$1399, 2)&amp;"%"</f>
        <v>78.59%</v>
      </c>
      <c r="N1916" s="10">
        <f>Github!P$1399</f>
        <v>27928</v>
      </c>
      <c r="O1916" s="10">
        <f>Github!Q$1399</f>
        <v>35536</v>
      </c>
    </row>
    <row r="1917">
      <c r="A1917" s="10">
        <f>Github!J$1785</f>
        <v>1784</v>
      </c>
      <c r="B1917" s="11" t="str">
        <f>HYPERLINK(CONCAT("http://leetcode.com/problems/",Github!C$1785), Github!B$1785)</f>
        <v>Check if Binary String Has at Most One Segment of Ones</v>
      </c>
      <c r="C1917" s="10">
        <f>Github!F$1785</f>
        <v>166</v>
      </c>
      <c r="D1917" s="10">
        <f>Github!G$1785</f>
        <v>525</v>
      </c>
      <c r="E1917" s="10">
        <f>Github!F$1785+Github!G$1785</f>
        <v>691</v>
      </c>
      <c r="F1917" s="12">
        <f t="shared" si="1"/>
        <v>0.32</v>
      </c>
      <c r="G1917" s="10" t="str">
        <f>Github!H$1785</f>
        <v>Algorithms</v>
      </c>
      <c r="H1917" s="13" t="str">
        <f>SUBSTITUTE(Github!L$1785, ";", ", ")</f>
        <v>String, </v>
      </c>
      <c r="I1917" s="10" t="str">
        <f>Github!E$1785</f>
        <v>Easy</v>
      </c>
      <c r="J1917" s="10" t="str">
        <f>IF(TRIM(Github!D$1785)="TRUE","FALSE","TRUE")</f>
        <v>TRUE</v>
      </c>
      <c r="K1917" s="10" t="b">
        <f>Github!M$1785</f>
        <v>0</v>
      </c>
      <c r="L1917" s="10" t="b">
        <f>Github!N$1785</f>
        <v>0</v>
      </c>
      <c r="M1917" s="10" t="str">
        <f>ROUND(Github!O$1785, 2)&amp;"%"</f>
        <v>40.83%</v>
      </c>
      <c r="N1917" s="10">
        <f>Github!P$1785</f>
        <v>23759</v>
      </c>
      <c r="O1917" s="10">
        <f>Github!Q$1785</f>
        <v>58183</v>
      </c>
    </row>
    <row r="1918">
      <c r="A1918" s="10">
        <f>Github!J$1901</f>
        <v>1900</v>
      </c>
      <c r="B1918" s="11" t="str">
        <f>HYPERLINK(CONCAT("http://leetcode.com/problems/",Github!C$1901), Github!B$1901)</f>
        <v>The Earliest and Latest Rounds Where Players Compete</v>
      </c>
      <c r="C1918" s="10">
        <f>Github!F$1901</f>
        <v>162</v>
      </c>
      <c r="D1918" s="10">
        <f>Github!G$1901</f>
        <v>15</v>
      </c>
      <c r="E1918" s="10">
        <f>Github!F$1901+Github!G$1901</f>
        <v>177</v>
      </c>
      <c r="F1918" s="12">
        <f t="shared" si="1"/>
        <v>10.8</v>
      </c>
      <c r="G1918" s="10" t="str">
        <f>Github!H$1901</f>
        <v>Algorithms</v>
      </c>
      <c r="H1918" s="13" t="str">
        <f>SUBSTITUTE(Github!L$1901, ";", ", ")</f>
        <v>Dynamic Programming, Memoization, </v>
      </c>
      <c r="I1918" s="10" t="str">
        <f>Github!E$1901</f>
        <v>Hard</v>
      </c>
      <c r="J1918" s="10" t="str">
        <f>IF(TRIM(Github!D$1901)="TRUE","FALSE","TRUE")</f>
        <v>TRUE</v>
      </c>
      <c r="K1918" s="10" t="b">
        <f>Github!M$1901</f>
        <v>0</v>
      </c>
      <c r="L1918" s="10" t="b">
        <f>Github!N$1901</f>
        <v>0</v>
      </c>
      <c r="M1918" s="10" t="str">
        <f>ROUND(Github!O$1901, 2)&amp;"%"</f>
        <v>51.68%</v>
      </c>
      <c r="N1918" s="10">
        <f>Github!P$1901</f>
        <v>3869</v>
      </c>
      <c r="O1918" s="10">
        <f>Github!Q$1901</f>
        <v>7487</v>
      </c>
    </row>
    <row r="1919">
      <c r="A1919" s="10">
        <f>Github!J$1516</f>
        <v>1515</v>
      </c>
      <c r="B1919" s="11" t="str">
        <f>HYPERLINK(CONCAT("http://leetcode.com/problems/",Github!C$1516), Github!B$1516)</f>
        <v>Best Position for a Service Centre</v>
      </c>
      <c r="C1919" s="10">
        <f>Github!F$1516</f>
        <v>162</v>
      </c>
      <c r="D1919" s="10">
        <f>Github!G$1516</f>
        <v>197</v>
      </c>
      <c r="E1919" s="10">
        <f>Github!F$1516+Github!G$1516</f>
        <v>359</v>
      </c>
      <c r="F1919" s="12">
        <f t="shared" si="1"/>
        <v>0.82</v>
      </c>
      <c r="G1919" s="10" t="str">
        <f>Github!H$1516</f>
        <v>Algorithms</v>
      </c>
      <c r="H1919" s="13" t="str">
        <f>SUBSTITUTE(Github!L$1516, ";", ", ")</f>
        <v>Math, Geometry, Randomized, </v>
      </c>
      <c r="I1919" s="10" t="str">
        <f>Github!E$1516</f>
        <v>Hard</v>
      </c>
      <c r="J1919" s="10" t="str">
        <f>IF(TRIM(Github!D$1516)="TRUE","FALSE","TRUE")</f>
        <v>TRUE</v>
      </c>
      <c r="K1919" s="10" t="b">
        <f>Github!M$1516</f>
        <v>0</v>
      </c>
      <c r="L1919" s="10" t="b">
        <f>Github!N$1516</f>
        <v>0</v>
      </c>
      <c r="M1919" s="10" t="str">
        <f>ROUND(Github!O$1516, 2)&amp;"%"</f>
        <v>38.59%</v>
      </c>
      <c r="N1919" s="10">
        <f>Github!P$1516</f>
        <v>9296</v>
      </c>
      <c r="O1919" s="10">
        <f>Github!Q$1516</f>
        <v>24088</v>
      </c>
    </row>
    <row r="1920">
      <c r="A1920" s="10">
        <f>Github!J$289</f>
        <v>288</v>
      </c>
      <c r="B1920" s="11" t="str">
        <f>HYPERLINK(CONCAT("http://leetcode.com/problems/",Github!C$289), Github!B$289)</f>
        <v>Unique Word Abbreviation</v>
      </c>
      <c r="C1920" s="10">
        <f>Github!F$289</f>
        <v>162</v>
      </c>
      <c r="D1920" s="10">
        <f>Github!G$289</f>
        <v>1645</v>
      </c>
      <c r="E1920" s="10">
        <f>Github!F$289+Github!G$289</f>
        <v>1807</v>
      </c>
      <c r="F1920" s="12">
        <f t="shared" si="1"/>
        <v>0.1</v>
      </c>
      <c r="G1920" s="10" t="str">
        <f>Github!H$289</f>
        <v>Algorithms</v>
      </c>
      <c r="H1920" s="13" t="str">
        <f>SUBSTITUTE(Github!L$289, ";", ", ")</f>
        <v>Array, Hash Table, String, Design, </v>
      </c>
      <c r="I1920" s="10" t="str">
        <f>Github!E$289</f>
        <v>Medium</v>
      </c>
      <c r="J1920" s="10" t="str">
        <f>IF(TRIM(Github!D$289)="TRUE","FALSE","TRUE")</f>
        <v>FALSE</v>
      </c>
      <c r="K1920" s="10" t="b">
        <f>Github!M$289</f>
        <v>0</v>
      </c>
      <c r="L1920" s="10" t="b">
        <f>Github!N$289</f>
        <v>0</v>
      </c>
      <c r="M1920" s="10" t="str">
        <f>ROUND(Github!O$289, 2)&amp;"%"</f>
        <v>24.73%</v>
      </c>
      <c r="N1920" s="10">
        <f>Github!P$289</f>
        <v>64407</v>
      </c>
      <c r="O1920" s="10">
        <f>Github!Q$289</f>
        <v>260448</v>
      </c>
    </row>
    <row r="1921">
      <c r="A1921" s="10">
        <f>Github!J$294</f>
        <v>293</v>
      </c>
      <c r="B1921" s="11" t="str">
        <f>HYPERLINK(CONCAT("http://leetcode.com/problems/",Github!C$294), Github!B$294)</f>
        <v>Flip Game</v>
      </c>
      <c r="C1921" s="10">
        <f>Github!F$294</f>
        <v>161</v>
      </c>
      <c r="D1921" s="10">
        <f>Github!G$294</f>
        <v>383</v>
      </c>
      <c r="E1921" s="10">
        <f>Github!F$294+Github!G$294</f>
        <v>544</v>
      </c>
      <c r="F1921" s="12">
        <f t="shared" si="1"/>
        <v>0.42</v>
      </c>
      <c r="G1921" s="10" t="str">
        <f>Github!H$294</f>
        <v>Algorithms</v>
      </c>
      <c r="H1921" s="13" t="str">
        <f>SUBSTITUTE(Github!L$294, ";", ", ")</f>
        <v>String, </v>
      </c>
      <c r="I1921" s="10" t="str">
        <f>Github!E$294</f>
        <v>Easy</v>
      </c>
      <c r="J1921" s="10" t="str">
        <f>IF(TRIM(Github!D$294)="TRUE","FALSE","TRUE")</f>
        <v>FALSE</v>
      </c>
      <c r="K1921" s="10" t="b">
        <f>Github!M$294</f>
        <v>0</v>
      </c>
      <c r="L1921" s="10" t="b">
        <f>Github!N$294</f>
        <v>0</v>
      </c>
      <c r="M1921" s="10" t="str">
        <f>ROUND(Github!O$294, 2)&amp;"%"</f>
        <v>62.54%</v>
      </c>
      <c r="N1921" s="10">
        <f>Github!P$294</f>
        <v>59191</v>
      </c>
      <c r="O1921" s="10">
        <f>Github!Q$294</f>
        <v>94651</v>
      </c>
    </row>
    <row r="1922">
      <c r="A1922" s="10">
        <f>Github!J$1394</f>
        <v>1393</v>
      </c>
      <c r="B1922" s="11" t="str">
        <f>HYPERLINK(CONCAT("http://leetcode.com/problems/",Github!C$1394), Github!B$1394)</f>
        <v>Capital Gain/Loss</v>
      </c>
      <c r="C1922" s="10">
        <f>Github!F$1394</f>
        <v>172</v>
      </c>
      <c r="D1922" s="10">
        <f>Github!G$1394</f>
        <v>21</v>
      </c>
      <c r="E1922" s="10">
        <f>Github!F$1394+Github!G$1394</f>
        <v>193</v>
      </c>
      <c r="F1922" s="12">
        <f t="shared" si="1"/>
        <v>8.19</v>
      </c>
      <c r="G1922" s="10" t="str">
        <f>Github!H$1394</f>
        <v>Database</v>
      </c>
      <c r="H1922" s="13" t="str">
        <f>SUBSTITUTE(Github!L$1394, ";", ", ")</f>
        <v>Database, </v>
      </c>
      <c r="I1922" s="10" t="str">
        <f>Github!E$1394</f>
        <v>Medium</v>
      </c>
      <c r="J1922" s="10" t="str">
        <f>IF(TRIM(Github!D$1394)="TRUE","FALSE","TRUE")</f>
        <v>TRUE</v>
      </c>
      <c r="K1922" s="10" t="b">
        <f>Github!M$1394</f>
        <v>0</v>
      </c>
      <c r="L1922" s="10" t="b">
        <f>Github!N$1394</f>
        <v>0</v>
      </c>
      <c r="M1922" s="10" t="str">
        <f>ROUND(Github!O$1394, 2)&amp;"%"</f>
        <v>90.96%</v>
      </c>
      <c r="N1922" s="10">
        <f>Github!P$1394</f>
        <v>26097</v>
      </c>
      <c r="O1922" s="10">
        <f>Github!Q$1394</f>
        <v>28690</v>
      </c>
    </row>
    <row r="1923">
      <c r="A1923" s="10">
        <f>Github!J$578</f>
        <v>577</v>
      </c>
      <c r="B1923" s="11" t="str">
        <f>HYPERLINK(CONCAT("http://leetcode.com/problems/",Github!C$578), Github!B$578)</f>
        <v>Employee Bonus</v>
      </c>
      <c r="C1923" s="10">
        <f>Github!F$578</f>
        <v>159</v>
      </c>
      <c r="D1923" s="10">
        <f>Github!G$578</f>
        <v>89</v>
      </c>
      <c r="E1923" s="10">
        <f>Github!F$578+Github!G$578</f>
        <v>248</v>
      </c>
      <c r="F1923" s="12">
        <f t="shared" si="1"/>
        <v>1.79</v>
      </c>
      <c r="G1923" s="10" t="str">
        <f>Github!H$578</f>
        <v>Database</v>
      </c>
      <c r="H1923" s="13" t="str">
        <f>SUBSTITUTE(Github!L$578, ";", ", ")</f>
        <v>Database, </v>
      </c>
      <c r="I1923" s="10" t="str">
        <f>Github!E$578</f>
        <v>Easy</v>
      </c>
      <c r="J1923" s="10" t="str">
        <f>IF(TRIM(Github!D$578)="TRUE","FALSE","TRUE")</f>
        <v>FALSE</v>
      </c>
      <c r="K1923" s="10" t="b">
        <f>Github!M$578</f>
        <v>1</v>
      </c>
      <c r="L1923" s="10" t="b">
        <f>Github!N$578</f>
        <v>0</v>
      </c>
      <c r="M1923" s="10" t="str">
        <f>ROUND(Github!O$578, 2)&amp;"%"</f>
        <v>74.76%</v>
      </c>
      <c r="N1923" s="10">
        <f>Github!P$578</f>
        <v>58663</v>
      </c>
      <c r="O1923" s="10">
        <f>Github!Q$578</f>
        <v>78471</v>
      </c>
    </row>
    <row r="1924">
      <c r="A1924" s="10">
        <f>Github!J$2019</f>
        <v>2018</v>
      </c>
      <c r="B1924" s="11" t="str">
        <f>HYPERLINK(CONCAT("http://leetcode.com/problems/",Github!C$2019), Github!B$2019)</f>
        <v>Check if Word Can Be Placed In Crossword</v>
      </c>
      <c r="C1924" s="10">
        <f>Github!F$2019</f>
        <v>163</v>
      </c>
      <c r="D1924" s="10">
        <f>Github!G$2019</f>
        <v>173</v>
      </c>
      <c r="E1924" s="10">
        <f>Github!F$2019+Github!G$2019</f>
        <v>336</v>
      </c>
      <c r="F1924" s="12">
        <f t="shared" si="1"/>
        <v>0.94</v>
      </c>
      <c r="G1924" s="10" t="str">
        <f>Github!H$2019</f>
        <v>Algorithms</v>
      </c>
      <c r="H1924" s="13" t="str">
        <f>SUBSTITUTE(Github!L$2019, ";", ", ")</f>
        <v>Array, Matrix, Enumeration, </v>
      </c>
      <c r="I1924" s="10" t="str">
        <f>Github!E$2019</f>
        <v>Medium</v>
      </c>
      <c r="J1924" s="10" t="str">
        <f>IF(TRIM(Github!D$2019)="TRUE","FALSE","TRUE")</f>
        <v>TRUE</v>
      </c>
      <c r="K1924" s="10" t="b">
        <f>Github!M$2019</f>
        <v>0</v>
      </c>
      <c r="L1924" s="10" t="b">
        <f>Github!N$2019</f>
        <v>0</v>
      </c>
      <c r="M1924" s="10" t="str">
        <f>ROUND(Github!O$2019, 2)&amp;"%"</f>
        <v>48.25%</v>
      </c>
      <c r="N1924" s="10">
        <f>Github!P$2019</f>
        <v>8833</v>
      </c>
      <c r="O1924" s="10">
        <f>Github!Q$2019</f>
        <v>18308</v>
      </c>
    </row>
    <row r="1925">
      <c r="A1925" s="10">
        <f>Github!J$1502</f>
        <v>1501</v>
      </c>
      <c r="B1925" s="11" t="str">
        <f>HYPERLINK(CONCAT("http://leetcode.com/problems/",Github!C$1502), Github!B$1502)</f>
        <v>Countries You Can Safely Invest In</v>
      </c>
      <c r="C1925" s="10">
        <f>Github!F$1502</f>
        <v>164</v>
      </c>
      <c r="D1925" s="10">
        <f>Github!G$1502</f>
        <v>19</v>
      </c>
      <c r="E1925" s="10">
        <f>Github!F$1502+Github!G$1502</f>
        <v>183</v>
      </c>
      <c r="F1925" s="12">
        <f t="shared" si="1"/>
        <v>8.63</v>
      </c>
      <c r="G1925" s="10" t="str">
        <f>Github!H$1502</f>
        <v>Database</v>
      </c>
      <c r="H1925" s="13" t="str">
        <f>SUBSTITUTE(Github!L$1502, ";", ", ")</f>
        <v>Database, </v>
      </c>
      <c r="I1925" s="10" t="str">
        <f>Github!E$1502</f>
        <v>Medium</v>
      </c>
      <c r="J1925" s="10" t="str">
        <f>IF(TRIM(Github!D$1502)="TRUE","FALSE","TRUE")</f>
        <v>FALSE</v>
      </c>
      <c r="K1925" s="10" t="b">
        <f>Github!M$1502</f>
        <v>0</v>
      </c>
      <c r="L1925" s="10" t="b">
        <f>Github!N$1502</f>
        <v>0</v>
      </c>
      <c r="M1925" s="10" t="str">
        <f>ROUND(Github!O$1502, 2)&amp;"%"</f>
        <v>57.57%</v>
      </c>
      <c r="N1925" s="10">
        <f>Github!P$1502</f>
        <v>16770</v>
      </c>
      <c r="O1925" s="10">
        <f>Github!Q$1502</f>
        <v>29132</v>
      </c>
    </row>
    <row r="1926">
      <c r="A1926" s="10">
        <f>Github!J$1798</f>
        <v>1797</v>
      </c>
      <c r="B1926" s="11" t="str">
        <f>HYPERLINK(CONCAT("http://leetcode.com/problems/",Github!C$1798), Github!B$1798)</f>
        <v>Design Authentication Manager</v>
      </c>
      <c r="C1926" s="10">
        <f>Github!F$1798</f>
        <v>163</v>
      </c>
      <c r="D1926" s="10">
        <f>Github!G$1798</f>
        <v>30</v>
      </c>
      <c r="E1926" s="10">
        <f>Github!F$1798+Github!G$1798</f>
        <v>193</v>
      </c>
      <c r="F1926" s="12">
        <f t="shared" si="1"/>
        <v>5.43</v>
      </c>
      <c r="G1926" s="10" t="str">
        <f>Github!H$1798</f>
        <v>Algorithms</v>
      </c>
      <c r="H1926" s="13" t="str">
        <f>SUBSTITUTE(Github!L$1798, ";", ", ")</f>
        <v>Hash Table, Design, </v>
      </c>
      <c r="I1926" s="10" t="str">
        <f>Github!E$1798</f>
        <v>Medium</v>
      </c>
      <c r="J1926" s="10" t="str">
        <f>IF(TRIM(Github!D$1798)="TRUE","FALSE","TRUE")</f>
        <v>TRUE</v>
      </c>
      <c r="K1926" s="10" t="b">
        <f>Github!M$1798</f>
        <v>0</v>
      </c>
      <c r="L1926" s="10" t="b">
        <f>Github!N$1798</f>
        <v>0</v>
      </c>
      <c r="M1926" s="10" t="str">
        <f>ROUND(Github!O$1798, 2)&amp;"%"</f>
        <v>54.04%</v>
      </c>
      <c r="N1926" s="10">
        <f>Github!P$1798</f>
        <v>10604</v>
      </c>
      <c r="O1926" s="10">
        <f>Github!Q$1798</f>
        <v>19622</v>
      </c>
    </row>
    <row r="1927">
      <c r="A1927" s="10">
        <f>Github!J$1216</f>
        <v>1215</v>
      </c>
      <c r="B1927" s="11" t="str">
        <f>HYPERLINK(CONCAT("http://leetcode.com/problems/",Github!C$1216), Github!B$1216)</f>
        <v>Stepping Numbers</v>
      </c>
      <c r="C1927" s="10">
        <f>Github!F$1216</f>
        <v>158</v>
      </c>
      <c r="D1927" s="10">
        <f>Github!G$1216</f>
        <v>16</v>
      </c>
      <c r="E1927" s="10">
        <f>Github!F$1216+Github!G$1216</f>
        <v>174</v>
      </c>
      <c r="F1927" s="12">
        <f t="shared" si="1"/>
        <v>9.88</v>
      </c>
      <c r="G1927" s="10" t="str">
        <f>Github!H$1216</f>
        <v>Algorithms</v>
      </c>
      <c r="H1927" s="13" t="str">
        <f>SUBSTITUTE(Github!L$1216, ";", ", ")</f>
        <v>Backtracking, Breadth-First Search, </v>
      </c>
      <c r="I1927" s="10" t="str">
        <f>Github!E$1216</f>
        <v>Medium</v>
      </c>
      <c r="J1927" s="10" t="str">
        <f>IF(TRIM(Github!D$1216)="TRUE","FALSE","TRUE")</f>
        <v>FALSE</v>
      </c>
      <c r="K1927" s="10" t="b">
        <f>Github!M$1216</f>
        <v>0</v>
      </c>
      <c r="L1927" s="10" t="b">
        <f>Github!N$1216</f>
        <v>0</v>
      </c>
      <c r="M1927" s="10" t="str">
        <f>ROUND(Github!O$1216, 2)&amp;"%"</f>
        <v>45.48%</v>
      </c>
      <c r="N1927" s="10">
        <f>Github!P$1216</f>
        <v>7520</v>
      </c>
      <c r="O1927" s="10">
        <f>Github!Q$1216</f>
        <v>16533</v>
      </c>
    </row>
    <row r="1928">
      <c r="A1928" s="10">
        <f>Github!J$1805</f>
        <v>1804</v>
      </c>
      <c r="B1928" s="11" t="str">
        <f>HYPERLINK(CONCAT("http://leetcode.com/problems/",Github!C$1805), Github!B$1805)</f>
        <v>Implement Trie II (Prefix Tree)</v>
      </c>
      <c r="C1928" s="10">
        <f>Github!F$1805</f>
        <v>160</v>
      </c>
      <c r="D1928" s="10">
        <f>Github!G$1805</f>
        <v>10</v>
      </c>
      <c r="E1928" s="10">
        <f>Github!F$1805+Github!G$1805</f>
        <v>170</v>
      </c>
      <c r="F1928" s="12">
        <f t="shared" si="1"/>
        <v>16</v>
      </c>
      <c r="G1928" s="10" t="str">
        <f>Github!H$1805</f>
        <v>Algorithms</v>
      </c>
      <c r="H1928" s="13" t="str">
        <f>SUBSTITUTE(Github!L$1805, ";", ", ")</f>
        <v>Hash Table, String, Design, Trie, </v>
      </c>
      <c r="I1928" s="10" t="str">
        <f>Github!E$1805</f>
        <v>Medium</v>
      </c>
      <c r="J1928" s="10" t="str">
        <f>IF(TRIM(Github!D$1805)="TRUE","FALSE","TRUE")</f>
        <v>FALSE</v>
      </c>
      <c r="K1928" s="10" t="b">
        <f>Github!M$1805</f>
        <v>0</v>
      </c>
      <c r="L1928" s="10" t="b">
        <f>Github!N$1805</f>
        <v>0</v>
      </c>
      <c r="M1928" s="10" t="str">
        <f>ROUND(Github!O$1805, 2)&amp;"%"</f>
        <v>59.33%</v>
      </c>
      <c r="N1928" s="10">
        <f>Github!P$1805</f>
        <v>7535</v>
      </c>
      <c r="O1928" s="10">
        <f>Github!Q$1805</f>
        <v>12700</v>
      </c>
    </row>
    <row r="1929">
      <c r="A1929" s="10">
        <f>Github!J$1897</f>
        <v>1896</v>
      </c>
      <c r="B1929" s="11" t="str">
        <f>HYPERLINK(CONCAT("http://leetcode.com/problems/",Github!C$1897), Github!B$1897)</f>
        <v>Minimum Cost to Change the Final Value of Expression</v>
      </c>
      <c r="C1929" s="10">
        <f>Github!F$1897</f>
        <v>156</v>
      </c>
      <c r="D1929" s="10">
        <f>Github!G$1897</f>
        <v>34</v>
      </c>
      <c r="E1929" s="10">
        <f>Github!F$1897+Github!G$1897</f>
        <v>190</v>
      </c>
      <c r="F1929" s="12">
        <f t="shared" si="1"/>
        <v>4.59</v>
      </c>
      <c r="G1929" s="10" t="str">
        <f>Github!H$1897</f>
        <v>Algorithms</v>
      </c>
      <c r="H1929" s="13" t="str">
        <f>SUBSTITUTE(Github!L$1897, ";", ", ")</f>
        <v>Math, String, Dynamic Programming, Stack, </v>
      </c>
      <c r="I1929" s="10" t="str">
        <f>Github!E$1897</f>
        <v>Hard</v>
      </c>
      <c r="J1929" s="10" t="str">
        <f>IF(TRIM(Github!D$1897)="TRUE","FALSE","TRUE")</f>
        <v>TRUE</v>
      </c>
      <c r="K1929" s="10" t="b">
        <f>Github!M$1897</f>
        <v>0</v>
      </c>
      <c r="L1929" s="10" t="b">
        <f>Github!N$1897</f>
        <v>0</v>
      </c>
      <c r="M1929" s="10" t="str">
        <f>ROUND(Github!O$1897, 2)&amp;"%"</f>
        <v>53.89%</v>
      </c>
      <c r="N1929" s="10">
        <f>Github!P$1897</f>
        <v>2583</v>
      </c>
      <c r="O1929" s="10">
        <f>Github!Q$1897</f>
        <v>4793</v>
      </c>
    </row>
    <row r="1930">
      <c r="A1930" s="10">
        <f>Github!J$1597</f>
        <v>1596</v>
      </c>
      <c r="B1930" s="11" t="str">
        <f>HYPERLINK(CONCAT("http://leetcode.com/problems/",Github!C$1597), Github!B$1597)</f>
        <v>The Most Frequently Ordered Products for Each Customer</v>
      </c>
      <c r="C1930" s="10">
        <f>Github!F$1597</f>
        <v>156</v>
      </c>
      <c r="D1930" s="10">
        <f>Github!G$1597</f>
        <v>13</v>
      </c>
      <c r="E1930" s="10">
        <f>Github!F$1597+Github!G$1597</f>
        <v>169</v>
      </c>
      <c r="F1930" s="12">
        <f t="shared" si="1"/>
        <v>12</v>
      </c>
      <c r="G1930" s="10" t="str">
        <f>Github!H$1597</f>
        <v>Database</v>
      </c>
      <c r="H1930" s="13" t="str">
        <f>SUBSTITUTE(Github!L$1597, ";", ", ")</f>
        <v>Database, </v>
      </c>
      <c r="I1930" s="10" t="str">
        <f>Github!E$1597</f>
        <v>Medium</v>
      </c>
      <c r="J1930" s="10" t="str">
        <f>IF(TRIM(Github!D$1597)="TRUE","FALSE","TRUE")</f>
        <v>FALSE</v>
      </c>
      <c r="K1930" s="10" t="b">
        <f>Github!M$1597</f>
        <v>0</v>
      </c>
      <c r="L1930" s="10" t="b">
        <f>Github!N$1597</f>
        <v>0</v>
      </c>
      <c r="M1930" s="10" t="str">
        <f>ROUND(Github!O$1597, 2)&amp;"%"</f>
        <v>84.91%</v>
      </c>
      <c r="N1930" s="10">
        <f>Github!P$1597</f>
        <v>18580</v>
      </c>
      <c r="O1930" s="10">
        <f>Github!Q$1597</f>
        <v>21881</v>
      </c>
    </row>
    <row r="1931">
      <c r="A1931" s="10">
        <f>Github!J$1736</f>
        <v>1735</v>
      </c>
      <c r="B1931" s="11" t="str">
        <f>HYPERLINK(CONCAT("http://leetcode.com/problems/",Github!C$1736), Github!B$1736)</f>
        <v>Count Ways to Make Array With Product</v>
      </c>
      <c r="C1931" s="10">
        <f>Github!F$1736</f>
        <v>155</v>
      </c>
      <c r="D1931" s="10">
        <f>Github!G$1736</f>
        <v>25</v>
      </c>
      <c r="E1931" s="10">
        <f>Github!F$1736+Github!G$1736</f>
        <v>180</v>
      </c>
      <c r="F1931" s="12">
        <f t="shared" si="1"/>
        <v>6.2</v>
      </c>
      <c r="G1931" s="10" t="str">
        <f>Github!H$1736</f>
        <v>Algorithms</v>
      </c>
      <c r="H1931" s="13" t="str">
        <f>SUBSTITUTE(Github!L$1736, ";", ", ")</f>
        <v>Array, Math, Dynamic Programming, </v>
      </c>
      <c r="I1931" s="10" t="str">
        <f>Github!E$1736</f>
        <v>Hard</v>
      </c>
      <c r="J1931" s="10" t="str">
        <f>IF(TRIM(Github!D$1736)="TRUE","FALSE","TRUE")</f>
        <v>TRUE</v>
      </c>
      <c r="K1931" s="10" t="b">
        <f>Github!M$1736</f>
        <v>0</v>
      </c>
      <c r="L1931" s="10" t="b">
        <f>Github!N$1736</f>
        <v>0</v>
      </c>
      <c r="M1931" s="10" t="str">
        <f>ROUND(Github!O$1736, 2)&amp;"%"</f>
        <v>49.5%</v>
      </c>
      <c r="N1931" s="10">
        <f>Github!P$1736</f>
        <v>3184</v>
      </c>
      <c r="O1931" s="10">
        <f>Github!Q$1736</f>
        <v>6432</v>
      </c>
    </row>
    <row r="1932">
      <c r="A1932" s="10">
        <f>Github!J$1757</f>
        <v>1756</v>
      </c>
      <c r="B1932" s="11" t="str">
        <f>HYPERLINK(CONCAT("http://leetcode.com/problems/",Github!C$1757), Github!B$1757)</f>
        <v>Design Most Recently Used Queue</v>
      </c>
      <c r="C1932" s="10">
        <f>Github!F$1757</f>
        <v>160</v>
      </c>
      <c r="D1932" s="10">
        <f>Github!G$1757</f>
        <v>12</v>
      </c>
      <c r="E1932" s="10">
        <f>Github!F$1757+Github!G$1757</f>
        <v>172</v>
      </c>
      <c r="F1932" s="12">
        <f t="shared" si="1"/>
        <v>13.33</v>
      </c>
      <c r="G1932" s="10" t="str">
        <f>Github!H$1757</f>
        <v>Algorithms</v>
      </c>
      <c r="H1932" s="13" t="str">
        <f>SUBSTITUTE(Github!L$1757, ";", ", ")</f>
        <v>Array, Hash Table, Stack, Design, Binary Indexed Tree, Ordered Set, </v>
      </c>
      <c r="I1932" s="10" t="str">
        <f>Github!E$1757</f>
        <v>Medium</v>
      </c>
      <c r="J1932" s="10" t="str">
        <f>IF(TRIM(Github!D$1757)="TRUE","FALSE","TRUE")</f>
        <v>FALSE</v>
      </c>
      <c r="K1932" s="10" t="b">
        <f>Github!M$1757</f>
        <v>0</v>
      </c>
      <c r="L1932" s="10" t="b">
        <f>Github!N$1757</f>
        <v>0</v>
      </c>
      <c r="M1932" s="10" t="str">
        <f>ROUND(Github!O$1757, 2)&amp;"%"</f>
        <v>78.8%</v>
      </c>
      <c r="N1932" s="10">
        <f>Github!P$1757</f>
        <v>5695</v>
      </c>
      <c r="O1932" s="10">
        <f>Github!Q$1757</f>
        <v>7227</v>
      </c>
    </row>
    <row r="1933">
      <c r="A1933" s="10">
        <f>Github!J$1584</f>
        <v>1583</v>
      </c>
      <c r="B1933" s="11" t="str">
        <f>HYPERLINK(CONCAT("http://leetcode.com/problems/",Github!C$1584), Github!B$1584)</f>
        <v>Count Unhappy Friends</v>
      </c>
      <c r="C1933" s="10">
        <f>Github!F$1584</f>
        <v>154</v>
      </c>
      <c r="D1933" s="10">
        <f>Github!G$1584</f>
        <v>561</v>
      </c>
      <c r="E1933" s="10">
        <f>Github!F$1584+Github!G$1584</f>
        <v>715</v>
      </c>
      <c r="F1933" s="12">
        <f t="shared" si="1"/>
        <v>0.27</v>
      </c>
      <c r="G1933" s="10" t="str">
        <f>Github!H$1584</f>
        <v>Algorithms</v>
      </c>
      <c r="H1933" s="13" t="str">
        <f>SUBSTITUTE(Github!L$1584, ";", ", ")</f>
        <v>Array, Simulation, </v>
      </c>
      <c r="I1933" s="10" t="str">
        <f>Github!E$1584</f>
        <v>Medium</v>
      </c>
      <c r="J1933" s="10" t="str">
        <f>IF(TRIM(Github!D$1584)="TRUE","FALSE","TRUE")</f>
        <v>TRUE</v>
      </c>
      <c r="K1933" s="10" t="b">
        <f>Github!M$1584</f>
        <v>0</v>
      </c>
      <c r="L1933" s="10" t="b">
        <f>Github!N$1584</f>
        <v>0</v>
      </c>
      <c r="M1933" s="10" t="str">
        <f>ROUND(Github!O$1584, 2)&amp;"%"</f>
        <v>57.85%</v>
      </c>
      <c r="N1933" s="10">
        <f>Github!P$1584</f>
        <v>16122</v>
      </c>
      <c r="O1933" s="10">
        <f>Github!Q$1584</f>
        <v>27867</v>
      </c>
    </row>
    <row r="1934">
      <c r="A1934" s="10">
        <f>Github!J$1174</f>
        <v>1173</v>
      </c>
      <c r="B1934" s="11" t="str">
        <f>HYPERLINK(CONCAT("http://leetcode.com/problems/",Github!C$1174), Github!B$1174)</f>
        <v>Immediate Food Delivery I</v>
      </c>
      <c r="C1934" s="10">
        <f>Github!F$1174</f>
        <v>154</v>
      </c>
      <c r="D1934" s="10">
        <f>Github!G$1174</f>
        <v>10</v>
      </c>
      <c r="E1934" s="10">
        <f>Github!F$1174+Github!G$1174</f>
        <v>164</v>
      </c>
      <c r="F1934" s="12">
        <f t="shared" si="1"/>
        <v>15.4</v>
      </c>
      <c r="G1934" s="10" t="str">
        <f>Github!H$1174</f>
        <v>Database</v>
      </c>
      <c r="H1934" s="13" t="str">
        <f>SUBSTITUTE(Github!L$1174, ";", ", ")</f>
        <v>Database, </v>
      </c>
      <c r="I1934" s="10" t="str">
        <f>Github!E$1174</f>
        <v>Easy</v>
      </c>
      <c r="J1934" s="10" t="str">
        <f>IF(TRIM(Github!D$1174)="TRUE","FALSE","TRUE")</f>
        <v>FALSE</v>
      </c>
      <c r="K1934" s="10" t="b">
        <f>Github!M$1174</f>
        <v>0</v>
      </c>
      <c r="L1934" s="10" t="b">
        <f>Github!N$1174</f>
        <v>0</v>
      </c>
      <c r="M1934" s="10" t="str">
        <f>ROUND(Github!O$1174, 2)&amp;"%"</f>
        <v>83.3%</v>
      </c>
      <c r="N1934" s="10">
        <f>Github!P$1174</f>
        <v>37847</v>
      </c>
      <c r="O1934" s="10">
        <f>Github!Q$1174</f>
        <v>45437</v>
      </c>
    </row>
    <row r="1935">
      <c r="A1935" s="10">
        <f>Github!J$1875</f>
        <v>1874</v>
      </c>
      <c r="B1935" s="11" t="str">
        <f>HYPERLINK(CONCAT("http://leetcode.com/problems/",Github!C$1875), Github!B$1875)</f>
        <v>Minimize Product Sum of Two Arrays</v>
      </c>
      <c r="C1935" s="10">
        <f>Github!F$1875</f>
        <v>154</v>
      </c>
      <c r="D1935" s="10">
        <f>Github!G$1875</f>
        <v>21</v>
      </c>
      <c r="E1935" s="10">
        <f>Github!F$1875+Github!G$1875</f>
        <v>175</v>
      </c>
      <c r="F1935" s="12">
        <f t="shared" si="1"/>
        <v>7.33</v>
      </c>
      <c r="G1935" s="10" t="str">
        <f>Github!H$1875</f>
        <v>Algorithms</v>
      </c>
      <c r="H1935" s="13" t="str">
        <f>SUBSTITUTE(Github!L$1875, ";", ", ")</f>
        <v>Array, Greedy, Sorting, </v>
      </c>
      <c r="I1935" s="10" t="str">
        <f>Github!E$1875</f>
        <v>Medium</v>
      </c>
      <c r="J1935" s="10" t="str">
        <f>IF(TRIM(Github!D$1875)="TRUE","FALSE","TRUE")</f>
        <v>FALSE</v>
      </c>
      <c r="K1935" s="10" t="b">
        <f>Github!M$1875</f>
        <v>1</v>
      </c>
      <c r="L1935" s="10" t="b">
        <f>Github!N$1875</f>
        <v>0</v>
      </c>
      <c r="M1935" s="10" t="str">
        <f>ROUND(Github!O$1875, 2)&amp;"%"</f>
        <v>91.32%</v>
      </c>
      <c r="N1935" s="10">
        <f>Github!P$1875</f>
        <v>11583</v>
      </c>
      <c r="O1935" s="10">
        <f>Github!Q$1875</f>
        <v>12684</v>
      </c>
    </row>
    <row r="1936">
      <c r="A1936" s="10">
        <f>Github!J$1197</f>
        <v>1196</v>
      </c>
      <c r="B1936" s="11" t="str">
        <f>HYPERLINK(CONCAT("http://leetcode.com/problems/",Github!C$1197), Github!B$1197)</f>
        <v>How Many Apples Can You Put into the Basket</v>
      </c>
      <c r="C1936" s="10">
        <f>Github!F$1197</f>
        <v>152</v>
      </c>
      <c r="D1936" s="10">
        <f>Github!G$1197</f>
        <v>13</v>
      </c>
      <c r="E1936" s="10">
        <f>Github!F$1197+Github!G$1197</f>
        <v>165</v>
      </c>
      <c r="F1936" s="12">
        <f t="shared" si="1"/>
        <v>11.69</v>
      </c>
      <c r="G1936" s="10" t="str">
        <f>Github!H$1197</f>
        <v>Algorithms</v>
      </c>
      <c r="H1936" s="13" t="str">
        <f>SUBSTITUTE(Github!L$1197, ";", ", ")</f>
        <v>Array, Greedy, Sorting, </v>
      </c>
      <c r="I1936" s="10" t="str">
        <f>Github!E$1197</f>
        <v>Easy</v>
      </c>
      <c r="J1936" s="10" t="str">
        <f>IF(TRIM(Github!D$1197)="TRUE","FALSE","TRUE")</f>
        <v>FALSE</v>
      </c>
      <c r="K1936" s="10" t="b">
        <f>Github!M$1197</f>
        <v>1</v>
      </c>
      <c r="L1936" s="10" t="b">
        <f>Github!N$1197</f>
        <v>0</v>
      </c>
      <c r="M1936" s="10" t="str">
        <f>ROUND(Github!O$1197, 2)&amp;"%"</f>
        <v>67.37%</v>
      </c>
      <c r="N1936" s="10">
        <f>Github!P$1197</f>
        <v>19033</v>
      </c>
      <c r="O1936" s="10">
        <f>Github!Q$1197</f>
        <v>28253</v>
      </c>
    </row>
    <row r="1937">
      <c r="A1937" s="10">
        <f>Github!J$1729</f>
        <v>1728</v>
      </c>
      <c r="B1937" s="11" t="str">
        <f>HYPERLINK(CONCAT("http://leetcode.com/problems/",Github!C$1729), Github!B$1729)</f>
        <v>Cat and Mouse II</v>
      </c>
      <c r="C1937" s="10">
        <f>Github!F$1729</f>
        <v>151</v>
      </c>
      <c r="D1937" s="10">
        <f>Github!G$1729</f>
        <v>27</v>
      </c>
      <c r="E1937" s="10">
        <f>Github!F$1729+Github!G$1729</f>
        <v>178</v>
      </c>
      <c r="F1937" s="12">
        <f t="shared" si="1"/>
        <v>5.59</v>
      </c>
      <c r="G1937" s="10" t="str">
        <f>Github!H$1729</f>
        <v>Algorithms</v>
      </c>
      <c r="H1937" s="13" t="str">
        <f>SUBSTITUTE(Github!L$1729, ";", ", ")</f>
        <v>Math, Dynamic Programming, Breadth-First Search, Graph, Memoization, Game Theory, </v>
      </c>
      <c r="I1937" s="10" t="str">
        <f>Github!E$1729</f>
        <v>Hard</v>
      </c>
      <c r="J1937" s="10" t="str">
        <f>IF(TRIM(Github!D$1729)="TRUE","FALSE","TRUE")</f>
        <v>TRUE</v>
      </c>
      <c r="K1937" s="10" t="b">
        <f>Github!M$1729</f>
        <v>0</v>
      </c>
      <c r="L1937" s="10" t="b">
        <f>Github!N$1729</f>
        <v>0</v>
      </c>
      <c r="M1937" s="10" t="str">
        <f>ROUND(Github!O$1729, 2)&amp;"%"</f>
        <v>41.29%</v>
      </c>
      <c r="N1937" s="10">
        <f>Github!P$1729</f>
        <v>4653</v>
      </c>
      <c r="O1937" s="10">
        <f>Github!Q$1729</f>
        <v>11270</v>
      </c>
    </row>
    <row r="1938">
      <c r="A1938" s="10">
        <f>Github!J$1598</f>
        <v>1597</v>
      </c>
      <c r="B1938" s="11" t="str">
        <f>HYPERLINK(CONCAT("http://leetcode.com/problems/",Github!C$1598), Github!B$1598)</f>
        <v>Build Binary Expression Tree From Infix Expression</v>
      </c>
      <c r="C1938" s="10">
        <f>Github!F$1598</f>
        <v>155</v>
      </c>
      <c r="D1938" s="10">
        <f>Github!G$1598</f>
        <v>29</v>
      </c>
      <c r="E1938" s="10">
        <f>Github!F$1598+Github!G$1598</f>
        <v>184</v>
      </c>
      <c r="F1938" s="12">
        <f t="shared" si="1"/>
        <v>5.34</v>
      </c>
      <c r="G1938" s="10" t="str">
        <f>Github!H$1598</f>
        <v>Algorithms</v>
      </c>
      <c r="H1938" s="13" t="str">
        <f>SUBSTITUTE(Github!L$1598, ";", ", ")</f>
        <v>String, Stack, Tree, Binary Tree, </v>
      </c>
      <c r="I1938" s="10" t="str">
        <f>Github!E$1598</f>
        <v>Hard</v>
      </c>
      <c r="J1938" s="10" t="str">
        <f>IF(TRIM(Github!D$1598)="TRUE","FALSE","TRUE")</f>
        <v>FALSE</v>
      </c>
      <c r="K1938" s="10" t="b">
        <f>Github!M$1598</f>
        <v>0</v>
      </c>
      <c r="L1938" s="10" t="b">
        <f>Github!N$1598</f>
        <v>0</v>
      </c>
      <c r="M1938" s="10" t="str">
        <f>ROUND(Github!O$1598, 2)&amp;"%"</f>
        <v>60.33%</v>
      </c>
      <c r="N1938" s="10">
        <f>Github!P$1598</f>
        <v>7074</v>
      </c>
      <c r="O1938" s="10">
        <f>Github!Q$1598</f>
        <v>11726</v>
      </c>
    </row>
    <row r="1939">
      <c r="A1939" s="10">
        <f>Github!J$2061</f>
        <v>2060</v>
      </c>
      <c r="B1939" s="11" t="str">
        <f>HYPERLINK(CONCAT("http://leetcode.com/problems/",Github!C$2061), Github!B$2061)</f>
        <v>Check if an Original String Exists Given Two Encoded Strings</v>
      </c>
      <c r="C1939" s="10">
        <f>Github!F$2061</f>
        <v>152</v>
      </c>
      <c r="D1939" s="10">
        <f>Github!G$2061</f>
        <v>88</v>
      </c>
      <c r="E1939" s="10">
        <f>Github!F$2061+Github!G$2061</f>
        <v>240</v>
      </c>
      <c r="F1939" s="12">
        <f t="shared" si="1"/>
        <v>1.73</v>
      </c>
      <c r="G1939" s="10" t="str">
        <f>Github!H$2061</f>
        <v>Algorithms</v>
      </c>
      <c r="H1939" s="13" t="str">
        <f>SUBSTITUTE(Github!L$2061, ";", ", ")</f>
        <v>String, Dynamic Programming, </v>
      </c>
      <c r="I1939" s="10" t="str">
        <f>Github!E$2061</f>
        <v>Hard</v>
      </c>
      <c r="J1939" s="10" t="str">
        <f>IF(TRIM(Github!D$2061)="TRUE","FALSE","TRUE")</f>
        <v>TRUE</v>
      </c>
      <c r="K1939" s="10" t="b">
        <f>Github!M$2061</f>
        <v>0</v>
      </c>
      <c r="L1939" s="10" t="b">
        <f>Github!N$2061</f>
        <v>0</v>
      </c>
      <c r="M1939" s="10" t="str">
        <f>ROUND(Github!O$2061, 2)&amp;"%"</f>
        <v>40.79%</v>
      </c>
      <c r="N1939" s="10">
        <f>Github!P$2061</f>
        <v>5870</v>
      </c>
      <c r="O1939" s="10">
        <f>Github!Q$2061</f>
        <v>14388</v>
      </c>
    </row>
    <row r="1940">
      <c r="A1940" s="10">
        <f>Github!J$1786</f>
        <v>1785</v>
      </c>
      <c r="B1940" s="11" t="str">
        <f>HYPERLINK(CONCAT("http://leetcode.com/problems/",Github!C$1786), Github!B$1786)</f>
        <v>Minimum Elements to Add to Form a Given Sum</v>
      </c>
      <c r="C1940" s="10">
        <f>Github!F$1786</f>
        <v>151</v>
      </c>
      <c r="D1940" s="10">
        <f>Github!G$1786</f>
        <v>145</v>
      </c>
      <c r="E1940" s="10">
        <f>Github!F$1786+Github!G$1786</f>
        <v>296</v>
      </c>
      <c r="F1940" s="12">
        <f t="shared" si="1"/>
        <v>1.04</v>
      </c>
      <c r="G1940" s="10" t="str">
        <f>Github!H$1786</f>
        <v>Algorithms</v>
      </c>
      <c r="H1940" s="13" t="str">
        <f>SUBSTITUTE(Github!L$1786, ";", ", ")</f>
        <v>Array, Greedy, </v>
      </c>
      <c r="I1940" s="10" t="str">
        <f>Github!E$1786</f>
        <v>Medium</v>
      </c>
      <c r="J1940" s="10" t="str">
        <f>IF(TRIM(Github!D$1786)="TRUE","FALSE","TRUE")</f>
        <v>TRUE</v>
      </c>
      <c r="K1940" s="10" t="b">
        <f>Github!M$1786</f>
        <v>0</v>
      </c>
      <c r="L1940" s="10" t="b">
        <f>Github!N$1786</f>
        <v>0</v>
      </c>
      <c r="M1940" s="10" t="str">
        <f>ROUND(Github!O$1786, 2)&amp;"%"</f>
        <v>41.61%</v>
      </c>
      <c r="N1940" s="10">
        <f>Github!P$1786</f>
        <v>14195</v>
      </c>
      <c r="O1940" s="10">
        <f>Github!Q$1786</f>
        <v>34118</v>
      </c>
    </row>
    <row r="1941">
      <c r="A1941" s="10">
        <f>Github!J$1051</f>
        <v>1050</v>
      </c>
      <c r="B1941" s="11" t="str">
        <f>HYPERLINK(CONCAT("http://leetcode.com/problems/",Github!C$1051), Github!B$1051)</f>
        <v>Actors and Directors Who Cooperated At Least Three Times</v>
      </c>
      <c r="C1941" s="10">
        <f>Github!F$1051</f>
        <v>157</v>
      </c>
      <c r="D1941" s="10">
        <f>Github!G$1051</f>
        <v>27</v>
      </c>
      <c r="E1941" s="10">
        <f>Github!F$1051+Github!G$1051</f>
        <v>184</v>
      </c>
      <c r="F1941" s="12">
        <f t="shared" si="1"/>
        <v>5.81</v>
      </c>
      <c r="G1941" s="10" t="str">
        <f>Github!H$1051</f>
        <v>Database</v>
      </c>
      <c r="H1941" s="13" t="str">
        <f>SUBSTITUTE(Github!L$1051, ";", ", ")</f>
        <v>Database, </v>
      </c>
      <c r="I1941" s="10" t="str">
        <f>Github!E$1051</f>
        <v>Easy</v>
      </c>
      <c r="J1941" s="10" t="str">
        <f>IF(TRIM(Github!D$1051)="TRUE","FALSE","TRUE")</f>
        <v>TRUE</v>
      </c>
      <c r="K1941" s="10" t="b">
        <f>Github!M$1051</f>
        <v>0</v>
      </c>
      <c r="L1941" s="10" t="b">
        <f>Github!N$1051</f>
        <v>0</v>
      </c>
      <c r="M1941" s="10" t="str">
        <f>ROUND(Github!O$1051, 2)&amp;"%"</f>
        <v>72.68%</v>
      </c>
      <c r="N1941" s="10">
        <f>Github!P$1051</f>
        <v>46408</v>
      </c>
      <c r="O1941" s="10">
        <f>Github!Q$1051</f>
        <v>63856</v>
      </c>
    </row>
    <row r="1942">
      <c r="A1942" s="10">
        <f>Github!J$1034</f>
        <v>1033</v>
      </c>
      <c r="B1942" s="11" t="str">
        <f>HYPERLINK(CONCAT("http://leetcode.com/problems/",Github!C$1034), Github!B$1034)</f>
        <v>Moving Stones Until Consecutive</v>
      </c>
      <c r="C1942" s="10">
        <f>Github!F$1034</f>
        <v>149</v>
      </c>
      <c r="D1942" s="10">
        <f>Github!G$1034</f>
        <v>584</v>
      </c>
      <c r="E1942" s="10">
        <f>Github!F$1034+Github!G$1034</f>
        <v>733</v>
      </c>
      <c r="F1942" s="12">
        <f t="shared" si="1"/>
        <v>0.26</v>
      </c>
      <c r="G1942" s="10" t="str">
        <f>Github!H$1034</f>
        <v>Algorithms</v>
      </c>
      <c r="H1942" s="13" t="str">
        <f>SUBSTITUTE(Github!L$1034, ";", ", ")</f>
        <v>Math, Brainteaser, </v>
      </c>
      <c r="I1942" s="10" t="str">
        <f>Github!E$1034</f>
        <v>Medium</v>
      </c>
      <c r="J1942" s="10" t="str">
        <f>IF(TRIM(Github!D$1034)="TRUE","FALSE","TRUE")</f>
        <v>TRUE</v>
      </c>
      <c r="K1942" s="10" t="b">
        <f>Github!M$1034</f>
        <v>0</v>
      </c>
      <c r="L1942" s="10" t="b">
        <f>Github!N$1034</f>
        <v>0</v>
      </c>
      <c r="M1942" s="10" t="str">
        <f>ROUND(Github!O$1034, 2)&amp;"%"</f>
        <v>44.98%</v>
      </c>
      <c r="N1942" s="10">
        <f>Github!P$1034</f>
        <v>19556</v>
      </c>
      <c r="O1942" s="10">
        <f>Github!Q$1034</f>
        <v>43479</v>
      </c>
    </row>
    <row r="1943">
      <c r="A1943" s="10">
        <f>Github!J$1135</f>
        <v>1134</v>
      </c>
      <c r="B1943" s="11" t="str">
        <f>HYPERLINK(CONCAT("http://leetcode.com/problems/",Github!C$1135), Github!B$1135)</f>
        <v>Armstrong Number</v>
      </c>
      <c r="C1943" s="10">
        <f>Github!F$1135</f>
        <v>149</v>
      </c>
      <c r="D1943" s="10">
        <f>Github!G$1135</f>
        <v>17</v>
      </c>
      <c r="E1943" s="10">
        <f>Github!F$1135+Github!G$1135</f>
        <v>166</v>
      </c>
      <c r="F1943" s="12">
        <f t="shared" si="1"/>
        <v>8.76</v>
      </c>
      <c r="G1943" s="10" t="str">
        <f>Github!H$1135</f>
        <v>Algorithms</v>
      </c>
      <c r="H1943" s="13" t="str">
        <f>SUBSTITUTE(Github!L$1135, ";", ", ")</f>
        <v>Math, </v>
      </c>
      <c r="I1943" s="10" t="str">
        <f>Github!E$1135</f>
        <v>Easy</v>
      </c>
      <c r="J1943" s="10" t="str">
        <f>IF(TRIM(Github!D$1135)="TRUE","FALSE","TRUE")</f>
        <v>FALSE</v>
      </c>
      <c r="K1943" s="10" t="b">
        <f>Github!M$1135</f>
        <v>1</v>
      </c>
      <c r="L1943" s="10" t="b">
        <f>Github!N$1135</f>
        <v>0</v>
      </c>
      <c r="M1943" s="10" t="str">
        <f>ROUND(Github!O$1135, 2)&amp;"%"</f>
        <v>78.3%</v>
      </c>
      <c r="N1943" s="10">
        <f>Github!P$1135</f>
        <v>27910</v>
      </c>
      <c r="O1943" s="10">
        <f>Github!Q$1135</f>
        <v>35644</v>
      </c>
    </row>
    <row r="1944">
      <c r="A1944" s="10">
        <f>Github!J$1431</f>
        <v>1430</v>
      </c>
      <c r="B1944" s="11" t="str">
        <f>HYPERLINK(CONCAT("http://leetcode.com/problems/",Github!C$1431), Github!B$1431)</f>
        <v>Check If a String Is a Valid Sequence from Root to Leaves Path in a Binary Tree</v>
      </c>
      <c r="C1944" s="10">
        <f>Github!F$1431</f>
        <v>149</v>
      </c>
      <c r="D1944" s="10">
        <f>Github!G$1431</f>
        <v>10</v>
      </c>
      <c r="E1944" s="10">
        <f>Github!F$1431+Github!G$1431</f>
        <v>159</v>
      </c>
      <c r="F1944" s="12">
        <f t="shared" si="1"/>
        <v>14.9</v>
      </c>
      <c r="G1944" s="10" t="str">
        <f>Github!H$1431</f>
        <v>Algorithms</v>
      </c>
      <c r="H1944" s="13" t="str">
        <f>SUBSTITUTE(Github!L$1431, ";", ", ")</f>
        <v>Tree, Depth-First Search, Breadth-First Search, Binary Tree, </v>
      </c>
      <c r="I1944" s="10" t="str">
        <f>Github!E$1431</f>
        <v>Medium</v>
      </c>
      <c r="J1944" s="10" t="str">
        <f>IF(TRIM(Github!D$1431)="TRUE","FALSE","TRUE")</f>
        <v>FALSE</v>
      </c>
      <c r="K1944" s="10" t="b">
        <f>Github!M$1431</f>
        <v>0</v>
      </c>
      <c r="L1944" s="10" t="b">
        <f>Github!N$1431</f>
        <v>0</v>
      </c>
      <c r="M1944" s="10" t="str">
        <f>ROUND(Github!O$1431, 2)&amp;"%"</f>
        <v>45.74%</v>
      </c>
      <c r="N1944" s="10">
        <f>Github!P$1431</f>
        <v>39600</v>
      </c>
      <c r="O1944" s="10">
        <f>Github!Q$1431</f>
        <v>86572</v>
      </c>
    </row>
    <row r="1945">
      <c r="A1945" s="10">
        <f>Github!J$1905</f>
        <v>1904</v>
      </c>
      <c r="B1945" s="11" t="str">
        <f>HYPERLINK(CONCAT("http://leetcode.com/problems/",Github!C$1905), Github!B$1905)</f>
        <v>The Number of Full Rounds You Have Played</v>
      </c>
      <c r="C1945" s="10">
        <f>Github!F$1905</f>
        <v>147</v>
      </c>
      <c r="D1945" s="10">
        <f>Github!G$1905</f>
        <v>204</v>
      </c>
      <c r="E1945" s="10">
        <f>Github!F$1905+Github!G$1905</f>
        <v>351</v>
      </c>
      <c r="F1945" s="12">
        <f t="shared" si="1"/>
        <v>0.72</v>
      </c>
      <c r="G1945" s="10" t="str">
        <f>Github!H$1905</f>
        <v>Algorithms</v>
      </c>
      <c r="H1945" s="13" t="str">
        <f>SUBSTITUTE(Github!L$1905, ";", ", ")</f>
        <v>Math, String, </v>
      </c>
      <c r="I1945" s="10" t="str">
        <f>Github!E$1905</f>
        <v>Medium</v>
      </c>
      <c r="J1945" s="10" t="str">
        <f>IF(TRIM(Github!D$1905)="TRUE","FALSE","TRUE")</f>
        <v>TRUE</v>
      </c>
      <c r="K1945" s="10" t="b">
        <f>Github!M$1905</f>
        <v>0</v>
      </c>
      <c r="L1945" s="10" t="b">
        <f>Github!N$1905</f>
        <v>0</v>
      </c>
      <c r="M1945" s="10" t="str">
        <f>ROUND(Github!O$1905, 2)&amp;"%"</f>
        <v>46.95%</v>
      </c>
      <c r="N1945" s="10">
        <f>Github!P$1905</f>
        <v>15997</v>
      </c>
      <c r="O1945" s="10">
        <f>Github!Q$1905</f>
        <v>34074</v>
      </c>
    </row>
    <row r="1946">
      <c r="A1946" s="10">
        <f>Github!J$2058</f>
        <v>2057</v>
      </c>
      <c r="B1946" s="11" t="str">
        <f>HYPERLINK(CONCAT("http://leetcode.com/problems/",Github!C$2058), Github!B$2058)</f>
        <v>Smallest Index With Equal Value</v>
      </c>
      <c r="C1946" s="10">
        <f>Github!F$2058</f>
        <v>150</v>
      </c>
      <c r="D1946" s="10">
        <f>Github!G$2058</f>
        <v>67</v>
      </c>
      <c r="E1946" s="10">
        <f>Github!F$2058+Github!G$2058</f>
        <v>217</v>
      </c>
      <c r="F1946" s="12">
        <f t="shared" si="1"/>
        <v>2.24</v>
      </c>
      <c r="G1946" s="10" t="str">
        <f>Github!H$2058</f>
        <v>Algorithms</v>
      </c>
      <c r="H1946" s="13" t="str">
        <f>SUBSTITUTE(Github!L$2058, ";", ", ")</f>
        <v>Array, </v>
      </c>
      <c r="I1946" s="10" t="str">
        <f>Github!E$2058</f>
        <v>Easy</v>
      </c>
      <c r="J1946" s="10" t="str">
        <f>IF(TRIM(Github!D$2058)="TRUE","FALSE","TRUE")</f>
        <v>TRUE</v>
      </c>
      <c r="K1946" s="10" t="b">
        <f>Github!M$2058</f>
        <v>0</v>
      </c>
      <c r="L1946" s="10" t="b">
        <f>Github!N$2058</f>
        <v>0</v>
      </c>
      <c r="M1946" s="10" t="str">
        <f>ROUND(Github!O$2058, 2)&amp;"%"</f>
        <v>73.03%</v>
      </c>
      <c r="N1946" s="10">
        <f>Github!P$2058</f>
        <v>24081</v>
      </c>
      <c r="O1946" s="10">
        <f>Github!Q$2058</f>
        <v>32972</v>
      </c>
    </row>
    <row r="1947">
      <c r="A1947" s="10">
        <f>Github!J$1413</f>
        <v>1412</v>
      </c>
      <c r="B1947" s="11" t="str">
        <f>HYPERLINK(CONCAT("http://leetcode.com/problems/",Github!C$1413), Github!B$1413)</f>
        <v>Find the Quiet Students in All Exams</v>
      </c>
      <c r="C1947" s="10">
        <f>Github!F$1413</f>
        <v>146</v>
      </c>
      <c r="D1947" s="10">
        <f>Github!G$1413</f>
        <v>11</v>
      </c>
      <c r="E1947" s="10">
        <f>Github!F$1413+Github!G$1413</f>
        <v>157</v>
      </c>
      <c r="F1947" s="12">
        <f t="shared" si="1"/>
        <v>13.27</v>
      </c>
      <c r="G1947" s="10" t="str">
        <f>Github!H$1413</f>
        <v>Database</v>
      </c>
      <c r="H1947" s="13" t="str">
        <f>SUBSTITUTE(Github!L$1413, ";", ", ")</f>
        <v>Database, </v>
      </c>
      <c r="I1947" s="10" t="str">
        <f>Github!E$1413</f>
        <v>Hard</v>
      </c>
      <c r="J1947" s="10" t="str">
        <f>IF(TRIM(Github!D$1413)="TRUE","FALSE","TRUE")</f>
        <v>FALSE</v>
      </c>
      <c r="K1947" s="10" t="b">
        <f>Github!M$1413</f>
        <v>0</v>
      </c>
      <c r="L1947" s="10" t="b">
        <f>Github!N$1413</f>
        <v>0</v>
      </c>
      <c r="M1947" s="10" t="str">
        <f>ROUND(Github!O$1413, 2)&amp;"%"</f>
        <v>62.67%</v>
      </c>
      <c r="N1947" s="10">
        <f>Github!P$1413</f>
        <v>16437</v>
      </c>
      <c r="O1947" s="10">
        <f>Github!Q$1413</f>
        <v>26229</v>
      </c>
    </row>
    <row r="1948">
      <c r="A1948" s="10">
        <f>Github!J$1200</f>
        <v>1199</v>
      </c>
      <c r="B1948" s="11" t="str">
        <f>HYPERLINK(CONCAT("http://leetcode.com/problems/",Github!C$1200), Github!B$1200)</f>
        <v>Minimum Time to Build Blocks</v>
      </c>
      <c r="C1948" s="10">
        <f>Github!F$1200</f>
        <v>145</v>
      </c>
      <c r="D1948" s="10">
        <f>Github!G$1200</f>
        <v>19</v>
      </c>
      <c r="E1948" s="10">
        <f>Github!F$1200+Github!G$1200</f>
        <v>164</v>
      </c>
      <c r="F1948" s="12">
        <f t="shared" si="1"/>
        <v>7.63</v>
      </c>
      <c r="G1948" s="10" t="str">
        <f>Github!H$1200</f>
        <v>Algorithms</v>
      </c>
      <c r="H1948" s="13" t="str">
        <f>SUBSTITUTE(Github!L$1200, ";", ", ")</f>
        <v>Math, Greedy, Heap (Priority Queue), </v>
      </c>
      <c r="I1948" s="10" t="str">
        <f>Github!E$1200</f>
        <v>Hard</v>
      </c>
      <c r="J1948" s="10" t="str">
        <f>IF(TRIM(Github!D$1200)="TRUE","FALSE","TRUE")</f>
        <v>FALSE</v>
      </c>
      <c r="K1948" s="10" t="b">
        <f>Github!M$1200</f>
        <v>0</v>
      </c>
      <c r="L1948" s="10" t="b">
        <f>Github!N$1200</f>
        <v>0</v>
      </c>
      <c r="M1948" s="10" t="str">
        <f>ROUND(Github!O$1200, 2)&amp;"%"</f>
        <v>40.39%</v>
      </c>
      <c r="N1948" s="10">
        <f>Github!P$1200</f>
        <v>3386</v>
      </c>
      <c r="O1948" s="10">
        <f>Github!Q$1200</f>
        <v>8384</v>
      </c>
    </row>
    <row r="1949">
      <c r="A1949" s="10">
        <f>Github!J$2076</f>
        <v>2075</v>
      </c>
      <c r="B1949" s="11" t="str">
        <f>HYPERLINK(CONCAT("http://leetcode.com/problems/",Github!C$2076), Github!B$2076)</f>
        <v>Decode the Slanted Ciphertext</v>
      </c>
      <c r="C1949" s="10">
        <f>Github!F$2076</f>
        <v>146</v>
      </c>
      <c r="D1949" s="10">
        <f>Github!G$2076</f>
        <v>32</v>
      </c>
      <c r="E1949" s="10">
        <f>Github!F$2076+Github!G$2076</f>
        <v>178</v>
      </c>
      <c r="F1949" s="12">
        <f t="shared" si="1"/>
        <v>4.56</v>
      </c>
      <c r="G1949" s="10" t="str">
        <f>Github!H$2076</f>
        <v>Algorithms</v>
      </c>
      <c r="H1949" s="13" t="str">
        <f>SUBSTITUTE(Github!L$2076, ";", ", ")</f>
        <v>String, Simulation, </v>
      </c>
      <c r="I1949" s="10" t="str">
        <f>Github!E$2076</f>
        <v>Medium</v>
      </c>
      <c r="J1949" s="10" t="str">
        <f>IF(TRIM(Github!D$2076)="TRUE","FALSE","TRUE")</f>
        <v>TRUE</v>
      </c>
      <c r="K1949" s="10" t="b">
        <f>Github!M$2076</f>
        <v>0</v>
      </c>
      <c r="L1949" s="10" t="b">
        <f>Github!N$2076</f>
        <v>0</v>
      </c>
      <c r="M1949" s="10" t="str">
        <f>ROUND(Github!O$2076, 2)&amp;"%"</f>
        <v>49.74%</v>
      </c>
      <c r="N1949" s="10">
        <f>Github!P$2076</f>
        <v>7858</v>
      </c>
      <c r="O1949" s="10">
        <f>Github!Q$2076</f>
        <v>15798</v>
      </c>
    </row>
    <row r="1950">
      <c r="A1950" s="10">
        <f>Github!J$1077</f>
        <v>1076</v>
      </c>
      <c r="B1950" s="11" t="str">
        <f>HYPERLINK(CONCAT("http://leetcode.com/problems/",Github!C$1077), Github!B$1077)</f>
        <v>Project Employees II</v>
      </c>
      <c r="C1950" s="10">
        <f>Github!F$1077</f>
        <v>145</v>
      </c>
      <c r="D1950" s="10">
        <f>Github!G$1077</f>
        <v>44</v>
      </c>
      <c r="E1950" s="10">
        <f>Github!F$1077+Github!G$1077</f>
        <v>189</v>
      </c>
      <c r="F1950" s="12">
        <f t="shared" si="1"/>
        <v>3.3</v>
      </c>
      <c r="G1950" s="10" t="str">
        <f>Github!H$1077</f>
        <v>Database</v>
      </c>
      <c r="H1950" s="13" t="str">
        <f>SUBSTITUTE(Github!L$1077, ";", ", ")</f>
        <v>Database, </v>
      </c>
      <c r="I1950" s="10" t="str">
        <f>Github!E$1077</f>
        <v>Easy</v>
      </c>
      <c r="J1950" s="10" t="str">
        <f>IF(TRIM(Github!D$1077)="TRUE","FALSE","TRUE")</f>
        <v>FALSE</v>
      </c>
      <c r="K1950" s="10" t="b">
        <f>Github!M$1077</f>
        <v>0</v>
      </c>
      <c r="L1950" s="10" t="b">
        <f>Github!N$1077</f>
        <v>0</v>
      </c>
      <c r="M1950" s="10" t="str">
        <f>ROUND(Github!O$1077, 2)&amp;"%"</f>
        <v>51.21%</v>
      </c>
      <c r="N1950" s="10">
        <f>Github!P$1077</f>
        <v>39528</v>
      </c>
      <c r="O1950" s="10">
        <f>Github!Q$1077</f>
        <v>77182</v>
      </c>
    </row>
    <row r="1951">
      <c r="A1951" s="10">
        <f>Github!J$1083</f>
        <v>1082</v>
      </c>
      <c r="B1951" s="11" t="str">
        <f>HYPERLINK(CONCAT("http://leetcode.com/problems/",Github!C$1083), Github!B$1083)</f>
        <v>Sales Analysis I</v>
      </c>
      <c r="C1951" s="10">
        <f>Github!F$1083</f>
        <v>144</v>
      </c>
      <c r="D1951" s="10">
        <f>Github!G$1083</f>
        <v>54</v>
      </c>
      <c r="E1951" s="10">
        <f>Github!F$1083+Github!G$1083</f>
        <v>198</v>
      </c>
      <c r="F1951" s="12">
        <f t="shared" si="1"/>
        <v>2.67</v>
      </c>
      <c r="G1951" s="10" t="str">
        <f>Github!H$1083</f>
        <v>Database</v>
      </c>
      <c r="H1951" s="13" t="str">
        <f>SUBSTITUTE(Github!L$1083, ";", ", ")</f>
        <v>Database, </v>
      </c>
      <c r="I1951" s="10" t="str">
        <f>Github!E$1083</f>
        <v>Easy</v>
      </c>
      <c r="J1951" s="10" t="str">
        <f>IF(TRIM(Github!D$1083)="TRUE","FALSE","TRUE")</f>
        <v>FALSE</v>
      </c>
      <c r="K1951" s="10" t="b">
        <f>Github!M$1083</f>
        <v>0</v>
      </c>
      <c r="L1951" s="10" t="b">
        <f>Github!N$1083</f>
        <v>0</v>
      </c>
      <c r="M1951" s="10" t="str">
        <f>ROUND(Github!O$1083, 2)&amp;"%"</f>
        <v>75.18%</v>
      </c>
      <c r="N1951" s="10">
        <f>Github!P$1083</f>
        <v>40898</v>
      </c>
      <c r="O1951" s="10">
        <f>Github!Q$1083</f>
        <v>54397</v>
      </c>
    </row>
    <row r="1952">
      <c r="A1952" s="10">
        <f>Github!J$1099</f>
        <v>1098</v>
      </c>
      <c r="B1952" s="11" t="str">
        <f>HYPERLINK(CONCAT("http://leetcode.com/problems/",Github!C$1099), Github!B$1099)</f>
        <v>Unpopular Books</v>
      </c>
      <c r="C1952" s="10">
        <f>Github!F$1099</f>
        <v>147</v>
      </c>
      <c r="D1952" s="10">
        <f>Github!G$1099</f>
        <v>412</v>
      </c>
      <c r="E1952" s="10">
        <f>Github!F$1099+Github!G$1099</f>
        <v>559</v>
      </c>
      <c r="F1952" s="12">
        <f t="shared" si="1"/>
        <v>0.36</v>
      </c>
      <c r="G1952" s="10" t="str">
        <f>Github!H$1099</f>
        <v>Database</v>
      </c>
      <c r="H1952" s="13" t="str">
        <f>SUBSTITUTE(Github!L$1099, ";", ", ")</f>
        <v>Database, </v>
      </c>
      <c r="I1952" s="10" t="str">
        <f>Github!E$1099</f>
        <v>Medium</v>
      </c>
      <c r="J1952" s="10" t="str">
        <f>IF(TRIM(Github!D$1099)="TRUE","FALSE","TRUE")</f>
        <v>FALSE</v>
      </c>
      <c r="K1952" s="10" t="b">
        <f>Github!M$1099</f>
        <v>0</v>
      </c>
      <c r="L1952" s="10" t="b">
        <f>Github!N$1099</f>
        <v>0</v>
      </c>
      <c r="M1952" s="10" t="str">
        <f>ROUND(Github!O$1099, 2)&amp;"%"</f>
        <v>45.25%</v>
      </c>
      <c r="N1952" s="10">
        <f>Github!P$1099</f>
        <v>27072</v>
      </c>
      <c r="O1952" s="10">
        <f>Github!Q$1099</f>
        <v>59827</v>
      </c>
    </row>
    <row r="1953">
      <c r="A1953" s="10">
        <f>Github!J$1385</f>
        <v>1384</v>
      </c>
      <c r="B1953" s="11" t="str">
        <f>HYPERLINK(CONCAT("http://leetcode.com/problems/",Github!C$1385), Github!B$1385)</f>
        <v>Total Sales Amount by Year</v>
      </c>
      <c r="C1953" s="10">
        <f>Github!F$1385</f>
        <v>146</v>
      </c>
      <c r="D1953" s="10">
        <f>Github!G$1385</f>
        <v>74</v>
      </c>
      <c r="E1953" s="10">
        <f>Github!F$1385+Github!G$1385</f>
        <v>220</v>
      </c>
      <c r="F1953" s="12">
        <f t="shared" si="1"/>
        <v>1.97</v>
      </c>
      <c r="G1953" s="10" t="str">
        <f>Github!H$1385</f>
        <v>Database</v>
      </c>
      <c r="H1953" s="13" t="str">
        <f>SUBSTITUTE(Github!L$1385, ";", ", ")</f>
        <v>Database, </v>
      </c>
      <c r="I1953" s="10" t="str">
        <f>Github!E$1385</f>
        <v>Hard</v>
      </c>
      <c r="J1953" s="10" t="str">
        <f>IF(TRIM(Github!D$1385)="TRUE","FALSE","TRUE")</f>
        <v>FALSE</v>
      </c>
      <c r="K1953" s="10" t="b">
        <f>Github!M$1385</f>
        <v>0</v>
      </c>
      <c r="L1953" s="10" t="b">
        <f>Github!N$1385</f>
        <v>0</v>
      </c>
      <c r="M1953" s="10" t="str">
        <f>ROUND(Github!O$1385, 2)&amp;"%"</f>
        <v>66.2%</v>
      </c>
      <c r="N1953" s="10">
        <f>Github!P$1385</f>
        <v>9688</v>
      </c>
      <c r="O1953" s="10">
        <f>Github!Q$1385</f>
        <v>14635</v>
      </c>
    </row>
    <row r="1954">
      <c r="A1954" s="10">
        <f>Github!J$2195</f>
        <v>2194</v>
      </c>
      <c r="B1954" s="11" t="str">
        <f>HYPERLINK(CONCAT("http://leetcode.com/problems/",Github!C$2195), Github!B$2195)</f>
        <v>Cells in a Range on an Excel Sheet</v>
      </c>
      <c r="C1954" s="10">
        <f>Github!F$2195</f>
        <v>149</v>
      </c>
      <c r="D1954" s="10">
        <f>Github!G$2195</f>
        <v>30</v>
      </c>
      <c r="E1954" s="10">
        <f>Github!F$2195+Github!G$2195</f>
        <v>179</v>
      </c>
      <c r="F1954" s="12">
        <f t="shared" si="1"/>
        <v>4.97</v>
      </c>
      <c r="G1954" s="10" t="str">
        <f>Github!H$2195</f>
        <v>Algorithms</v>
      </c>
      <c r="H1954" s="13" t="str">
        <f>SUBSTITUTE(Github!L$2195, ";", ", ")</f>
        <v>String, </v>
      </c>
      <c r="I1954" s="10" t="str">
        <f>Github!E$2195</f>
        <v>Easy</v>
      </c>
      <c r="J1954" s="10" t="str">
        <f>IF(TRIM(Github!D$2195)="TRUE","FALSE","TRUE")</f>
        <v>TRUE</v>
      </c>
      <c r="K1954" s="10" t="b">
        <f>Github!M$2195</f>
        <v>0</v>
      </c>
      <c r="L1954" s="10" t="b">
        <f>Github!N$2195</f>
        <v>0</v>
      </c>
      <c r="M1954" s="10" t="str">
        <f>ROUND(Github!O$2195, 2)&amp;"%"</f>
        <v>85.64%</v>
      </c>
      <c r="N1954" s="10">
        <f>Github!P$2195</f>
        <v>21690</v>
      </c>
      <c r="O1954" s="10">
        <f>Github!Q$2195</f>
        <v>25326</v>
      </c>
    </row>
    <row r="1955">
      <c r="A1955" s="10">
        <f>Github!J$1428</f>
        <v>1427</v>
      </c>
      <c r="B1955" s="11" t="str">
        <f>HYPERLINK(CONCAT("http://leetcode.com/problems/",Github!C$1428), Github!B$1428)</f>
        <v>Perform String Shifts</v>
      </c>
      <c r="C1955" s="10">
        <f>Github!F$1428</f>
        <v>146</v>
      </c>
      <c r="D1955" s="10">
        <f>Github!G$1428</f>
        <v>2</v>
      </c>
      <c r="E1955" s="10">
        <f>Github!F$1428+Github!G$1428</f>
        <v>148</v>
      </c>
      <c r="F1955" s="12">
        <f t="shared" si="1"/>
        <v>73</v>
      </c>
      <c r="G1955" s="10" t="str">
        <f>Github!H$1428</f>
        <v>Algorithms</v>
      </c>
      <c r="H1955" s="13" t="str">
        <f>SUBSTITUTE(Github!L$1428, ";", ", ")</f>
        <v>Array, Math, String, </v>
      </c>
      <c r="I1955" s="10" t="str">
        <f>Github!E$1428</f>
        <v>Easy</v>
      </c>
      <c r="J1955" s="10" t="str">
        <f>IF(TRIM(Github!D$1428)="TRUE","FALSE","TRUE")</f>
        <v>FALSE</v>
      </c>
      <c r="K1955" s="10" t="b">
        <f>Github!M$1428</f>
        <v>1</v>
      </c>
      <c r="L1955" s="10" t="b">
        <f>Github!N$1428</f>
        <v>0</v>
      </c>
      <c r="M1955" s="10" t="str">
        <f>ROUND(Github!O$1428, 2)&amp;"%"</f>
        <v>54.03%</v>
      </c>
      <c r="N1955" s="10">
        <f>Github!P$1428</f>
        <v>69950</v>
      </c>
      <c r="O1955" s="10">
        <f>Github!Q$1428</f>
        <v>129474</v>
      </c>
    </row>
    <row r="1956">
      <c r="A1956" s="10">
        <f>Github!J$1734</f>
        <v>1733</v>
      </c>
      <c r="B1956" s="11" t="str">
        <f>HYPERLINK(CONCAT("http://leetcode.com/problems/",Github!C$1734), Github!B$1734)</f>
        <v>Minimum Number of People to Teach</v>
      </c>
      <c r="C1956" s="10">
        <f>Github!F$1734</f>
        <v>143</v>
      </c>
      <c r="D1956" s="10">
        <f>Github!G$1734</f>
        <v>299</v>
      </c>
      <c r="E1956" s="10">
        <f>Github!F$1734+Github!G$1734</f>
        <v>442</v>
      </c>
      <c r="F1956" s="12">
        <f t="shared" si="1"/>
        <v>0.48</v>
      </c>
      <c r="G1956" s="10" t="str">
        <f>Github!H$1734</f>
        <v>Algorithms</v>
      </c>
      <c r="H1956" s="13" t="str">
        <f>SUBSTITUTE(Github!L$1734, ";", ", ")</f>
        <v>Array, Greedy, </v>
      </c>
      <c r="I1956" s="10" t="str">
        <f>Github!E$1734</f>
        <v>Medium</v>
      </c>
      <c r="J1956" s="10" t="str">
        <f>IF(TRIM(Github!D$1734)="TRUE","FALSE","TRUE")</f>
        <v>TRUE</v>
      </c>
      <c r="K1956" s="10" t="b">
        <f>Github!M$1734</f>
        <v>0</v>
      </c>
      <c r="L1956" s="10" t="b">
        <f>Github!N$1734</f>
        <v>0</v>
      </c>
      <c r="M1956" s="10" t="str">
        <f>ROUND(Github!O$1734, 2)&amp;"%"</f>
        <v>40.76%</v>
      </c>
      <c r="N1956" s="10">
        <f>Github!P$1734</f>
        <v>6055</v>
      </c>
      <c r="O1956" s="10">
        <f>Github!Q$1734</f>
        <v>14857</v>
      </c>
    </row>
    <row r="1957">
      <c r="A1957" s="10">
        <f>Github!J$1809</f>
        <v>1808</v>
      </c>
      <c r="B1957" s="11" t="str">
        <f>HYPERLINK(CONCAT("http://leetcode.com/problems/",Github!C$1809), Github!B$1809)</f>
        <v>Maximize Number of Nice Divisors</v>
      </c>
      <c r="C1957" s="10">
        <f>Github!F$1809</f>
        <v>143</v>
      </c>
      <c r="D1957" s="10">
        <f>Github!G$1809</f>
        <v>137</v>
      </c>
      <c r="E1957" s="10">
        <f>Github!F$1809+Github!G$1809</f>
        <v>280</v>
      </c>
      <c r="F1957" s="12">
        <f t="shared" si="1"/>
        <v>1.04</v>
      </c>
      <c r="G1957" s="10" t="str">
        <f>Github!H$1809</f>
        <v>Algorithms</v>
      </c>
      <c r="H1957" s="13" t="str">
        <f>SUBSTITUTE(Github!L$1809, ";", ", ")</f>
        <v>Math, Recursion, </v>
      </c>
      <c r="I1957" s="10" t="str">
        <f>Github!E$1809</f>
        <v>Hard</v>
      </c>
      <c r="J1957" s="10" t="str">
        <f>IF(TRIM(Github!D$1809)="TRUE","FALSE","TRUE")</f>
        <v>TRUE</v>
      </c>
      <c r="K1957" s="10" t="b">
        <f>Github!M$1809</f>
        <v>0</v>
      </c>
      <c r="L1957" s="10" t="b">
        <f>Github!N$1809</f>
        <v>0</v>
      </c>
      <c r="M1957" s="10" t="str">
        <f>ROUND(Github!O$1809, 2)&amp;"%"</f>
        <v>30.4%</v>
      </c>
      <c r="N1957" s="10">
        <f>Github!P$1809</f>
        <v>4635</v>
      </c>
      <c r="O1957" s="10">
        <f>Github!Q$1809</f>
        <v>15246</v>
      </c>
    </row>
    <row r="1958">
      <c r="A1958" s="10">
        <f>Github!J$1913</f>
        <v>1912</v>
      </c>
      <c r="B1958" s="11" t="str">
        <f>HYPERLINK(CONCAT("http://leetcode.com/problems/",Github!C$1913), Github!B$1913)</f>
        <v>Design Movie Rental System</v>
      </c>
      <c r="C1958" s="10">
        <f>Github!F$1913</f>
        <v>143</v>
      </c>
      <c r="D1958" s="10">
        <f>Github!G$1913</f>
        <v>30</v>
      </c>
      <c r="E1958" s="10">
        <f>Github!F$1913+Github!G$1913</f>
        <v>173</v>
      </c>
      <c r="F1958" s="12">
        <f t="shared" si="1"/>
        <v>4.77</v>
      </c>
      <c r="G1958" s="10" t="str">
        <f>Github!H$1913</f>
        <v>Algorithms</v>
      </c>
      <c r="H1958" s="13" t="str">
        <f>SUBSTITUTE(Github!L$1913, ";", ", ")</f>
        <v>Array, Hash Table, Design, Heap (Priority Queue), Ordered Set, </v>
      </c>
      <c r="I1958" s="10" t="str">
        <f>Github!E$1913</f>
        <v>Hard</v>
      </c>
      <c r="J1958" s="10" t="str">
        <f>IF(TRIM(Github!D$1913)="TRUE","FALSE","TRUE")</f>
        <v>TRUE</v>
      </c>
      <c r="K1958" s="10" t="b">
        <f>Github!M$1913</f>
        <v>0</v>
      </c>
      <c r="L1958" s="10" t="b">
        <f>Github!N$1913</f>
        <v>0</v>
      </c>
      <c r="M1958" s="10" t="str">
        <f>ROUND(Github!O$1913, 2)&amp;"%"</f>
        <v>41.61%</v>
      </c>
      <c r="N1958" s="10">
        <f>Github!P$1913</f>
        <v>3886</v>
      </c>
      <c r="O1958" s="10">
        <f>Github!Q$1913</f>
        <v>9339</v>
      </c>
    </row>
    <row r="1959">
      <c r="A1959" s="10">
        <f>Github!J$2030</f>
        <v>2029</v>
      </c>
      <c r="B1959" s="11" t="str">
        <f>HYPERLINK(CONCAT("http://leetcode.com/problems/",Github!C$2030), Github!B$2030)</f>
        <v>Stone Game IX</v>
      </c>
      <c r="C1959" s="10">
        <f>Github!F$2030</f>
        <v>141</v>
      </c>
      <c r="D1959" s="10">
        <f>Github!G$2030</f>
        <v>202</v>
      </c>
      <c r="E1959" s="10">
        <f>Github!F$2030+Github!G$2030</f>
        <v>343</v>
      </c>
      <c r="F1959" s="12">
        <f t="shared" si="1"/>
        <v>0.7</v>
      </c>
      <c r="G1959" s="10" t="str">
        <f>Github!H$2030</f>
        <v>Algorithms</v>
      </c>
      <c r="H1959" s="13" t="str">
        <f>SUBSTITUTE(Github!L$2030, ";", ", ")</f>
        <v>Array, Math, Greedy, Counting, Game Theory, </v>
      </c>
      <c r="I1959" s="10" t="str">
        <f>Github!E$2030</f>
        <v>Medium</v>
      </c>
      <c r="J1959" s="10" t="str">
        <f>IF(TRIM(Github!D$2030)="TRUE","FALSE","TRUE")</f>
        <v>TRUE</v>
      </c>
      <c r="K1959" s="10" t="b">
        <f>Github!M$2030</f>
        <v>0</v>
      </c>
      <c r="L1959" s="10" t="b">
        <f>Github!N$2030</f>
        <v>0</v>
      </c>
      <c r="M1959" s="10" t="str">
        <f>ROUND(Github!O$2030, 2)&amp;"%"</f>
        <v>24.81%</v>
      </c>
      <c r="N1959" s="10">
        <f>Github!P$2030</f>
        <v>4827</v>
      </c>
      <c r="O1959" s="10">
        <f>Github!Q$2030</f>
        <v>19457</v>
      </c>
    </row>
    <row r="1960">
      <c r="A1960" s="10">
        <f>Github!J$1947</f>
        <v>1946</v>
      </c>
      <c r="B1960" s="11" t="str">
        <f>HYPERLINK(CONCAT("http://leetcode.com/problems/",Github!C$1947), Github!B$1947)</f>
        <v>Largest Number After Mutating Substring</v>
      </c>
      <c r="C1960" s="10">
        <f>Github!F$1947</f>
        <v>140</v>
      </c>
      <c r="D1960" s="10">
        <f>Github!G$1947</f>
        <v>164</v>
      </c>
      <c r="E1960" s="10">
        <f>Github!F$1947+Github!G$1947</f>
        <v>304</v>
      </c>
      <c r="F1960" s="12">
        <f t="shared" si="1"/>
        <v>0.85</v>
      </c>
      <c r="G1960" s="10" t="str">
        <f>Github!H$1947</f>
        <v>Algorithms</v>
      </c>
      <c r="H1960" s="13" t="str">
        <f>SUBSTITUTE(Github!L$1947, ";", ", ")</f>
        <v>Array, String, Greedy, </v>
      </c>
      <c r="I1960" s="10" t="str">
        <f>Github!E$1947</f>
        <v>Medium</v>
      </c>
      <c r="J1960" s="10" t="str">
        <f>IF(TRIM(Github!D$1947)="TRUE","FALSE","TRUE")</f>
        <v>TRUE</v>
      </c>
      <c r="K1960" s="10" t="b">
        <f>Github!M$1947</f>
        <v>0</v>
      </c>
      <c r="L1960" s="10" t="b">
        <f>Github!N$1947</f>
        <v>0</v>
      </c>
      <c r="M1960" s="10" t="str">
        <f>ROUND(Github!O$1947, 2)&amp;"%"</f>
        <v>33.96%</v>
      </c>
      <c r="N1960" s="10">
        <f>Github!P$1947</f>
        <v>14206</v>
      </c>
      <c r="O1960" s="10">
        <f>Github!Q$1947</f>
        <v>41835</v>
      </c>
    </row>
    <row r="1961">
      <c r="A1961" s="10">
        <f>Github!J$1433</f>
        <v>1432</v>
      </c>
      <c r="B1961" s="11" t="str">
        <f>HYPERLINK(CONCAT("http://leetcode.com/problems/",Github!C$1433), Github!B$1433)</f>
        <v>Max Difference You Can Get From Changing an Integer</v>
      </c>
      <c r="C1961" s="10">
        <f>Github!F$1433</f>
        <v>139</v>
      </c>
      <c r="D1961" s="10">
        <f>Github!G$1433</f>
        <v>189</v>
      </c>
      <c r="E1961" s="10">
        <f>Github!F$1433+Github!G$1433</f>
        <v>328</v>
      </c>
      <c r="F1961" s="12">
        <f t="shared" si="1"/>
        <v>0.74</v>
      </c>
      <c r="G1961" s="10" t="str">
        <f>Github!H$1433</f>
        <v>Algorithms</v>
      </c>
      <c r="H1961" s="13" t="str">
        <f>SUBSTITUTE(Github!L$1433, ";", ", ")</f>
        <v>Math, Greedy, </v>
      </c>
      <c r="I1961" s="10" t="str">
        <f>Github!E$1433</f>
        <v>Medium</v>
      </c>
      <c r="J1961" s="10" t="str">
        <f>IF(TRIM(Github!D$1433)="TRUE","FALSE","TRUE")</f>
        <v>TRUE</v>
      </c>
      <c r="K1961" s="10" t="b">
        <f>Github!M$1433</f>
        <v>0</v>
      </c>
      <c r="L1961" s="10" t="b">
        <f>Github!N$1433</f>
        <v>0</v>
      </c>
      <c r="M1961" s="10" t="str">
        <f>ROUND(Github!O$1433, 2)&amp;"%"</f>
        <v>43.17%</v>
      </c>
      <c r="N1961" s="10">
        <f>Github!P$1433</f>
        <v>12324</v>
      </c>
      <c r="O1961" s="10">
        <f>Github!Q$1433</f>
        <v>28548</v>
      </c>
    </row>
    <row r="1962">
      <c r="A1962" s="10">
        <f>Github!J$1265</f>
        <v>1264</v>
      </c>
      <c r="B1962" s="11" t="str">
        <f>HYPERLINK(CONCAT("http://leetcode.com/problems/",Github!C$1265), Github!B$1265)</f>
        <v>Page Recommendations</v>
      </c>
      <c r="C1962" s="10">
        <f>Github!F$1265</f>
        <v>144</v>
      </c>
      <c r="D1962" s="10">
        <f>Github!G$1265</f>
        <v>12</v>
      </c>
      <c r="E1962" s="10">
        <f>Github!F$1265+Github!G$1265</f>
        <v>156</v>
      </c>
      <c r="F1962" s="12">
        <f t="shared" si="1"/>
        <v>12</v>
      </c>
      <c r="G1962" s="10" t="str">
        <f>Github!H$1265</f>
        <v>Database</v>
      </c>
      <c r="H1962" s="13" t="str">
        <f>SUBSTITUTE(Github!L$1265, ";", ", ")</f>
        <v>Database, </v>
      </c>
      <c r="I1962" s="10" t="str">
        <f>Github!E$1265</f>
        <v>Medium</v>
      </c>
      <c r="J1962" s="10" t="str">
        <f>IF(TRIM(Github!D$1265)="TRUE","FALSE","TRUE")</f>
        <v>FALSE</v>
      </c>
      <c r="K1962" s="10" t="b">
        <f>Github!M$1265</f>
        <v>0</v>
      </c>
      <c r="L1962" s="10" t="b">
        <f>Github!N$1265</f>
        <v>0</v>
      </c>
      <c r="M1962" s="10" t="str">
        <f>ROUND(Github!O$1265, 2)&amp;"%"</f>
        <v>67.8%</v>
      </c>
      <c r="N1962" s="10">
        <f>Github!P$1265</f>
        <v>22875</v>
      </c>
      <c r="O1962" s="10">
        <f>Github!Q$1265</f>
        <v>33739</v>
      </c>
    </row>
    <row r="1963">
      <c r="A1963" s="10">
        <f>Github!J$1446</f>
        <v>1445</v>
      </c>
      <c r="B1963" s="11" t="str">
        <f>HYPERLINK(CONCAT("http://leetcode.com/problems/",Github!C$1446), Github!B$1446)</f>
        <v>Apples &amp; Oranges</v>
      </c>
      <c r="C1963" s="10">
        <f>Github!F$1446</f>
        <v>141</v>
      </c>
      <c r="D1963" s="10">
        <f>Github!G$1446</f>
        <v>17</v>
      </c>
      <c r="E1963" s="10">
        <f>Github!F$1446+Github!G$1446</f>
        <v>158</v>
      </c>
      <c r="F1963" s="12">
        <f t="shared" si="1"/>
        <v>8.29</v>
      </c>
      <c r="G1963" s="10" t="str">
        <f>Github!H$1446</f>
        <v>Database</v>
      </c>
      <c r="H1963" s="13" t="str">
        <f>SUBSTITUTE(Github!L$1446, ";", ", ")</f>
        <v>Database, </v>
      </c>
      <c r="I1963" s="10" t="str">
        <f>Github!E$1446</f>
        <v>Medium</v>
      </c>
      <c r="J1963" s="10" t="str">
        <f>IF(TRIM(Github!D$1446)="TRUE","FALSE","TRUE")</f>
        <v>FALSE</v>
      </c>
      <c r="K1963" s="10" t="b">
        <f>Github!M$1446</f>
        <v>0</v>
      </c>
      <c r="L1963" s="10" t="b">
        <f>Github!N$1446</f>
        <v>0</v>
      </c>
      <c r="M1963" s="10" t="str">
        <f>ROUND(Github!O$1446, 2)&amp;"%"</f>
        <v>91.51%</v>
      </c>
      <c r="N1963" s="10">
        <f>Github!P$1446</f>
        <v>26094</v>
      </c>
      <c r="O1963" s="10">
        <f>Github!Q$1446</f>
        <v>28515</v>
      </c>
    </row>
    <row r="1964">
      <c r="A1964" s="10">
        <f>Github!J$2020</f>
        <v>2019</v>
      </c>
      <c r="B1964" s="11" t="str">
        <f>HYPERLINK(CONCAT("http://leetcode.com/problems/",Github!C$2020), Github!B$2020)</f>
        <v>The Score of Students Solving Math Expression</v>
      </c>
      <c r="C1964" s="10">
        <f>Github!F$2020</f>
        <v>140</v>
      </c>
      <c r="D1964" s="10">
        <f>Github!G$2020</f>
        <v>63</v>
      </c>
      <c r="E1964" s="10">
        <f>Github!F$2020+Github!G$2020</f>
        <v>203</v>
      </c>
      <c r="F1964" s="12">
        <f t="shared" si="1"/>
        <v>2.22</v>
      </c>
      <c r="G1964" s="10" t="str">
        <f>Github!H$2020</f>
        <v>Algorithms</v>
      </c>
      <c r="H1964" s="13" t="str">
        <f>SUBSTITUTE(Github!L$2020, ";", ", ")</f>
        <v>Array, Math, String, Dynamic Programming, Stack, Memoization, </v>
      </c>
      <c r="I1964" s="10" t="str">
        <f>Github!E$2020</f>
        <v>Hard</v>
      </c>
      <c r="J1964" s="10" t="str">
        <f>IF(TRIM(Github!D$2020)="TRUE","FALSE","TRUE")</f>
        <v>TRUE</v>
      </c>
      <c r="K1964" s="10" t="b">
        <f>Github!M$2020</f>
        <v>0</v>
      </c>
      <c r="L1964" s="10" t="b">
        <f>Github!N$2020</f>
        <v>0</v>
      </c>
      <c r="M1964" s="10" t="str">
        <f>ROUND(Github!O$2020, 2)&amp;"%"</f>
        <v>33.87%</v>
      </c>
      <c r="N1964" s="10">
        <f>Github!P$2020</f>
        <v>4223</v>
      </c>
      <c r="O1964" s="10">
        <f>Github!Q$2020</f>
        <v>12470</v>
      </c>
    </row>
    <row r="1965">
      <c r="A1965" s="10">
        <f>Github!J$661</f>
        <v>660</v>
      </c>
      <c r="B1965" s="11" t="str">
        <f>HYPERLINK(CONCAT("http://leetcode.com/problems/",Github!C$661), Github!B$661)</f>
        <v>Remove 9</v>
      </c>
      <c r="C1965" s="10">
        <f>Github!F$661</f>
        <v>138</v>
      </c>
      <c r="D1965" s="10">
        <f>Github!G$661</f>
        <v>178</v>
      </c>
      <c r="E1965" s="10">
        <f>Github!F$661+Github!G$661</f>
        <v>316</v>
      </c>
      <c r="F1965" s="12">
        <f t="shared" si="1"/>
        <v>0.78</v>
      </c>
      <c r="G1965" s="10" t="str">
        <f>Github!H$661</f>
        <v>Algorithms</v>
      </c>
      <c r="H1965" s="13" t="str">
        <f>SUBSTITUTE(Github!L$661, ";", ", ")</f>
        <v>Math, </v>
      </c>
      <c r="I1965" s="10" t="str">
        <f>Github!E$661</f>
        <v>Hard</v>
      </c>
      <c r="J1965" s="10" t="str">
        <f>IF(TRIM(Github!D$661)="TRUE","FALSE","TRUE")</f>
        <v>FALSE</v>
      </c>
      <c r="K1965" s="10" t="b">
        <f>Github!M$661</f>
        <v>1</v>
      </c>
      <c r="L1965" s="10" t="b">
        <f>Github!N$661</f>
        <v>0</v>
      </c>
      <c r="M1965" s="10" t="str">
        <f>ROUND(Github!O$661, 2)&amp;"%"</f>
        <v>55.81%</v>
      </c>
      <c r="N1965" s="10">
        <f>Github!P$661</f>
        <v>9027</v>
      </c>
      <c r="O1965" s="10">
        <f>Github!Q$661</f>
        <v>16175</v>
      </c>
    </row>
    <row r="1966">
      <c r="A1966" s="10">
        <f>Github!J$1309</f>
        <v>1308</v>
      </c>
      <c r="B1966" s="11" t="str">
        <f>HYPERLINK(CONCAT("http://leetcode.com/problems/",Github!C$1309), Github!B$1309)</f>
        <v>Running Total for Different Genders</v>
      </c>
      <c r="C1966" s="10">
        <f>Github!F$1309</f>
        <v>137</v>
      </c>
      <c r="D1966" s="10">
        <f>Github!G$1309</f>
        <v>31</v>
      </c>
      <c r="E1966" s="10">
        <f>Github!F$1309+Github!G$1309</f>
        <v>168</v>
      </c>
      <c r="F1966" s="12">
        <f t="shared" si="1"/>
        <v>4.42</v>
      </c>
      <c r="G1966" s="10" t="str">
        <f>Github!H$1309</f>
        <v>Database</v>
      </c>
      <c r="H1966" s="13" t="str">
        <f>SUBSTITUTE(Github!L$1309, ";", ", ")</f>
        <v>Database, </v>
      </c>
      <c r="I1966" s="10" t="str">
        <f>Github!E$1309</f>
        <v>Medium</v>
      </c>
      <c r="J1966" s="10" t="str">
        <f>IF(TRIM(Github!D$1309)="TRUE","FALSE","TRUE")</f>
        <v>FALSE</v>
      </c>
      <c r="K1966" s="10" t="b">
        <f>Github!M$1309</f>
        <v>0</v>
      </c>
      <c r="L1966" s="10" t="b">
        <f>Github!N$1309</f>
        <v>0</v>
      </c>
      <c r="M1966" s="10" t="str">
        <f>ROUND(Github!O$1309, 2)&amp;"%"</f>
        <v>88.26%</v>
      </c>
      <c r="N1966" s="10">
        <f>Github!P$1309</f>
        <v>23851</v>
      </c>
      <c r="O1966" s="10">
        <f>Github!Q$1309</f>
        <v>27024</v>
      </c>
    </row>
    <row r="1967">
      <c r="A1967" s="10">
        <f>Github!J$1128</f>
        <v>1127</v>
      </c>
      <c r="B1967" s="11" t="str">
        <f>HYPERLINK(CONCAT("http://leetcode.com/problems/",Github!C$1128), Github!B$1128)</f>
        <v>User Purchase Platform</v>
      </c>
      <c r="C1967" s="10">
        <f>Github!F$1128</f>
        <v>135</v>
      </c>
      <c r="D1967" s="10">
        <f>Github!G$1128</f>
        <v>103</v>
      </c>
      <c r="E1967" s="10">
        <f>Github!F$1128+Github!G$1128</f>
        <v>238</v>
      </c>
      <c r="F1967" s="12">
        <f t="shared" si="1"/>
        <v>1.31</v>
      </c>
      <c r="G1967" s="10" t="str">
        <f>Github!H$1128</f>
        <v>Database</v>
      </c>
      <c r="H1967" s="13" t="str">
        <f>SUBSTITUTE(Github!L$1128, ";", ", ")</f>
        <v>Database, </v>
      </c>
      <c r="I1967" s="10" t="str">
        <f>Github!E$1128</f>
        <v>Hard</v>
      </c>
      <c r="J1967" s="10" t="str">
        <f>IF(TRIM(Github!D$1128)="TRUE","FALSE","TRUE")</f>
        <v>FALSE</v>
      </c>
      <c r="K1967" s="10" t="b">
        <f>Github!M$1128</f>
        <v>0</v>
      </c>
      <c r="L1967" s="10" t="b">
        <f>Github!N$1128</f>
        <v>0</v>
      </c>
      <c r="M1967" s="10" t="str">
        <f>ROUND(Github!O$1128, 2)&amp;"%"</f>
        <v>51.24%</v>
      </c>
      <c r="N1967" s="10">
        <f>Github!P$1128</f>
        <v>11075</v>
      </c>
      <c r="O1967" s="10">
        <f>Github!Q$1128</f>
        <v>21613</v>
      </c>
    </row>
    <row r="1968">
      <c r="A1968" s="10">
        <f>Github!J$1861</f>
        <v>1860</v>
      </c>
      <c r="B1968" s="11" t="str">
        <f>HYPERLINK(CONCAT("http://leetcode.com/problems/",Github!C$1861), Github!B$1861)</f>
        <v>Incremental Memory Leak</v>
      </c>
      <c r="C1968" s="10">
        <f>Github!F$1861</f>
        <v>136</v>
      </c>
      <c r="D1968" s="10">
        <f>Github!G$1861</f>
        <v>58</v>
      </c>
      <c r="E1968" s="10">
        <f>Github!F$1861+Github!G$1861</f>
        <v>194</v>
      </c>
      <c r="F1968" s="12">
        <f t="shared" si="1"/>
        <v>2.34</v>
      </c>
      <c r="G1968" s="10" t="str">
        <f>Github!H$1861</f>
        <v>Algorithms</v>
      </c>
      <c r="H1968" s="13" t="str">
        <f>SUBSTITUTE(Github!L$1861, ";", ", ")</f>
        <v>Simulation, </v>
      </c>
      <c r="I1968" s="10" t="str">
        <f>Github!E$1861</f>
        <v>Medium</v>
      </c>
      <c r="J1968" s="10" t="str">
        <f>IF(TRIM(Github!D$1861)="TRUE","FALSE","TRUE")</f>
        <v>TRUE</v>
      </c>
      <c r="K1968" s="10" t="b">
        <f>Github!M$1861</f>
        <v>0</v>
      </c>
      <c r="L1968" s="10" t="b">
        <f>Github!N$1861</f>
        <v>0</v>
      </c>
      <c r="M1968" s="10" t="str">
        <f>ROUND(Github!O$1861, 2)&amp;"%"</f>
        <v>71.05%</v>
      </c>
      <c r="N1968" s="10">
        <f>Github!P$1861</f>
        <v>12291</v>
      </c>
      <c r="O1968" s="10">
        <f>Github!Q$1861</f>
        <v>17299</v>
      </c>
    </row>
    <row r="1969">
      <c r="A1969" s="10">
        <f>Github!J$2191</f>
        <v>2190</v>
      </c>
      <c r="B1969" s="11" t="str">
        <f>HYPERLINK(CONCAT("http://leetcode.com/problems/",Github!C$2191), Github!B$2191)</f>
        <v>Most Frequent Number Following Key In an Array</v>
      </c>
      <c r="C1969" s="10">
        <f>Github!F$2191</f>
        <v>137</v>
      </c>
      <c r="D1969" s="10">
        <f>Github!G$2191</f>
        <v>69</v>
      </c>
      <c r="E1969" s="10">
        <f>Github!F$2191+Github!G$2191</f>
        <v>206</v>
      </c>
      <c r="F1969" s="12">
        <f t="shared" si="1"/>
        <v>1.99</v>
      </c>
      <c r="G1969" s="10" t="str">
        <f>Github!H$2191</f>
        <v>Algorithms</v>
      </c>
      <c r="H1969" s="13" t="str">
        <f>SUBSTITUTE(Github!L$2191, ";", ", ")</f>
        <v>Array, Hash Table, Counting, </v>
      </c>
      <c r="I1969" s="10" t="str">
        <f>Github!E$2191</f>
        <v>Easy</v>
      </c>
      <c r="J1969" s="10" t="str">
        <f>IF(TRIM(Github!D$2191)="TRUE","FALSE","TRUE")</f>
        <v>TRUE</v>
      </c>
      <c r="K1969" s="10" t="b">
        <f>Github!M$2191</f>
        <v>0</v>
      </c>
      <c r="L1969" s="10" t="b">
        <f>Github!N$2191</f>
        <v>0</v>
      </c>
      <c r="M1969" s="10" t="str">
        <f>ROUND(Github!O$2191, 2)&amp;"%"</f>
        <v>60.7%</v>
      </c>
      <c r="N1969" s="10">
        <f>Github!P$2191</f>
        <v>16946</v>
      </c>
      <c r="O1969" s="10">
        <f>Github!Q$2191</f>
        <v>27917</v>
      </c>
    </row>
    <row r="1970">
      <c r="A1970" s="10">
        <f>Github!J$1581</f>
        <v>1580</v>
      </c>
      <c r="B1970" s="11" t="str">
        <f>HYPERLINK(CONCAT("http://leetcode.com/problems/",Github!C$1581), Github!B$1581)</f>
        <v>Put Boxes Into the Warehouse II</v>
      </c>
      <c r="C1970" s="10">
        <f>Github!F$1581</f>
        <v>133</v>
      </c>
      <c r="D1970" s="10">
        <f>Github!G$1581</f>
        <v>2</v>
      </c>
      <c r="E1970" s="10">
        <f>Github!F$1581+Github!G$1581</f>
        <v>135</v>
      </c>
      <c r="F1970" s="12">
        <f t="shared" si="1"/>
        <v>66.5</v>
      </c>
      <c r="G1970" s="10" t="str">
        <f>Github!H$1581</f>
        <v>Algorithms</v>
      </c>
      <c r="H1970" s="13" t="str">
        <f>SUBSTITUTE(Github!L$1581, ";", ", ")</f>
        <v>Array, Greedy, Sorting, </v>
      </c>
      <c r="I1970" s="10" t="str">
        <f>Github!E$1581</f>
        <v>Medium</v>
      </c>
      <c r="J1970" s="10" t="str">
        <f>IF(TRIM(Github!D$1581)="TRUE","FALSE","TRUE")</f>
        <v>FALSE</v>
      </c>
      <c r="K1970" s="10" t="b">
        <f>Github!M$1581</f>
        <v>0</v>
      </c>
      <c r="L1970" s="10" t="b">
        <f>Github!N$1581</f>
        <v>0</v>
      </c>
      <c r="M1970" s="10" t="str">
        <f>ROUND(Github!O$1581, 2)&amp;"%"</f>
        <v>63.68%</v>
      </c>
      <c r="N1970" s="10">
        <f>Github!P$1581</f>
        <v>3132</v>
      </c>
      <c r="O1970" s="10">
        <f>Github!Q$1581</f>
        <v>4918</v>
      </c>
    </row>
    <row r="1971">
      <c r="A1971" s="10">
        <f>Github!J$1614</f>
        <v>1613</v>
      </c>
      <c r="B1971" s="11" t="str">
        <f>HYPERLINK(CONCAT("http://leetcode.com/problems/",Github!C$1614), Github!B$1614)</f>
        <v>Find the Missing IDs</v>
      </c>
      <c r="C1971" s="10">
        <f>Github!F$1614</f>
        <v>133</v>
      </c>
      <c r="D1971" s="10">
        <f>Github!G$1614</f>
        <v>20</v>
      </c>
      <c r="E1971" s="10">
        <f>Github!F$1614+Github!G$1614</f>
        <v>153</v>
      </c>
      <c r="F1971" s="12">
        <f t="shared" si="1"/>
        <v>6.65</v>
      </c>
      <c r="G1971" s="10" t="str">
        <f>Github!H$1614</f>
        <v>Database</v>
      </c>
      <c r="H1971" s="13" t="str">
        <f>SUBSTITUTE(Github!L$1614, ";", ", ")</f>
        <v>Database, </v>
      </c>
      <c r="I1971" s="10" t="str">
        <f>Github!E$1614</f>
        <v>Medium</v>
      </c>
      <c r="J1971" s="10" t="str">
        <f>IF(TRIM(Github!D$1614)="TRUE","FALSE","TRUE")</f>
        <v>FALSE</v>
      </c>
      <c r="K1971" s="10" t="b">
        <f>Github!M$1614</f>
        <v>0</v>
      </c>
      <c r="L1971" s="10" t="b">
        <f>Github!N$1614</f>
        <v>0</v>
      </c>
      <c r="M1971" s="10" t="str">
        <f>ROUND(Github!O$1614, 2)&amp;"%"</f>
        <v>75.81%</v>
      </c>
      <c r="N1971" s="10">
        <f>Github!P$1614</f>
        <v>10229</v>
      </c>
      <c r="O1971" s="10">
        <f>Github!Q$1614</f>
        <v>13493</v>
      </c>
    </row>
    <row r="1972">
      <c r="A1972" s="10">
        <f>Github!J$592</f>
        <v>591</v>
      </c>
      <c r="B1972" s="11" t="str">
        <f>HYPERLINK(CONCAT("http://leetcode.com/problems/",Github!C$592), Github!B$592)</f>
        <v>Tag Validator</v>
      </c>
      <c r="C1972" s="10">
        <f>Github!F$592</f>
        <v>130</v>
      </c>
      <c r="D1972" s="10">
        <f>Github!G$592</f>
        <v>564</v>
      </c>
      <c r="E1972" s="10">
        <f>Github!F$592+Github!G$592</f>
        <v>694</v>
      </c>
      <c r="F1972" s="12">
        <f t="shared" si="1"/>
        <v>0.23</v>
      </c>
      <c r="G1972" s="10" t="str">
        <f>Github!H$592</f>
        <v>Algorithms</v>
      </c>
      <c r="H1972" s="13" t="str">
        <f>SUBSTITUTE(Github!L$592, ";", ", ")</f>
        <v>String, Stack, </v>
      </c>
      <c r="I1972" s="10" t="str">
        <f>Github!E$592</f>
        <v>Hard</v>
      </c>
      <c r="J1972" s="10" t="str">
        <f>IF(TRIM(Github!D$592)="TRUE","FALSE","TRUE")</f>
        <v>TRUE</v>
      </c>
      <c r="K1972" s="10" t="b">
        <f>Github!M$592</f>
        <v>1</v>
      </c>
      <c r="L1972" s="10" t="b">
        <f>Github!N$592</f>
        <v>0</v>
      </c>
      <c r="M1972" s="10" t="str">
        <f>ROUND(Github!O$592, 2)&amp;"%"</f>
        <v>36.42%</v>
      </c>
      <c r="N1972" s="10">
        <f>Github!P$592</f>
        <v>11150</v>
      </c>
      <c r="O1972" s="10">
        <f>Github!Q$592</f>
        <v>30614</v>
      </c>
    </row>
    <row r="1973">
      <c r="A1973" s="10">
        <f>Github!J$1411</f>
        <v>1410</v>
      </c>
      <c r="B1973" s="11" t="str">
        <f>HYPERLINK(CONCAT("http://leetcode.com/problems/",Github!C$1411), Github!B$1411)</f>
        <v>HTML Entity Parser</v>
      </c>
      <c r="C1973" s="10">
        <f>Github!F$1411</f>
        <v>131</v>
      </c>
      <c r="D1973" s="10">
        <f>Github!G$1411</f>
        <v>256</v>
      </c>
      <c r="E1973" s="10">
        <f>Github!F$1411+Github!G$1411</f>
        <v>387</v>
      </c>
      <c r="F1973" s="12">
        <f t="shared" si="1"/>
        <v>0.51</v>
      </c>
      <c r="G1973" s="10" t="str">
        <f>Github!H$1411</f>
        <v>Algorithms</v>
      </c>
      <c r="H1973" s="13" t="str">
        <f>SUBSTITUTE(Github!L$1411, ";", ", ")</f>
        <v>Hash Table, String, </v>
      </c>
      <c r="I1973" s="10" t="str">
        <f>Github!E$1411</f>
        <v>Medium</v>
      </c>
      <c r="J1973" s="10" t="str">
        <f>IF(TRIM(Github!D$1411)="TRUE","FALSE","TRUE")</f>
        <v>TRUE</v>
      </c>
      <c r="K1973" s="10" t="b">
        <f>Github!M$1411</f>
        <v>0</v>
      </c>
      <c r="L1973" s="10" t="b">
        <f>Github!N$1411</f>
        <v>0</v>
      </c>
      <c r="M1973" s="10" t="str">
        <f>ROUND(Github!O$1411, 2)&amp;"%"</f>
        <v>52.62%</v>
      </c>
      <c r="N1973" s="10">
        <f>Github!P$1411</f>
        <v>18854</v>
      </c>
      <c r="O1973" s="10">
        <f>Github!Q$1411</f>
        <v>35830</v>
      </c>
    </row>
    <row r="1974">
      <c r="A1974" s="10">
        <f>Github!J$1351</f>
        <v>1350</v>
      </c>
      <c r="B1974" s="11" t="str">
        <f>HYPERLINK(CONCAT("http://leetcode.com/problems/",Github!C$1351), Github!B$1351)</f>
        <v>Students With Invalid Departments</v>
      </c>
      <c r="C1974" s="10">
        <f>Github!F$1351</f>
        <v>132</v>
      </c>
      <c r="D1974" s="10">
        <f>Github!G$1351</f>
        <v>7</v>
      </c>
      <c r="E1974" s="10">
        <f>Github!F$1351+Github!G$1351</f>
        <v>139</v>
      </c>
      <c r="F1974" s="12">
        <f t="shared" si="1"/>
        <v>18.86</v>
      </c>
      <c r="G1974" s="10" t="str">
        <f>Github!H$1351</f>
        <v>Database</v>
      </c>
      <c r="H1974" s="13" t="str">
        <f>SUBSTITUTE(Github!L$1351, ";", ", ")</f>
        <v>Database, </v>
      </c>
      <c r="I1974" s="10" t="str">
        <f>Github!E$1351</f>
        <v>Easy</v>
      </c>
      <c r="J1974" s="10" t="str">
        <f>IF(TRIM(Github!D$1351)="TRUE","FALSE","TRUE")</f>
        <v>FALSE</v>
      </c>
      <c r="K1974" s="10" t="b">
        <f>Github!M$1351</f>
        <v>0</v>
      </c>
      <c r="L1974" s="10" t="b">
        <f>Github!N$1351</f>
        <v>0</v>
      </c>
      <c r="M1974" s="10" t="str">
        <f>ROUND(Github!O$1351, 2)&amp;"%"</f>
        <v>90.48%</v>
      </c>
      <c r="N1974" s="10">
        <f>Github!P$1351</f>
        <v>39472</v>
      </c>
      <c r="O1974" s="10">
        <f>Github!Q$1351</f>
        <v>43627</v>
      </c>
    </row>
    <row r="1975">
      <c r="A1975" s="10">
        <f>Github!J$1159</f>
        <v>1158</v>
      </c>
      <c r="B1975" s="11" t="str">
        <f>HYPERLINK(CONCAT("http://leetcode.com/problems/",Github!C$1159), Github!B$1159)</f>
        <v>Market Analysis I</v>
      </c>
      <c r="C1975" s="10">
        <f>Github!F$1159</f>
        <v>138</v>
      </c>
      <c r="D1975" s="10">
        <f>Github!G$1159</f>
        <v>34</v>
      </c>
      <c r="E1975" s="10">
        <f>Github!F$1159+Github!G$1159</f>
        <v>172</v>
      </c>
      <c r="F1975" s="12">
        <f t="shared" si="1"/>
        <v>4.06</v>
      </c>
      <c r="G1975" s="10" t="str">
        <f>Github!H$1159</f>
        <v>Database</v>
      </c>
      <c r="H1975" s="13" t="str">
        <f>SUBSTITUTE(Github!L$1159, ";", ", ")</f>
        <v>Database, </v>
      </c>
      <c r="I1975" s="10" t="str">
        <f>Github!E$1159</f>
        <v>Medium</v>
      </c>
      <c r="J1975" s="10" t="str">
        <f>IF(TRIM(Github!D$1159)="TRUE","FALSE","TRUE")</f>
        <v>TRUE</v>
      </c>
      <c r="K1975" s="10" t="b">
        <f>Github!M$1159</f>
        <v>0</v>
      </c>
      <c r="L1975" s="10" t="b">
        <f>Github!N$1159</f>
        <v>0</v>
      </c>
      <c r="M1975" s="10" t="str">
        <f>ROUND(Github!O$1159, 2)&amp;"%"</f>
        <v>65.78%</v>
      </c>
      <c r="N1975" s="10">
        <f>Github!P$1159</f>
        <v>25750</v>
      </c>
      <c r="O1975" s="10">
        <f>Github!Q$1159</f>
        <v>39146</v>
      </c>
    </row>
    <row r="1976">
      <c r="A1976" s="10">
        <f>Github!J$1408</f>
        <v>1407</v>
      </c>
      <c r="B1976" s="11" t="str">
        <f>HYPERLINK(CONCAT("http://leetcode.com/problems/",Github!C$1408), Github!B$1408)</f>
        <v>Top Travellers</v>
      </c>
      <c r="C1976" s="10">
        <f>Github!F$1408</f>
        <v>136</v>
      </c>
      <c r="D1976" s="10">
        <f>Github!G$1408</f>
        <v>12</v>
      </c>
      <c r="E1976" s="10">
        <f>Github!F$1408+Github!G$1408</f>
        <v>148</v>
      </c>
      <c r="F1976" s="12">
        <f t="shared" si="1"/>
        <v>11.33</v>
      </c>
      <c r="G1976" s="10" t="str">
        <f>Github!H$1408</f>
        <v>Database</v>
      </c>
      <c r="H1976" s="13" t="str">
        <f>SUBSTITUTE(Github!L$1408, ";", ", ")</f>
        <v>Database, </v>
      </c>
      <c r="I1976" s="10" t="str">
        <f>Github!E$1408</f>
        <v>Easy</v>
      </c>
      <c r="J1976" s="10" t="str">
        <f>IF(TRIM(Github!D$1408)="TRUE","FALSE","TRUE")</f>
        <v>TRUE</v>
      </c>
      <c r="K1976" s="10" t="b">
        <f>Github!M$1408</f>
        <v>0</v>
      </c>
      <c r="L1976" s="10" t="b">
        <f>Github!N$1408</f>
        <v>0</v>
      </c>
      <c r="M1976" s="10" t="str">
        <f>ROUND(Github!O$1408, 2)&amp;"%"</f>
        <v>83.45%</v>
      </c>
      <c r="N1976" s="10">
        <f>Github!P$1408</f>
        <v>28321</v>
      </c>
      <c r="O1976" s="10">
        <f>Github!Q$1408</f>
        <v>33938</v>
      </c>
    </row>
    <row r="1977">
      <c r="A1977" s="10">
        <f>Github!J$1874</f>
        <v>1873</v>
      </c>
      <c r="B1977" s="11" t="str">
        <f>HYPERLINK(CONCAT("http://leetcode.com/problems/",Github!C$1874), Github!B$1874)</f>
        <v>Calculate Special Bonus</v>
      </c>
      <c r="C1977" s="10">
        <f>Github!F$1874</f>
        <v>142</v>
      </c>
      <c r="D1977" s="10">
        <f>Github!G$1874</f>
        <v>4</v>
      </c>
      <c r="E1977" s="10">
        <f>Github!F$1874+Github!G$1874</f>
        <v>146</v>
      </c>
      <c r="F1977" s="12">
        <f t="shared" si="1"/>
        <v>35.5</v>
      </c>
      <c r="G1977" s="10" t="str">
        <f>Github!H$1874</f>
        <v>Database</v>
      </c>
      <c r="H1977" s="13" t="str">
        <f>SUBSTITUTE(Github!L$1874, ";", ", ")</f>
        <v>Database, </v>
      </c>
      <c r="I1977" s="10" t="str">
        <f>Github!E$1874</f>
        <v>Easy</v>
      </c>
      <c r="J1977" s="10" t="str">
        <f>IF(TRIM(Github!D$1874)="TRUE","FALSE","TRUE")</f>
        <v>TRUE</v>
      </c>
      <c r="K1977" s="10" t="b">
        <f>Github!M$1874</f>
        <v>0</v>
      </c>
      <c r="L1977" s="10" t="b">
        <f>Github!N$1874</f>
        <v>0</v>
      </c>
      <c r="M1977" s="10" t="str">
        <f>ROUND(Github!O$1874, 2)&amp;"%"</f>
        <v>89.58%</v>
      </c>
      <c r="N1977" s="10">
        <f>Github!P$1874</f>
        <v>18302</v>
      </c>
      <c r="O1977" s="10">
        <f>Github!Q$1874</f>
        <v>20432</v>
      </c>
    </row>
    <row r="1978">
      <c r="A1978" s="10">
        <f>Github!J$1059</f>
        <v>1058</v>
      </c>
      <c r="B1978" s="11" t="str">
        <f>HYPERLINK(CONCAT("http://leetcode.com/problems/",Github!C$1059), Github!B$1059)</f>
        <v>Minimize Rounding Error to Meet Target</v>
      </c>
      <c r="C1978" s="10">
        <f>Github!F$1059</f>
        <v>128</v>
      </c>
      <c r="D1978" s="10">
        <f>Github!G$1059</f>
        <v>126</v>
      </c>
      <c r="E1978" s="10">
        <f>Github!F$1059+Github!G$1059</f>
        <v>254</v>
      </c>
      <c r="F1978" s="12">
        <f t="shared" si="1"/>
        <v>1.02</v>
      </c>
      <c r="G1978" s="10" t="str">
        <f>Github!H$1059</f>
        <v>Algorithms</v>
      </c>
      <c r="H1978" s="13" t="str">
        <f>SUBSTITUTE(Github!L$1059, ";", ", ")</f>
        <v>Array, Math, String, Greedy, </v>
      </c>
      <c r="I1978" s="10" t="str">
        <f>Github!E$1059</f>
        <v>Medium</v>
      </c>
      <c r="J1978" s="10" t="str">
        <f>IF(TRIM(Github!D$1059)="TRUE","FALSE","TRUE")</f>
        <v>FALSE</v>
      </c>
      <c r="K1978" s="10" t="b">
        <f>Github!M$1059</f>
        <v>0</v>
      </c>
      <c r="L1978" s="10" t="b">
        <f>Github!N$1059</f>
        <v>0</v>
      </c>
      <c r="M1978" s="10" t="str">
        <f>ROUND(Github!O$1059, 2)&amp;"%"</f>
        <v>44.66%</v>
      </c>
      <c r="N1978" s="10">
        <f>Github!P$1059</f>
        <v>7420</v>
      </c>
      <c r="O1978" s="10">
        <f>Github!Q$1059</f>
        <v>16613</v>
      </c>
    </row>
    <row r="1979">
      <c r="A1979" s="10">
        <f>Github!J$2163</f>
        <v>2162</v>
      </c>
      <c r="B1979" s="11" t="str">
        <f>HYPERLINK(CONCAT("http://leetcode.com/problems/",Github!C$2163), Github!B$2163)</f>
        <v>Minimum Cost to Set Cooking Time</v>
      </c>
      <c r="C1979" s="10">
        <f>Github!F$2163</f>
        <v>129</v>
      </c>
      <c r="D1979" s="10">
        <f>Github!G$2163</f>
        <v>402</v>
      </c>
      <c r="E1979" s="10">
        <f>Github!F$2163+Github!G$2163</f>
        <v>531</v>
      </c>
      <c r="F1979" s="12">
        <f t="shared" si="1"/>
        <v>0.32</v>
      </c>
      <c r="G1979" s="10" t="str">
        <f>Github!H$2163</f>
        <v>Algorithms</v>
      </c>
      <c r="H1979" s="13" t="str">
        <f>SUBSTITUTE(Github!L$2163, ";", ", ")</f>
        <v>Math, Enumeration, </v>
      </c>
      <c r="I1979" s="10" t="str">
        <f>Github!E$2163</f>
        <v>Medium</v>
      </c>
      <c r="J1979" s="10" t="str">
        <f>IF(TRIM(Github!D$2163)="TRUE","FALSE","TRUE")</f>
        <v>TRUE</v>
      </c>
      <c r="K1979" s="10" t="b">
        <f>Github!M$2163</f>
        <v>0</v>
      </c>
      <c r="L1979" s="10" t="b">
        <f>Github!N$2163</f>
        <v>0</v>
      </c>
      <c r="M1979" s="10" t="str">
        <f>ROUND(Github!O$2163, 2)&amp;"%"</f>
        <v>33.82%</v>
      </c>
      <c r="N1979" s="10">
        <f>Github!P$2163</f>
        <v>6913</v>
      </c>
      <c r="O1979" s="10">
        <f>Github!Q$2163</f>
        <v>20440</v>
      </c>
    </row>
    <row r="1980">
      <c r="A1980" s="10">
        <f>Github!J$2103</f>
        <v>2102</v>
      </c>
      <c r="B1980" s="11" t="str">
        <f>HYPERLINK(CONCAT("http://leetcode.com/problems/",Github!C$2103), Github!B$2103)</f>
        <v>Sequentially Ordinal Rank Tracker</v>
      </c>
      <c r="C1980" s="10">
        <f>Github!F$2103</f>
        <v>134</v>
      </c>
      <c r="D1980" s="10">
        <f>Github!G$2103</f>
        <v>26</v>
      </c>
      <c r="E1980" s="10">
        <f>Github!F$2103+Github!G$2103</f>
        <v>160</v>
      </c>
      <c r="F1980" s="12">
        <f t="shared" si="1"/>
        <v>5.15</v>
      </c>
      <c r="G1980" s="10" t="str">
        <f>Github!H$2103</f>
        <v>Algorithms</v>
      </c>
      <c r="H1980" s="13" t="str">
        <f>SUBSTITUTE(Github!L$2103, ";", ", ")</f>
        <v>Design, Heap (Priority Queue), Data Stream, Ordered Set, </v>
      </c>
      <c r="I1980" s="10" t="str">
        <f>Github!E$2103</f>
        <v>Hard</v>
      </c>
      <c r="J1980" s="10" t="str">
        <f>IF(TRIM(Github!D$2103)="TRUE","FALSE","TRUE")</f>
        <v>TRUE</v>
      </c>
      <c r="K1980" s="10" t="b">
        <f>Github!M$2103</f>
        <v>0</v>
      </c>
      <c r="L1980" s="10" t="b">
        <f>Github!N$2103</f>
        <v>0</v>
      </c>
      <c r="M1980" s="10" t="str">
        <f>ROUND(Github!O$2103, 2)&amp;"%"</f>
        <v>62.46%</v>
      </c>
      <c r="N1980" s="10">
        <f>Github!P$2103</f>
        <v>4505</v>
      </c>
      <c r="O1980" s="10">
        <f>Github!Q$2103</f>
        <v>7213</v>
      </c>
    </row>
    <row r="1981">
      <c r="A1981" s="10">
        <f>Github!J$559</f>
        <v>558</v>
      </c>
      <c r="B1981" s="11" t="str">
        <f>HYPERLINK(CONCAT("http://leetcode.com/problems/",Github!C$559), Github!B$559)</f>
        <v>Logical OR of Two Binary Grids Represented as Quad-Trees</v>
      </c>
      <c r="C1981" s="10">
        <f>Github!F$559</f>
        <v>128</v>
      </c>
      <c r="D1981" s="10">
        <f>Github!G$559</f>
        <v>410</v>
      </c>
      <c r="E1981" s="10">
        <f>Github!F$559+Github!G$559</f>
        <v>538</v>
      </c>
      <c r="F1981" s="12">
        <f t="shared" si="1"/>
        <v>0.31</v>
      </c>
      <c r="G1981" s="10" t="str">
        <f>Github!H$559</f>
        <v>Algorithms</v>
      </c>
      <c r="H1981" s="13" t="str">
        <f>SUBSTITUTE(Github!L$559, ";", ", ")</f>
        <v>Divide and Conquer, Tree, </v>
      </c>
      <c r="I1981" s="10" t="str">
        <f>Github!E$559</f>
        <v>Medium</v>
      </c>
      <c r="J1981" s="10" t="str">
        <f>IF(TRIM(Github!D$559)="TRUE","FALSE","TRUE")</f>
        <v>TRUE</v>
      </c>
      <c r="K1981" s="10" t="b">
        <f>Github!M$559</f>
        <v>0</v>
      </c>
      <c r="L1981" s="10" t="b">
        <f>Github!N$559</f>
        <v>0</v>
      </c>
      <c r="M1981" s="10" t="str">
        <f>ROUND(Github!O$559, 2)&amp;"%"</f>
        <v>47.16%</v>
      </c>
      <c r="N1981" s="10">
        <f>Github!P$559</f>
        <v>11180</v>
      </c>
      <c r="O1981" s="10">
        <f>Github!Q$559</f>
        <v>23709</v>
      </c>
    </row>
    <row r="1982">
      <c r="A1982" s="10">
        <f>Github!J$575</f>
        <v>574</v>
      </c>
      <c r="B1982" s="11" t="str">
        <f>HYPERLINK(CONCAT("http://leetcode.com/problems/",Github!C$575), Github!B$575)</f>
        <v>Winning Candidate</v>
      </c>
      <c r="C1982" s="10">
        <f>Github!F$575</f>
        <v>127</v>
      </c>
      <c r="D1982" s="10">
        <f>Github!G$575</f>
        <v>383</v>
      </c>
      <c r="E1982" s="10">
        <f>Github!F$575+Github!G$575</f>
        <v>510</v>
      </c>
      <c r="F1982" s="12">
        <f t="shared" si="1"/>
        <v>0.33</v>
      </c>
      <c r="G1982" s="10" t="str">
        <f>Github!H$575</f>
        <v>Database</v>
      </c>
      <c r="H1982" s="13" t="str">
        <f>SUBSTITUTE(Github!L$575, ";", ", ")</f>
        <v>Database, </v>
      </c>
      <c r="I1982" s="10" t="str">
        <f>Github!E$575</f>
        <v>Medium</v>
      </c>
      <c r="J1982" s="10" t="str">
        <f>IF(TRIM(Github!D$575)="TRUE","FALSE","TRUE")</f>
        <v>FALSE</v>
      </c>
      <c r="K1982" s="10" t="b">
        <f>Github!M$575</f>
        <v>1</v>
      </c>
      <c r="L1982" s="10" t="b">
        <f>Github!N$575</f>
        <v>0</v>
      </c>
      <c r="M1982" s="10" t="str">
        <f>ROUND(Github!O$575, 2)&amp;"%"</f>
        <v>58.31%</v>
      </c>
      <c r="N1982" s="10">
        <f>Github!P$575</f>
        <v>45982</v>
      </c>
      <c r="O1982" s="10">
        <f>Github!Q$575</f>
        <v>78861</v>
      </c>
    </row>
    <row r="1983">
      <c r="A1983" s="10">
        <f>Github!J$811</f>
        <v>810</v>
      </c>
      <c r="B1983" s="11" t="str">
        <f>HYPERLINK(CONCAT("http://leetcode.com/problems/",Github!C$811), Github!B$811)</f>
        <v>Chalkboard XOR Game</v>
      </c>
      <c r="C1983" s="10">
        <f>Github!F$811</f>
        <v>127</v>
      </c>
      <c r="D1983" s="10">
        <f>Github!G$811</f>
        <v>235</v>
      </c>
      <c r="E1983" s="10">
        <f>Github!F$811+Github!G$811</f>
        <v>362</v>
      </c>
      <c r="F1983" s="12">
        <f t="shared" si="1"/>
        <v>0.54</v>
      </c>
      <c r="G1983" s="10" t="str">
        <f>Github!H$811</f>
        <v>Algorithms</v>
      </c>
      <c r="H1983" s="13" t="str">
        <f>SUBSTITUTE(Github!L$811, ";", ", ")</f>
        <v>Array, Math, Bit Manipulation, Brainteaser, Game Theory, </v>
      </c>
      <c r="I1983" s="10" t="str">
        <f>Github!E$811</f>
        <v>Hard</v>
      </c>
      <c r="J1983" s="10" t="str">
        <f>IF(TRIM(Github!D$811)="TRUE","FALSE","TRUE")</f>
        <v>TRUE</v>
      </c>
      <c r="K1983" s="10" t="b">
        <f>Github!M$811</f>
        <v>1</v>
      </c>
      <c r="L1983" s="10" t="b">
        <f>Github!N$811</f>
        <v>0</v>
      </c>
      <c r="M1983" s="10" t="str">
        <f>ROUND(Github!O$811, 2)&amp;"%"</f>
        <v>53.38%</v>
      </c>
      <c r="N1983" s="10">
        <f>Github!P$811</f>
        <v>6495</v>
      </c>
      <c r="O1983" s="10">
        <f>Github!Q$811</f>
        <v>12168</v>
      </c>
    </row>
    <row r="1984">
      <c r="A1984" s="10">
        <f>Github!J$2202</f>
        <v>2201</v>
      </c>
      <c r="B1984" s="11" t="str">
        <f>HYPERLINK(CONCAT("http://leetcode.com/problems/",Github!C$2202), Github!B$2202)</f>
        <v>Count Artifacts That Can Be Extracted</v>
      </c>
      <c r="C1984" s="10">
        <f>Github!F$2202</f>
        <v>126</v>
      </c>
      <c r="D1984" s="10">
        <f>Github!G$2202</f>
        <v>149</v>
      </c>
      <c r="E1984" s="10">
        <f>Github!F$2202+Github!G$2202</f>
        <v>275</v>
      </c>
      <c r="F1984" s="12">
        <f t="shared" si="1"/>
        <v>0.85</v>
      </c>
      <c r="G1984" s="10" t="str">
        <f>Github!H$2202</f>
        <v>Algorithms</v>
      </c>
      <c r="H1984" s="13" t="str">
        <f>SUBSTITUTE(Github!L$2202, ";", ", ")</f>
        <v>Array, Hash Table, Simulation, </v>
      </c>
      <c r="I1984" s="10" t="str">
        <f>Github!E$2202</f>
        <v>Medium</v>
      </c>
      <c r="J1984" s="10" t="str">
        <f>IF(TRIM(Github!D$2202)="TRUE","FALSE","TRUE")</f>
        <v>TRUE</v>
      </c>
      <c r="K1984" s="10" t="b">
        <f>Github!M$2202</f>
        <v>0</v>
      </c>
      <c r="L1984" s="10" t="b">
        <f>Github!N$2202</f>
        <v>0</v>
      </c>
      <c r="M1984" s="10" t="str">
        <f>ROUND(Github!O$2202, 2)&amp;"%"</f>
        <v>53.87%</v>
      </c>
      <c r="N1984" s="10">
        <f>Github!P$2202</f>
        <v>13971</v>
      </c>
      <c r="O1984" s="10">
        <f>Github!Q$2202</f>
        <v>25935</v>
      </c>
    </row>
    <row r="1985">
      <c r="A1985" s="10">
        <f>Github!J$1879</f>
        <v>1878</v>
      </c>
      <c r="B1985" s="11" t="str">
        <f>HYPERLINK(CONCAT("http://leetcode.com/problems/",Github!C$1879), Github!B$1879)</f>
        <v>Get Biggest Three Rhombus Sums in a Grid</v>
      </c>
      <c r="C1985" s="10">
        <f>Github!F$1879</f>
        <v>126</v>
      </c>
      <c r="D1985" s="10">
        <f>Github!G$1879</f>
        <v>345</v>
      </c>
      <c r="E1985" s="10">
        <f>Github!F$1879+Github!G$1879</f>
        <v>471</v>
      </c>
      <c r="F1985" s="12">
        <f t="shared" si="1"/>
        <v>0.37</v>
      </c>
      <c r="G1985" s="10" t="str">
        <f>Github!H$1879</f>
        <v>Algorithms</v>
      </c>
      <c r="H1985" s="13" t="str">
        <f>SUBSTITUTE(Github!L$1879, ";", ", ")</f>
        <v>Array, Math, Sorting, Heap (Priority Queue), Matrix, Prefix Sum, </v>
      </c>
      <c r="I1985" s="10" t="str">
        <f>Github!E$1879</f>
        <v>Medium</v>
      </c>
      <c r="J1985" s="10" t="str">
        <f>IF(TRIM(Github!D$1879)="TRUE","FALSE","TRUE")</f>
        <v>TRUE</v>
      </c>
      <c r="K1985" s="10" t="b">
        <f>Github!M$1879</f>
        <v>0</v>
      </c>
      <c r="L1985" s="10" t="b">
        <f>Github!N$1879</f>
        <v>0</v>
      </c>
      <c r="M1985" s="10" t="str">
        <f>ROUND(Github!O$1879, 2)&amp;"%"</f>
        <v>44.99%</v>
      </c>
      <c r="N1985" s="10">
        <f>Github!P$1879</f>
        <v>9085</v>
      </c>
      <c r="O1985" s="10">
        <f>Github!Q$1879</f>
        <v>20194</v>
      </c>
    </row>
    <row r="1986">
      <c r="A1986" s="10">
        <f>Github!J$1242</f>
        <v>1241</v>
      </c>
      <c r="B1986" s="11" t="str">
        <f>HYPERLINK(CONCAT("http://leetcode.com/problems/",Github!C$1242), Github!B$1242)</f>
        <v>Number of Comments per Post</v>
      </c>
      <c r="C1986" s="10">
        <f>Github!F$1242</f>
        <v>124</v>
      </c>
      <c r="D1986" s="10">
        <f>Github!G$1242</f>
        <v>396</v>
      </c>
      <c r="E1986" s="10">
        <f>Github!F$1242+Github!G$1242</f>
        <v>520</v>
      </c>
      <c r="F1986" s="12">
        <f t="shared" si="1"/>
        <v>0.31</v>
      </c>
      <c r="G1986" s="10" t="str">
        <f>Github!H$1242</f>
        <v>Database</v>
      </c>
      <c r="H1986" s="13" t="str">
        <f>SUBSTITUTE(Github!L$1242, ";", ", ")</f>
        <v>Database, </v>
      </c>
      <c r="I1986" s="10" t="str">
        <f>Github!E$1242</f>
        <v>Easy</v>
      </c>
      <c r="J1986" s="10" t="str">
        <f>IF(TRIM(Github!D$1242)="TRUE","FALSE","TRUE")</f>
        <v>FALSE</v>
      </c>
      <c r="K1986" s="10" t="b">
        <f>Github!M$1242</f>
        <v>0</v>
      </c>
      <c r="L1986" s="10" t="b">
        <f>Github!N$1242</f>
        <v>0</v>
      </c>
      <c r="M1986" s="10" t="str">
        <f>ROUND(Github!O$1242, 2)&amp;"%"</f>
        <v>67.93%</v>
      </c>
      <c r="N1986" s="10">
        <f>Github!P$1242</f>
        <v>25748</v>
      </c>
      <c r="O1986" s="10">
        <f>Github!Q$1242</f>
        <v>37904</v>
      </c>
    </row>
    <row r="1987">
      <c r="A1987" s="10">
        <f>Github!J$1796</f>
        <v>1795</v>
      </c>
      <c r="B1987" s="11" t="str">
        <f>HYPERLINK(CONCAT("http://leetcode.com/problems/",Github!C$1796), Github!B$1796)</f>
        <v>Rearrange Products Table</v>
      </c>
      <c r="C1987" s="10">
        <f>Github!F$1796</f>
        <v>136</v>
      </c>
      <c r="D1987" s="10">
        <f>Github!G$1796</f>
        <v>6</v>
      </c>
      <c r="E1987" s="10">
        <f>Github!F$1796+Github!G$1796</f>
        <v>142</v>
      </c>
      <c r="F1987" s="12">
        <f t="shared" si="1"/>
        <v>22.67</v>
      </c>
      <c r="G1987" s="10" t="str">
        <f>Github!H$1796</f>
        <v>Database</v>
      </c>
      <c r="H1987" s="13" t="str">
        <f>SUBSTITUTE(Github!L$1796, ";", ", ")</f>
        <v>Database, </v>
      </c>
      <c r="I1987" s="10" t="str">
        <f>Github!E$1796</f>
        <v>Easy</v>
      </c>
      <c r="J1987" s="10" t="str">
        <f>IF(TRIM(Github!D$1796)="TRUE","FALSE","TRUE")</f>
        <v>TRUE</v>
      </c>
      <c r="K1987" s="10" t="b">
        <f>Github!M$1796</f>
        <v>0</v>
      </c>
      <c r="L1987" s="10" t="b">
        <f>Github!N$1796</f>
        <v>0</v>
      </c>
      <c r="M1987" s="10" t="str">
        <f>ROUND(Github!O$1796, 2)&amp;"%"</f>
        <v>90.65%</v>
      </c>
      <c r="N1987" s="10">
        <f>Github!P$1796</f>
        <v>14411</v>
      </c>
      <c r="O1987" s="10">
        <f>Github!Q$1796</f>
        <v>15897</v>
      </c>
    </row>
    <row r="1988">
      <c r="A1988" s="10">
        <f>Github!J$480</f>
        <v>479</v>
      </c>
      <c r="B1988" s="11" t="str">
        <f>HYPERLINK(CONCAT("http://leetcode.com/problems/",Github!C$480), Github!B$480)</f>
        <v>Largest Palindrome Product</v>
      </c>
      <c r="C1988" s="10">
        <f>Github!F$480</f>
        <v>123</v>
      </c>
      <c r="D1988" s="10">
        <f>Github!G$480</f>
        <v>1451</v>
      </c>
      <c r="E1988" s="10">
        <f>Github!F$480+Github!G$480</f>
        <v>1574</v>
      </c>
      <c r="F1988" s="12">
        <f t="shared" si="1"/>
        <v>0.08</v>
      </c>
      <c r="G1988" s="10" t="str">
        <f>Github!H$480</f>
        <v>Algorithms</v>
      </c>
      <c r="H1988" s="13" t="str">
        <f>SUBSTITUTE(Github!L$480, ";", ", ")</f>
        <v>Math, </v>
      </c>
      <c r="I1988" s="10" t="str">
        <f>Github!E$480</f>
        <v>Hard</v>
      </c>
      <c r="J1988" s="10" t="str">
        <f>IF(TRIM(Github!D$480)="TRUE","FALSE","TRUE")</f>
        <v>TRUE</v>
      </c>
      <c r="K1988" s="10" t="b">
        <f>Github!M$480</f>
        <v>0</v>
      </c>
      <c r="L1988" s="10" t="b">
        <f>Github!N$480</f>
        <v>0</v>
      </c>
      <c r="M1988" s="10" t="str">
        <f>ROUND(Github!O$480, 2)&amp;"%"</f>
        <v>31.14%</v>
      </c>
      <c r="N1988" s="10">
        <f>Github!P$480</f>
        <v>20315</v>
      </c>
      <c r="O1988" s="10">
        <f>Github!Q$480</f>
        <v>65236</v>
      </c>
    </row>
    <row r="1989">
      <c r="A1989" s="10">
        <f>Github!J$1961</f>
        <v>1960</v>
      </c>
      <c r="B1989" s="11" t="str">
        <f>HYPERLINK(CONCAT("http://leetcode.com/problems/",Github!C$1961), Github!B$1961)</f>
        <v>Maximum Product of the Length of Two Palindromic Substrings</v>
      </c>
      <c r="C1989" s="10">
        <f>Github!F$1961</f>
        <v>124</v>
      </c>
      <c r="D1989" s="10">
        <f>Github!G$1961</f>
        <v>27</v>
      </c>
      <c r="E1989" s="10">
        <f>Github!F$1961+Github!G$1961</f>
        <v>151</v>
      </c>
      <c r="F1989" s="12">
        <f t="shared" si="1"/>
        <v>4.59</v>
      </c>
      <c r="G1989" s="10" t="str">
        <f>Github!H$1961</f>
        <v>Algorithms</v>
      </c>
      <c r="H1989" s="13" t="str">
        <f>SUBSTITUTE(Github!L$1961, ";", ", ")</f>
        <v>String, Rolling Hash, Hash Function, </v>
      </c>
      <c r="I1989" s="10" t="str">
        <f>Github!E$1961</f>
        <v>Hard</v>
      </c>
      <c r="J1989" s="10" t="str">
        <f>IF(TRIM(Github!D$1961)="TRUE","FALSE","TRUE")</f>
        <v>TRUE</v>
      </c>
      <c r="K1989" s="10" t="b">
        <f>Github!M$1961</f>
        <v>0</v>
      </c>
      <c r="L1989" s="10" t="b">
        <f>Github!N$1961</f>
        <v>0</v>
      </c>
      <c r="M1989" s="10" t="str">
        <f>ROUND(Github!O$1961, 2)&amp;"%"</f>
        <v>29.12%</v>
      </c>
      <c r="N1989" s="10">
        <f>Github!P$1961</f>
        <v>2000</v>
      </c>
      <c r="O1989" s="10">
        <f>Github!Q$1961</f>
        <v>6867</v>
      </c>
    </row>
    <row r="1990">
      <c r="A1990" s="10">
        <f>Github!J$1098</f>
        <v>1097</v>
      </c>
      <c r="B1990" s="11" t="str">
        <f>HYPERLINK(CONCAT("http://leetcode.com/problems/",Github!C$1098), Github!B$1098)</f>
        <v>Game Play Analysis V</v>
      </c>
      <c r="C1990" s="10">
        <f>Github!F$1098</f>
        <v>123</v>
      </c>
      <c r="D1990" s="10">
        <f>Github!G$1098</f>
        <v>26</v>
      </c>
      <c r="E1990" s="10">
        <f>Github!F$1098+Github!G$1098</f>
        <v>149</v>
      </c>
      <c r="F1990" s="12">
        <f t="shared" si="1"/>
        <v>4.73</v>
      </c>
      <c r="G1990" s="10" t="str">
        <f>Github!H$1098</f>
        <v>Database</v>
      </c>
      <c r="H1990" s="13" t="str">
        <f>SUBSTITUTE(Github!L$1098, ";", ", ")</f>
        <v>Database, </v>
      </c>
      <c r="I1990" s="10" t="str">
        <f>Github!E$1098</f>
        <v>Hard</v>
      </c>
      <c r="J1990" s="10" t="str">
        <f>IF(TRIM(Github!D$1098)="TRUE","FALSE","TRUE")</f>
        <v>FALSE</v>
      </c>
      <c r="K1990" s="10" t="b">
        <f>Github!M$1098</f>
        <v>0</v>
      </c>
      <c r="L1990" s="10" t="b">
        <f>Github!N$1098</f>
        <v>0</v>
      </c>
      <c r="M1990" s="10" t="str">
        <f>ROUND(Github!O$1098, 2)&amp;"%"</f>
        <v>55.5%</v>
      </c>
      <c r="N1990" s="10">
        <f>Github!P$1098</f>
        <v>15106</v>
      </c>
      <c r="O1990" s="10">
        <f>Github!Q$1098</f>
        <v>27220</v>
      </c>
    </row>
    <row r="1991">
      <c r="A1991" s="10">
        <f>Github!J$157</f>
        <v>156</v>
      </c>
      <c r="B1991" s="11" t="str">
        <f>HYPERLINK(CONCAT("http://leetcode.com/problems/",Github!C$157), Github!B$157)</f>
        <v>Binary Tree Upside Down</v>
      </c>
      <c r="C1991" s="10">
        <f>Github!F$157</f>
        <v>124</v>
      </c>
      <c r="D1991" s="10">
        <f>Github!G$157</f>
        <v>219</v>
      </c>
      <c r="E1991" s="10">
        <f>Github!F$157+Github!G$157</f>
        <v>343</v>
      </c>
      <c r="F1991" s="12">
        <f t="shared" si="1"/>
        <v>0.57</v>
      </c>
      <c r="G1991" s="10" t="str">
        <f>Github!H$157</f>
        <v>Algorithms</v>
      </c>
      <c r="H1991" s="13" t="str">
        <f>SUBSTITUTE(Github!L$157, ";", ", ")</f>
        <v>Tree, Depth-First Search, Binary Tree, </v>
      </c>
      <c r="I1991" s="10" t="str">
        <f>Github!E$157</f>
        <v>Medium</v>
      </c>
      <c r="J1991" s="10" t="str">
        <f>IF(TRIM(Github!D$157)="TRUE","FALSE","TRUE")</f>
        <v>FALSE</v>
      </c>
      <c r="K1991" s="10" t="b">
        <f>Github!M$157</f>
        <v>0</v>
      </c>
      <c r="L1991" s="10" t="b">
        <f>Github!N$157</f>
        <v>0</v>
      </c>
      <c r="M1991" s="10" t="str">
        <f>ROUND(Github!O$157, 2)&amp;"%"</f>
        <v>60.34%</v>
      </c>
      <c r="N1991" s="10">
        <f>Github!P$157</f>
        <v>86485</v>
      </c>
      <c r="O1991" s="10">
        <f>Github!Q$157</f>
        <v>143330</v>
      </c>
    </row>
    <row r="1992">
      <c r="A1992" s="10">
        <f>Github!J$1177</f>
        <v>1176</v>
      </c>
      <c r="B1992" s="11" t="str">
        <f>HYPERLINK(CONCAT("http://leetcode.com/problems/",Github!C$1177), Github!B$1177)</f>
        <v>Diet Plan Performance</v>
      </c>
      <c r="C1992" s="10">
        <f>Github!F$1177</f>
        <v>122</v>
      </c>
      <c r="D1992" s="10">
        <f>Github!G$1177</f>
        <v>257</v>
      </c>
      <c r="E1992" s="10">
        <f>Github!F$1177+Github!G$1177</f>
        <v>379</v>
      </c>
      <c r="F1992" s="12">
        <f t="shared" si="1"/>
        <v>0.47</v>
      </c>
      <c r="G1992" s="10" t="str">
        <f>Github!H$1177</f>
        <v>Algorithms</v>
      </c>
      <c r="H1992" s="13" t="str">
        <f>SUBSTITUTE(Github!L$1177, ";", ", ")</f>
        <v>Array, Sliding Window, </v>
      </c>
      <c r="I1992" s="10" t="str">
        <f>Github!E$1177</f>
        <v>Easy</v>
      </c>
      <c r="J1992" s="10" t="str">
        <f>IF(TRIM(Github!D$1177)="TRUE","FALSE","TRUE")</f>
        <v>FALSE</v>
      </c>
      <c r="K1992" s="10" t="b">
        <f>Github!M$1177</f>
        <v>0</v>
      </c>
      <c r="L1992" s="10" t="b">
        <f>Github!N$1177</f>
        <v>0</v>
      </c>
      <c r="M1992" s="10" t="str">
        <f>ROUND(Github!O$1177, 2)&amp;"%"</f>
        <v>52.55%</v>
      </c>
      <c r="N1992" s="10">
        <f>Github!P$1177</f>
        <v>24469</v>
      </c>
      <c r="O1992" s="10">
        <f>Github!Q$1177</f>
        <v>46559</v>
      </c>
    </row>
    <row r="1993">
      <c r="A1993" s="10">
        <f>Github!J$619</f>
        <v>618</v>
      </c>
      <c r="B1993" s="11" t="str">
        <f>HYPERLINK(CONCAT("http://leetcode.com/problems/",Github!C$619), Github!B$619)</f>
        <v>Students Report By Geography</v>
      </c>
      <c r="C1993" s="10">
        <f>Github!F$619</f>
        <v>121</v>
      </c>
      <c r="D1993" s="10">
        <f>Github!G$619</f>
        <v>134</v>
      </c>
      <c r="E1993" s="10">
        <f>Github!F$619+Github!G$619</f>
        <v>255</v>
      </c>
      <c r="F1993" s="12">
        <f t="shared" si="1"/>
        <v>0.9</v>
      </c>
      <c r="G1993" s="10" t="str">
        <f>Github!H$619</f>
        <v>Database</v>
      </c>
      <c r="H1993" s="13" t="str">
        <f>SUBSTITUTE(Github!L$619, ";", ", ")</f>
        <v>Database, </v>
      </c>
      <c r="I1993" s="10" t="str">
        <f>Github!E$619</f>
        <v>Hard</v>
      </c>
      <c r="J1993" s="10" t="str">
        <f>IF(TRIM(Github!D$619)="TRUE","FALSE","TRUE")</f>
        <v>FALSE</v>
      </c>
      <c r="K1993" s="10" t="b">
        <f>Github!M$619</f>
        <v>1</v>
      </c>
      <c r="L1993" s="10" t="b">
        <f>Github!N$619</f>
        <v>0</v>
      </c>
      <c r="M1993" s="10" t="str">
        <f>ROUND(Github!O$619, 2)&amp;"%"</f>
        <v>63.32%</v>
      </c>
      <c r="N1993" s="10">
        <f>Github!P$619</f>
        <v>16272</v>
      </c>
      <c r="O1993" s="10">
        <f>Github!Q$619</f>
        <v>25700</v>
      </c>
    </row>
    <row r="1994">
      <c r="A1994" s="10">
        <f>Github!J$626</f>
        <v>625</v>
      </c>
      <c r="B1994" s="11" t="str">
        <f>HYPERLINK(CONCAT("http://leetcode.com/problems/",Github!C$626), Github!B$626)</f>
        <v>Minimum Factorization</v>
      </c>
      <c r="C1994" s="10">
        <f>Github!F$626</f>
        <v>119</v>
      </c>
      <c r="D1994" s="10">
        <f>Github!G$626</f>
        <v>100</v>
      </c>
      <c r="E1994" s="10">
        <f>Github!F$626+Github!G$626</f>
        <v>219</v>
      </c>
      <c r="F1994" s="12">
        <f t="shared" si="1"/>
        <v>1.19</v>
      </c>
      <c r="G1994" s="10" t="str">
        <f>Github!H$626</f>
        <v>Algorithms</v>
      </c>
      <c r="H1994" s="13" t="str">
        <f>SUBSTITUTE(Github!L$626, ";", ", ")</f>
        <v>Math, Greedy, </v>
      </c>
      <c r="I1994" s="10" t="str">
        <f>Github!E$626</f>
        <v>Medium</v>
      </c>
      <c r="J1994" s="10" t="str">
        <f>IF(TRIM(Github!D$626)="TRUE","FALSE","TRUE")</f>
        <v>FALSE</v>
      </c>
      <c r="K1994" s="10" t="b">
        <f>Github!M$626</f>
        <v>1</v>
      </c>
      <c r="L1994" s="10" t="b">
        <f>Github!N$626</f>
        <v>0</v>
      </c>
      <c r="M1994" s="10" t="str">
        <f>ROUND(Github!O$626, 2)&amp;"%"</f>
        <v>33.24%</v>
      </c>
      <c r="N1994" s="10">
        <f>Github!P$626</f>
        <v>10107</v>
      </c>
      <c r="O1994" s="10">
        <f>Github!Q$626</f>
        <v>30408</v>
      </c>
    </row>
    <row r="1995">
      <c r="A1995" s="10">
        <f>Github!J$1831</f>
        <v>1830</v>
      </c>
      <c r="B1995" s="11" t="str">
        <f>HYPERLINK(CONCAT("http://leetcode.com/problems/",Github!C$1831), Github!B$1831)</f>
        <v>Minimum Number of Operations to Make String Sorted</v>
      </c>
      <c r="C1995" s="10">
        <f>Github!F$1831</f>
        <v>119</v>
      </c>
      <c r="D1995" s="10">
        <f>Github!G$1831</f>
        <v>92</v>
      </c>
      <c r="E1995" s="10">
        <f>Github!F$1831+Github!G$1831</f>
        <v>211</v>
      </c>
      <c r="F1995" s="12">
        <f t="shared" si="1"/>
        <v>1.29</v>
      </c>
      <c r="G1995" s="10" t="str">
        <f>Github!H$1831</f>
        <v>Algorithms</v>
      </c>
      <c r="H1995" s="13" t="str">
        <f>SUBSTITUTE(Github!L$1831, ";", ", ")</f>
        <v>Math, String, Combinatorics, </v>
      </c>
      <c r="I1995" s="10" t="str">
        <f>Github!E$1831</f>
        <v>Hard</v>
      </c>
      <c r="J1995" s="10" t="str">
        <f>IF(TRIM(Github!D$1831)="TRUE","FALSE","TRUE")</f>
        <v>TRUE</v>
      </c>
      <c r="K1995" s="10" t="b">
        <f>Github!M$1831</f>
        <v>0</v>
      </c>
      <c r="L1995" s="10" t="b">
        <f>Github!N$1831</f>
        <v>0</v>
      </c>
      <c r="M1995" s="10" t="str">
        <f>ROUND(Github!O$1831, 2)&amp;"%"</f>
        <v>47.81%</v>
      </c>
      <c r="N1995" s="10">
        <f>Github!P$1831</f>
        <v>2190</v>
      </c>
      <c r="O1995" s="10">
        <f>Github!Q$1831</f>
        <v>4581</v>
      </c>
    </row>
    <row r="1996">
      <c r="A1996" s="10">
        <f>Github!J$2048</f>
        <v>2047</v>
      </c>
      <c r="B1996" s="11" t="str">
        <f>HYPERLINK(CONCAT("http://leetcode.com/problems/",Github!C$2048), Github!B$2048)</f>
        <v>Number of Valid Words in a Sentence</v>
      </c>
      <c r="C1996" s="10">
        <f>Github!F$2048</f>
        <v>121</v>
      </c>
      <c r="D1996" s="10">
        <f>Github!G$2048</f>
        <v>485</v>
      </c>
      <c r="E1996" s="10">
        <f>Github!F$2048+Github!G$2048</f>
        <v>606</v>
      </c>
      <c r="F1996" s="12">
        <f t="shared" si="1"/>
        <v>0.25</v>
      </c>
      <c r="G1996" s="10" t="str">
        <f>Github!H$2048</f>
        <v>Algorithms</v>
      </c>
      <c r="H1996" s="13" t="str">
        <f>SUBSTITUTE(Github!L$2048, ";", ", ")</f>
        <v>String, </v>
      </c>
      <c r="I1996" s="10" t="str">
        <f>Github!E$2048</f>
        <v>Easy</v>
      </c>
      <c r="J1996" s="10" t="str">
        <f>IF(TRIM(Github!D$2048)="TRUE","FALSE","TRUE")</f>
        <v>TRUE</v>
      </c>
      <c r="K1996" s="10" t="b">
        <f>Github!M$2048</f>
        <v>0</v>
      </c>
      <c r="L1996" s="10" t="b">
        <f>Github!N$2048</f>
        <v>0</v>
      </c>
      <c r="M1996" s="10" t="str">
        <f>ROUND(Github!O$2048, 2)&amp;"%"</f>
        <v>29.31%</v>
      </c>
      <c r="N1996" s="10">
        <f>Github!P$2048</f>
        <v>14157</v>
      </c>
      <c r="O1996" s="10">
        <f>Github!Q$2048</f>
        <v>48308</v>
      </c>
    </row>
    <row r="1997">
      <c r="A1997" s="10">
        <f>Github!J$615</f>
        <v>614</v>
      </c>
      <c r="B1997" s="11" t="str">
        <f>HYPERLINK(CONCAT("http://leetcode.com/problems/",Github!C$615), Github!B$615)</f>
        <v>Second Degree Follower</v>
      </c>
      <c r="C1997" s="10">
        <f>Github!F$615</f>
        <v>118</v>
      </c>
      <c r="D1997" s="10">
        <f>Github!G$615</f>
        <v>700</v>
      </c>
      <c r="E1997" s="10">
        <f>Github!F$615+Github!G$615</f>
        <v>818</v>
      </c>
      <c r="F1997" s="12">
        <f t="shared" si="1"/>
        <v>0.17</v>
      </c>
      <c r="G1997" s="10" t="str">
        <f>Github!H$615</f>
        <v>Database</v>
      </c>
      <c r="H1997" s="13" t="str">
        <f>SUBSTITUTE(Github!L$615, ";", ", ")</f>
        <v>Database, </v>
      </c>
      <c r="I1997" s="10" t="str">
        <f>Github!E$615</f>
        <v>Medium</v>
      </c>
      <c r="J1997" s="10" t="str">
        <f>IF(TRIM(Github!D$615)="TRUE","FALSE","TRUE")</f>
        <v>FALSE</v>
      </c>
      <c r="K1997" s="10" t="b">
        <f>Github!M$615</f>
        <v>0</v>
      </c>
      <c r="L1997" s="10" t="b">
        <f>Github!N$615</f>
        <v>0</v>
      </c>
      <c r="M1997" s="10" t="str">
        <f>ROUND(Github!O$615, 2)&amp;"%"</f>
        <v>35.56%</v>
      </c>
      <c r="N1997" s="10">
        <f>Github!P$615</f>
        <v>39446</v>
      </c>
      <c r="O1997" s="10">
        <f>Github!Q$615</f>
        <v>110926</v>
      </c>
    </row>
    <row r="1998">
      <c r="A1998" s="10">
        <f>Github!J$1720</f>
        <v>1719</v>
      </c>
      <c r="B1998" s="11" t="str">
        <f>HYPERLINK(CONCAT("http://leetcode.com/problems/",Github!C$1720), Github!B$1720)</f>
        <v>Number Of Ways To Reconstruct A Tree</v>
      </c>
      <c r="C1998" s="10">
        <f>Github!F$1720</f>
        <v>121</v>
      </c>
      <c r="D1998" s="10">
        <f>Github!G$1720</f>
        <v>91</v>
      </c>
      <c r="E1998" s="10">
        <f>Github!F$1720+Github!G$1720</f>
        <v>212</v>
      </c>
      <c r="F1998" s="12">
        <f t="shared" si="1"/>
        <v>1.33</v>
      </c>
      <c r="G1998" s="10" t="str">
        <f>Github!H$1720</f>
        <v>Algorithms</v>
      </c>
      <c r="H1998" s="13" t="str">
        <f>SUBSTITUTE(Github!L$1720, ";", ", ")</f>
        <v>Tree, Graph, Topological Sort, </v>
      </c>
      <c r="I1998" s="10" t="str">
        <f>Github!E$1720</f>
        <v>Hard</v>
      </c>
      <c r="J1998" s="10" t="str">
        <f>IF(TRIM(Github!D$1720)="TRUE","FALSE","TRUE")</f>
        <v>TRUE</v>
      </c>
      <c r="K1998" s="10" t="b">
        <f>Github!M$1720</f>
        <v>0</v>
      </c>
      <c r="L1998" s="10" t="b">
        <f>Github!N$1720</f>
        <v>0</v>
      </c>
      <c r="M1998" s="10" t="str">
        <f>ROUND(Github!O$1720, 2)&amp;"%"</f>
        <v>42.17%</v>
      </c>
      <c r="N1998" s="10">
        <f>Github!P$1720</f>
        <v>2440</v>
      </c>
      <c r="O1998" s="10">
        <f>Github!Q$1720</f>
        <v>5786</v>
      </c>
    </row>
    <row r="1999">
      <c r="A1999" s="10">
        <f>Github!J$1142</f>
        <v>1141</v>
      </c>
      <c r="B1999" s="11" t="str">
        <f>HYPERLINK(CONCAT("http://leetcode.com/problems/",Github!C$1142), Github!B$1142)</f>
        <v>User Activity for the Past 30 Days I</v>
      </c>
      <c r="C1999" s="10">
        <f>Github!F$1142</f>
        <v>124</v>
      </c>
      <c r="D1999" s="10">
        <f>Github!G$1142</f>
        <v>125</v>
      </c>
      <c r="E1999" s="10">
        <f>Github!F$1142+Github!G$1142</f>
        <v>249</v>
      </c>
      <c r="F1999" s="12">
        <f t="shared" si="1"/>
        <v>0.99</v>
      </c>
      <c r="G1999" s="10" t="str">
        <f>Github!H$1142</f>
        <v>Database</v>
      </c>
      <c r="H1999" s="13" t="str">
        <f>SUBSTITUTE(Github!L$1142, ";", ", ")</f>
        <v>Database, </v>
      </c>
      <c r="I1999" s="10" t="str">
        <f>Github!E$1142</f>
        <v>Easy</v>
      </c>
      <c r="J1999" s="10" t="str">
        <f>IF(TRIM(Github!D$1142)="TRUE","FALSE","TRUE")</f>
        <v>TRUE</v>
      </c>
      <c r="K1999" s="10" t="b">
        <f>Github!M$1142</f>
        <v>0</v>
      </c>
      <c r="L1999" s="10" t="b">
        <f>Github!N$1142</f>
        <v>0</v>
      </c>
      <c r="M1999" s="10" t="str">
        <f>ROUND(Github!O$1142, 2)&amp;"%"</f>
        <v>54.13%</v>
      </c>
      <c r="N1999" s="10">
        <f>Github!P$1142</f>
        <v>36397</v>
      </c>
      <c r="O1999" s="10">
        <f>Github!Q$1142</f>
        <v>67241</v>
      </c>
    </row>
    <row r="2000">
      <c r="A2000" s="10">
        <f>Github!J$832</f>
        <v>831</v>
      </c>
      <c r="B2000" s="11" t="str">
        <f>HYPERLINK(CONCAT("http://leetcode.com/problems/",Github!C$832), Github!B$832)</f>
        <v>Masking Personal Information</v>
      </c>
      <c r="C2000" s="10">
        <f>Github!F$832</f>
        <v>118</v>
      </c>
      <c r="D2000" s="10">
        <f>Github!G$832</f>
        <v>401</v>
      </c>
      <c r="E2000" s="10">
        <f>Github!F$832+Github!G$832</f>
        <v>519</v>
      </c>
      <c r="F2000" s="12">
        <f t="shared" si="1"/>
        <v>0.29</v>
      </c>
      <c r="G2000" s="10" t="str">
        <f>Github!H$832</f>
        <v>Algorithms</v>
      </c>
      <c r="H2000" s="13" t="str">
        <f>SUBSTITUTE(Github!L$832, ";", ", ")</f>
        <v>String, </v>
      </c>
      <c r="I2000" s="10" t="str">
        <f>Github!E$832</f>
        <v>Medium</v>
      </c>
      <c r="J2000" s="10" t="str">
        <f>IF(TRIM(Github!D$832)="TRUE","FALSE","TRUE")</f>
        <v>TRUE</v>
      </c>
      <c r="K2000" s="10" t="b">
        <f>Github!M$832</f>
        <v>0</v>
      </c>
      <c r="L2000" s="10" t="b">
        <f>Github!N$832</f>
        <v>0</v>
      </c>
      <c r="M2000" s="10" t="str">
        <f>ROUND(Github!O$832, 2)&amp;"%"</f>
        <v>46.02%</v>
      </c>
      <c r="N2000" s="10">
        <f>Github!P$832</f>
        <v>14300</v>
      </c>
      <c r="O2000" s="10">
        <f>Github!Q$832</f>
        <v>31074</v>
      </c>
    </row>
    <row r="2001">
      <c r="A2001" s="10">
        <f>Github!J$2106</f>
        <v>2105</v>
      </c>
      <c r="B2001" s="11" t="str">
        <f>HYPERLINK(CONCAT("http://leetcode.com/problems/",Github!C$2106), Github!B$2106)</f>
        <v>Watering Plants II</v>
      </c>
      <c r="C2001" s="10">
        <f>Github!F$2106</f>
        <v>117</v>
      </c>
      <c r="D2001" s="10">
        <f>Github!G$2106</f>
        <v>120</v>
      </c>
      <c r="E2001" s="10">
        <f>Github!F$2106+Github!G$2106</f>
        <v>237</v>
      </c>
      <c r="F2001" s="12">
        <f t="shared" si="1"/>
        <v>0.98</v>
      </c>
      <c r="G2001" s="10" t="str">
        <f>Github!H$2106</f>
        <v>Algorithms</v>
      </c>
      <c r="H2001" s="13" t="str">
        <f>SUBSTITUTE(Github!L$2106, ";", ", ")</f>
        <v>Array, Two Pointers, Simulation, </v>
      </c>
      <c r="I2001" s="10" t="str">
        <f>Github!E$2106</f>
        <v>Medium</v>
      </c>
      <c r="J2001" s="10" t="str">
        <f>IF(TRIM(Github!D$2106)="TRUE","FALSE","TRUE")</f>
        <v>TRUE</v>
      </c>
      <c r="K2001" s="10" t="b">
        <f>Github!M$2106</f>
        <v>0</v>
      </c>
      <c r="L2001" s="10" t="b">
        <f>Github!N$2106</f>
        <v>0</v>
      </c>
      <c r="M2001" s="10" t="str">
        <f>ROUND(Github!O$2106, 2)&amp;"%"</f>
        <v>51.28%</v>
      </c>
      <c r="N2001" s="10">
        <f>Github!P$2106</f>
        <v>10820</v>
      </c>
      <c r="O2001" s="10">
        <f>Github!Q$2106</f>
        <v>21101</v>
      </c>
    </row>
    <row r="2002">
      <c r="A2002" s="10">
        <f>Github!J$620</f>
        <v>619</v>
      </c>
      <c r="B2002" s="11" t="str">
        <f>HYPERLINK(CONCAT("http://leetcode.com/problems/",Github!C$620), Github!B$620)</f>
        <v>Biggest Single Number</v>
      </c>
      <c r="C2002" s="10">
        <f>Github!F$620</f>
        <v>119</v>
      </c>
      <c r="D2002" s="10">
        <f>Github!G$620</f>
        <v>108</v>
      </c>
      <c r="E2002" s="10">
        <f>Github!F$620+Github!G$620</f>
        <v>227</v>
      </c>
      <c r="F2002" s="12">
        <f t="shared" si="1"/>
        <v>1.1</v>
      </c>
      <c r="G2002" s="10" t="str">
        <f>Github!H$620</f>
        <v>Database</v>
      </c>
      <c r="H2002" s="13" t="str">
        <f>SUBSTITUTE(Github!L$620, ";", ", ")</f>
        <v>Database, </v>
      </c>
      <c r="I2002" s="10" t="str">
        <f>Github!E$620</f>
        <v>Easy</v>
      </c>
      <c r="J2002" s="10" t="str">
        <f>IF(TRIM(Github!D$620)="TRUE","FALSE","TRUE")</f>
        <v>FALSE</v>
      </c>
      <c r="K2002" s="10" t="b">
        <f>Github!M$620</f>
        <v>1</v>
      </c>
      <c r="L2002" s="10" t="b">
        <f>Github!N$620</f>
        <v>0</v>
      </c>
      <c r="M2002" s="10" t="str">
        <f>ROUND(Github!O$620, 2)&amp;"%"</f>
        <v>47.47%</v>
      </c>
      <c r="N2002" s="10">
        <f>Github!P$620</f>
        <v>45557</v>
      </c>
      <c r="O2002" s="10">
        <f>Github!Q$620</f>
        <v>95980</v>
      </c>
    </row>
    <row r="2003">
      <c r="A2003" s="10">
        <f>Github!J$1133</f>
        <v>1132</v>
      </c>
      <c r="B2003" s="11" t="str">
        <f>HYPERLINK(CONCAT("http://leetcode.com/problems/",Github!C$1133), Github!B$1133)</f>
        <v>Reported Posts II</v>
      </c>
      <c r="C2003" s="10">
        <f>Github!F$1133</f>
        <v>117</v>
      </c>
      <c r="D2003" s="10">
        <f>Github!G$1133</f>
        <v>415</v>
      </c>
      <c r="E2003" s="10">
        <f>Github!F$1133+Github!G$1133</f>
        <v>532</v>
      </c>
      <c r="F2003" s="12">
        <f t="shared" si="1"/>
        <v>0.28</v>
      </c>
      <c r="G2003" s="10" t="str">
        <f>Github!H$1133</f>
        <v>Database</v>
      </c>
      <c r="H2003" s="13" t="str">
        <f>SUBSTITUTE(Github!L$1133, ";", ", ")</f>
        <v>Database, </v>
      </c>
      <c r="I2003" s="10" t="str">
        <f>Github!E$1133</f>
        <v>Medium</v>
      </c>
      <c r="J2003" s="10" t="str">
        <f>IF(TRIM(Github!D$1133)="TRUE","FALSE","TRUE")</f>
        <v>FALSE</v>
      </c>
      <c r="K2003" s="10" t="b">
        <f>Github!M$1133</f>
        <v>0</v>
      </c>
      <c r="L2003" s="10" t="b">
        <f>Github!N$1133</f>
        <v>0</v>
      </c>
      <c r="M2003" s="10" t="str">
        <f>ROUND(Github!O$1133, 2)&amp;"%"</f>
        <v>33.75%</v>
      </c>
      <c r="N2003" s="10">
        <f>Github!P$1133</f>
        <v>26829</v>
      </c>
      <c r="O2003" s="10">
        <f>Github!Q$1133</f>
        <v>79489</v>
      </c>
    </row>
    <row r="2004">
      <c r="A2004" s="10">
        <f>Github!J$1700</f>
        <v>1699</v>
      </c>
      <c r="B2004" s="11" t="str">
        <f>HYPERLINK(CONCAT("http://leetcode.com/problems/",Github!C$1700), Github!B$1700)</f>
        <v>Number of Calls Between Two Persons</v>
      </c>
      <c r="C2004" s="10">
        <f>Github!F$1700</f>
        <v>120</v>
      </c>
      <c r="D2004" s="10">
        <f>Github!G$1700</f>
        <v>8</v>
      </c>
      <c r="E2004" s="10">
        <f>Github!F$1700+Github!G$1700</f>
        <v>128</v>
      </c>
      <c r="F2004" s="12">
        <f t="shared" si="1"/>
        <v>15</v>
      </c>
      <c r="G2004" s="10" t="str">
        <f>Github!H$1700</f>
        <v>Database</v>
      </c>
      <c r="H2004" s="13" t="str">
        <f>SUBSTITUTE(Github!L$1700, ";", ", ")</f>
        <v>Database, </v>
      </c>
      <c r="I2004" s="10" t="str">
        <f>Github!E$1700</f>
        <v>Medium</v>
      </c>
      <c r="J2004" s="10" t="str">
        <f>IF(TRIM(Github!D$1700)="TRUE","FALSE","TRUE")</f>
        <v>FALSE</v>
      </c>
      <c r="K2004" s="10" t="b">
        <f>Github!M$1700</f>
        <v>0</v>
      </c>
      <c r="L2004" s="10" t="b">
        <f>Github!N$1700</f>
        <v>0</v>
      </c>
      <c r="M2004" s="10" t="str">
        <f>ROUND(Github!O$1700, 2)&amp;"%"</f>
        <v>86.08%</v>
      </c>
      <c r="N2004" s="10">
        <f>Github!P$1700</f>
        <v>16781</v>
      </c>
      <c r="O2004" s="10">
        <f>Github!Q$1700</f>
        <v>19494</v>
      </c>
    </row>
    <row r="2005">
      <c r="A2005" s="10">
        <f>Github!J$1358</f>
        <v>1357</v>
      </c>
      <c r="B2005" s="11" t="str">
        <f>HYPERLINK(CONCAT("http://leetcode.com/problems/",Github!C$1358), Github!B$1358)</f>
        <v>Apply Discount Every n Orders</v>
      </c>
      <c r="C2005" s="10">
        <f>Github!F$1358</f>
        <v>116</v>
      </c>
      <c r="D2005" s="10">
        <f>Github!G$1358</f>
        <v>158</v>
      </c>
      <c r="E2005" s="10">
        <f>Github!F$1358+Github!G$1358</f>
        <v>274</v>
      </c>
      <c r="F2005" s="12">
        <f t="shared" si="1"/>
        <v>0.73</v>
      </c>
      <c r="G2005" s="10" t="str">
        <f>Github!H$1358</f>
        <v>Algorithms</v>
      </c>
      <c r="H2005" s="13" t="str">
        <f>SUBSTITUTE(Github!L$1358, ";", ", ")</f>
        <v>Array, Hash Table, Design, </v>
      </c>
      <c r="I2005" s="10" t="str">
        <f>Github!E$1358</f>
        <v>Medium</v>
      </c>
      <c r="J2005" s="10" t="str">
        <f>IF(TRIM(Github!D$1358)="TRUE","FALSE","TRUE")</f>
        <v>TRUE</v>
      </c>
      <c r="K2005" s="10" t="b">
        <f>Github!M$1358</f>
        <v>0</v>
      </c>
      <c r="L2005" s="10" t="b">
        <f>Github!N$1358</f>
        <v>0</v>
      </c>
      <c r="M2005" s="10" t="str">
        <f>ROUND(Github!O$1358, 2)&amp;"%"</f>
        <v>68.95%</v>
      </c>
      <c r="N2005" s="10">
        <f>Github!P$1358</f>
        <v>14456</v>
      </c>
      <c r="O2005" s="10">
        <f>Github!Q$1358</f>
        <v>20967</v>
      </c>
    </row>
    <row r="2006">
      <c r="A2006" s="10">
        <f>Github!J$1441</f>
        <v>1440</v>
      </c>
      <c r="B2006" s="11" t="str">
        <f>HYPERLINK(CONCAT("http://leetcode.com/problems/",Github!C$1441), Github!B$1441)</f>
        <v>Evaluate Boolean Expression</v>
      </c>
      <c r="C2006" s="10">
        <f>Github!F$1441</f>
        <v>119</v>
      </c>
      <c r="D2006" s="10">
        <f>Github!G$1441</f>
        <v>7</v>
      </c>
      <c r="E2006" s="10">
        <f>Github!F$1441+Github!G$1441</f>
        <v>126</v>
      </c>
      <c r="F2006" s="12">
        <f t="shared" si="1"/>
        <v>17</v>
      </c>
      <c r="G2006" s="10" t="str">
        <f>Github!H$1441</f>
        <v>Database</v>
      </c>
      <c r="H2006" s="13" t="str">
        <f>SUBSTITUTE(Github!L$1441, ";", ", ")</f>
        <v>Database, </v>
      </c>
      <c r="I2006" s="10" t="str">
        <f>Github!E$1441</f>
        <v>Medium</v>
      </c>
      <c r="J2006" s="10" t="str">
        <f>IF(TRIM(Github!D$1441)="TRUE","FALSE","TRUE")</f>
        <v>FALSE</v>
      </c>
      <c r="K2006" s="10" t="b">
        <f>Github!M$1441</f>
        <v>0</v>
      </c>
      <c r="L2006" s="10" t="b">
        <f>Github!N$1441</f>
        <v>0</v>
      </c>
      <c r="M2006" s="10" t="str">
        <f>ROUND(Github!O$1441, 2)&amp;"%"</f>
        <v>75.56%</v>
      </c>
      <c r="N2006" s="10">
        <f>Github!P$1441</f>
        <v>12481</v>
      </c>
      <c r="O2006" s="10">
        <f>Github!Q$1441</f>
        <v>16519</v>
      </c>
    </row>
    <row r="2007">
      <c r="A2007" s="10">
        <f>Github!J$771</f>
        <v>770</v>
      </c>
      <c r="B2007" s="11" t="str">
        <f>HYPERLINK(CONCAT("http://leetcode.com/problems/",Github!C$771), Github!B$771)</f>
        <v>Basic Calculator IV</v>
      </c>
      <c r="C2007" s="10">
        <f>Github!F$771</f>
        <v>116</v>
      </c>
      <c r="D2007" s="10">
        <f>Github!G$771</f>
        <v>1193</v>
      </c>
      <c r="E2007" s="10">
        <f>Github!F$771+Github!G$771</f>
        <v>1309</v>
      </c>
      <c r="F2007" s="12">
        <f t="shared" si="1"/>
        <v>0.1</v>
      </c>
      <c r="G2007" s="10" t="str">
        <f>Github!H$771</f>
        <v>Algorithms</v>
      </c>
      <c r="H2007" s="13" t="str">
        <f>SUBSTITUTE(Github!L$771, ";", ", ")</f>
        <v>Hash Table, Math, String, Stack, Recursion, </v>
      </c>
      <c r="I2007" s="10" t="str">
        <f>Github!E$771</f>
        <v>Hard</v>
      </c>
      <c r="J2007" s="10" t="str">
        <f>IF(TRIM(Github!D$771)="TRUE","FALSE","TRUE")</f>
        <v>TRUE</v>
      </c>
      <c r="K2007" s="10" t="b">
        <f>Github!M$771</f>
        <v>0</v>
      </c>
      <c r="L2007" s="10" t="b">
        <f>Github!N$771</f>
        <v>0</v>
      </c>
      <c r="M2007" s="10" t="str">
        <f>ROUND(Github!O$771, 2)&amp;"%"</f>
        <v>55.72%</v>
      </c>
      <c r="N2007" s="10">
        <f>Github!P$771</f>
        <v>8098</v>
      </c>
      <c r="O2007" s="10">
        <f>Github!Q$771</f>
        <v>14533</v>
      </c>
    </row>
    <row r="2008">
      <c r="A2008" s="10">
        <f>Github!J$1970</f>
        <v>1969</v>
      </c>
      <c r="B2008" s="11" t="str">
        <f>HYPERLINK(CONCAT("http://leetcode.com/problems/",Github!C$1970), Github!B$1970)</f>
        <v>Minimum Non-Zero Product of the Array Elements</v>
      </c>
      <c r="C2008" s="10">
        <f>Github!F$1970</f>
        <v>114</v>
      </c>
      <c r="D2008" s="10">
        <f>Github!G$1970</f>
        <v>281</v>
      </c>
      <c r="E2008" s="10">
        <f>Github!F$1970+Github!G$1970</f>
        <v>395</v>
      </c>
      <c r="F2008" s="12">
        <f t="shared" si="1"/>
        <v>0.41</v>
      </c>
      <c r="G2008" s="10" t="str">
        <f>Github!H$1970</f>
        <v>Algorithms</v>
      </c>
      <c r="H2008" s="13" t="str">
        <f>SUBSTITUTE(Github!L$1970, ";", ", ")</f>
        <v>Math, Greedy, Recursion, </v>
      </c>
      <c r="I2008" s="10" t="str">
        <f>Github!E$1970</f>
        <v>Medium</v>
      </c>
      <c r="J2008" s="10" t="str">
        <f>IF(TRIM(Github!D$1970)="TRUE","FALSE","TRUE")</f>
        <v>TRUE</v>
      </c>
      <c r="K2008" s="10" t="b">
        <f>Github!M$1970</f>
        <v>0</v>
      </c>
      <c r="L2008" s="10" t="b">
        <f>Github!N$1970</f>
        <v>0</v>
      </c>
      <c r="M2008" s="10" t="str">
        <f>ROUND(Github!O$1970, 2)&amp;"%"</f>
        <v>32.44%</v>
      </c>
      <c r="N2008" s="10">
        <f>Github!P$1970</f>
        <v>6894</v>
      </c>
      <c r="O2008" s="10">
        <f>Github!Q$1970</f>
        <v>21250</v>
      </c>
    </row>
    <row r="2009">
      <c r="A2009" s="10">
        <f>Github!J$1244</f>
        <v>1243</v>
      </c>
      <c r="B2009" s="11" t="str">
        <f>HYPERLINK(CONCAT("http://leetcode.com/problems/",Github!C$1244), Github!B$1244)</f>
        <v>Array Transformation</v>
      </c>
      <c r="C2009" s="10">
        <f>Github!F$1244</f>
        <v>115</v>
      </c>
      <c r="D2009" s="10">
        <f>Github!G$1244</f>
        <v>55</v>
      </c>
      <c r="E2009" s="10">
        <f>Github!F$1244+Github!G$1244</f>
        <v>170</v>
      </c>
      <c r="F2009" s="12">
        <f t="shared" si="1"/>
        <v>2.09</v>
      </c>
      <c r="G2009" s="10" t="str">
        <f>Github!H$1244</f>
        <v>Algorithms</v>
      </c>
      <c r="H2009" s="13" t="str">
        <f>SUBSTITUTE(Github!L$1244, ";", ", ")</f>
        <v>Array, Simulation, </v>
      </c>
      <c r="I2009" s="10" t="str">
        <f>Github!E$1244</f>
        <v>Easy</v>
      </c>
      <c r="J2009" s="10" t="str">
        <f>IF(TRIM(Github!D$1244)="TRUE","FALSE","TRUE")</f>
        <v>FALSE</v>
      </c>
      <c r="K2009" s="10" t="b">
        <f>Github!M$1244</f>
        <v>0</v>
      </c>
      <c r="L2009" s="10" t="b">
        <f>Github!N$1244</f>
        <v>0</v>
      </c>
      <c r="M2009" s="10" t="str">
        <f>ROUND(Github!O$1244, 2)&amp;"%"</f>
        <v>50.4%</v>
      </c>
      <c r="N2009" s="10">
        <f>Github!P$1244</f>
        <v>10065</v>
      </c>
      <c r="O2009" s="10">
        <f>Github!Q$1244</f>
        <v>19972</v>
      </c>
    </row>
    <row r="2010">
      <c r="A2010" s="10">
        <f>Github!J$1779</f>
        <v>1778</v>
      </c>
      <c r="B2010" s="11" t="str">
        <f>HYPERLINK(CONCAT("http://leetcode.com/problems/",Github!C$1779), Github!B$1779)</f>
        <v>Shortest Path in a Hidden Grid</v>
      </c>
      <c r="C2010" s="10">
        <f>Github!F$1779</f>
        <v>113</v>
      </c>
      <c r="D2010" s="10">
        <f>Github!G$1779</f>
        <v>45</v>
      </c>
      <c r="E2010" s="10">
        <f>Github!F$1779+Github!G$1779</f>
        <v>158</v>
      </c>
      <c r="F2010" s="12">
        <f t="shared" si="1"/>
        <v>2.51</v>
      </c>
      <c r="G2010" s="10" t="str">
        <f>Github!H$1779</f>
        <v>Algorithms</v>
      </c>
      <c r="H2010" s="13" t="str">
        <f>SUBSTITUTE(Github!L$1779, ";", ", ")</f>
        <v>Depth-First Search, Breadth-First Search, Graph, Interactive, </v>
      </c>
      <c r="I2010" s="10" t="str">
        <f>Github!E$1779</f>
        <v>Medium</v>
      </c>
      <c r="J2010" s="10" t="str">
        <f>IF(TRIM(Github!D$1779)="TRUE","FALSE","TRUE")</f>
        <v>FALSE</v>
      </c>
      <c r="K2010" s="10" t="b">
        <f>Github!M$1779</f>
        <v>0</v>
      </c>
      <c r="L2010" s="10" t="b">
        <f>Github!N$1779</f>
        <v>0</v>
      </c>
      <c r="M2010" s="10" t="str">
        <f>ROUND(Github!O$1779, 2)&amp;"%"</f>
        <v>41.23%</v>
      </c>
      <c r="N2010" s="10">
        <f>Github!P$1779</f>
        <v>3890</v>
      </c>
      <c r="O2010" s="10">
        <f>Github!Q$1779</f>
        <v>9435</v>
      </c>
    </row>
    <row r="2011">
      <c r="A2011" s="10">
        <f>Github!J$1436</f>
        <v>1435</v>
      </c>
      <c r="B2011" s="11" t="str">
        <f>HYPERLINK(CONCAT("http://leetcode.com/problems/",Github!C$1436), Github!B$1436)</f>
        <v>Create a Session Bar Chart</v>
      </c>
      <c r="C2011" s="10">
        <f>Github!F$1436</f>
        <v>113</v>
      </c>
      <c r="D2011" s="10">
        <f>Github!G$1436</f>
        <v>194</v>
      </c>
      <c r="E2011" s="10">
        <f>Github!F$1436+Github!G$1436</f>
        <v>307</v>
      </c>
      <c r="F2011" s="12">
        <f t="shared" si="1"/>
        <v>0.58</v>
      </c>
      <c r="G2011" s="10" t="str">
        <f>Github!H$1436</f>
        <v>Database</v>
      </c>
      <c r="H2011" s="13" t="str">
        <f>SUBSTITUTE(Github!L$1436, ";", ", ")</f>
        <v>Database, </v>
      </c>
      <c r="I2011" s="10" t="str">
        <f>Github!E$1436</f>
        <v>Easy</v>
      </c>
      <c r="J2011" s="10" t="str">
        <f>IF(TRIM(Github!D$1436)="TRUE","FALSE","TRUE")</f>
        <v>FALSE</v>
      </c>
      <c r="K2011" s="10" t="b">
        <f>Github!M$1436</f>
        <v>0</v>
      </c>
      <c r="L2011" s="10" t="b">
        <f>Github!N$1436</f>
        <v>0</v>
      </c>
      <c r="M2011" s="10" t="str">
        <f>ROUND(Github!O$1436, 2)&amp;"%"</f>
        <v>78.24%</v>
      </c>
      <c r="N2011" s="10">
        <f>Github!P$1436</f>
        <v>15900</v>
      </c>
      <c r="O2011" s="10">
        <f>Github!Q$1436</f>
        <v>20322</v>
      </c>
    </row>
    <row r="2012">
      <c r="A2012" s="10">
        <f>Github!J$1812</f>
        <v>1811</v>
      </c>
      <c r="B2012" s="11" t="str">
        <f>HYPERLINK(CONCAT("http://leetcode.com/problems/",Github!C$1812), Github!B$1812)</f>
        <v>Find Interview Candidates</v>
      </c>
      <c r="C2012" s="10">
        <f>Github!F$1812</f>
        <v>112</v>
      </c>
      <c r="D2012" s="10">
        <f>Github!G$1812</f>
        <v>17</v>
      </c>
      <c r="E2012" s="10">
        <f>Github!F$1812+Github!G$1812</f>
        <v>129</v>
      </c>
      <c r="F2012" s="12">
        <f t="shared" si="1"/>
        <v>6.59</v>
      </c>
      <c r="G2012" s="10" t="str">
        <f>Github!H$1812</f>
        <v>Database</v>
      </c>
      <c r="H2012" s="13" t="str">
        <f>SUBSTITUTE(Github!L$1812, ";", ", ")</f>
        <v>Database, </v>
      </c>
      <c r="I2012" s="10" t="str">
        <f>Github!E$1812</f>
        <v>Medium</v>
      </c>
      <c r="J2012" s="10" t="str">
        <f>IF(TRIM(Github!D$1812)="TRUE","FALSE","TRUE")</f>
        <v>FALSE</v>
      </c>
      <c r="K2012" s="10" t="b">
        <f>Github!M$1812</f>
        <v>0</v>
      </c>
      <c r="L2012" s="10" t="b">
        <f>Github!N$1812</f>
        <v>0</v>
      </c>
      <c r="M2012" s="10" t="str">
        <f>ROUND(Github!O$1812, 2)&amp;"%"</f>
        <v>65.02%</v>
      </c>
      <c r="N2012" s="10">
        <f>Github!P$1812</f>
        <v>8294</v>
      </c>
      <c r="O2012" s="10">
        <f>Github!Q$1812</f>
        <v>12756</v>
      </c>
    </row>
    <row r="2013">
      <c r="A2013" s="10">
        <f>Github!J$1149</f>
        <v>1148</v>
      </c>
      <c r="B2013" s="11" t="str">
        <f>HYPERLINK(CONCAT("http://leetcode.com/problems/",Github!C$1149), Github!B$1149)</f>
        <v>Article Views I</v>
      </c>
      <c r="C2013" s="10">
        <f>Github!F$1149</f>
        <v>117</v>
      </c>
      <c r="D2013" s="10">
        <f>Github!G$1149</f>
        <v>16</v>
      </c>
      <c r="E2013" s="10">
        <f>Github!F$1149+Github!G$1149</f>
        <v>133</v>
      </c>
      <c r="F2013" s="12">
        <f t="shared" si="1"/>
        <v>7.31</v>
      </c>
      <c r="G2013" s="10" t="str">
        <f>Github!H$1149</f>
        <v>Database</v>
      </c>
      <c r="H2013" s="13" t="str">
        <f>SUBSTITUTE(Github!L$1149, ";", ", ")</f>
        <v>Database, </v>
      </c>
      <c r="I2013" s="10" t="str">
        <f>Github!E$1149</f>
        <v>Easy</v>
      </c>
      <c r="J2013" s="10" t="str">
        <f>IF(TRIM(Github!D$1149)="TRUE","FALSE","TRUE")</f>
        <v>TRUE</v>
      </c>
      <c r="K2013" s="10" t="b">
        <f>Github!M$1149</f>
        <v>0</v>
      </c>
      <c r="L2013" s="10" t="b">
        <f>Github!N$1149</f>
        <v>0</v>
      </c>
      <c r="M2013" s="10" t="str">
        <f>ROUND(Github!O$1149, 2)&amp;"%"</f>
        <v>76.78%</v>
      </c>
      <c r="N2013" s="10">
        <f>Github!P$1149</f>
        <v>37999</v>
      </c>
      <c r="O2013" s="10">
        <f>Github!Q$1149</f>
        <v>49490</v>
      </c>
    </row>
    <row r="2014">
      <c r="A2014" s="10">
        <f>Github!J$823</f>
        <v>822</v>
      </c>
      <c r="B2014" s="11" t="str">
        <f>HYPERLINK(CONCAT("http://leetcode.com/problems/",Github!C$823), Github!B$823)</f>
        <v>Card Flipping Game</v>
      </c>
      <c r="C2014" s="10">
        <f>Github!F$823</f>
        <v>110</v>
      </c>
      <c r="D2014" s="10">
        <f>Github!G$823</f>
        <v>633</v>
      </c>
      <c r="E2014" s="10">
        <f>Github!F$823+Github!G$823</f>
        <v>743</v>
      </c>
      <c r="F2014" s="12">
        <f t="shared" si="1"/>
        <v>0.17</v>
      </c>
      <c r="G2014" s="10" t="str">
        <f>Github!H$823</f>
        <v>Algorithms</v>
      </c>
      <c r="H2014" s="13" t="str">
        <f>SUBSTITUTE(Github!L$823, ";", ", ")</f>
        <v>Array, Hash Table, </v>
      </c>
      <c r="I2014" s="10" t="str">
        <f>Github!E$823</f>
        <v>Medium</v>
      </c>
      <c r="J2014" s="10" t="str">
        <f>IF(TRIM(Github!D$823)="TRUE","FALSE","TRUE")</f>
        <v>TRUE</v>
      </c>
      <c r="K2014" s="10" t="b">
        <f>Github!M$823</f>
        <v>0</v>
      </c>
      <c r="L2014" s="10" t="b">
        <f>Github!N$823</f>
        <v>0</v>
      </c>
      <c r="M2014" s="10" t="str">
        <f>ROUND(Github!O$823, 2)&amp;"%"</f>
        <v>44.66%</v>
      </c>
      <c r="N2014" s="10">
        <f>Github!P$823</f>
        <v>12981</v>
      </c>
      <c r="O2014" s="10">
        <f>Github!Q$823</f>
        <v>29064</v>
      </c>
    </row>
    <row r="2015">
      <c r="A2015" s="10">
        <f>Github!J$2070</f>
        <v>2069</v>
      </c>
      <c r="B2015" s="11" t="str">
        <f>HYPERLINK(CONCAT("http://leetcode.com/problems/",Github!C$2070), Github!B$2070)</f>
        <v>Walking Robot Simulation II</v>
      </c>
      <c r="C2015" s="10">
        <f>Github!F$2070</f>
        <v>109</v>
      </c>
      <c r="D2015" s="10">
        <f>Github!G$2070</f>
        <v>235</v>
      </c>
      <c r="E2015" s="10">
        <f>Github!F$2070+Github!G$2070</f>
        <v>344</v>
      </c>
      <c r="F2015" s="12">
        <f t="shared" si="1"/>
        <v>0.46</v>
      </c>
      <c r="G2015" s="10" t="str">
        <f>Github!H$2070</f>
        <v>Algorithms</v>
      </c>
      <c r="H2015" s="13" t="str">
        <f>SUBSTITUTE(Github!L$2070, ";", ", ")</f>
        <v>Design, Simulation, </v>
      </c>
      <c r="I2015" s="10" t="str">
        <f>Github!E$2070</f>
        <v>Medium</v>
      </c>
      <c r="J2015" s="10" t="str">
        <f>IF(TRIM(Github!D$2070)="TRUE","FALSE","TRUE")</f>
        <v>TRUE</v>
      </c>
      <c r="K2015" s="10" t="b">
        <f>Github!M$2070</f>
        <v>0</v>
      </c>
      <c r="L2015" s="10" t="b">
        <f>Github!N$2070</f>
        <v>0</v>
      </c>
      <c r="M2015" s="10" t="str">
        <f>ROUND(Github!O$2070, 2)&amp;"%"</f>
        <v>21.63%</v>
      </c>
      <c r="N2015" s="10">
        <f>Github!P$2070</f>
        <v>5667</v>
      </c>
      <c r="O2015" s="10">
        <f>Github!Q$2070</f>
        <v>26201</v>
      </c>
    </row>
    <row r="2016">
      <c r="A2016" s="10">
        <f>Github!J$1454</f>
        <v>1453</v>
      </c>
      <c r="B2016" s="11" t="str">
        <f>HYPERLINK(CONCAT("http://leetcode.com/problems/",Github!C$1454), Github!B$1454)</f>
        <v>Maximum Number of Darts Inside of a Circular Dartboard</v>
      </c>
      <c r="C2016" s="10">
        <f>Github!F$1454</f>
        <v>109</v>
      </c>
      <c r="D2016" s="10">
        <f>Github!G$1454</f>
        <v>241</v>
      </c>
      <c r="E2016" s="10">
        <f>Github!F$1454+Github!G$1454</f>
        <v>350</v>
      </c>
      <c r="F2016" s="12">
        <f t="shared" si="1"/>
        <v>0.45</v>
      </c>
      <c r="G2016" s="10" t="str">
        <f>Github!H$1454</f>
        <v>Algorithms</v>
      </c>
      <c r="H2016" s="13" t="str">
        <f>SUBSTITUTE(Github!L$1454, ";", ", ")</f>
        <v>Array, Math, Geometry, </v>
      </c>
      <c r="I2016" s="10" t="str">
        <f>Github!E$1454</f>
        <v>Hard</v>
      </c>
      <c r="J2016" s="10" t="str">
        <f>IF(TRIM(Github!D$1454)="TRUE","FALSE","TRUE")</f>
        <v>TRUE</v>
      </c>
      <c r="K2016" s="10" t="b">
        <f>Github!M$1454</f>
        <v>0</v>
      </c>
      <c r="L2016" s="10" t="b">
        <f>Github!N$1454</f>
        <v>0</v>
      </c>
      <c r="M2016" s="10" t="str">
        <f>ROUND(Github!O$1454, 2)&amp;"%"</f>
        <v>36.43%</v>
      </c>
      <c r="N2016" s="10">
        <f>Github!P$1454</f>
        <v>4560</v>
      </c>
      <c r="O2016" s="10">
        <f>Github!Q$1454</f>
        <v>12517</v>
      </c>
    </row>
    <row r="2017">
      <c r="A2017" s="10">
        <f>Github!J$1194</f>
        <v>1193</v>
      </c>
      <c r="B2017" s="11" t="str">
        <f>HYPERLINK(CONCAT("http://leetcode.com/problems/",Github!C$1194), Github!B$1194)</f>
        <v>Monthly Transactions I</v>
      </c>
      <c r="C2017" s="10">
        <f>Github!F$1194</f>
        <v>110</v>
      </c>
      <c r="D2017" s="10">
        <f>Github!G$1194</f>
        <v>20</v>
      </c>
      <c r="E2017" s="10">
        <f>Github!F$1194+Github!G$1194</f>
        <v>130</v>
      </c>
      <c r="F2017" s="12">
        <f t="shared" si="1"/>
        <v>5.5</v>
      </c>
      <c r="G2017" s="10" t="str">
        <f>Github!H$1194</f>
        <v>Database</v>
      </c>
      <c r="H2017" s="13" t="str">
        <f>SUBSTITUTE(Github!L$1194, ";", ", ")</f>
        <v>Database, </v>
      </c>
      <c r="I2017" s="10" t="str">
        <f>Github!E$1194</f>
        <v>Medium</v>
      </c>
      <c r="J2017" s="10" t="str">
        <f>IF(TRIM(Github!D$1194)="TRUE","FALSE","TRUE")</f>
        <v>FALSE</v>
      </c>
      <c r="K2017" s="10" t="b">
        <f>Github!M$1194</f>
        <v>0</v>
      </c>
      <c r="L2017" s="10" t="b">
        <f>Github!N$1194</f>
        <v>0</v>
      </c>
      <c r="M2017" s="10" t="str">
        <f>ROUND(Github!O$1194, 2)&amp;"%"</f>
        <v>67.34%</v>
      </c>
      <c r="N2017" s="10">
        <f>Github!P$1194</f>
        <v>22401</v>
      </c>
      <c r="O2017" s="10">
        <f>Github!Q$1194</f>
        <v>33267</v>
      </c>
    </row>
    <row r="2018">
      <c r="A2018" s="10">
        <f>Github!J$1108</f>
        <v>1107</v>
      </c>
      <c r="B2018" s="11" t="str">
        <f>HYPERLINK(CONCAT("http://leetcode.com/problems/",Github!C$1108), Github!B$1108)</f>
        <v>New Users Daily Count</v>
      </c>
      <c r="C2018" s="10">
        <f>Github!F$1108</f>
        <v>109</v>
      </c>
      <c r="D2018" s="10">
        <f>Github!G$1108</f>
        <v>112</v>
      </c>
      <c r="E2018" s="10">
        <f>Github!F$1108+Github!G$1108</f>
        <v>221</v>
      </c>
      <c r="F2018" s="12">
        <f t="shared" si="1"/>
        <v>0.97</v>
      </c>
      <c r="G2018" s="10" t="str">
        <f>Github!H$1108</f>
        <v>Database</v>
      </c>
      <c r="H2018" s="13" t="str">
        <f>SUBSTITUTE(Github!L$1108, ";", ", ")</f>
        <v>Database, </v>
      </c>
      <c r="I2018" s="10" t="str">
        <f>Github!E$1108</f>
        <v>Medium</v>
      </c>
      <c r="J2018" s="10" t="str">
        <f>IF(TRIM(Github!D$1108)="TRUE","FALSE","TRUE")</f>
        <v>FALSE</v>
      </c>
      <c r="K2018" s="10" t="b">
        <f>Github!M$1108</f>
        <v>0</v>
      </c>
      <c r="L2018" s="10" t="b">
        <f>Github!N$1108</f>
        <v>0</v>
      </c>
      <c r="M2018" s="10" t="str">
        <f>ROUND(Github!O$1108, 2)&amp;"%"</f>
        <v>45.77%</v>
      </c>
      <c r="N2018" s="10">
        <f>Github!P$1108</f>
        <v>24849</v>
      </c>
      <c r="O2018" s="10">
        <f>Github!Q$1108</f>
        <v>54287</v>
      </c>
    </row>
    <row r="2019">
      <c r="A2019" s="10">
        <f>Github!J$1260</f>
        <v>1259</v>
      </c>
      <c r="B2019" s="11" t="str">
        <f>HYPERLINK(CONCAT("http://leetcode.com/problems/",Github!C$1260), Github!B$1260)</f>
        <v>Handshakes That Don't Cross</v>
      </c>
      <c r="C2019" s="10">
        <f>Github!F$1260</f>
        <v>111</v>
      </c>
      <c r="D2019" s="10">
        <f>Github!G$1260</f>
        <v>8</v>
      </c>
      <c r="E2019" s="10">
        <f>Github!F$1260+Github!G$1260</f>
        <v>119</v>
      </c>
      <c r="F2019" s="12">
        <f t="shared" si="1"/>
        <v>13.88</v>
      </c>
      <c r="G2019" s="10" t="str">
        <f>Github!H$1260</f>
        <v>Algorithms</v>
      </c>
      <c r="H2019" s="13" t="str">
        <f>SUBSTITUTE(Github!L$1260, ";", ", ")</f>
        <v>Math, Dynamic Programming, </v>
      </c>
      <c r="I2019" s="10" t="str">
        <f>Github!E$1260</f>
        <v>Hard</v>
      </c>
      <c r="J2019" s="10" t="str">
        <f>IF(TRIM(Github!D$1260)="TRUE","FALSE","TRUE")</f>
        <v>FALSE</v>
      </c>
      <c r="K2019" s="10" t="b">
        <f>Github!M$1260</f>
        <v>0</v>
      </c>
      <c r="L2019" s="10" t="b">
        <f>Github!N$1260</f>
        <v>0</v>
      </c>
      <c r="M2019" s="10" t="str">
        <f>ROUND(Github!O$1260, 2)&amp;"%"</f>
        <v>56.14%</v>
      </c>
      <c r="N2019" s="10">
        <f>Github!P$1260</f>
        <v>4998</v>
      </c>
      <c r="O2019" s="10">
        <f>Github!Q$1260</f>
        <v>8903</v>
      </c>
    </row>
    <row r="2020">
      <c r="A2020" s="10">
        <f>Github!J$1742</f>
        <v>1741</v>
      </c>
      <c r="B2020" s="11" t="str">
        <f>HYPERLINK(CONCAT("http://leetcode.com/problems/",Github!C$1742), Github!B$1742)</f>
        <v>Find Total Time Spent by Each Employee</v>
      </c>
      <c r="C2020" s="10">
        <f>Github!F$1742</f>
        <v>118</v>
      </c>
      <c r="D2020" s="10">
        <f>Github!G$1742</f>
        <v>5</v>
      </c>
      <c r="E2020" s="10">
        <f>Github!F$1742+Github!G$1742</f>
        <v>123</v>
      </c>
      <c r="F2020" s="12">
        <f t="shared" si="1"/>
        <v>23.6</v>
      </c>
      <c r="G2020" s="10" t="str">
        <f>Github!H$1742</f>
        <v>Database</v>
      </c>
      <c r="H2020" s="13" t="str">
        <f>SUBSTITUTE(Github!L$1742, ";", ", ")</f>
        <v>Database, </v>
      </c>
      <c r="I2020" s="10" t="str">
        <f>Github!E$1742</f>
        <v>Easy</v>
      </c>
      <c r="J2020" s="10" t="str">
        <f>IF(TRIM(Github!D$1742)="TRUE","FALSE","TRUE")</f>
        <v>TRUE</v>
      </c>
      <c r="K2020" s="10" t="b">
        <f>Github!M$1742</f>
        <v>0</v>
      </c>
      <c r="L2020" s="10" t="b">
        <f>Github!N$1742</f>
        <v>0</v>
      </c>
      <c r="M2020" s="10" t="str">
        <f>ROUND(Github!O$1742, 2)&amp;"%"</f>
        <v>91.78%</v>
      </c>
      <c r="N2020" s="10">
        <f>Github!P$1742</f>
        <v>20415</v>
      </c>
      <c r="O2020" s="10">
        <f>Github!Q$1742</f>
        <v>22244</v>
      </c>
    </row>
    <row r="2021">
      <c r="A2021" s="10">
        <f>Github!J$1919</f>
        <v>1918</v>
      </c>
      <c r="B2021" s="11" t="str">
        <f>HYPERLINK(CONCAT("http://leetcode.com/problems/",Github!C$1919), Github!B$1919)</f>
        <v>Kth Smallest Subarray Sum</v>
      </c>
      <c r="C2021" s="10">
        <f>Github!F$1919</f>
        <v>106</v>
      </c>
      <c r="D2021" s="10">
        <f>Github!G$1919</f>
        <v>4</v>
      </c>
      <c r="E2021" s="10">
        <f>Github!F$1919+Github!G$1919</f>
        <v>110</v>
      </c>
      <c r="F2021" s="12">
        <f t="shared" si="1"/>
        <v>26.5</v>
      </c>
      <c r="G2021" s="10" t="str">
        <f>Github!H$1919</f>
        <v>Algorithms</v>
      </c>
      <c r="H2021" s="13" t="str">
        <f>SUBSTITUTE(Github!L$1919, ";", ", ")</f>
        <v>Array, Binary Search, Sliding Window, </v>
      </c>
      <c r="I2021" s="10" t="str">
        <f>Github!E$1919</f>
        <v>Medium</v>
      </c>
      <c r="J2021" s="10" t="str">
        <f>IF(TRIM(Github!D$1919)="TRUE","FALSE","TRUE")</f>
        <v>FALSE</v>
      </c>
      <c r="K2021" s="10" t="b">
        <f>Github!M$1919</f>
        <v>0</v>
      </c>
      <c r="L2021" s="10" t="b">
        <f>Github!N$1919</f>
        <v>0</v>
      </c>
      <c r="M2021" s="10" t="str">
        <f>ROUND(Github!O$1919, 2)&amp;"%"</f>
        <v>54.04%</v>
      </c>
      <c r="N2021" s="10">
        <f>Github!P$1919</f>
        <v>2094</v>
      </c>
      <c r="O2021" s="10">
        <f>Github!Q$1919</f>
        <v>3875</v>
      </c>
    </row>
    <row r="2022">
      <c r="A2022" s="10">
        <f>Github!J$195</f>
        <v>194</v>
      </c>
      <c r="B2022" s="11" t="str">
        <f>HYPERLINK(CONCAT("http://leetcode.com/problems/",Github!C$195), Github!B$195)</f>
        <v>Transpose File</v>
      </c>
      <c r="C2022" s="10">
        <f>Github!F$195</f>
        <v>105</v>
      </c>
      <c r="D2022" s="10">
        <f>Github!G$195</f>
        <v>242</v>
      </c>
      <c r="E2022" s="10">
        <f>Github!F$195+Github!G$195</f>
        <v>347</v>
      </c>
      <c r="F2022" s="12">
        <f t="shared" si="1"/>
        <v>0.43</v>
      </c>
      <c r="G2022" s="10" t="str">
        <f>Github!H$195</f>
        <v>Shell</v>
      </c>
      <c r="H2022" s="13" t="str">
        <f>SUBSTITUTE(Github!L$195, ";", ", ")</f>
        <v>Shell, </v>
      </c>
      <c r="I2022" s="10" t="str">
        <f>Github!E$195</f>
        <v>Medium</v>
      </c>
      <c r="J2022" s="10" t="str">
        <f>IF(TRIM(Github!D$195)="TRUE","FALSE","TRUE")</f>
        <v>TRUE</v>
      </c>
      <c r="K2022" s="10" t="b">
        <f>Github!M$195</f>
        <v>0</v>
      </c>
      <c r="L2022" s="10" t="b">
        <f>Github!N$195</f>
        <v>0</v>
      </c>
      <c r="M2022" s="10" t="str">
        <f>ROUND(Github!O$195, 2)&amp;"%"</f>
        <v>25.06%</v>
      </c>
      <c r="N2022" s="10">
        <f>Github!P$195</f>
        <v>18267</v>
      </c>
      <c r="O2022" s="10">
        <f>Github!Q$195</f>
        <v>72888</v>
      </c>
    </row>
    <row r="2023">
      <c r="A2023" s="10">
        <f>Github!J$1349</f>
        <v>1348</v>
      </c>
      <c r="B2023" s="11" t="str">
        <f>HYPERLINK(CONCAT("http://leetcode.com/problems/",Github!C$1349), Github!B$1349)</f>
        <v>Tweet Counts Per Frequency</v>
      </c>
      <c r="C2023" s="10">
        <f>Github!F$1349</f>
        <v>108</v>
      </c>
      <c r="D2023" s="10">
        <f>Github!G$1349</f>
        <v>202</v>
      </c>
      <c r="E2023" s="10">
        <f>Github!F$1349+Github!G$1349</f>
        <v>310</v>
      </c>
      <c r="F2023" s="12">
        <f t="shared" si="1"/>
        <v>0.53</v>
      </c>
      <c r="G2023" s="10" t="str">
        <f>Github!H$1349</f>
        <v>Algorithms</v>
      </c>
      <c r="H2023" s="13" t="str">
        <f>SUBSTITUTE(Github!L$1349, ";", ", ")</f>
        <v>Hash Table, Binary Search, Design, Sorting, Ordered Set, </v>
      </c>
      <c r="I2023" s="10" t="str">
        <f>Github!E$1349</f>
        <v>Medium</v>
      </c>
      <c r="J2023" s="10" t="str">
        <f>IF(TRIM(Github!D$1349)="TRUE","FALSE","TRUE")</f>
        <v>TRUE</v>
      </c>
      <c r="K2023" s="10" t="b">
        <f>Github!M$1349</f>
        <v>0</v>
      </c>
      <c r="L2023" s="10" t="b">
        <f>Github!N$1349</f>
        <v>0</v>
      </c>
      <c r="M2023" s="10" t="str">
        <f>ROUND(Github!O$1349, 2)&amp;"%"</f>
        <v>43.04%</v>
      </c>
      <c r="N2023" s="10">
        <f>Github!P$1349</f>
        <v>26862</v>
      </c>
      <c r="O2023" s="10">
        <f>Github!Q$1349</f>
        <v>62414</v>
      </c>
    </row>
    <row r="2024">
      <c r="A2024" s="10">
        <f>Github!J$1582</f>
        <v>1581</v>
      </c>
      <c r="B2024" s="11" t="str">
        <f>HYPERLINK(CONCAT("http://leetcode.com/problems/",Github!C$1582), Github!B$1582)</f>
        <v>Customer Who Visited but Did Not Make Any Transactions</v>
      </c>
      <c r="C2024" s="10">
        <f>Github!F$1582</f>
        <v>115</v>
      </c>
      <c r="D2024" s="10">
        <f>Github!G$1582</f>
        <v>34</v>
      </c>
      <c r="E2024" s="10">
        <f>Github!F$1582+Github!G$1582</f>
        <v>149</v>
      </c>
      <c r="F2024" s="12">
        <f t="shared" si="1"/>
        <v>3.38</v>
      </c>
      <c r="G2024" s="10" t="str">
        <f>Github!H$1582</f>
        <v>Database</v>
      </c>
      <c r="H2024" s="13" t="str">
        <f>SUBSTITUTE(Github!L$1582, ";", ", ")</f>
        <v>Database, </v>
      </c>
      <c r="I2024" s="10" t="str">
        <f>Github!E$1582</f>
        <v>Easy</v>
      </c>
      <c r="J2024" s="10" t="str">
        <f>IF(TRIM(Github!D$1582)="TRUE","FALSE","TRUE")</f>
        <v>TRUE</v>
      </c>
      <c r="K2024" s="10" t="b">
        <f>Github!M$1582</f>
        <v>0</v>
      </c>
      <c r="L2024" s="10" t="b">
        <f>Github!N$1582</f>
        <v>0</v>
      </c>
      <c r="M2024" s="10" t="str">
        <f>ROUND(Github!O$1582, 2)&amp;"%"</f>
        <v>89.82%</v>
      </c>
      <c r="N2024" s="10">
        <f>Github!P$1582</f>
        <v>22274</v>
      </c>
      <c r="O2024" s="10">
        <f>Github!Q$1582</f>
        <v>24799</v>
      </c>
    </row>
    <row r="2025">
      <c r="A2025" s="10">
        <f>Github!J$2044</f>
        <v>2043</v>
      </c>
      <c r="B2025" s="11" t="str">
        <f>HYPERLINK(CONCAT("http://leetcode.com/problems/",Github!C$2044), Github!B$2044)</f>
        <v>Simple Bank System</v>
      </c>
      <c r="C2025" s="10">
        <f>Github!F$2044</f>
        <v>105</v>
      </c>
      <c r="D2025" s="10">
        <f>Github!G$2044</f>
        <v>118</v>
      </c>
      <c r="E2025" s="10">
        <f>Github!F$2044+Github!G$2044</f>
        <v>223</v>
      </c>
      <c r="F2025" s="12">
        <f t="shared" si="1"/>
        <v>0.89</v>
      </c>
      <c r="G2025" s="10" t="str">
        <f>Github!H$2044</f>
        <v>Algorithms</v>
      </c>
      <c r="H2025" s="13" t="str">
        <f>SUBSTITUTE(Github!L$2044, ";", ", ")</f>
        <v>Array, Hash Table, Design, Simulation, </v>
      </c>
      <c r="I2025" s="10" t="str">
        <f>Github!E$2044</f>
        <v>Medium</v>
      </c>
      <c r="J2025" s="10" t="str">
        <f>IF(TRIM(Github!D$2044)="TRUE","FALSE","TRUE")</f>
        <v>TRUE</v>
      </c>
      <c r="K2025" s="10" t="b">
        <f>Github!M$2044</f>
        <v>0</v>
      </c>
      <c r="L2025" s="10" t="b">
        <f>Github!N$2044</f>
        <v>0</v>
      </c>
      <c r="M2025" s="10" t="str">
        <f>ROUND(Github!O$2044, 2)&amp;"%"</f>
        <v>65.2%</v>
      </c>
      <c r="N2025" s="10">
        <f>Github!P$2044</f>
        <v>12555</v>
      </c>
      <c r="O2025" s="10">
        <f>Github!Q$2044</f>
        <v>19255</v>
      </c>
    </row>
    <row r="2026">
      <c r="A2026" s="10">
        <f>Github!J$1683</f>
        <v>1682</v>
      </c>
      <c r="B2026" s="11" t="str">
        <f>HYPERLINK(CONCAT("http://leetcode.com/problems/",Github!C$1683), Github!B$1683)</f>
        <v>Longest Palindromic Subsequence II</v>
      </c>
      <c r="C2026" s="10">
        <f>Github!F$1683</f>
        <v>105</v>
      </c>
      <c r="D2026" s="10">
        <f>Github!G$1683</f>
        <v>20</v>
      </c>
      <c r="E2026" s="10">
        <f>Github!F$1683+Github!G$1683</f>
        <v>125</v>
      </c>
      <c r="F2026" s="12">
        <f t="shared" si="1"/>
        <v>5.25</v>
      </c>
      <c r="G2026" s="10" t="str">
        <f>Github!H$1683</f>
        <v>Algorithms</v>
      </c>
      <c r="H2026" s="13" t="str">
        <f>SUBSTITUTE(Github!L$1683, ";", ", ")</f>
        <v>String, Dynamic Programming, </v>
      </c>
      <c r="I2026" s="10" t="str">
        <f>Github!E$1683</f>
        <v>Medium</v>
      </c>
      <c r="J2026" s="10" t="str">
        <f>IF(TRIM(Github!D$1683)="TRUE","FALSE","TRUE")</f>
        <v>FALSE</v>
      </c>
      <c r="K2026" s="10" t="b">
        <f>Github!M$1683</f>
        <v>0</v>
      </c>
      <c r="L2026" s="10" t="b">
        <f>Github!N$1683</f>
        <v>0</v>
      </c>
      <c r="M2026" s="10" t="str">
        <f>ROUND(Github!O$1683, 2)&amp;"%"</f>
        <v>51.02%</v>
      </c>
      <c r="N2026" s="10">
        <f>Github!P$1683</f>
        <v>3317</v>
      </c>
      <c r="O2026" s="10">
        <f>Github!Q$1683</f>
        <v>6501</v>
      </c>
    </row>
    <row r="2027">
      <c r="A2027" s="10">
        <f>Github!J$1370</f>
        <v>1369</v>
      </c>
      <c r="B2027" s="11" t="str">
        <f>HYPERLINK(CONCAT("http://leetcode.com/problems/",Github!C$1370), Github!B$1370)</f>
        <v>Get the Second Most Recent Activity</v>
      </c>
      <c r="C2027" s="10">
        <f>Github!F$1370</f>
        <v>103</v>
      </c>
      <c r="D2027" s="10">
        <f>Github!G$1370</f>
        <v>8</v>
      </c>
      <c r="E2027" s="10">
        <f>Github!F$1370+Github!G$1370</f>
        <v>111</v>
      </c>
      <c r="F2027" s="12">
        <f t="shared" si="1"/>
        <v>12.88</v>
      </c>
      <c r="G2027" s="10" t="str">
        <f>Github!H$1370</f>
        <v>Database</v>
      </c>
      <c r="H2027" s="13" t="str">
        <f>SUBSTITUTE(Github!L$1370, ";", ", ")</f>
        <v>Database, </v>
      </c>
      <c r="I2027" s="10" t="str">
        <f>Github!E$1370</f>
        <v>Hard</v>
      </c>
      <c r="J2027" s="10" t="str">
        <f>IF(TRIM(Github!D$1370)="TRUE","FALSE","TRUE")</f>
        <v>FALSE</v>
      </c>
      <c r="K2027" s="10" t="b">
        <f>Github!M$1370</f>
        <v>0</v>
      </c>
      <c r="L2027" s="10" t="b">
        <f>Github!N$1370</f>
        <v>0</v>
      </c>
      <c r="M2027" s="10" t="str">
        <f>ROUND(Github!O$1370, 2)&amp;"%"</f>
        <v>68.8%</v>
      </c>
      <c r="N2027" s="10">
        <f>Github!P$1370</f>
        <v>13295</v>
      </c>
      <c r="O2027" s="10">
        <f>Github!Q$1370</f>
        <v>19325</v>
      </c>
    </row>
    <row r="2028">
      <c r="A2028" s="10">
        <f>Github!J$1184</f>
        <v>1183</v>
      </c>
      <c r="B2028" s="11" t="str">
        <f>HYPERLINK(CONCAT("http://leetcode.com/problems/",Github!C$1184), Github!B$1184)</f>
        <v>Maximum Number of Ones</v>
      </c>
      <c r="C2028" s="10">
        <f>Github!F$1184</f>
        <v>102</v>
      </c>
      <c r="D2028" s="10">
        <f>Github!G$1184</f>
        <v>9</v>
      </c>
      <c r="E2028" s="10">
        <f>Github!F$1184+Github!G$1184</f>
        <v>111</v>
      </c>
      <c r="F2028" s="12">
        <f t="shared" si="1"/>
        <v>11.33</v>
      </c>
      <c r="G2028" s="10" t="str">
        <f>Github!H$1184</f>
        <v>Algorithms</v>
      </c>
      <c r="H2028" s="13" t="str">
        <f>SUBSTITUTE(Github!L$1184, ";", ", ")</f>
        <v>Greedy, Heap (Priority Queue), </v>
      </c>
      <c r="I2028" s="10" t="str">
        <f>Github!E$1184</f>
        <v>Hard</v>
      </c>
      <c r="J2028" s="10" t="str">
        <f>IF(TRIM(Github!D$1184)="TRUE","FALSE","TRUE")</f>
        <v>FALSE</v>
      </c>
      <c r="K2028" s="10" t="b">
        <f>Github!M$1184</f>
        <v>0</v>
      </c>
      <c r="L2028" s="10" t="b">
        <f>Github!N$1184</f>
        <v>0</v>
      </c>
      <c r="M2028" s="10" t="str">
        <f>ROUND(Github!O$1184, 2)&amp;"%"</f>
        <v>60.43%</v>
      </c>
      <c r="N2028" s="10">
        <f>Github!P$1184</f>
        <v>2181</v>
      </c>
      <c r="O2028" s="10">
        <f>Github!Q$1184</f>
        <v>3609</v>
      </c>
    </row>
    <row r="2029">
      <c r="A2029" s="10">
        <f>Github!J$1699</f>
        <v>1698</v>
      </c>
      <c r="B2029" s="11" t="str">
        <f>HYPERLINK(CONCAT("http://leetcode.com/problems/",Github!C$1699), Github!B$1699)</f>
        <v>Number of Distinct Substrings in a String</v>
      </c>
      <c r="C2029" s="10">
        <f>Github!F$1699</f>
        <v>103</v>
      </c>
      <c r="D2029" s="10">
        <f>Github!G$1699</f>
        <v>28</v>
      </c>
      <c r="E2029" s="10">
        <f>Github!F$1699+Github!G$1699</f>
        <v>131</v>
      </c>
      <c r="F2029" s="12">
        <f t="shared" si="1"/>
        <v>3.68</v>
      </c>
      <c r="G2029" s="10" t="str">
        <f>Github!H$1699</f>
        <v>Algorithms</v>
      </c>
      <c r="H2029" s="13" t="str">
        <f>SUBSTITUTE(Github!L$1699, ";", ", ")</f>
        <v>String, Trie, Rolling Hash, Suffix Array, Hash Function, </v>
      </c>
      <c r="I2029" s="10" t="str">
        <f>Github!E$1699</f>
        <v>Medium</v>
      </c>
      <c r="J2029" s="10" t="str">
        <f>IF(TRIM(Github!D$1699)="TRUE","FALSE","TRUE")</f>
        <v>FALSE</v>
      </c>
      <c r="K2029" s="10" t="b">
        <f>Github!M$1699</f>
        <v>0</v>
      </c>
      <c r="L2029" s="10" t="b">
        <f>Github!N$1699</f>
        <v>0</v>
      </c>
      <c r="M2029" s="10" t="str">
        <f>ROUND(Github!O$1699, 2)&amp;"%"</f>
        <v>62.19%</v>
      </c>
      <c r="N2029" s="10">
        <f>Github!P$1699</f>
        <v>4343</v>
      </c>
      <c r="O2029" s="10">
        <f>Github!Q$1699</f>
        <v>6983</v>
      </c>
    </row>
    <row r="2030">
      <c r="A2030" s="10">
        <f>Github!J$1859</f>
        <v>1858</v>
      </c>
      <c r="B2030" s="11" t="str">
        <f>HYPERLINK(CONCAT("http://leetcode.com/problems/",Github!C$1859), Github!B$1859)</f>
        <v>Longest Word With All Prefixes</v>
      </c>
      <c r="C2030" s="10">
        <f>Github!F$1859</f>
        <v>104</v>
      </c>
      <c r="D2030" s="10">
        <f>Github!G$1859</f>
        <v>3</v>
      </c>
      <c r="E2030" s="10">
        <f>Github!F$1859+Github!G$1859</f>
        <v>107</v>
      </c>
      <c r="F2030" s="12">
        <f t="shared" si="1"/>
        <v>34.67</v>
      </c>
      <c r="G2030" s="10" t="str">
        <f>Github!H$1859</f>
        <v>Algorithms</v>
      </c>
      <c r="H2030" s="13" t="str">
        <f>SUBSTITUTE(Github!L$1859, ";", ", ")</f>
        <v>Depth-First Search, Trie, </v>
      </c>
      <c r="I2030" s="10" t="str">
        <f>Github!E$1859</f>
        <v>Medium</v>
      </c>
      <c r="J2030" s="10" t="str">
        <f>IF(TRIM(Github!D$1859)="TRUE","FALSE","TRUE")</f>
        <v>FALSE</v>
      </c>
      <c r="K2030" s="10" t="b">
        <f>Github!M$1859</f>
        <v>0</v>
      </c>
      <c r="L2030" s="10" t="b">
        <f>Github!N$1859</f>
        <v>0</v>
      </c>
      <c r="M2030" s="10" t="str">
        <f>ROUND(Github!O$1859, 2)&amp;"%"</f>
        <v>66.45%</v>
      </c>
      <c r="N2030" s="10">
        <f>Github!P$1859</f>
        <v>3798</v>
      </c>
      <c r="O2030" s="10">
        <f>Github!Q$1859</f>
        <v>5716</v>
      </c>
    </row>
    <row r="2031">
      <c r="A2031" s="10">
        <f>Github!J$836</f>
        <v>835</v>
      </c>
      <c r="B2031" s="11" t="str">
        <f>HYPERLINK(CONCAT("http://leetcode.com/problems/",Github!C$836), Github!B$836)</f>
        <v>Image Overlap</v>
      </c>
      <c r="C2031" s="10">
        <f>Github!F$836</f>
        <v>101</v>
      </c>
      <c r="D2031" s="10">
        <f>Github!G$836</f>
        <v>29</v>
      </c>
      <c r="E2031" s="10">
        <f>Github!F$836+Github!G$836</f>
        <v>130</v>
      </c>
      <c r="F2031" s="12">
        <f t="shared" si="1"/>
        <v>3.48</v>
      </c>
      <c r="G2031" s="10" t="str">
        <f>Github!H$836</f>
        <v>Algorithms</v>
      </c>
      <c r="H2031" s="13" t="str">
        <f>SUBSTITUTE(Github!L$836, ";", ", ")</f>
        <v>Array, Matrix, </v>
      </c>
      <c r="I2031" s="10" t="str">
        <f>Github!E$836</f>
        <v>Medium</v>
      </c>
      <c r="J2031" s="10" t="str">
        <f>IF(TRIM(Github!D$836)="TRUE","FALSE","TRUE")</f>
        <v>TRUE</v>
      </c>
      <c r="K2031" s="10" t="b">
        <f>Github!M$836</f>
        <v>1</v>
      </c>
      <c r="L2031" s="10" t="b">
        <f>Github!N$836</f>
        <v>0</v>
      </c>
      <c r="M2031" s="10" t="str">
        <f>ROUND(Github!O$836, 2)&amp;"%"</f>
        <v>61.25%</v>
      </c>
      <c r="N2031" s="10">
        <f>Github!P$836</f>
        <v>47420</v>
      </c>
      <c r="O2031" s="10">
        <f>Github!Q$836</f>
        <v>77418</v>
      </c>
    </row>
    <row r="2032">
      <c r="A2032" s="10">
        <f>Github!J$1710</f>
        <v>1709</v>
      </c>
      <c r="B2032" s="11" t="str">
        <f>HYPERLINK(CONCAT("http://leetcode.com/problems/",Github!C$1710), Github!B$1710)</f>
        <v>Biggest Window Between Visits</v>
      </c>
      <c r="C2032" s="10">
        <f>Github!F$1710</f>
        <v>102</v>
      </c>
      <c r="D2032" s="10">
        <f>Github!G$1710</f>
        <v>6</v>
      </c>
      <c r="E2032" s="10">
        <f>Github!F$1710+Github!G$1710</f>
        <v>108</v>
      </c>
      <c r="F2032" s="12">
        <f t="shared" si="1"/>
        <v>17</v>
      </c>
      <c r="G2032" s="10" t="str">
        <f>Github!H$1710</f>
        <v>Database</v>
      </c>
      <c r="H2032" s="13" t="str">
        <f>SUBSTITUTE(Github!L$1710, ";", ", ")</f>
        <v>Database, </v>
      </c>
      <c r="I2032" s="10" t="str">
        <f>Github!E$1710</f>
        <v>Medium</v>
      </c>
      <c r="J2032" s="10" t="str">
        <f>IF(TRIM(Github!D$1710)="TRUE","FALSE","TRUE")</f>
        <v>FALSE</v>
      </c>
      <c r="K2032" s="10" t="b">
        <f>Github!M$1710</f>
        <v>0</v>
      </c>
      <c r="L2032" s="10" t="b">
        <f>Github!N$1710</f>
        <v>0</v>
      </c>
      <c r="M2032" s="10" t="str">
        <f>ROUND(Github!O$1710, 2)&amp;"%"</f>
        <v>78.1%</v>
      </c>
      <c r="N2032" s="10">
        <f>Github!P$1710</f>
        <v>10079</v>
      </c>
      <c r="O2032" s="10">
        <f>Github!Q$1710</f>
        <v>12906</v>
      </c>
    </row>
    <row r="2033">
      <c r="A2033" s="10">
        <f>Github!J$2214</f>
        <v>2213</v>
      </c>
      <c r="B2033" s="11" t="str">
        <f>HYPERLINK(CONCAT("http://leetcode.com/problems/",Github!C$2214), Github!B$2214)</f>
        <v>Longest Substring of One Repeating Character</v>
      </c>
      <c r="C2033" s="10">
        <f>Github!F$2214</f>
        <v>108</v>
      </c>
      <c r="D2033" s="10">
        <f>Github!G$2214</f>
        <v>68</v>
      </c>
      <c r="E2033" s="10">
        <f>Github!F$2214+Github!G$2214</f>
        <v>176</v>
      </c>
      <c r="F2033" s="12">
        <f t="shared" si="1"/>
        <v>1.59</v>
      </c>
      <c r="G2033" s="10" t="str">
        <f>Github!H$2214</f>
        <v>Algorithms</v>
      </c>
      <c r="H2033" s="13" t="str">
        <f>SUBSTITUTE(Github!L$2214, ";", ", ")</f>
        <v>Array, String, Segment Tree, Ordered Set, </v>
      </c>
      <c r="I2033" s="10" t="str">
        <f>Github!E$2214</f>
        <v>Hard</v>
      </c>
      <c r="J2033" s="10" t="str">
        <f>IF(TRIM(Github!D$2214)="TRUE","FALSE","TRUE")</f>
        <v>TRUE</v>
      </c>
      <c r="K2033" s="10" t="b">
        <f>Github!M$2214</f>
        <v>0</v>
      </c>
      <c r="L2033" s="10" t="b">
        <f>Github!N$2214</f>
        <v>0</v>
      </c>
      <c r="M2033" s="10" t="str">
        <f>ROUND(Github!O$2214, 2)&amp;"%"</f>
        <v>28.53%</v>
      </c>
      <c r="N2033" s="10">
        <f>Github!P$2214</f>
        <v>1971</v>
      </c>
      <c r="O2033" s="10">
        <f>Github!Q$2214</f>
        <v>6909</v>
      </c>
    </row>
    <row r="2034">
      <c r="A2034" s="10">
        <f>Github!J$1206</f>
        <v>1205</v>
      </c>
      <c r="B2034" s="11" t="str">
        <f>HYPERLINK(CONCAT("http://leetcode.com/problems/",Github!C$1206), Github!B$1206)</f>
        <v>Monthly Transactions II</v>
      </c>
      <c r="C2034" s="10">
        <f>Github!F$1206</f>
        <v>102</v>
      </c>
      <c r="D2034" s="10">
        <f>Github!G$1206</f>
        <v>392</v>
      </c>
      <c r="E2034" s="10">
        <f>Github!F$1206+Github!G$1206</f>
        <v>494</v>
      </c>
      <c r="F2034" s="12">
        <f t="shared" si="1"/>
        <v>0.26</v>
      </c>
      <c r="G2034" s="10" t="str">
        <f>Github!H$1206</f>
        <v>Database</v>
      </c>
      <c r="H2034" s="13" t="str">
        <f>SUBSTITUTE(Github!L$1206, ";", ", ")</f>
        <v>Database, </v>
      </c>
      <c r="I2034" s="10" t="str">
        <f>Github!E$1206</f>
        <v>Medium</v>
      </c>
      <c r="J2034" s="10" t="str">
        <f>IF(TRIM(Github!D$1206)="TRUE","FALSE","TRUE")</f>
        <v>FALSE</v>
      </c>
      <c r="K2034" s="10" t="b">
        <f>Github!M$1206</f>
        <v>0</v>
      </c>
      <c r="L2034" s="10" t="b">
        <f>Github!N$1206</f>
        <v>0</v>
      </c>
      <c r="M2034" s="10" t="str">
        <f>ROUND(Github!O$1206, 2)&amp;"%"</f>
        <v>44.68%</v>
      </c>
      <c r="N2034" s="10">
        <f>Github!P$1206</f>
        <v>15369</v>
      </c>
      <c r="O2034" s="10">
        <f>Github!Q$1206</f>
        <v>34399</v>
      </c>
    </row>
    <row r="2035">
      <c r="A2035" s="10">
        <f>Github!J$1613</f>
        <v>1612</v>
      </c>
      <c r="B2035" s="11" t="str">
        <f>HYPERLINK(CONCAT("http://leetcode.com/problems/",Github!C$1613), Github!B$1613)</f>
        <v>Check If Two Expression Trees are Equivalent</v>
      </c>
      <c r="C2035" s="10">
        <f>Github!F$1613</f>
        <v>100</v>
      </c>
      <c r="D2035" s="10">
        <f>Github!G$1613</f>
        <v>17</v>
      </c>
      <c r="E2035" s="10">
        <f>Github!F$1613+Github!G$1613</f>
        <v>117</v>
      </c>
      <c r="F2035" s="12">
        <f t="shared" si="1"/>
        <v>5.88</v>
      </c>
      <c r="G2035" s="10" t="str">
        <f>Github!H$1613</f>
        <v>Algorithms</v>
      </c>
      <c r="H2035" s="13" t="str">
        <f>SUBSTITUTE(Github!L$1613, ";", ", ")</f>
        <v>Tree, Depth-First Search, Binary Tree, </v>
      </c>
      <c r="I2035" s="10" t="str">
        <f>Github!E$1613</f>
        <v>Medium</v>
      </c>
      <c r="J2035" s="10" t="str">
        <f>IF(TRIM(Github!D$1613)="TRUE","FALSE","TRUE")</f>
        <v>FALSE</v>
      </c>
      <c r="K2035" s="10" t="b">
        <f>Github!M$1613</f>
        <v>0</v>
      </c>
      <c r="L2035" s="10" t="b">
        <f>Github!N$1613</f>
        <v>0</v>
      </c>
      <c r="M2035" s="10" t="str">
        <f>ROUND(Github!O$1613, 2)&amp;"%"</f>
        <v>69.29%</v>
      </c>
      <c r="N2035" s="10">
        <f>Github!P$1613</f>
        <v>4843</v>
      </c>
      <c r="O2035" s="10">
        <f>Github!Q$1613</f>
        <v>6989</v>
      </c>
    </row>
    <row r="2036">
      <c r="A2036" s="10">
        <f>Github!J$1480</f>
        <v>1479</v>
      </c>
      <c r="B2036" s="11" t="str">
        <f>HYPERLINK(CONCAT("http://leetcode.com/problems/",Github!C$1480), Github!B$1480)</f>
        <v>Sales by Day of the Week</v>
      </c>
      <c r="C2036" s="10">
        <f>Github!F$1480</f>
        <v>98</v>
      </c>
      <c r="D2036" s="10">
        <f>Github!G$1480</f>
        <v>34</v>
      </c>
      <c r="E2036" s="10">
        <f>Github!F$1480+Github!G$1480</f>
        <v>132</v>
      </c>
      <c r="F2036" s="12">
        <f t="shared" si="1"/>
        <v>2.88</v>
      </c>
      <c r="G2036" s="10" t="str">
        <f>Github!H$1480</f>
        <v>Database</v>
      </c>
      <c r="H2036" s="13" t="str">
        <f>SUBSTITUTE(Github!L$1480, ";", ", ")</f>
        <v>Database, </v>
      </c>
      <c r="I2036" s="10" t="str">
        <f>Github!E$1480</f>
        <v>Hard</v>
      </c>
      <c r="J2036" s="10" t="str">
        <f>IF(TRIM(Github!D$1480)="TRUE","FALSE","TRUE")</f>
        <v>FALSE</v>
      </c>
      <c r="K2036" s="10" t="b">
        <f>Github!M$1480</f>
        <v>0</v>
      </c>
      <c r="L2036" s="10" t="b">
        <f>Github!N$1480</f>
        <v>0</v>
      </c>
      <c r="M2036" s="10" t="str">
        <f>ROUND(Github!O$1480, 2)&amp;"%"</f>
        <v>82.35%</v>
      </c>
      <c r="N2036" s="10">
        <f>Github!P$1480</f>
        <v>12577</v>
      </c>
      <c r="O2036" s="10">
        <f>Github!Q$1480</f>
        <v>15273</v>
      </c>
    </row>
    <row r="2037">
      <c r="A2037" s="10">
        <f>Github!J$1784</f>
        <v>1783</v>
      </c>
      <c r="B2037" s="11" t="str">
        <f>HYPERLINK(CONCAT("http://leetcode.com/problems/",Github!C$1784), Github!B$1784)</f>
        <v>Grand Slam Titles</v>
      </c>
      <c r="C2037" s="10">
        <f>Github!F$1784</f>
        <v>99</v>
      </c>
      <c r="D2037" s="10">
        <f>Github!G$1784</f>
        <v>2</v>
      </c>
      <c r="E2037" s="10">
        <f>Github!F$1784+Github!G$1784</f>
        <v>101</v>
      </c>
      <c r="F2037" s="12">
        <f t="shared" si="1"/>
        <v>49.5</v>
      </c>
      <c r="G2037" s="10" t="str">
        <f>Github!H$1784</f>
        <v>Database</v>
      </c>
      <c r="H2037" s="13" t="str">
        <f>SUBSTITUTE(Github!L$1784, ";", ", ")</f>
        <v>Database, </v>
      </c>
      <c r="I2037" s="10" t="str">
        <f>Github!E$1784</f>
        <v>Medium</v>
      </c>
      <c r="J2037" s="10" t="str">
        <f>IF(TRIM(Github!D$1784)="TRUE","FALSE","TRUE")</f>
        <v>FALSE</v>
      </c>
      <c r="K2037" s="10" t="b">
        <f>Github!M$1784</f>
        <v>0</v>
      </c>
      <c r="L2037" s="10" t="b">
        <f>Github!N$1784</f>
        <v>0</v>
      </c>
      <c r="M2037" s="10" t="str">
        <f>ROUND(Github!O$1784, 2)&amp;"%"</f>
        <v>89.28%</v>
      </c>
      <c r="N2037" s="10">
        <f>Github!P$1784</f>
        <v>10509</v>
      </c>
      <c r="O2037" s="10">
        <f>Github!Q$1784</f>
        <v>11771</v>
      </c>
    </row>
    <row r="2038">
      <c r="A2038" s="10">
        <f>Github!J$2049</f>
        <v>2048</v>
      </c>
      <c r="B2038" s="11" t="str">
        <f>HYPERLINK(CONCAT("http://leetcode.com/problems/",Github!C$2049), Github!B$2049)</f>
        <v>Next Greater Numerically Balanced Number</v>
      </c>
      <c r="C2038" s="10">
        <f>Github!F$2049</f>
        <v>98</v>
      </c>
      <c r="D2038" s="10">
        <f>Github!G$2049</f>
        <v>220</v>
      </c>
      <c r="E2038" s="10">
        <f>Github!F$2049+Github!G$2049</f>
        <v>318</v>
      </c>
      <c r="F2038" s="12">
        <f t="shared" si="1"/>
        <v>0.45</v>
      </c>
      <c r="G2038" s="10" t="str">
        <f>Github!H$2049</f>
        <v>Algorithms</v>
      </c>
      <c r="H2038" s="13" t="str">
        <f>SUBSTITUTE(Github!L$2049, ";", ", ")</f>
        <v>Math, Backtracking, Enumeration, </v>
      </c>
      <c r="I2038" s="10" t="str">
        <f>Github!E$2049</f>
        <v>Medium</v>
      </c>
      <c r="J2038" s="10" t="str">
        <f>IF(TRIM(Github!D$2049)="TRUE","FALSE","TRUE")</f>
        <v>TRUE</v>
      </c>
      <c r="K2038" s="10" t="b">
        <f>Github!M$2049</f>
        <v>0</v>
      </c>
      <c r="L2038" s="10" t="b">
        <f>Github!N$2049</f>
        <v>0</v>
      </c>
      <c r="M2038" s="10" t="str">
        <f>ROUND(Github!O$2049, 2)&amp;"%"</f>
        <v>46.28%</v>
      </c>
      <c r="N2038" s="10">
        <f>Github!P$2049</f>
        <v>8379</v>
      </c>
      <c r="O2038" s="10">
        <f>Github!Q$2049</f>
        <v>18104</v>
      </c>
    </row>
    <row r="2039">
      <c r="A2039" s="10">
        <f>Github!J$1356</f>
        <v>1355</v>
      </c>
      <c r="B2039" s="11" t="str">
        <f>HYPERLINK(CONCAT("http://leetcode.com/problems/",Github!C$1356), Github!B$1356)</f>
        <v>Activity Participants</v>
      </c>
      <c r="C2039" s="10">
        <f>Github!F$1356</f>
        <v>97</v>
      </c>
      <c r="D2039" s="10">
        <f>Github!G$1356</f>
        <v>34</v>
      </c>
      <c r="E2039" s="10">
        <f>Github!F$1356+Github!G$1356</f>
        <v>131</v>
      </c>
      <c r="F2039" s="12">
        <f t="shared" si="1"/>
        <v>2.85</v>
      </c>
      <c r="G2039" s="10" t="str">
        <f>Github!H$1356</f>
        <v>Database</v>
      </c>
      <c r="H2039" s="13" t="str">
        <f>SUBSTITUTE(Github!L$1356, ";", ", ")</f>
        <v>Database, </v>
      </c>
      <c r="I2039" s="10" t="str">
        <f>Github!E$1356</f>
        <v>Medium</v>
      </c>
      <c r="J2039" s="10" t="str">
        <f>IF(TRIM(Github!D$1356)="TRUE","FALSE","TRUE")</f>
        <v>FALSE</v>
      </c>
      <c r="K2039" s="10" t="b">
        <f>Github!M$1356</f>
        <v>0</v>
      </c>
      <c r="L2039" s="10" t="b">
        <f>Github!N$1356</f>
        <v>0</v>
      </c>
      <c r="M2039" s="10" t="str">
        <f>ROUND(Github!O$1356, 2)&amp;"%"</f>
        <v>74.6%</v>
      </c>
      <c r="N2039" s="10">
        <f>Github!P$1356</f>
        <v>20655</v>
      </c>
      <c r="O2039" s="10">
        <f>Github!Q$1356</f>
        <v>27689</v>
      </c>
    </row>
    <row r="2040">
      <c r="A2040" s="10">
        <f>Github!J$790</f>
        <v>789</v>
      </c>
      <c r="B2040" s="11" t="str">
        <f>HYPERLINK(CONCAT("http://leetcode.com/problems/",Github!C$790), Github!B$790)</f>
        <v>Escape The Ghosts</v>
      </c>
      <c r="C2040" s="10">
        <f>Github!F$790</f>
        <v>98</v>
      </c>
      <c r="D2040" s="10">
        <f>Github!G$790</f>
        <v>15</v>
      </c>
      <c r="E2040" s="10">
        <f>Github!F$790+Github!G$790</f>
        <v>113</v>
      </c>
      <c r="F2040" s="12">
        <f t="shared" si="1"/>
        <v>6.53</v>
      </c>
      <c r="G2040" s="10" t="str">
        <f>Github!H$790</f>
        <v>Algorithms</v>
      </c>
      <c r="H2040" s="13" t="str">
        <f>SUBSTITUTE(Github!L$790, ";", ", ")</f>
        <v>Array, Math, </v>
      </c>
      <c r="I2040" s="10" t="str">
        <f>Github!E$790</f>
        <v>Medium</v>
      </c>
      <c r="J2040" s="10" t="str">
        <f>IF(TRIM(Github!D$790)="TRUE","FALSE","TRUE")</f>
        <v>TRUE</v>
      </c>
      <c r="K2040" s="10" t="b">
        <f>Github!M$790</f>
        <v>1</v>
      </c>
      <c r="L2040" s="10" t="b">
        <f>Github!N$790</f>
        <v>0</v>
      </c>
      <c r="M2040" s="10" t="str">
        <f>ROUND(Github!O$790, 2)&amp;"%"</f>
        <v>60.13%</v>
      </c>
      <c r="N2040" s="10">
        <f>Github!P$790</f>
        <v>21094</v>
      </c>
      <c r="O2040" s="10">
        <f>Github!Q$790</f>
        <v>35078</v>
      </c>
    </row>
    <row r="2041">
      <c r="A2041" s="10">
        <f>Github!J$1518</f>
        <v>1517</v>
      </c>
      <c r="B2041" s="11" t="str">
        <f>HYPERLINK(CONCAT("http://leetcode.com/problems/",Github!C$1518), Github!B$1518)</f>
        <v>Find Users With Valid E-Mails</v>
      </c>
      <c r="C2041" s="10">
        <f>Github!F$1518</f>
        <v>95</v>
      </c>
      <c r="D2041" s="10">
        <f>Github!G$1518</f>
        <v>67</v>
      </c>
      <c r="E2041" s="10">
        <f>Github!F$1518+Github!G$1518</f>
        <v>162</v>
      </c>
      <c r="F2041" s="12">
        <f t="shared" si="1"/>
        <v>1.42</v>
      </c>
      <c r="G2041" s="10" t="str">
        <f>Github!H$1518</f>
        <v>Database</v>
      </c>
      <c r="H2041" s="13" t="str">
        <f>SUBSTITUTE(Github!L$1518, ";", ", ")</f>
        <v>Database, </v>
      </c>
      <c r="I2041" s="10" t="str">
        <f>Github!E$1518</f>
        <v>Easy</v>
      </c>
      <c r="J2041" s="10" t="str">
        <f>IF(TRIM(Github!D$1518)="TRUE","FALSE","TRUE")</f>
        <v>FALSE</v>
      </c>
      <c r="K2041" s="10" t="b">
        <f>Github!M$1518</f>
        <v>0</v>
      </c>
      <c r="L2041" s="10" t="b">
        <f>Github!N$1518</f>
        <v>0</v>
      </c>
      <c r="M2041" s="10" t="str">
        <f>ROUND(Github!O$1518, 2)&amp;"%"</f>
        <v>60.6%</v>
      </c>
      <c r="N2041" s="10">
        <f>Github!P$1518</f>
        <v>18258</v>
      </c>
      <c r="O2041" s="10">
        <f>Github!Q$1518</f>
        <v>30127</v>
      </c>
    </row>
    <row r="2042">
      <c r="A2042" s="10">
        <f>Github!J$1694</f>
        <v>1693</v>
      </c>
      <c r="B2042" s="11" t="str">
        <f>HYPERLINK(CONCAT("http://leetcode.com/problems/",Github!C$1694), Github!B$1694)</f>
        <v>Daily Leads and Partners</v>
      </c>
      <c r="C2042" s="10">
        <f>Github!F$1694</f>
        <v>99</v>
      </c>
      <c r="D2042" s="10">
        <f>Github!G$1694</f>
        <v>9</v>
      </c>
      <c r="E2042" s="10">
        <f>Github!F$1694+Github!G$1694</f>
        <v>108</v>
      </c>
      <c r="F2042" s="12">
        <f t="shared" si="1"/>
        <v>11</v>
      </c>
      <c r="G2042" s="10" t="str">
        <f>Github!H$1694</f>
        <v>Database</v>
      </c>
      <c r="H2042" s="13" t="str">
        <f>SUBSTITUTE(Github!L$1694, ";", ", ")</f>
        <v>Database, </v>
      </c>
      <c r="I2042" s="10" t="str">
        <f>Github!E$1694</f>
        <v>Easy</v>
      </c>
      <c r="J2042" s="10" t="str">
        <f>IF(TRIM(Github!D$1694)="TRUE","FALSE","TRUE")</f>
        <v>TRUE</v>
      </c>
      <c r="K2042" s="10" t="b">
        <f>Github!M$1694</f>
        <v>0</v>
      </c>
      <c r="L2042" s="10" t="b">
        <f>Github!N$1694</f>
        <v>0</v>
      </c>
      <c r="M2042" s="10" t="str">
        <f>ROUND(Github!O$1694, 2)&amp;"%"</f>
        <v>91.61%</v>
      </c>
      <c r="N2042" s="10">
        <f>Github!P$1694</f>
        <v>18120</v>
      </c>
      <c r="O2042" s="10">
        <f>Github!Q$1694</f>
        <v>19780</v>
      </c>
    </row>
    <row r="2043">
      <c r="A2043" s="10">
        <f>Github!J$1974</f>
        <v>1973</v>
      </c>
      <c r="B2043" s="11" t="str">
        <f>HYPERLINK(CONCAT("http://leetcode.com/problems/",Github!C$1974), Github!B$1974)</f>
        <v>Count Nodes Equal to Sum of Descendants</v>
      </c>
      <c r="C2043" s="10">
        <f>Github!F$1974</f>
        <v>97</v>
      </c>
      <c r="D2043" s="10">
        <f>Github!G$1974</f>
        <v>2</v>
      </c>
      <c r="E2043" s="10">
        <f>Github!F$1974+Github!G$1974</f>
        <v>99</v>
      </c>
      <c r="F2043" s="12">
        <f t="shared" si="1"/>
        <v>48.5</v>
      </c>
      <c r="G2043" s="10" t="str">
        <f>Github!H$1974</f>
        <v>Algorithms</v>
      </c>
      <c r="H2043" s="13" t="str">
        <f>SUBSTITUTE(Github!L$1974, ";", ", ")</f>
        <v>Tree, Depth-First Search, Binary Search Tree, Binary Tree, </v>
      </c>
      <c r="I2043" s="10" t="str">
        <f>Github!E$1974</f>
        <v>Medium</v>
      </c>
      <c r="J2043" s="10" t="str">
        <f>IF(TRIM(Github!D$1974)="TRUE","FALSE","TRUE")</f>
        <v>FALSE</v>
      </c>
      <c r="K2043" s="10" t="b">
        <f>Github!M$1974</f>
        <v>0</v>
      </c>
      <c r="L2043" s="10" t="b">
        <f>Github!N$1974</f>
        <v>0</v>
      </c>
      <c r="M2043" s="10" t="str">
        <f>ROUND(Github!O$1974, 2)&amp;"%"</f>
        <v>75.37%</v>
      </c>
      <c r="N2043" s="10">
        <f>Github!P$1974</f>
        <v>5330</v>
      </c>
      <c r="O2043" s="10">
        <f>Github!Q$1974</f>
        <v>7071</v>
      </c>
    </row>
    <row r="2044">
      <c r="A2044" s="10">
        <f>Github!J$1122</f>
        <v>1121</v>
      </c>
      <c r="B2044" s="11" t="str">
        <f>HYPERLINK(CONCAT("http://leetcode.com/problems/",Github!C$1122), Github!B$1122)</f>
        <v>Divide Array Into Increasing Sequences</v>
      </c>
      <c r="C2044" s="10">
        <f>Github!F$1122</f>
        <v>92</v>
      </c>
      <c r="D2044" s="10">
        <f>Github!G$1122</f>
        <v>25</v>
      </c>
      <c r="E2044" s="10">
        <f>Github!F$1122+Github!G$1122</f>
        <v>117</v>
      </c>
      <c r="F2044" s="12">
        <f t="shared" si="1"/>
        <v>3.68</v>
      </c>
      <c r="G2044" s="10" t="str">
        <f>Github!H$1122</f>
        <v>Algorithms</v>
      </c>
      <c r="H2044" s="13" t="str">
        <f>SUBSTITUTE(Github!L$1122, ";", ", ")</f>
        <v>Array, Greedy, </v>
      </c>
      <c r="I2044" s="10" t="str">
        <f>Github!E$1122</f>
        <v>Hard</v>
      </c>
      <c r="J2044" s="10" t="str">
        <f>IF(TRIM(Github!D$1122)="TRUE","FALSE","TRUE")</f>
        <v>FALSE</v>
      </c>
      <c r="K2044" s="10" t="b">
        <f>Github!M$1122</f>
        <v>0</v>
      </c>
      <c r="L2044" s="10" t="b">
        <f>Github!N$1122</f>
        <v>0</v>
      </c>
      <c r="M2044" s="10" t="str">
        <f>ROUND(Github!O$1122, 2)&amp;"%"</f>
        <v>59.79%</v>
      </c>
      <c r="N2044" s="10">
        <f>Github!P$1122</f>
        <v>3879</v>
      </c>
      <c r="O2044" s="10">
        <f>Github!Q$1122</f>
        <v>6488</v>
      </c>
    </row>
    <row r="2045">
      <c r="A2045" s="10">
        <f>Github!J$352</f>
        <v>351</v>
      </c>
      <c r="B2045" s="11" t="str">
        <f>HYPERLINK(CONCAT("http://leetcode.com/problems/",Github!C$352), Github!B$352)</f>
        <v>Android Unlock Patterns</v>
      </c>
      <c r="C2045" s="10">
        <f>Github!F$352</f>
        <v>94</v>
      </c>
      <c r="D2045" s="10">
        <f>Github!G$352</f>
        <v>92</v>
      </c>
      <c r="E2045" s="10">
        <f>Github!F$352+Github!G$352</f>
        <v>186</v>
      </c>
      <c r="F2045" s="12">
        <f t="shared" si="1"/>
        <v>1.02</v>
      </c>
      <c r="G2045" s="10" t="str">
        <f>Github!H$352</f>
        <v>Algorithms</v>
      </c>
      <c r="H2045" s="13" t="str">
        <f>SUBSTITUTE(Github!L$352, ";", ", ")</f>
        <v>Dynamic Programming, Backtracking, </v>
      </c>
      <c r="I2045" s="10" t="str">
        <f>Github!E$352</f>
        <v>Medium</v>
      </c>
      <c r="J2045" s="10" t="str">
        <f>IF(TRIM(Github!D$352)="TRUE","FALSE","TRUE")</f>
        <v>FALSE</v>
      </c>
      <c r="K2045" s="10" t="b">
        <f>Github!M$352</f>
        <v>0</v>
      </c>
      <c r="L2045" s="10" t="b">
        <f>Github!N$352</f>
        <v>0</v>
      </c>
      <c r="M2045" s="10" t="str">
        <f>ROUND(Github!O$352, 2)&amp;"%"</f>
        <v>50.96%</v>
      </c>
      <c r="N2045" s="10">
        <f>Github!P$352</f>
        <v>63752</v>
      </c>
      <c r="O2045" s="10">
        <f>Github!Q$352</f>
        <v>125099</v>
      </c>
    </row>
    <row r="2046">
      <c r="A2046" s="10">
        <f>Github!J$1212</f>
        <v>1211</v>
      </c>
      <c r="B2046" s="11" t="str">
        <f>HYPERLINK(CONCAT("http://leetcode.com/problems/",Github!C$1212), Github!B$1212)</f>
        <v>Queries Quality and Percentage</v>
      </c>
      <c r="C2046" s="10">
        <f>Github!F$1212</f>
        <v>93</v>
      </c>
      <c r="D2046" s="10">
        <f>Github!G$1212</f>
        <v>153</v>
      </c>
      <c r="E2046" s="10">
        <f>Github!F$1212+Github!G$1212</f>
        <v>246</v>
      </c>
      <c r="F2046" s="12">
        <f t="shared" si="1"/>
        <v>0.61</v>
      </c>
      <c r="G2046" s="10" t="str">
        <f>Github!H$1212</f>
        <v>Database</v>
      </c>
      <c r="H2046" s="13" t="str">
        <f>SUBSTITUTE(Github!L$1212, ";", ", ")</f>
        <v>Database, </v>
      </c>
      <c r="I2046" s="10" t="str">
        <f>Github!E$1212</f>
        <v>Easy</v>
      </c>
      <c r="J2046" s="10" t="str">
        <f>IF(TRIM(Github!D$1212)="TRUE","FALSE","TRUE")</f>
        <v>FALSE</v>
      </c>
      <c r="K2046" s="10" t="b">
        <f>Github!M$1212</f>
        <v>0</v>
      </c>
      <c r="L2046" s="10" t="b">
        <f>Github!N$1212</f>
        <v>0</v>
      </c>
      <c r="M2046" s="10" t="str">
        <f>ROUND(Github!O$1212, 2)&amp;"%"</f>
        <v>70.84%</v>
      </c>
      <c r="N2046" s="10">
        <f>Github!P$1212</f>
        <v>24447</v>
      </c>
      <c r="O2046" s="10">
        <f>Github!Q$1212</f>
        <v>34508</v>
      </c>
    </row>
    <row r="2047">
      <c r="A2047" s="10">
        <f>Github!J$1195</f>
        <v>1194</v>
      </c>
      <c r="B2047" s="11" t="str">
        <f>HYPERLINK(CONCAT("http://leetcode.com/problems/",Github!C$1195), Github!B$1195)</f>
        <v>Tournament Winners</v>
      </c>
      <c r="C2047" s="10">
        <f>Github!F$1195</f>
        <v>93</v>
      </c>
      <c r="D2047" s="10">
        <f>Github!G$1195</f>
        <v>43</v>
      </c>
      <c r="E2047" s="10">
        <f>Github!F$1195+Github!G$1195</f>
        <v>136</v>
      </c>
      <c r="F2047" s="12">
        <f t="shared" si="1"/>
        <v>2.16</v>
      </c>
      <c r="G2047" s="10" t="str">
        <f>Github!H$1195</f>
        <v>Database</v>
      </c>
      <c r="H2047" s="13" t="str">
        <f>SUBSTITUTE(Github!L$1195, ";", ", ")</f>
        <v>Database, </v>
      </c>
      <c r="I2047" s="10" t="str">
        <f>Github!E$1195</f>
        <v>Hard</v>
      </c>
      <c r="J2047" s="10" t="str">
        <f>IF(TRIM(Github!D$1195)="TRUE","FALSE","TRUE")</f>
        <v>FALSE</v>
      </c>
      <c r="K2047" s="10" t="b">
        <f>Github!M$1195</f>
        <v>0</v>
      </c>
      <c r="L2047" s="10" t="b">
        <f>Github!N$1195</f>
        <v>0</v>
      </c>
      <c r="M2047" s="10" t="str">
        <f>ROUND(Github!O$1195, 2)&amp;"%"</f>
        <v>51.99%</v>
      </c>
      <c r="N2047" s="10">
        <f>Github!P$1195</f>
        <v>13062</v>
      </c>
      <c r="O2047" s="10">
        <f>Github!Q$1195</f>
        <v>25125</v>
      </c>
    </row>
    <row r="2048">
      <c r="A2048" s="10">
        <f>Github!J$1941</f>
        <v>1940</v>
      </c>
      <c r="B2048" s="11" t="str">
        <f>HYPERLINK(CONCAT("http://leetcode.com/problems/",Github!C$1941), Github!B$1941)</f>
        <v>Longest Common Subsequence Between Sorted Arrays</v>
      </c>
      <c r="C2048" s="10">
        <f>Github!F$1941</f>
        <v>94</v>
      </c>
      <c r="D2048" s="10">
        <f>Github!G$1941</f>
        <v>3</v>
      </c>
      <c r="E2048" s="10">
        <f>Github!F$1941+Github!G$1941</f>
        <v>97</v>
      </c>
      <c r="F2048" s="12">
        <f t="shared" si="1"/>
        <v>31.33</v>
      </c>
      <c r="G2048" s="10" t="str">
        <f>Github!H$1941</f>
        <v>Algorithms</v>
      </c>
      <c r="H2048" s="13" t="str">
        <f>SUBSTITUTE(Github!L$1941, ";", ", ")</f>
        <v>Array, Hash Table, Counting, </v>
      </c>
      <c r="I2048" s="10" t="str">
        <f>Github!E$1941</f>
        <v>Medium</v>
      </c>
      <c r="J2048" s="10" t="str">
        <f>IF(TRIM(Github!D$1941)="TRUE","FALSE","TRUE")</f>
        <v>FALSE</v>
      </c>
      <c r="K2048" s="10" t="b">
        <f>Github!M$1941</f>
        <v>0</v>
      </c>
      <c r="L2048" s="10" t="b">
        <f>Github!N$1941</f>
        <v>0</v>
      </c>
      <c r="M2048" s="10" t="str">
        <f>ROUND(Github!O$1941, 2)&amp;"%"</f>
        <v>79.3%</v>
      </c>
      <c r="N2048" s="10">
        <f>Github!P$1941</f>
        <v>3433</v>
      </c>
      <c r="O2048" s="10">
        <f>Github!Q$1941</f>
        <v>4329</v>
      </c>
    </row>
    <row r="2049">
      <c r="A2049" s="10">
        <f>Github!J$1342</f>
        <v>1341</v>
      </c>
      <c r="B2049" s="11" t="str">
        <f>HYPERLINK(CONCAT("http://leetcode.com/problems/",Github!C$1342), Github!B$1342)</f>
        <v>Movie Rating</v>
      </c>
      <c r="C2049" s="10">
        <f>Github!F$1342</f>
        <v>94</v>
      </c>
      <c r="D2049" s="10">
        <f>Github!G$1342</f>
        <v>64</v>
      </c>
      <c r="E2049" s="10">
        <f>Github!F$1342+Github!G$1342</f>
        <v>158</v>
      </c>
      <c r="F2049" s="12">
        <f t="shared" si="1"/>
        <v>1.47</v>
      </c>
      <c r="G2049" s="10" t="str">
        <f>Github!H$1342</f>
        <v>Database</v>
      </c>
      <c r="H2049" s="13" t="str">
        <f>SUBSTITUTE(Github!L$1342, ";", ", ")</f>
        <v>Database, </v>
      </c>
      <c r="I2049" s="10" t="str">
        <f>Github!E$1342</f>
        <v>Medium</v>
      </c>
      <c r="J2049" s="10" t="str">
        <f>IF(TRIM(Github!D$1342)="TRUE","FALSE","TRUE")</f>
        <v>FALSE</v>
      </c>
      <c r="K2049" s="10" t="b">
        <f>Github!M$1342</f>
        <v>0</v>
      </c>
      <c r="L2049" s="10" t="b">
        <f>Github!N$1342</f>
        <v>0</v>
      </c>
      <c r="M2049" s="10" t="str">
        <f>ROUND(Github!O$1342, 2)&amp;"%"</f>
        <v>58.11%</v>
      </c>
      <c r="N2049" s="10">
        <f>Github!P$1342</f>
        <v>18960</v>
      </c>
      <c r="O2049" s="10">
        <f>Github!Q$1342</f>
        <v>32629</v>
      </c>
    </row>
    <row r="2050">
      <c r="A2050" s="10">
        <f>Github!J$1662</f>
        <v>1661</v>
      </c>
      <c r="B2050" s="11" t="str">
        <f>HYPERLINK(CONCAT("http://leetcode.com/problems/",Github!C$1662), Github!B$1662)</f>
        <v>Average Time of Process per Machine</v>
      </c>
      <c r="C2050" s="10">
        <f>Github!F$1662</f>
        <v>89</v>
      </c>
      <c r="D2050" s="10">
        <f>Github!G$1662</f>
        <v>19</v>
      </c>
      <c r="E2050" s="10">
        <f>Github!F$1662+Github!G$1662</f>
        <v>108</v>
      </c>
      <c r="F2050" s="12">
        <f t="shared" si="1"/>
        <v>4.68</v>
      </c>
      <c r="G2050" s="10" t="str">
        <f>Github!H$1662</f>
        <v>Database</v>
      </c>
      <c r="H2050" s="13" t="str">
        <f>SUBSTITUTE(Github!L$1662, ";", ", ")</f>
        <v>Database, </v>
      </c>
      <c r="I2050" s="10" t="str">
        <f>Github!E$1662</f>
        <v>Easy</v>
      </c>
      <c r="J2050" s="10" t="str">
        <f>IF(TRIM(Github!D$1662)="TRUE","FALSE","TRUE")</f>
        <v>FALSE</v>
      </c>
      <c r="K2050" s="10" t="b">
        <f>Github!M$1662</f>
        <v>0</v>
      </c>
      <c r="L2050" s="10" t="b">
        <f>Github!N$1662</f>
        <v>0</v>
      </c>
      <c r="M2050" s="10" t="str">
        <f>ROUND(Github!O$1662, 2)&amp;"%"</f>
        <v>79.89%</v>
      </c>
      <c r="N2050" s="10">
        <f>Github!P$1662</f>
        <v>15710</v>
      </c>
      <c r="O2050" s="10">
        <f>Github!Q$1662</f>
        <v>19664</v>
      </c>
    </row>
    <row r="2051">
      <c r="A2051" s="10">
        <f>Github!J$1556</f>
        <v>1555</v>
      </c>
      <c r="B2051" s="11" t="str">
        <f>HYPERLINK(CONCAT("http://leetcode.com/problems/",Github!C$1556), Github!B$1556)</f>
        <v>Bank Account Summary</v>
      </c>
      <c r="C2051" s="10">
        <f>Github!F$1556</f>
        <v>90</v>
      </c>
      <c r="D2051" s="10">
        <f>Github!G$1556</f>
        <v>21</v>
      </c>
      <c r="E2051" s="10">
        <f>Github!F$1556+Github!G$1556</f>
        <v>111</v>
      </c>
      <c r="F2051" s="12">
        <f t="shared" si="1"/>
        <v>4.29</v>
      </c>
      <c r="G2051" s="10" t="str">
        <f>Github!H$1556</f>
        <v>Database</v>
      </c>
      <c r="H2051" s="13" t="str">
        <f>SUBSTITUTE(Github!L$1556, ";", ", ")</f>
        <v>Database, </v>
      </c>
      <c r="I2051" s="10" t="str">
        <f>Github!E$1556</f>
        <v>Medium</v>
      </c>
      <c r="J2051" s="10" t="str">
        <f>IF(TRIM(Github!D$1556)="TRUE","FALSE","TRUE")</f>
        <v>FALSE</v>
      </c>
      <c r="K2051" s="10" t="b">
        <f>Github!M$1556</f>
        <v>0</v>
      </c>
      <c r="L2051" s="10" t="b">
        <f>Github!N$1556</f>
        <v>0</v>
      </c>
      <c r="M2051" s="10" t="str">
        <f>ROUND(Github!O$1556, 2)&amp;"%"</f>
        <v>53.35%</v>
      </c>
      <c r="N2051" s="10">
        <f>Github!P$1556</f>
        <v>10585</v>
      </c>
      <c r="O2051" s="10">
        <f>Github!Q$1556</f>
        <v>19840</v>
      </c>
    </row>
    <row r="2052">
      <c r="A2052" s="10">
        <f>Github!J$1533</f>
        <v>1532</v>
      </c>
      <c r="B2052" s="11" t="str">
        <f>HYPERLINK(CONCAT("http://leetcode.com/problems/",Github!C$1533), Github!B$1533)</f>
        <v>The Most Recent Three Orders</v>
      </c>
      <c r="C2052" s="10">
        <f>Github!F$1533</f>
        <v>89</v>
      </c>
      <c r="D2052" s="10">
        <f>Github!G$1533</f>
        <v>7</v>
      </c>
      <c r="E2052" s="10">
        <f>Github!F$1533+Github!G$1533</f>
        <v>96</v>
      </c>
      <c r="F2052" s="12">
        <f t="shared" si="1"/>
        <v>12.71</v>
      </c>
      <c r="G2052" s="10" t="str">
        <f>Github!H$1533</f>
        <v>Database</v>
      </c>
      <c r="H2052" s="13" t="str">
        <f>SUBSTITUTE(Github!L$1533, ";", ", ")</f>
        <v>Database, </v>
      </c>
      <c r="I2052" s="10" t="str">
        <f>Github!E$1533</f>
        <v>Medium</v>
      </c>
      <c r="J2052" s="10" t="str">
        <f>IF(TRIM(Github!D$1533)="TRUE","FALSE","TRUE")</f>
        <v>FALSE</v>
      </c>
      <c r="K2052" s="10" t="b">
        <f>Github!M$1533</f>
        <v>0</v>
      </c>
      <c r="L2052" s="10" t="b">
        <f>Github!N$1533</f>
        <v>0</v>
      </c>
      <c r="M2052" s="10" t="str">
        <f>ROUND(Github!O$1533, 2)&amp;"%"</f>
        <v>71.02%</v>
      </c>
      <c r="N2052" s="10">
        <f>Github!P$1533</f>
        <v>15355</v>
      </c>
      <c r="O2052" s="10">
        <f>Github!Q$1533</f>
        <v>21620</v>
      </c>
    </row>
    <row r="2053">
      <c r="A2053" s="10">
        <f>Github!J$1175</f>
        <v>1174</v>
      </c>
      <c r="B2053" s="11" t="str">
        <f>HYPERLINK(CONCAT("http://leetcode.com/problems/",Github!C$1175), Github!B$1175)</f>
        <v>Immediate Food Delivery II</v>
      </c>
      <c r="C2053" s="10">
        <f>Github!F$1175</f>
        <v>87</v>
      </c>
      <c r="D2053" s="10">
        <f>Github!G$1175</f>
        <v>43</v>
      </c>
      <c r="E2053" s="10">
        <f>Github!F$1175+Github!G$1175</f>
        <v>130</v>
      </c>
      <c r="F2053" s="12">
        <f t="shared" si="1"/>
        <v>2.02</v>
      </c>
      <c r="G2053" s="10" t="str">
        <f>Github!H$1175</f>
        <v>Database</v>
      </c>
      <c r="H2053" s="13" t="str">
        <f>SUBSTITUTE(Github!L$1175, ";", ", ")</f>
        <v>Database, </v>
      </c>
      <c r="I2053" s="10" t="str">
        <f>Github!E$1175</f>
        <v>Medium</v>
      </c>
      <c r="J2053" s="10" t="str">
        <f>IF(TRIM(Github!D$1175)="TRUE","FALSE","TRUE")</f>
        <v>FALSE</v>
      </c>
      <c r="K2053" s="10" t="b">
        <f>Github!M$1175</f>
        <v>0</v>
      </c>
      <c r="L2053" s="10" t="b">
        <f>Github!N$1175</f>
        <v>0</v>
      </c>
      <c r="M2053" s="10" t="str">
        <f>ROUND(Github!O$1175, 2)&amp;"%"</f>
        <v>63.82%</v>
      </c>
      <c r="N2053" s="10">
        <f>Github!P$1175</f>
        <v>22643</v>
      </c>
      <c r="O2053" s="10">
        <f>Github!Q$1175</f>
        <v>35478</v>
      </c>
    </row>
    <row r="2054">
      <c r="A2054" s="10">
        <f>Github!J$1635</f>
        <v>1634</v>
      </c>
      <c r="B2054" s="11" t="str">
        <f>HYPERLINK(CONCAT("http://leetcode.com/problems/",Github!C$1635), Github!B$1635)</f>
        <v>Add Two Polynomials Represented as Linked Lists</v>
      </c>
      <c r="C2054" s="10">
        <f>Github!F$1635</f>
        <v>88</v>
      </c>
      <c r="D2054" s="10">
        <f>Github!G$1635</f>
        <v>5</v>
      </c>
      <c r="E2054" s="10">
        <f>Github!F$1635+Github!G$1635</f>
        <v>93</v>
      </c>
      <c r="F2054" s="12">
        <f t="shared" si="1"/>
        <v>17.6</v>
      </c>
      <c r="G2054" s="10" t="str">
        <f>Github!H$1635</f>
        <v>Algorithms</v>
      </c>
      <c r="H2054" s="13" t="str">
        <f>SUBSTITUTE(Github!L$1635, ";", ", ")</f>
        <v>Linked List, Math, Two Pointers, </v>
      </c>
      <c r="I2054" s="10" t="str">
        <f>Github!E$1635</f>
        <v>Medium</v>
      </c>
      <c r="J2054" s="10" t="str">
        <f>IF(TRIM(Github!D$1635)="TRUE","FALSE","TRUE")</f>
        <v>FALSE</v>
      </c>
      <c r="K2054" s="10" t="b">
        <f>Github!M$1635</f>
        <v>0</v>
      </c>
      <c r="L2054" s="10" t="b">
        <f>Github!N$1635</f>
        <v>0</v>
      </c>
      <c r="M2054" s="10" t="str">
        <f>ROUND(Github!O$1635, 2)&amp;"%"</f>
        <v>53.72%</v>
      </c>
      <c r="N2054" s="10">
        <f>Github!P$1635</f>
        <v>5545</v>
      </c>
      <c r="O2054" s="10">
        <f>Github!Q$1635</f>
        <v>10322</v>
      </c>
    </row>
    <row r="2055">
      <c r="A2055" s="10">
        <f>Github!J$1069</f>
        <v>1068</v>
      </c>
      <c r="B2055" s="11" t="str">
        <f>HYPERLINK(CONCAT("http://leetcode.com/problems/",Github!C$1069), Github!B$1069)</f>
        <v>Product Sales Analysis I</v>
      </c>
      <c r="C2055" s="10">
        <f>Github!F$1069</f>
        <v>87</v>
      </c>
      <c r="D2055" s="10">
        <f>Github!G$1069</f>
        <v>95</v>
      </c>
      <c r="E2055" s="10">
        <f>Github!F$1069+Github!G$1069</f>
        <v>182</v>
      </c>
      <c r="F2055" s="12">
        <f t="shared" si="1"/>
        <v>0.92</v>
      </c>
      <c r="G2055" s="10" t="str">
        <f>Github!H$1069</f>
        <v>Database</v>
      </c>
      <c r="H2055" s="13" t="str">
        <f>SUBSTITUTE(Github!L$1069, ";", ", ")</f>
        <v>Database, </v>
      </c>
      <c r="I2055" s="10" t="str">
        <f>Github!E$1069</f>
        <v>Easy</v>
      </c>
      <c r="J2055" s="10" t="str">
        <f>IF(TRIM(Github!D$1069)="TRUE","FALSE","TRUE")</f>
        <v>FALSE</v>
      </c>
      <c r="K2055" s="10" t="b">
        <f>Github!M$1069</f>
        <v>0</v>
      </c>
      <c r="L2055" s="10" t="b">
        <f>Github!N$1069</f>
        <v>0</v>
      </c>
      <c r="M2055" s="10" t="str">
        <f>ROUND(Github!O$1069, 2)&amp;"%"</f>
        <v>81.01%</v>
      </c>
      <c r="N2055" s="10">
        <f>Github!P$1069</f>
        <v>48393</v>
      </c>
      <c r="O2055" s="10">
        <f>Github!Q$1069</f>
        <v>59734</v>
      </c>
    </row>
    <row r="2056">
      <c r="A2056" s="10">
        <f>Github!J$1534</f>
        <v>1533</v>
      </c>
      <c r="B2056" s="11" t="str">
        <f>HYPERLINK(CONCAT("http://leetcode.com/problems/",Github!C$1534), Github!B$1534)</f>
        <v>Find the Index of the Large Integer</v>
      </c>
      <c r="C2056" s="10">
        <f>Github!F$1534</f>
        <v>87</v>
      </c>
      <c r="D2056" s="10">
        <f>Github!G$1534</f>
        <v>16</v>
      </c>
      <c r="E2056" s="10">
        <f>Github!F$1534+Github!G$1534</f>
        <v>103</v>
      </c>
      <c r="F2056" s="12">
        <f t="shared" si="1"/>
        <v>5.44</v>
      </c>
      <c r="G2056" s="10" t="str">
        <f>Github!H$1534</f>
        <v>Algorithms</v>
      </c>
      <c r="H2056" s="13" t="str">
        <f>SUBSTITUTE(Github!L$1534, ";", ", ")</f>
        <v>Array, Binary Search, Interactive, </v>
      </c>
      <c r="I2056" s="10" t="str">
        <f>Github!E$1534</f>
        <v>Medium</v>
      </c>
      <c r="J2056" s="10" t="str">
        <f>IF(TRIM(Github!D$1534)="TRUE","FALSE","TRUE")</f>
        <v>FALSE</v>
      </c>
      <c r="K2056" s="10" t="b">
        <f>Github!M$1534</f>
        <v>0</v>
      </c>
      <c r="L2056" s="10" t="b">
        <f>Github!N$1534</f>
        <v>0</v>
      </c>
      <c r="M2056" s="10" t="str">
        <f>ROUND(Github!O$1534, 2)&amp;"%"</f>
        <v>50.64%</v>
      </c>
      <c r="N2056" s="10">
        <f>Github!P$1534</f>
        <v>4264</v>
      </c>
      <c r="O2056" s="10">
        <f>Github!Q$1534</f>
        <v>8421</v>
      </c>
    </row>
    <row r="2057">
      <c r="A2057" s="10">
        <f>Github!J$579</f>
        <v>578</v>
      </c>
      <c r="B2057" s="11" t="str">
        <f>HYPERLINK(CONCAT("http://leetcode.com/problems/",Github!C$579), Github!B$579)</f>
        <v>Get Highest Answer Rate Question</v>
      </c>
      <c r="C2057" s="10">
        <f>Github!F$579</f>
        <v>86</v>
      </c>
      <c r="D2057" s="10">
        <f>Github!G$579</f>
        <v>814</v>
      </c>
      <c r="E2057" s="10">
        <f>Github!F$579+Github!G$579</f>
        <v>900</v>
      </c>
      <c r="F2057" s="12">
        <f t="shared" si="1"/>
        <v>0.11</v>
      </c>
      <c r="G2057" s="10" t="str">
        <f>Github!H$579</f>
        <v>Database</v>
      </c>
      <c r="H2057" s="13" t="str">
        <f>SUBSTITUTE(Github!L$579, ";", ", ")</f>
        <v>Database, </v>
      </c>
      <c r="I2057" s="10" t="str">
        <f>Github!E$579</f>
        <v>Medium</v>
      </c>
      <c r="J2057" s="10" t="str">
        <f>IF(TRIM(Github!D$579)="TRUE","FALSE","TRUE")</f>
        <v>FALSE</v>
      </c>
      <c r="K2057" s="10" t="b">
        <f>Github!M$579</f>
        <v>0</v>
      </c>
      <c r="L2057" s="10" t="b">
        <f>Github!N$579</f>
        <v>0</v>
      </c>
      <c r="M2057" s="10" t="str">
        <f>ROUND(Github!O$579, 2)&amp;"%"</f>
        <v>42.92%</v>
      </c>
      <c r="N2057" s="10">
        <f>Github!P$579</f>
        <v>39890</v>
      </c>
      <c r="O2057" s="10">
        <f>Github!Q$579</f>
        <v>92944</v>
      </c>
    </row>
    <row r="2058">
      <c r="A2058" s="10">
        <f>Github!J$1086</f>
        <v>1085</v>
      </c>
      <c r="B2058" s="11" t="str">
        <f>HYPERLINK(CONCAT("http://leetcode.com/problems/",Github!C$1086), Github!B$1086)</f>
        <v>Sum of Digits in the Minimum Number</v>
      </c>
      <c r="C2058" s="10">
        <f>Github!F$1086</f>
        <v>85</v>
      </c>
      <c r="D2058" s="10">
        <f>Github!G$1086</f>
        <v>140</v>
      </c>
      <c r="E2058" s="10">
        <f>Github!F$1086+Github!G$1086</f>
        <v>225</v>
      </c>
      <c r="F2058" s="12">
        <f t="shared" si="1"/>
        <v>0.61</v>
      </c>
      <c r="G2058" s="10" t="str">
        <f>Github!H$1086</f>
        <v>Algorithms</v>
      </c>
      <c r="H2058" s="13" t="str">
        <f>SUBSTITUTE(Github!L$1086, ";", ", ")</f>
        <v>Array, Math, </v>
      </c>
      <c r="I2058" s="10" t="str">
        <f>Github!E$1086</f>
        <v>Easy</v>
      </c>
      <c r="J2058" s="10" t="str">
        <f>IF(TRIM(Github!D$1086)="TRUE","FALSE","TRUE")</f>
        <v>FALSE</v>
      </c>
      <c r="K2058" s="10" t="b">
        <f>Github!M$1086</f>
        <v>0</v>
      </c>
      <c r="L2058" s="10" t="b">
        <f>Github!N$1086</f>
        <v>0</v>
      </c>
      <c r="M2058" s="10" t="str">
        <f>ROUND(Github!O$1086, 2)&amp;"%"</f>
        <v>75.67%</v>
      </c>
      <c r="N2058" s="10">
        <f>Github!P$1086</f>
        <v>19913</v>
      </c>
      <c r="O2058" s="10">
        <f>Github!Q$1086</f>
        <v>26314</v>
      </c>
    </row>
    <row r="2059">
      <c r="A2059" s="10">
        <f>Github!J$2022</f>
        <v>2021</v>
      </c>
      <c r="B2059" s="11" t="str">
        <f>HYPERLINK(CONCAT("http://leetcode.com/problems/",Github!C$2022), Github!B$2022)</f>
        <v>Brightest Position on Street</v>
      </c>
      <c r="C2059" s="10">
        <f>Github!F$2022</f>
        <v>86</v>
      </c>
      <c r="D2059" s="10">
        <f>Github!G$2022</f>
        <v>2</v>
      </c>
      <c r="E2059" s="10">
        <f>Github!F$2022+Github!G$2022</f>
        <v>88</v>
      </c>
      <c r="F2059" s="12">
        <f t="shared" si="1"/>
        <v>43</v>
      </c>
      <c r="G2059" s="10" t="str">
        <f>Github!H$2022</f>
        <v>Algorithms</v>
      </c>
      <c r="H2059" s="13" t="str">
        <f>SUBSTITUTE(Github!L$2022, ";", ", ")</f>
        <v>Array, Prefix Sum, Ordered Set, </v>
      </c>
      <c r="I2059" s="10" t="str">
        <f>Github!E$2022</f>
        <v>Medium</v>
      </c>
      <c r="J2059" s="10" t="str">
        <f>IF(TRIM(Github!D$2022)="TRUE","FALSE","TRUE")</f>
        <v>FALSE</v>
      </c>
      <c r="K2059" s="10" t="b">
        <f>Github!M$2022</f>
        <v>0</v>
      </c>
      <c r="L2059" s="10" t="b">
        <f>Github!N$2022</f>
        <v>0</v>
      </c>
      <c r="M2059" s="10" t="str">
        <f>ROUND(Github!O$2022, 2)&amp;"%"</f>
        <v>62.77%</v>
      </c>
      <c r="N2059" s="10">
        <f>Github!P$2022</f>
        <v>2630</v>
      </c>
      <c r="O2059" s="10">
        <f>Github!Q$2022</f>
        <v>4191</v>
      </c>
    </row>
    <row r="2060">
      <c r="A2060" s="10">
        <f>Github!J$1572</f>
        <v>1571</v>
      </c>
      <c r="B2060" s="11" t="str">
        <f>HYPERLINK(CONCAT("http://leetcode.com/problems/",Github!C$1572), Github!B$1572)</f>
        <v>Warehouse Manager</v>
      </c>
      <c r="C2060" s="10">
        <f>Github!F$1572</f>
        <v>86</v>
      </c>
      <c r="D2060" s="10">
        <f>Github!G$1572</f>
        <v>8</v>
      </c>
      <c r="E2060" s="10">
        <f>Github!F$1572+Github!G$1572</f>
        <v>94</v>
      </c>
      <c r="F2060" s="12">
        <f t="shared" si="1"/>
        <v>10.75</v>
      </c>
      <c r="G2060" s="10" t="str">
        <f>Github!H$1572</f>
        <v>Database</v>
      </c>
      <c r="H2060" s="13" t="str">
        <f>SUBSTITUTE(Github!L$1572, ";", ", ")</f>
        <v>Database, </v>
      </c>
      <c r="I2060" s="10" t="str">
        <f>Github!E$1572</f>
        <v>Easy</v>
      </c>
      <c r="J2060" s="10" t="str">
        <f>IF(TRIM(Github!D$1572)="TRUE","FALSE","TRUE")</f>
        <v>FALSE</v>
      </c>
      <c r="K2060" s="10" t="b">
        <f>Github!M$1572</f>
        <v>0</v>
      </c>
      <c r="L2060" s="10" t="b">
        <f>Github!N$1572</f>
        <v>0</v>
      </c>
      <c r="M2060" s="10" t="str">
        <f>ROUND(Github!O$1572, 2)&amp;"%"</f>
        <v>89.82%</v>
      </c>
      <c r="N2060" s="10">
        <f>Github!P$1572</f>
        <v>20061</v>
      </c>
      <c r="O2060" s="10">
        <f>Github!Q$1572</f>
        <v>22334</v>
      </c>
    </row>
    <row r="2061">
      <c r="A2061" s="10">
        <f>Github!J$1427</f>
        <v>1426</v>
      </c>
      <c r="B2061" s="11" t="str">
        <f>HYPERLINK(CONCAT("http://leetcode.com/problems/",Github!C$1427), Github!B$1427)</f>
        <v>Counting Elements</v>
      </c>
      <c r="C2061" s="10">
        <f>Github!F$1427</f>
        <v>85</v>
      </c>
      <c r="D2061" s="10">
        <f>Github!G$1427</f>
        <v>18</v>
      </c>
      <c r="E2061" s="10">
        <f>Github!F$1427+Github!G$1427</f>
        <v>103</v>
      </c>
      <c r="F2061" s="12">
        <f t="shared" si="1"/>
        <v>4.72</v>
      </c>
      <c r="G2061" s="10" t="str">
        <f>Github!H$1427</f>
        <v>Algorithms</v>
      </c>
      <c r="H2061" s="13" t="str">
        <f>SUBSTITUTE(Github!L$1427, ";", ", ")</f>
        <v>Array, Hash Table, </v>
      </c>
      <c r="I2061" s="10" t="str">
        <f>Github!E$1427</f>
        <v>Easy</v>
      </c>
      <c r="J2061" s="10" t="str">
        <f>IF(TRIM(Github!D$1427)="TRUE","FALSE","TRUE")</f>
        <v>FALSE</v>
      </c>
      <c r="K2061" s="10" t="b">
        <f>Github!M$1427</f>
        <v>1</v>
      </c>
      <c r="L2061" s="10" t="b">
        <f>Github!N$1427</f>
        <v>0</v>
      </c>
      <c r="M2061" s="10" t="str">
        <f>ROUND(Github!O$1427, 2)&amp;"%"</f>
        <v>59.48%</v>
      </c>
      <c r="N2061" s="10">
        <f>Github!P$1427</f>
        <v>89693</v>
      </c>
      <c r="O2061" s="10">
        <f>Github!Q$1427</f>
        <v>150793</v>
      </c>
    </row>
    <row r="2062">
      <c r="A2062" s="10">
        <f>Github!J$1951</f>
        <v>1950</v>
      </c>
      <c r="B2062" s="11" t="str">
        <f>HYPERLINK(CONCAT("http://leetcode.com/problems/",Github!C$1951), Github!B$1951)</f>
        <v>Maximum of Minimum Values in All Subarrays</v>
      </c>
      <c r="C2062" s="10">
        <f>Github!F$1951</f>
        <v>87</v>
      </c>
      <c r="D2062" s="10">
        <f>Github!G$1951</f>
        <v>24</v>
      </c>
      <c r="E2062" s="10">
        <f>Github!F$1951+Github!G$1951</f>
        <v>111</v>
      </c>
      <c r="F2062" s="12">
        <f t="shared" si="1"/>
        <v>3.63</v>
      </c>
      <c r="G2062" s="10" t="str">
        <f>Github!H$1951</f>
        <v>Algorithms</v>
      </c>
      <c r="H2062" s="13" t="str">
        <f>SUBSTITUTE(Github!L$1951, ";", ", ")</f>
        <v>Array, Stack, Monotonic Stack, </v>
      </c>
      <c r="I2062" s="10" t="str">
        <f>Github!E$1951</f>
        <v>Medium</v>
      </c>
      <c r="J2062" s="10" t="str">
        <f>IF(TRIM(Github!D$1951)="TRUE","FALSE","TRUE")</f>
        <v>FALSE</v>
      </c>
      <c r="K2062" s="10" t="b">
        <f>Github!M$1951</f>
        <v>0</v>
      </c>
      <c r="L2062" s="10" t="b">
        <f>Github!N$1951</f>
        <v>0</v>
      </c>
      <c r="M2062" s="10" t="str">
        <f>ROUND(Github!O$1951, 2)&amp;"%"</f>
        <v>51.05%</v>
      </c>
      <c r="N2062" s="10">
        <f>Github!P$1951</f>
        <v>1384</v>
      </c>
      <c r="O2062" s="10">
        <f>Github!Q$1951</f>
        <v>2711</v>
      </c>
    </row>
    <row r="2063">
      <c r="A2063" s="10">
        <f>Github!J$1745</f>
        <v>1744</v>
      </c>
      <c r="B2063" s="11" t="str">
        <f>HYPERLINK(CONCAT("http://leetcode.com/problems/",Github!C$1745), Github!B$1745)</f>
        <v>Can You Eat Your Favorite Candy on Your Favorite Day?</v>
      </c>
      <c r="C2063" s="10">
        <f>Github!F$1745</f>
        <v>85</v>
      </c>
      <c r="D2063" s="10">
        <f>Github!G$1745</f>
        <v>265</v>
      </c>
      <c r="E2063" s="10">
        <f>Github!F$1745+Github!G$1745</f>
        <v>350</v>
      </c>
      <c r="F2063" s="12">
        <f t="shared" si="1"/>
        <v>0.32</v>
      </c>
      <c r="G2063" s="10" t="str">
        <f>Github!H$1745</f>
        <v>Algorithms</v>
      </c>
      <c r="H2063" s="13" t="str">
        <f>SUBSTITUTE(Github!L$1745, ";", ", ")</f>
        <v>Array, Prefix Sum, </v>
      </c>
      <c r="I2063" s="10" t="str">
        <f>Github!E$1745</f>
        <v>Medium</v>
      </c>
      <c r="J2063" s="10" t="str">
        <f>IF(TRIM(Github!D$1745)="TRUE","FALSE","TRUE")</f>
        <v>TRUE</v>
      </c>
      <c r="K2063" s="10" t="b">
        <f>Github!M$1745</f>
        <v>0</v>
      </c>
      <c r="L2063" s="10" t="b">
        <f>Github!N$1745</f>
        <v>0</v>
      </c>
      <c r="M2063" s="10" t="str">
        <f>ROUND(Github!O$1745, 2)&amp;"%"</f>
        <v>32.24%</v>
      </c>
      <c r="N2063" s="10">
        <f>Github!P$1745</f>
        <v>7895</v>
      </c>
      <c r="O2063" s="10">
        <f>Github!Q$1745</f>
        <v>24489</v>
      </c>
    </row>
    <row r="2064">
      <c r="A2064" s="10">
        <f>Github!J$470</f>
        <v>469</v>
      </c>
      <c r="B2064" s="11" t="str">
        <f>HYPERLINK(CONCAT("http://leetcode.com/problems/",Github!C$470), Github!B$470)</f>
        <v>Convex Polygon</v>
      </c>
      <c r="C2064" s="10">
        <f>Github!F$470</f>
        <v>84</v>
      </c>
      <c r="D2064" s="10">
        <f>Github!G$470</f>
        <v>216</v>
      </c>
      <c r="E2064" s="10">
        <f>Github!F$470+Github!G$470</f>
        <v>300</v>
      </c>
      <c r="F2064" s="12">
        <f t="shared" si="1"/>
        <v>0.39</v>
      </c>
      <c r="G2064" s="10" t="str">
        <f>Github!H$470</f>
        <v>Algorithms</v>
      </c>
      <c r="H2064" s="13" t="str">
        <f>SUBSTITUTE(Github!L$470, ";", ", ")</f>
        <v>Math, Geometry, </v>
      </c>
      <c r="I2064" s="10" t="str">
        <f>Github!E$470</f>
        <v>Medium</v>
      </c>
      <c r="J2064" s="10" t="str">
        <f>IF(TRIM(Github!D$470)="TRUE","FALSE","TRUE")</f>
        <v>FALSE</v>
      </c>
      <c r="K2064" s="10" t="b">
        <f>Github!M$470</f>
        <v>0</v>
      </c>
      <c r="L2064" s="10" t="b">
        <f>Github!N$470</f>
        <v>0</v>
      </c>
      <c r="M2064" s="10" t="str">
        <f>ROUND(Github!O$470, 2)&amp;"%"</f>
        <v>38.25%</v>
      </c>
      <c r="N2064" s="10">
        <f>Github!P$470</f>
        <v>9503</v>
      </c>
      <c r="O2064" s="10">
        <f>Github!Q$470</f>
        <v>24847</v>
      </c>
    </row>
    <row r="2065">
      <c r="A2065" s="10">
        <f>Github!J$1959</f>
        <v>1958</v>
      </c>
      <c r="B2065" s="11" t="str">
        <f>HYPERLINK(CONCAT("http://leetcode.com/problems/",Github!C$1959), Github!B$1959)</f>
        <v>Check if Move is Legal</v>
      </c>
      <c r="C2065" s="10">
        <f>Github!F$1959</f>
        <v>85</v>
      </c>
      <c r="D2065" s="10">
        <f>Github!G$1959</f>
        <v>172</v>
      </c>
      <c r="E2065" s="10">
        <f>Github!F$1959+Github!G$1959</f>
        <v>257</v>
      </c>
      <c r="F2065" s="12">
        <f t="shared" si="1"/>
        <v>0.49</v>
      </c>
      <c r="G2065" s="10" t="str">
        <f>Github!H$1959</f>
        <v>Algorithms</v>
      </c>
      <c r="H2065" s="13" t="str">
        <f>SUBSTITUTE(Github!L$1959, ";", ", ")</f>
        <v>Array, Matrix, Enumeration, </v>
      </c>
      <c r="I2065" s="10" t="str">
        <f>Github!E$1959</f>
        <v>Medium</v>
      </c>
      <c r="J2065" s="10" t="str">
        <f>IF(TRIM(Github!D$1959)="TRUE","FALSE","TRUE")</f>
        <v>TRUE</v>
      </c>
      <c r="K2065" s="10" t="b">
        <f>Github!M$1959</f>
        <v>0</v>
      </c>
      <c r="L2065" s="10" t="b">
        <f>Github!N$1959</f>
        <v>0</v>
      </c>
      <c r="M2065" s="10" t="str">
        <f>ROUND(Github!O$1959, 2)&amp;"%"</f>
        <v>43.47%</v>
      </c>
      <c r="N2065" s="10">
        <f>Github!P$1959</f>
        <v>7021</v>
      </c>
      <c r="O2065" s="10">
        <f>Github!Q$1959</f>
        <v>16150</v>
      </c>
    </row>
    <row r="2066">
      <c r="A2066" s="10">
        <f>Github!J$1150</f>
        <v>1149</v>
      </c>
      <c r="B2066" s="11" t="str">
        <f>HYPERLINK(CONCAT("http://leetcode.com/problems/",Github!C$1150), Github!B$1150)</f>
        <v>Article Views II</v>
      </c>
      <c r="C2066" s="10">
        <f>Github!F$1150</f>
        <v>85</v>
      </c>
      <c r="D2066" s="10">
        <f>Github!G$1150</f>
        <v>25</v>
      </c>
      <c r="E2066" s="10">
        <f>Github!F$1150+Github!G$1150</f>
        <v>110</v>
      </c>
      <c r="F2066" s="12">
        <f t="shared" si="1"/>
        <v>3.4</v>
      </c>
      <c r="G2066" s="10" t="str">
        <f>Github!H$1150</f>
        <v>Database</v>
      </c>
      <c r="H2066" s="13" t="str">
        <f>SUBSTITUTE(Github!L$1150, ";", ", ")</f>
        <v>Database, </v>
      </c>
      <c r="I2066" s="10" t="str">
        <f>Github!E$1150</f>
        <v>Medium</v>
      </c>
      <c r="J2066" s="10" t="str">
        <f>IF(TRIM(Github!D$1150)="TRUE","FALSE","TRUE")</f>
        <v>FALSE</v>
      </c>
      <c r="K2066" s="10" t="b">
        <f>Github!M$1150</f>
        <v>0</v>
      </c>
      <c r="L2066" s="10" t="b">
        <f>Github!N$1150</f>
        <v>0</v>
      </c>
      <c r="M2066" s="10" t="str">
        <f>ROUND(Github!O$1150, 2)&amp;"%"</f>
        <v>47.84%</v>
      </c>
      <c r="N2066" s="10">
        <f>Github!P$1150</f>
        <v>24746</v>
      </c>
      <c r="O2066" s="10">
        <f>Github!Q$1150</f>
        <v>51726</v>
      </c>
    </row>
    <row r="2067">
      <c r="A2067" s="10">
        <f>Github!J$1588</f>
        <v>1587</v>
      </c>
      <c r="B2067" s="11" t="str">
        <f>HYPERLINK(CONCAT("http://leetcode.com/problems/",Github!C$1588), Github!B$1588)</f>
        <v>Bank Account Summary II</v>
      </c>
      <c r="C2067" s="10">
        <f>Github!F$1588</f>
        <v>89</v>
      </c>
      <c r="D2067" s="10">
        <f>Github!G$1588</f>
        <v>3</v>
      </c>
      <c r="E2067" s="10">
        <f>Github!F$1588+Github!G$1588</f>
        <v>92</v>
      </c>
      <c r="F2067" s="12">
        <f t="shared" si="1"/>
        <v>29.67</v>
      </c>
      <c r="G2067" s="10" t="str">
        <f>Github!H$1588</f>
        <v>Database</v>
      </c>
      <c r="H2067" s="13" t="str">
        <f>SUBSTITUTE(Github!L$1588, ";", ", ")</f>
        <v>Database, </v>
      </c>
      <c r="I2067" s="10" t="str">
        <f>Github!E$1588</f>
        <v>Easy</v>
      </c>
      <c r="J2067" s="10" t="str">
        <f>IF(TRIM(Github!D$1588)="TRUE","FALSE","TRUE")</f>
        <v>TRUE</v>
      </c>
      <c r="K2067" s="10" t="b">
        <f>Github!M$1588</f>
        <v>0</v>
      </c>
      <c r="L2067" s="10" t="b">
        <f>Github!N$1588</f>
        <v>0</v>
      </c>
      <c r="M2067" s="10" t="str">
        <f>ROUND(Github!O$1588, 2)&amp;"%"</f>
        <v>90.07%</v>
      </c>
      <c r="N2067" s="10">
        <f>Github!P$1588</f>
        <v>22168</v>
      </c>
      <c r="O2067" s="10">
        <f>Github!Q$1588</f>
        <v>24612</v>
      </c>
    </row>
    <row r="2068">
      <c r="A2068" s="10">
        <f>Github!J$1160</f>
        <v>1159</v>
      </c>
      <c r="B2068" s="11" t="str">
        <f>HYPERLINK(CONCAT("http://leetcode.com/problems/",Github!C$1160), Github!B$1160)</f>
        <v>Market Analysis II</v>
      </c>
      <c r="C2068" s="10">
        <f>Github!F$1160</f>
        <v>84</v>
      </c>
      <c r="D2068" s="10">
        <f>Github!G$1160</f>
        <v>41</v>
      </c>
      <c r="E2068" s="10">
        <f>Github!F$1160+Github!G$1160</f>
        <v>125</v>
      </c>
      <c r="F2068" s="12">
        <f t="shared" si="1"/>
        <v>2.05</v>
      </c>
      <c r="G2068" s="10" t="str">
        <f>Github!H$1160</f>
        <v>Database</v>
      </c>
      <c r="H2068" s="13" t="str">
        <f>SUBSTITUTE(Github!L$1160, ";", ", ")</f>
        <v>Database, </v>
      </c>
      <c r="I2068" s="10" t="str">
        <f>Github!E$1160</f>
        <v>Hard</v>
      </c>
      <c r="J2068" s="10" t="str">
        <f>IF(TRIM(Github!D$1160)="TRUE","FALSE","TRUE")</f>
        <v>FALSE</v>
      </c>
      <c r="K2068" s="10" t="b">
        <f>Github!M$1160</f>
        <v>0</v>
      </c>
      <c r="L2068" s="10" t="b">
        <f>Github!N$1160</f>
        <v>0</v>
      </c>
      <c r="M2068" s="10" t="str">
        <f>ROUND(Github!O$1160, 2)&amp;"%"</f>
        <v>58.04%</v>
      </c>
      <c r="N2068" s="10">
        <f>Github!P$1160</f>
        <v>13560</v>
      </c>
      <c r="O2068" s="10">
        <f>Github!Q$1160</f>
        <v>23363</v>
      </c>
    </row>
    <row r="2069">
      <c r="A2069" s="10">
        <f>Github!J$1768</f>
        <v>1767</v>
      </c>
      <c r="B2069" s="11" t="str">
        <f>HYPERLINK(CONCAT("http://leetcode.com/problems/",Github!C$1768), Github!B$1768)</f>
        <v>Find the Subtasks That Did Not Execute</v>
      </c>
      <c r="C2069" s="10">
        <f>Github!F$1768</f>
        <v>83</v>
      </c>
      <c r="D2069" s="10">
        <f>Github!G$1768</f>
        <v>8</v>
      </c>
      <c r="E2069" s="10">
        <f>Github!F$1768+Github!G$1768</f>
        <v>91</v>
      </c>
      <c r="F2069" s="12">
        <f t="shared" si="1"/>
        <v>10.38</v>
      </c>
      <c r="G2069" s="10" t="str">
        <f>Github!H$1768</f>
        <v>Database</v>
      </c>
      <c r="H2069" s="13" t="str">
        <f>SUBSTITUTE(Github!L$1768, ";", ", ")</f>
        <v>Database, </v>
      </c>
      <c r="I2069" s="10" t="str">
        <f>Github!E$1768</f>
        <v>Hard</v>
      </c>
      <c r="J2069" s="10" t="str">
        <f>IF(TRIM(Github!D$1768)="TRUE","FALSE","TRUE")</f>
        <v>FALSE</v>
      </c>
      <c r="K2069" s="10" t="b">
        <f>Github!M$1768</f>
        <v>0</v>
      </c>
      <c r="L2069" s="10" t="b">
        <f>Github!N$1768</f>
        <v>0</v>
      </c>
      <c r="M2069" s="10" t="str">
        <f>ROUND(Github!O$1768, 2)&amp;"%"</f>
        <v>84.04%</v>
      </c>
      <c r="N2069" s="10">
        <f>Github!P$1768</f>
        <v>4671</v>
      </c>
      <c r="O2069" s="10">
        <f>Github!Q$1768</f>
        <v>5558</v>
      </c>
    </row>
    <row r="2070">
      <c r="A2070" s="10">
        <f>Github!J$1469</f>
        <v>1468</v>
      </c>
      <c r="B2070" s="11" t="str">
        <f>HYPERLINK(CONCAT("http://leetcode.com/problems/",Github!C$1469), Github!B$1469)</f>
        <v>Calculate Salaries</v>
      </c>
      <c r="C2070" s="10">
        <f>Github!F$1469</f>
        <v>83</v>
      </c>
      <c r="D2070" s="10">
        <f>Github!G$1469</f>
        <v>16</v>
      </c>
      <c r="E2070" s="10">
        <f>Github!F$1469+Github!G$1469</f>
        <v>99</v>
      </c>
      <c r="F2070" s="12">
        <f t="shared" si="1"/>
        <v>5.19</v>
      </c>
      <c r="G2070" s="10" t="str">
        <f>Github!H$1469</f>
        <v>Database</v>
      </c>
      <c r="H2070" s="13" t="str">
        <f>SUBSTITUTE(Github!L$1469, ";", ", ")</f>
        <v>Database, </v>
      </c>
      <c r="I2070" s="10" t="str">
        <f>Github!E$1469</f>
        <v>Medium</v>
      </c>
      <c r="J2070" s="10" t="str">
        <f>IF(TRIM(Github!D$1469)="TRUE","FALSE","TRUE")</f>
        <v>FALSE</v>
      </c>
      <c r="K2070" s="10" t="b">
        <f>Github!M$1469</f>
        <v>0</v>
      </c>
      <c r="L2070" s="10" t="b">
        <f>Github!N$1469</f>
        <v>0</v>
      </c>
      <c r="M2070" s="10" t="str">
        <f>ROUND(Github!O$1469, 2)&amp;"%"</f>
        <v>82.39%</v>
      </c>
      <c r="N2070" s="10">
        <f>Github!P$1469</f>
        <v>15369</v>
      </c>
      <c r="O2070" s="10">
        <f>Github!Q$1469</f>
        <v>18653</v>
      </c>
    </row>
    <row r="2071">
      <c r="A2071" s="10">
        <f>Github!J$2032</f>
        <v>2031</v>
      </c>
      <c r="B2071" s="11" t="str">
        <f>HYPERLINK(CONCAT("http://leetcode.com/problems/",Github!C$2032), Github!B$2032)</f>
        <v>Count Subarrays With More Ones Than Zeros</v>
      </c>
      <c r="C2071" s="10">
        <f>Github!F$2032</f>
        <v>84</v>
      </c>
      <c r="D2071" s="10">
        <f>Github!G$2032</f>
        <v>5</v>
      </c>
      <c r="E2071" s="10">
        <f>Github!F$2032+Github!G$2032</f>
        <v>89</v>
      </c>
      <c r="F2071" s="12">
        <f t="shared" si="1"/>
        <v>16.8</v>
      </c>
      <c r="G2071" s="10" t="str">
        <f>Github!H$2032</f>
        <v>Algorithms</v>
      </c>
      <c r="H2071" s="13" t="str">
        <f>SUBSTITUTE(Github!L$2032, ";", ", ")</f>
        <v>Array, Binary Search, Divide and Conquer, Binary Indexed Tree, Segment Tree, Merge Sort, Ordered Set, </v>
      </c>
      <c r="I2071" s="10" t="str">
        <f>Github!E$2032</f>
        <v>Medium</v>
      </c>
      <c r="J2071" s="10" t="str">
        <f>IF(TRIM(Github!D$2032)="TRUE","FALSE","TRUE")</f>
        <v>FALSE</v>
      </c>
      <c r="K2071" s="10" t="b">
        <f>Github!M$2032</f>
        <v>0</v>
      </c>
      <c r="L2071" s="10" t="b">
        <f>Github!N$2032</f>
        <v>0</v>
      </c>
      <c r="M2071" s="10" t="str">
        <f>ROUND(Github!O$2032, 2)&amp;"%"</f>
        <v>53.69%</v>
      </c>
      <c r="N2071" s="10">
        <f>Github!P$2032</f>
        <v>1557</v>
      </c>
      <c r="O2071" s="10">
        <f>Github!Q$2032</f>
        <v>2900</v>
      </c>
    </row>
    <row r="2072">
      <c r="A2072" s="10">
        <f>Github!J$1619</f>
        <v>1618</v>
      </c>
      <c r="B2072" s="11" t="str">
        <f>HYPERLINK(CONCAT("http://leetcode.com/problems/",Github!C$1619), Github!B$1619)</f>
        <v>Maximum Font to Fit a Sentence in a Screen</v>
      </c>
      <c r="C2072" s="10">
        <f>Github!F$1619</f>
        <v>84</v>
      </c>
      <c r="D2072" s="10">
        <f>Github!G$1619</f>
        <v>18</v>
      </c>
      <c r="E2072" s="10">
        <f>Github!F$1619+Github!G$1619</f>
        <v>102</v>
      </c>
      <c r="F2072" s="12">
        <f t="shared" si="1"/>
        <v>4.67</v>
      </c>
      <c r="G2072" s="10" t="str">
        <f>Github!H$1619</f>
        <v>Algorithms</v>
      </c>
      <c r="H2072" s="13" t="str">
        <f>SUBSTITUTE(Github!L$1619, ";", ", ")</f>
        <v>Array, String, Binary Search, Interactive, </v>
      </c>
      <c r="I2072" s="10" t="str">
        <f>Github!E$1619</f>
        <v>Medium</v>
      </c>
      <c r="J2072" s="10" t="str">
        <f>IF(TRIM(Github!D$1619)="TRUE","FALSE","TRUE")</f>
        <v>FALSE</v>
      </c>
      <c r="K2072" s="10" t="b">
        <f>Github!M$1619</f>
        <v>0</v>
      </c>
      <c r="L2072" s="10" t="b">
        <f>Github!N$1619</f>
        <v>0</v>
      </c>
      <c r="M2072" s="10" t="str">
        <f>ROUND(Github!O$1619, 2)&amp;"%"</f>
        <v>58.06%</v>
      </c>
      <c r="N2072" s="10">
        <f>Github!P$1619</f>
        <v>4929</v>
      </c>
      <c r="O2072" s="10">
        <f>Github!Q$1619</f>
        <v>8489</v>
      </c>
    </row>
    <row r="2073">
      <c r="A2073" s="10">
        <f>Github!J$2094</f>
        <v>2093</v>
      </c>
      <c r="B2073" s="11" t="str">
        <f>HYPERLINK(CONCAT("http://leetcode.com/problems/",Github!C$2094), Github!B$2094)</f>
        <v>Minimum Cost to Reach City With Discounts</v>
      </c>
      <c r="C2073" s="10">
        <f>Github!F$2094</f>
        <v>86</v>
      </c>
      <c r="D2073" s="10">
        <f>Github!G$2094</f>
        <v>6</v>
      </c>
      <c r="E2073" s="10">
        <f>Github!F$2094+Github!G$2094</f>
        <v>92</v>
      </c>
      <c r="F2073" s="12">
        <f t="shared" si="1"/>
        <v>14.33</v>
      </c>
      <c r="G2073" s="10" t="str">
        <f>Github!H$2094</f>
        <v>Algorithms</v>
      </c>
      <c r="H2073" s="13" t="str">
        <f>SUBSTITUTE(Github!L$2094, ";", ", ")</f>
        <v>Graph, Shortest Path, </v>
      </c>
      <c r="I2073" s="10" t="str">
        <f>Github!E$2094</f>
        <v>Medium</v>
      </c>
      <c r="J2073" s="10" t="str">
        <f>IF(TRIM(Github!D$2094)="TRUE","FALSE","TRUE")</f>
        <v>FALSE</v>
      </c>
      <c r="K2073" s="10" t="b">
        <f>Github!M$2094</f>
        <v>0</v>
      </c>
      <c r="L2073" s="10" t="b">
        <f>Github!N$2094</f>
        <v>0</v>
      </c>
      <c r="M2073" s="10" t="str">
        <f>ROUND(Github!O$2094, 2)&amp;"%"</f>
        <v>56.82%</v>
      </c>
      <c r="N2073" s="10">
        <f>Github!P$2094</f>
        <v>2092</v>
      </c>
      <c r="O2073" s="10">
        <f>Github!Q$2094</f>
        <v>3682</v>
      </c>
    </row>
    <row r="2074">
      <c r="A2074" s="10">
        <f>Github!J$1328</f>
        <v>1327</v>
      </c>
      <c r="B2074" s="11" t="str">
        <f>HYPERLINK(CONCAT("http://leetcode.com/problems/",Github!C$1328), Github!B$1328)</f>
        <v>List the Products Ordered in a Period</v>
      </c>
      <c r="C2074" s="10">
        <f>Github!F$1328</f>
        <v>81</v>
      </c>
      <c r="D2074" s="10">
        <f>Github!G$1328</f>
        <v>20</v>
      </c>
      <c r="E2074" s="10">
        <f>Github!F$1328+Github!G$1328</f>
        <v>101</v>
      </c>
      <c r="F2074" s="12">
        <f t="shared" si="1"/>
        <v>4.05</v>
      </c>
      <c r="G2074" s="10" t="str">
        <f>Github!H$1328</f>
        <v>Database</v>
      </c>
      <c r="H2074" s="13" t="str">
        <f>SUBSTITUTE(Github!L$1328, ";", ", ")</f>
        <v>Database, </v>
      </c>
      <c r="I2074" s="10" t="str">
        <f>Github!E$1328</f>
        <v>Easy</v>
      </c>
      <c r="J2074" s="10" t="str">
        <f>IF(TRIM(Github!D$1328)="TRUE","FALSE","TRUE")</f>
        <v>FALSE</v>
      </c>
      <c r="K2074" s="10" t="b">
        <f>Github!M$1328</f>
        <v>0</v>
      </c>
      <c r="L2074" s="10" t="b">
        <f>Github!N$1328</f>
        <v>0</v>
      </c>
      <c r="M2074" s="10" t="str">
        <f>ROUND(Github!O$1328, 2)&amp;"%"</f>
        <v>77.15%</v>
      </c>
      <c r="N2074" s="10">
        <f>Github!P$1328</f>
        <v>28071</v>
      </c>
      <c r="O2074" s="10">
        <f>Github!Q$1328</f>
        <v>36385</v>
      </c>
    </row>
    <row r="2075">
      <c r="A2075" s="10">
        <f>Github!J$1076</f>
        <v>1075</v>
      </c>
      <c r="B2075" s="11" t="str">
        <f>HYPERLINK(CONCAT("http://leetcode.com/problems/",Github!C$1076), Github!B$1076)</f>
        <v>Project Employees I</v>
      </c>
      <c r="C2075" s="10">
        <f>Github!F$1076</f>
        <v>81</v>
      </c>
      <c r="D2075" s="10">
        <f>Github!G$1076</f>
        <v>63</v>
      </c>
      <c r="E2075" s="10">
        <f>Github!F$1076+Github!G$1076</f>
        <v>144</v>
      </c>
      <c r="F2075" s="12">
        <f t="shared" si="1"/>
        <v>1.29</v>
      </c>
      <c r="G2075" s="10" t="str">
        <f>Github!H$1076</f>
        <v>Database</v>
      </c>
      <c r="H2075" s="13" t="str">
        <f>SUBSTITUTE(Github!L$1076, ";", ", ")</f>
        <v>Database, </v>
      </c>
      <c r="I2075" s="10" t="str">
        <f>Github!E$1076</f>
        <v>Easy</v>
      </c>
      <c r="J2075" s="10" t="str">
        <f>IF(TRIM(Github!D$1076)="TRUE","FALSE","TRUE")</f>
        <v>FALSE</v>
      </c>
      <c r="K2075" s="10" t="b">
        <f>Github!M$1076</f>
        <v>0</v>
      </c>
      <c r="L2075" s="10" t="b">
        <f>Github!N$1076</f>
        <v>0</v>
      </c>
      <c r="M2075" s="10" t="str">
        <f>ROUND(Github!O$1076, 2)&amp;"%"</f>
        <v>66.99%</v>
      </c>
      <c r="N2075" s="10">
        <f>Github!P$1076</f>
        <v>37242</v>
      </c>
      <c r="O2075" s="10">
        <f>Github!Q$1076</f>
        <v>55597</v>
      </c>
    </row>
    <row r="2076">
      <c r="A2076" s="10">
        <f>Github!J$1778</f>
        <v>1777</v>
      </c>
      <c r="B2076" s="11" t="str">
        <f>HYPERLINK(CONCAT("http://leetcode.com/problems/",Github!C$1778), Github!B$1778)</f>
        <v>Product's Price for Each Store</v>
      </c>
      <c r="C2076" s="10">
        <f>Github!F$1778</f>
        <v>81</v>
      </c>
      <c r="D2076" s="10">
        <f>Github!G$1778</f>
        <v>7</v>
      </c>
      <c r="E2076" s="10">
        <f>Github!F$1778+Github!G$1778</f>
        <v>88</v>
      </c>
      <c r="F2076" s="12">
        <f t="shared" si="1"/>
        <v>11.57</v>
      </c>
      <c r="G2076" s="10" t="str">
        <f>Github!H$1778</f>
        <v>Database</v>
      </c>
      <c r="H2076" s="13" t="str">
        <f>SUBSTITUTE(Github!L$1778, ";", ", ")</f>
        <v>Database, </v>
      </c>
      <c r="I2076" s="10" t="str">
        <f>Github!E$1778</f>
        <v>Easy</v>
      </c>
      <c r="J2076" s="10" t="str">
        <f>IF(TRIM(Github!D$1778)="TRUE","FALSE","TRUE")</f>
        <v>FALSE</v>
      </c>
      <c r="K2076" s="10" t="b">
        <f>Github!M$1778</f>
        <v>0</v>
      </c>
      <c r="L2076" s="10" t="b">
        <f>Github!N$1778</f>
        <v>0</v>
      </c>
      <c r="M2076" s="10" t="str">
        <f>ROUND(Github!O$1778, 2)&amp;"%"</f>
        <v>85.91%</v>
      </c>
      <c r="N2076" s="10">
        <f>Github!P$1778</f>
        <v>11417</v>
      </c>
      <c r="O2076" s="10">
        <f>Github!Q$1778</f>
        <v>13290</v>
      </c>
    </row>
    <row r="2077">
      <c r="A2077" s="10">
        <f>Github!J$197</f>
        <v>196</v>
      </c>
      <c r="B2077" s="11" t="str">
        <f>HYPERLINK(CONCAT("http://leetcode.com/problems/",Github!C$197), Github!B$197)</f>
        <v>Delete Duplicate Emails</v>
      </c>
      <c r="C2077" s="10">
        <f>Github!F$197</f>
        <v>98</v>
      </c>
      <c r="D2077" s="10">
        <f>Github!G$197</f>
        <v>22</v>
      </c>
      <c r="E2077" s="10">
        <f>Github!F$197+Github!G$197</f>
        <v>120</v>
      </c>
      <c r="F2077" s="12">
        <f t="shared" si="1"/>
        <v>4.45</v>
      </c>
      <c r="G2077" s="10" t="str">
        <f>Github!H$197</f>
        <v>Database</v>
      </c>
      <c r="H2077" s="13" t="str">
        <f>SUBSTITUTE(Github!L$197, ";", ", ")</f>
        <v>Database, </v>
      </c>
      <c r="I2077" s="10" t="str">
        <f>Github!E$197</f>
        <v>Easy</v>
      </c>
      <c r="J2077" s="10" t="str">
        <f>IF(TRIM(Github!D$197)="TRUE","FALSE","TRUE")</f>
        <v>TRUE</v>
      </c>
      <c r="K2077" s="10" t="b">
        <f>Github!M$197</f>
        <v>1</v>
      </c>
      <c r="L2077" s="10" t="b">
        <f>Github!N$197</f>
        <v>0</v>
      </c>
      <c r="M2077" s="10" t="str">
        <f>ROUND(Github!O$197, 2)&amp;"%"</f>
        <v>52.35%</v>
      </c>
      <c r="N2077" s="10">
        <f>Github!P$197</f>
        <v>216899</v>
      </c>
      <c r="O2077" s="10">
        <f>Github!Q$197</f>
        <v>414365</v>
      </c>
    </row>
    <row r="2078">
      <c r="A2078" s="10">
        <f>Github!J$2082</f>
        <v>2081</v>
      </c>
      <c r="B2078" s="11" t="str">
        <f>HYPERLINK(CONCAT("http://leetcode.com/problems/",Github!C$2082), Github!B$2082)</f>
        <v>Sum of k-Mirror Numbers</v>
      </c>
      <c r="C2078" s="10">
        <f>Github!F$2082</f>
        <v>81</v>
      </c>
      <c r="D2078" s="10">
        <f>Github!G$2082</f>
        <v>121</v>
      </c>
      <c r="E2078" s="10">
        <f>Github!F$2082+Github!G$2082</f>
        <v>202</v>
      </c>
      <c r="F2078" s="12">
        <f t="shared" si="1"/>
        <v>0.67</v>
      </c>
      <c r="G2078" s="10" t="str">
        <f>Github!H$2082</f>
        <v>Algorithms</v>
      </c>
      <c r="H2078" s="13" t="str">
        <f>SUBSTITUTE(Github!L$2082, ";", ", ")</f>
        <v>Math, Enumeration, </v>
      </c>
      <c r="I2078" s="10" t="str">
        <f>Github!E$2082</f>
        <v>Hard</v>
      </c>
      <c r="J2078" s="10" t="str">
        <f>IF(TRIM(Github!D$2082)="TRUE","FALSE","TRUE")</f>
        <v>TRUE</v>
      </c>
      <c r="K2078" s="10" t="b">
        <f>Github!M$2082</f>
        <v>0</v>
      </c>
      <c r="L2078" s="10" t="b">
        <f>Github!N$2082</f>
        <v>0</v>
      </c>
      <c r="M2078" s="10" t="str">
        <f>ROUND(Github!O$2082, 2)&amp;"%"</f>
        <v>41.11%</v>
      </c>
      <c r="N2078" s="10">
        <f>Github!P$2082</f>
        <v>5102</v>
      </c>
      <c r="O2078" s="10">
        <f>Github!Q$2082</f>
        <v>12410</v>
      </c>
    </row>
    <row r="2079">
      <c r="A2079" s="10">
        <f>Github!J$1966</f>
        <v>1965</v>
      </c>
      <c r="B2079" s="11" t="str">
        <f>HYPERLINK(CONCAT("http://leetcode.com/problems/",Github!C$1966), Github!B$1966)</f>
        <v>Employees With Missing Information</v>
      </c>
      <c r="C2079" s="10">
        <f>Github!F$1966</f>
        <v>91</v>
      </c>
      <c r="D2079" s="10">
        <f>Github!G$1966</f>
        <v>5</v>
      </c>
      <c r="E2079" s="10">
        <f>Github!F$1966+Github!G$1966</f>
        <v>96</v>
      </c>
      <c r="F2079" s="12">
        <f t="shared" si="1"/>
        <v>18.2</v>
      </c>
      <c r="G2079" s="10" t="str">
        <f>Github!H$1966</f>
        <v>Database</v>
      </c>
      <c r="H2079" s="13" t="str">
        <f>SUBSTITUTE(Github!L$1966, ";", ", ")</f>
        <v>Database, </v>
      </c>
      <c r="I2079" s="10" t="str">
        <f>Github!E$1966</f>
        <v>Easy</v>
      </c>
      <c r="J2079" s="10" t="str">
        <f>IF(TRIM(Github!D$1966)="TRUE","FALSE","TRUE")</f>
        <v>TRUE</v>
      </c>
      <c r="K2079" s="10" t="b">
        <f>Github!M$1966</f>
        <v>0</v>
      </c>
      <c r="L2079" s="10" t="b">
        <f>Github!N$1966</f>
        <v>0</v>
      </c>
      <c r="M2079" s="10" t="str">
        <f>ROUND(Github!O$1966, 2)&amp;"%"</f>
        <v>81.38%</v>
      </c>
      <c r="N2079" s="10">
        <f>Github!P$1966</f>
        <v>10403</v>
      </c>
      <c r="O2079" s="10">
        <f>Github!Q$1966</f>
        <v>12783</v>
      </c>
    </row>
    <row r="2080">
      <c r="A2080" s="10">
        <f>Github!J$801</f>
        <v>800</v>
      </c>
      <c r="B2080" s="11" t="str">
        <f>HYPERLINK(CONCAT("http://leetcode.com/problems/",Github!C$801), Github!B$801)</f>
        <v>Similar RGB Color</v>
      </c>
      <c r="C2080" s="10">
        <f>Github!F$801</f>
        <v>79</v>
      </c>
      <c r="D2080" s="10">
        <f>Github!G$801</f>
        <v>488</v>
      </c>
      <c r="E2080" s="10">
        <f>Github!F$801+Github!G$801</f>
        <v>567</v>
      </c>
      <c r="F2080" s="12">
        <f t="shared" si="1"/>
        <v>0.16</v>
      </c>
      <c r="G2080" s="10" t="str">
        <f>Github!H$801</f>
        <v>Algorithms</v>
      </c>
      <c r="H2080" s="13" t="str">
        <f>SUBSTITUTE(Github!L$801, ";", ", ")</f>
        <v>Math, String, Enumeration, </v>
      </c>
      <c r="I2080" s="10" t="str">
        <f>Github!E$801</f>
        <v>Easy</v>
      </c>
      <c r="J2080" s="10" t="str">
        <f>IF(TRIM(Github!D$801)="TRUE","FALSE","TRUE")</f>
        <v>FALSE</v>
      </c>
      <c r="K2080" s="10" t="b">
        <f>Github!M$801</f>
        <v>0</v>
      </c>
      <c r="L2080" s="10" t="b">
        <f>Github!N$801</f>
        <v>0</v>
      </c>
      <c r="M2080" s="10" t="str">
        <f>ROUND(Github!O$801, 2)&amp;"%"</f>
        <v>63.77%</v>
      </c>
      <c r="N2080" s="10">
        <f>Github!P$801</f>
        <v>12560</v>
      </c>
      <c r="O2080" s="10">
        <f>Github!Q$801</f>
        <v>19697</v>
      </c>
    </row>
    <row r="2081">
      <c r="A2081" s="10">
        <f>Github!J$1295</f>
        <v>1294</v>
      </c>
      <c r="B2081" s="11" t="str">
        <f>HYPERLINK(CONCAT("http://leetcode.com/problems/",Github!C$1295), Github!B$1295)</f>
        <v>Weather Type in Each Country</v>
      </c>
      <c r="C2081" s="10">
        <f>Github!F$1295</f>
        <v>82</v>
      </c>
      <c r="D2081" s="10">
        <f>Github!G$1295</f>
        <v>18</v>
      </c>
      <c r="E2081" s="10">
        <f>Github!F$1295+Github!G$1295</f>
        <v>100</v>
      </c>
      <c r="F2081" s="12">
        <f t="shared" si="1"/>
        <v>4.56</v>
      </c>
      <c r="G2081" s="10" t="str">
        <f>Github!H$1295</f>
        <v>Database</v>
      </c>
      <c r="H2081" s="13" t="str">
        <f>SUBSTITUTE(Github!L$1295, ";", ", ")</f>
        <v>Database, </v>
      </c>
      <c r="I2081" s="10" t="str">
        <f>Github!E$1295</f>
        <v>Easy</v>
      </c>
      <c r="J2081" s="10" t="str">
        <f>IF(TRIM(Github!D$1295)="TRUE","FALSE","TRUE")</f>
        <v>FALSE</v>
      </c>
      <c r="K2081" s="10" t="b">
        <f>Github!M$1295</f>
        <v>0</v>
      </c>
      <c r="L2081" s="10" t="b">
        <f>Github!N$1295</f>
        <v>0</v>
      </c>
      <c r="M2081" s="10" t="str">
        <f>ROUND(Github!O$1295, 2)&amp;"%"</f>
        <v>67.58%</v>
      </c>
      <c r="N2081" s="10">
        <f>Github!P$1295</f>
        <v>23621</v>
      </c>
      <c r="O2081" s="10">
        <f>Github!Q$1295</f>
        <v>34954</v>
      </c>
    </row>
    <row r="2082">
      <c r="A2082" s="10">
        <f>Github!J$1668</f>
        <v>1667</v>
      </c>
      <c r="B2082" s="11" t="str">
        <f>HYPERLINK(CONCAT("http://leetcode.com/problems/",Github!C$1668), Github!B$1668)</f>
        <v>Fix Names in a Table</v>
      </c>
      <c r="C2082" s="10">
        <f>Github!F$1668</f>
        <v>86</v>
      </c>
      <c r="D2082" s="10">
        <f>Github!G$1668</f>
        <v>41</v>
      </c>
      <c r="E2082" s="10">
        <f>Github!F$1668+Github!G$1668</f>
        <v>127</v>
      </c>
      <c r="F2082" s="12">
        <f t="shared" si="1"/>
        <v>2.1</v>
      </c>
      <c r="G2082" s="10" t="str">
        <f>Github!H$1668</f>
        <v>Database</v>
      </c>
      <c r="H2082" s="13" t="str">
        <f>SUBSTITUTE(Github!L$1668, ";", ", ")</f>
        <v>Database, </v>
      </c>
      <c r="I2082" s="10" t="str">
        <f>Github!E$1668</f>
        <v>Easy</v>
      </c>
      <c r="J2082" s="10" t="str">
        <f>IF(TRIM(Github!D$1668)="TRUE","FALSE","TRUE")</f>
        <v>TRUE</v>
      </c>
      <c r="K2082" s="10" t="b">
        <f>Github!M$1668</f>
        <v>0</v>
      </c>
      <c r="L2082" s="10" t="b">
        <f>Github!N$1668</f>
        <v>0</v>
      </c>
      <c r="M2082" s="10" t="str">
        <f>ROUND(Github!O$1668, 2)&amp;"%"</f>
        <v>63.14%</v>
      </c>
      <c r="N2082" s="10">
        <f>Github!P$1668</f>
        <v>15832</v>
      </c>
      <c r="O2082" s="10">
        <f>Github!Q$1668</f>
        <v>25075</v>
      </c>
    </row>
    <row r="2083">
      <c r="A2083" s="10">
        <f>Github!J$1950</f>
        <v>1949</v>
      </c>
      <c r="B2083" s="11" t="str">
        <f>HYPERLINK(CONCAT("http://leetcode.com/problems/",Github!C$1950), Github!B$1950)</f>
        <v>Strong Friendship</v>
      </c>
      <c r="C2083" s="10">
        <f>Github!F$1950</f>
        <v>75</v>
      </c>
      <c r="D2083" s="10">
        <f>Github!G$1950</f>
        <v>35</v>
      </c>
      <c r="E2083" s="10">
        <f>Github!F$1950+Github!G$1950</f>
        <v>110</v>
      </c>
      <c r="F2083" s="12">
        <f t="shared" si="1"/>
        <v>2.14</v>
      </c>
      <c r="G2083" s="10" t="str">
        <f>Github!H$1950</f>
        <v>Database</v>
      </c>
      <c r="H2083" s="13" t="str">
        <f>SUBSTITUTE(Github!L$1950, ";", ", ")</f>
        <v>Database, </v>
      </c>
      <c r="I2083" s="10" t="str">
        <f>Github!E$1950</f>
        <v>Medium</v>
      </c>
      <c r="J2083" s="10" t="str">
        <f>IF(TRIM(Github!D$1950)="TRUE","FALSE","TRUE")</f>
        <v>FALSE</v>
      </c>
      <c r="K2083" s="10" t="b">
        <f>Github!M$1950</f>
        <v>0</v>
      </c>
      <c r="L2083" s="10" t="b">
        <f>Github!N$1950</f>
        <v>0</v>
      </c>
      <c r="M2083" s="10" t="str">
        <f>ROUND(Github!O$1950, 2)&amp;"%"</f>
        <v>59.36%</v>
      </c>
      <c r="N2083" s="10">
        <f>Github!P$1950</f>
        <v>4688</v>
      </c>
      <c r="O2083" s="10">
        <f>Github!Q$1950</f>
        <v>7897</v>
      </c>
    </row>
    <row r="2084">
      <c r="A2084" s="10">
        <f>Github!J$1853</f>
        <v>1852</v>
      </c>
      <c r="B2084" s="11" t="str">
        <f>HYPERLINK(CONCAT("http://leetcode.com/problems/",Github!C$1853), Github!B$1853)</f>
        <v>Distinct Numbers in Each Subarray</v>
      </c>
      <c r="C2084" s="10">
        <f>Github!F$1853</f>
        <v>75</v>
      </c>
      <c r="D2084" s="10">
        <f>Github!G$1853</f>
        <v>3</v>
      </c>
      <c r="E2084" s="10">
        <f>Github!F$1853+Github!G$1853</f>
        <v>78</v>
      </c>
      <c r="F2084" s="12">
        <f t="shared" si="1"/>
        <v>25</v>
      </c>
      <c r="G2084" s="10" t="str">
        <f>Github!H$1853</f>
        <v>Algorithms</v>
      </c>
      <c r="H2084" s="13" t="str">
        <f>SUBSTITUTE(Github!L$1853, ";", ", ")</f>
        <v>Array, Hash Table, Sliding Window, </v>
      </c>
      <c r="I2084" s="10" t="str">
        <f>Github!E$1853</f>
        <v>Medium</v>
      </c>
      <c r="J2084" s="10" t="str">
        <f>IF(TRIM(Github!D$1853)="TRUE","FALSE","TRUE")</f>
        <v>FALSE</v>
      </c>
      <c r="K2084" s="10" t="b">
        <f>Github!M$1853</f>
        <v>0</v>
      </c>
      <c r="L2084" s="10" t="b">
        <f>Github!N$1853</f>
        <v>0</v>
      </c>
      <c r="M2084" s="10" t="str">
        <f>ROUND(Github!O$1853, 2)&amp;"%"</f>
        <v>72.54%</v>
      </c>
      <c r="N2084" s="10">
        <f>Github!P$1853</f>
        <v>3764</v>
      </c>
      <c r="O2084" s="10">
        <f>Github!Q$1853</f>
        <v>5189</v>
      </c>
    </row>
    <row r="2085">
      <c r="A2085" s="10">
        <f>Github!J$1886</f>
        <v>1885</v>
      </c>
      <c r="B2085" s="11" t="str">
        <f>HYPERLINK(CONCAT("http://leetcode.com/problems/",Github!C$1886), Github!B$1886)</f>
        <v>Count Pairs in Two Arrays</v>
      </c>
      <c r="C2085" s="10">
        <f>Github!F$1886</f>
        <v>78</v>
      </c>
      <c r="D2085" s="10">
        <f>Github!G$1886</f>
        <v>5</v>
      </c>
      <c r="E2085" s="10">
        <f>Github!F$1886+Github!G$1886</f>
        <v>83</v>
      </c>
      <c r="F2085" s="12">
        <f t="shared" si="1"/>
        <v>15.6</v>
      </c>
      <c r="G2085" s="10" t="str">
        <f>Github!H$1886</f>
        <v>Algorithms</v>
      </c>
      <c r="H2085" s="13" t="str">
        <f>SUBSTITUTE(Github!L$1886, ";", ", ")</f>
        <v>Array, Binary Search, Sorting, </v>
      </c>
      <c r="I2085" s="10" t="str">
        <f>Github!E$1886</f>
        <v>Medium</v>
      </c>
      <c r="J2085" s="10" t="str">
        <f>IF(TRIM(Github!D$1886)="TRUE","FALSE","TRUE")</f>
        <v>FALSE</v>
      </c>
      <c r="K2085" s="10" t="b">
        <f>Github!M$1886</f>
        <v>0</v>
      </c>
      <c r="L2085" s="10" t="b">
        <f>Github!N$1886</f>
        <v>0</v>
      </c>
      <c r="M2085" s="10" t="str">
        <f>ROUND(Github!O$1886, 2)&amp;"%"</f>
        <v>57.94%</v>
      </c>
      <c r="N2085" s="10">
        <f>Github!P$1886</f>
        <v>2005</v>
      </c>
      <c r="O2085" s="10">
        <f>Github!Q$1886</f>
        <v>3461</v>
      </c>
    </row>
    <row r="2086">
      <c r="A2086" s="10">
        <f>Github!J$1114</f>
        <v>1113</v>
      </c>
      <c r="B2086" s="11" t="str">
        <f>HYPERLINK(CONCAT("http://leetcode.com/problems/",Github!C$1114), Github!B$1114)</f>
        <v>Reported Posts</v>
      </c>
      <c r="C2086" s="10">
        <f>Github!F$1114</f>
        <v>74</v>
      </c>
      <c r="D2086" s="10">
        <f>Github!G$1114</f>
        <v>299</v>
      </c>
      <c r="E2086" s="10">
        <f>Github!F$1114+Github!G$1114</f>
        <v>373</v>
      </c>
      <c r="F2086" s="12">
        <f t="shared" si="1"/>
        <v>0.25</v>
      </c>
      <c r="G2086" s="10" t="str">
        <f>Github!H$1114</f>
        <v>Database</v>
      </c>
      <c r="H2086" s="13" t="str">
        <f>SUBSTITUTE(Github!L$1114, ";", ", ")</f>
        <v>Database, </v>
      </c>
      <c r="I2086" s="10" t="str">
        <f>Github!E$1114</f>
        <v>Easy</v>
      </c>
      <c r="J2086" s="10" t="str">
        <f>IF(TRIM(Github!D$1114)="TRUE","FALSE","TRUE")</f>
        <v>FALSE</v>
      </c>
      <c r="K2086" s="10" t="b">
        <f>Github!M$1114</f>
        <v>0</v>
      </c>
      <c r="L2086" s="10" t="b">
        <f>Github!N$1114</f>
        <v>0</v>
      </c>
      <c r="M2086" s="10" t="str">
        <f>ROUND(Github!O$1114, 2)&amp;"%"</f>
        <v>66.24%</v>
      </c>
      <c r="N2086" s="10">
        <f>Github!P$1114</f>
        <v>32674</v>
      </c>
      <c r="O2086" s="10">
        <f>Github!Q$1114</f>
        <v>49323</v>
      </c>
    </row>
    <row r="2087">
      <c r="A2087" s="10">
        <f>Github!J$2159</f>
        <v>2158</v>
      </c>
      <c r="B2087" s="11" t="str">
        <f>HYPERLINK(CONCAT("http://leetcode.com/problems/",Github!C$2159), Github!B$2159)</f>
        <v>Amount of New Area Painted Each Day</v>
      </c>
      <c r="C2087" s="10">
        <f>Github!F$2159</f>
        <v>80</v>
      </c>
      <c r="D2087" s="10">
        <f>Github!G$2159</f>
        <v>11</v>
      </c>
      <c r="E2087" s="10">
        <f>Github!F$2159+Github!G$2159</f>
        <v>91</v>
      </c>
      <c r="F2087" s="12">
        <f t="shared" si="1"/>
        <v>7.27</v>
      </c>
      <c r="G2087" s="10" t="str">
        <f>Github!H$2159</f>
        <v>Algorithms</v>
      </c>
      <c r="H2087" s="13" t="str">
        <f>SUBSTITUTE(Github!L$2159, ";", ", ")</f>
        <v>Array, Segment Tree, Ordered Set, </v>
      </c>
      <c r="I2087" s="10" t="str">
        <f>Github!E$2159</f>
        <v>Hard</v>
      </c>
      <c r="J2087" s="10" t="str">
        <f>IF(TRIM(Github!D$2159)="TRUE","FALSE","TRUE")</f>
        <v>FALSE</v>
      </c>
      <c r="K2087" s="10" t="b">
        <f>Github!M$2159</f>
        <v>0</v>
      </c>
      <c r="L2087" s="10" t="b">
        <f>Github!N$2159</f>
        <v>0</v>
      </c>
      <c r="M2087" s="10" t="str">
        <f>ROUND(Github!O$2159, 2)&amp;"%"</f>
        <v>60.64%</v>
      </c>
      <c r="N2087" s="10">
        <f>Github!P$2159</f>
        <v>4115</v>
      </c>
      <c r="O2087" s="10">
        <f>Github!Q$2159</f>
        <v>6786</v>
      </c>
    </row>
    <row r="2088">
      <c r="A2088" s="10">
        <f>Github!J$534</f>
        <v>533</v>
      </c>
      <c r="B2088" s="11" t="str">
        <f>HYPERLINK(CONCAT("http://leetcode.com/problems/",Github!C$534), Github!B$534)</f>
        <v>Lonely Pixel II</v>
      </c>
      <c r="C2088" s="10">
        <f>Github!F$534</f>
        <v>72</v>
      </c>
      <c r="D2088" s="10">
        <f>Github!G$534</f>
        <v>681</v>
      </c>
      <c r="E2088" s="10">
        <f>Github!F$534+Github!G$534</f>
        <v>753</v>
      </c>
      <c r="F2088" s="12">
        <f t="shared" si="1"/>
        <v>0.11</v>
      </c>
      <c r="G2088" s="10" t="str">
        <f>Github!H$534</f>
        <v>Algorithms</v>
      </c>
      <c r="H2088" s="13" t="str">
        <f>SUBSTITUTE(Github!L$534, ";", ", ")</f>
        <v>Array, Hash Table, Matrix, </v>
      </c>
      <c r="I2088" s="10" t="str">
        <f>Github!E$534</f>
        <v>Medium</v>
      </c>
      <c r="J2088" s="10" t="str">
        <f>IF(TRIM(Github!D$534)="TRUE","FALSE","TRUE")</f>
        <v>FALSE</v>
      </c>
      <c r="K2088" s="10" t="b">
        <f>Github!M$534</f>
        <v>0</v>
      </c>
      <c r="L2088" s="10" t="b">
        <f>Github!N$534</f>
        <v>0</v>
      </c>
      <c r="M2088" s="10" t="str">
        <f>ROUND(Github!O$534, 2)&amp;"%"</f>
        <v>48.33%</v>
      </c>
      <c r="N2088" s="10">
        <f>Github!P$534</f>
        <v>11989</v>
      </c>
      <c r="O2088" s="10">
        <f>Github!Q$534</f>
        <v>24805</v>
      </c>
    </row>
    <row r="2089">
      <c r="A2089" s="10">
        <f>Github!J$1748</f>
        <v>1747</v>
      </c>
      <c r="B2089" s="11" t="str">
        <f>HYPERLINK(CONCAT("http://leetcode.com/problems/",Github!C$1748), Github!B$1748)</f>
        <v>Leetflex Banned Accounts</v>
      </c>
      <c r="C2089" s="10">
        <f>Github!F$1748</f>
        <v>75</v>
      </c>
      <c r="D2089" s="10">
        <f>Github!G$1748</f>
        <v>5</v>
      </c>
      <c r="E2089" s="10">
        <f>Github!F$1748+Github!G$1748</f>
        <v>80</v>
      </c>
      <c r="F2089" s="12">
        <f t="shared" si="1"/>
        <v>15</v>
      </c>
      <c r="G2089" s="10" t="str">
        <f>Github!H$1748</f>
        <v>Database</v>
      </c>
      <c r="H2089" s="13" t="str">
        <f>SUBSTITUTE(Github!L$1748, ";", ", ")</f>
        <v>Database, </v>
      </c>
      <c r="I2089" s="10" t="str">
        <f>Github!E$1748</f>
        <v>Medium</v>
      </c>
      <c r="J2089" s="10" t="str">
        <f>IF(TRIM(Github!D$1748)="TRUE","FALSE","TRUE")</f>
        <v>FALSE</v>
      </c>
      <c r="K2089" s="10" t="b">
        <f>Github!M$1748</f>
        <v>0</v>
      </c>
      <c r="L2089" s="10" t="b">
        <f>Github!N$1748</f>
        <v>0</v>
      </c>
      <c r="M2089" s="10" t="str">
        <f>ROUND(Github!O$1748, 2)&amp;"%"</f>
        <v>67.44%</v>
      </c>
      <c r="N2089" s="10">
        <f>Github!P$1748</f>
        <v>7867</v>
      </c>
      <c r="O2089" s="10">
        <f>Github!Q$1748</f>
        <v>11665</v>
      </c>
    </row>
    <row r="2090">
      <c r="A2090" s="10">
        <f>Github!J$1071</f>
        <v>1070</v>
      </c>
      <c r="B2090" s="11" t="str">
        <f>HYPERLINK(CONCAT("http://leetcode.com/problems/",Github!C$1071), Github!B$1071)</f>
        <v>Product Sales Analysis III</v>
      </c>
      <c r="C2090" s="10">
        <f>Github!F$1071</f>
        <v>72</v>
      </c>
      <c r="D2090" s="10">
        <f>Github!G$1071</f>
        <v>272</v>
      </c>
      <c r="E2090" s="10">
        <f>Github!F$1071+Github!G$1071</f>
        <v>344</v>
      </c>
      <c r="F2090" s="12">
        <f t="shared" si="1"/>
        <v>0.26</v>
      </c>
      <c r="G2090" s="10" t="str">
        <f>Github!H$1071</f>
        <v>Database</v>
      </c>
      <c r="H2090" s="13" t="str">
        <f>SUBSTITUTE(Github!L$1071, ";", ", ")</f>
        <v>Database, </v>
      </c>
      <c r="I2090" s="10" t="str">
        <f>Github!E$1071</f>
        <v>Medium</v>
      </c>
      <c r="J2090" s="10" t="str">
        <f>IF(TRIM(Github!D$1071)="TRUE","FALSE","TRUE")</f>
        <v>FALSE</v>
      </c>
      <c r="K2090" s="10" t="b">
        <f>Github!M$1071</f>
        <v>0</v>
      </c>
      <c r="L2090" s="10" t="b">
        <f>Github!N$1071</f>
        <v>0</v>
      </c>
      <c r="M2090" s="10" t="str">
        <f>ROUND(Github!O$1071, 2)&amp;"%"</f>
        <v>49.67%</v>
      </c>
      <c r="N2090" s="10">
        <f>Github!P$1071</f>
        <v>30406</v>
      </c>
      <c r="O2090" s="10">
        <f>Github!Q$1071</f>
        <v>61218</v>
      </c>
    </row>
    <row r="2091">
      <c r="A2091" s="10">
        <f>Github!J$1143</f>
        <v>1142</v>
      </c>
      <c r="B2091" s="11" t="str">
        <f>HYPERLINK(CONCAT("http://leetcode.com/problems/",Github!C$1143), Github!B$1143)</f>
        <v>User Activity for the Past 30 Days II</v>
      </c>
      <c r="C2091" s="10">
        <f>Github!F$1143</f>
        <v>71</v>
      </c>
      <c r="D2091" s="10">
        <f>Github!G$1143</f>
        <v>287</v>
      </c>
      <c r="E2091" s="10">
        <f>Github!F$1143+Github!G$1143</f>
        <v>358</v>
      </c>
      <c r="F2091" s="12">
        <f t="shared" si="1"/>
        <v>0.25</v>
      </c>
      <c r="G2091" s="10" t="str">
        <f>Github!H$1143</f>
        <v>Database</v>
      </c>
      <c r="H2091" s="13" t="str">
        <f>SUBSTITUTE(Github!L$1143, ";", ", ")</f>
        <v>Database, </v>
      </c>
      <c r="I2091" s="10" t="str">
        <f>Github!E$1143</f>
        <v>Easy</v>
      </c>
      <c r="J2091" s="10" t="str">
        <f>IF(TRIM(Github!D$1143)="TRUE","FALSE","TRUE")</f>
        <v>FALSE</v>
      </c>
      <c r="K2091" s="10" t="b">
        <f>Github!M$1143</f>
        <v>0</v>
      </c>
      <c r="L2091" s="10" t="b">
        <f>Github!N$1143</f>
        <v>0</v>
      </c>
      <c r="M2091" s="10" t="str">
        <f>ROUND(Github!O$1143, 2)&amp;"%"</f>
        <v>35.92%</v>
      </c>
      <c r="N2091" s="10">
        <f>Github!P$1143</f>
        <v>30802</v>
      </c>
      <c r="O2091" s="10">
        <f>Github!Q$1143</f>
        <v>85753</v>
      </c>
    </row>
    <row r="2092">
      <c r="A2092" s="10">
        <f>Github!J$2047</f>
        <v>2046</v>
      </c>
      <c r="B2092" s="11" t="str">
        <f>HYPERLINK(CONCAT("http://leetcode.com/problems/",Github!C$2047), Github!B$2047)</f>
        <v>Sort Linked List Already Sorted Using Absolute Values</v>
      </c>
      <c r="C2092" s="10">
        <f>Github!F$2047</f>
        <v>70</v>
      </c>
      <c r="D2092" s="10">
        <f>Github!G$2047</f>
        <v>0</v>
      </c>
      <c r="E2092" s="10">
        <f>Github!F$2047+Github!G$2047</f>
        <v>70</v>
      </c>
      <c r="F2092" s="12">
        <f t="shared" si="1"/>
        <v>70</v>
      </c>
      <c r="G2092" s="10" t="str">
        <f>Github!H$2047</f>
        <v>Algorithms</v>
      </c>
      <c r="H2092" s="13" t="str">
        <f>SUBSTITUTE(Github!L$2047, ";", ", ")</f>
        <v>Linked List, Two Pointers, Sorting, </v>
      </c>
      <c r="I2092" s="10" t="str">
        <f>Github!E$2047</f>
        <v>Medium</v>
      </c>
      <c r="J2092" s="10" t="str">
        <f>IF(TRIM(Github!D$2047)="TRUE","FALSE","TRUE")</f>
        <v>FALSE</v>
      </c>
      <c r="K2092" s="10" t="b">
        <f>Github!M$2047</f>
        <v>0</v>
      </c>
      <c r="L2092" s="10" t="b">
        <f>Github!N$2047</f>
        <v>0</v>
      </c>
      <c r="M2092" s="10" t="str">
        <f>ROUND(Github!O$2047, 2)&amp;"%"</f>
        <v>69.64%</v>
      </c>
      <c r="N2092" s="10">
        <f>Github!P$2047</f>
        <v>2617</v>
      </c>
      <c r="O2092" s="10">
        <f>Github!Q$2047</f>
        <v>3758</v>
      </c>
    </row>
    <row r="2093">
      <c r="A2093" s="10">
        <f>Github!J$875</f>
        <v>874</v>
      </c>
      <c r="B2093" s="11" t="str">
        <f>HYPERLINK(CONCAT("http://leetcode.com/problems/",Github!C$875), Github!B$875)</f>
        <v>Walking Robot Simulation</v>
      </c>
      <c r="C2093" s="10">
        <f>Github!F$875</f>
        <v>72</v>
      </c>
      <c r="D2093" s="10">
        <f>Github!G$875</f>
        <v>13</v>
      </c>
      <c r="E2093" s="10">
        <f>Github!F$875+Github!G$875</f>
        <v>85</v>
      </c>
      <c r="F2093" s="12">
        <f t="shared" si="1"/>
        <v>5.54</v>
      </c>
      <c r="G2093" s="10" t="str">
        <f>Github!H$875</f>
        <v>Algorithms</v>
      </c>
      <c r="H2093" s="13" t="str">
        <f>SUBSTITUTE(Github!L$875, ";", ", ")</f>
        <v>Array, Simulation, </v>
      </c>
      <c r="I2093" s="10" t="str">
        <f>Github!E$875</f>
        <v>Medium</v>
      </c>
      <c r="J2093" s="10" t="str">
        <f>IF(TRIM(Github!D$875)="TRUE","FALSE","TRUE")</f>
        <v>TRUE</v>
      </c>
      <c r="K2093" s="10" t="b">
        <f>Github!M$875</f>
        <v>0</v>
      </c>
      <c r="L2093" s="10" t="b">
        <f>Github!N$875</f>
        <v>0</v>
      </c>
      <c r="M2093" s="10" t="str">
        <f>ROUND(Github!O$875, 2)&amp;"%"</f>
        <v>37.76%</v>
      </c>
      <c r="N2093" s="10">
        <f>Github!P$875</f>
        <v>31674</v>
      </c>
      <c r="O2093" s="10">
        <f>Github!Q$875</f>
        <v>83876</v>
      </c>
    </row>
    <row r="2094">
      <c r="A2094" s="10">
        <f>Github!J$1600</f>
        <v>1599</v>
      </c>
      <c r="B2094" s="11" t="str">
        <f>HYPERLINK(CONCAT("http://leetcode.com/problems/",Github!C$1600), Github!B$1600)</f>
        <v>Maximum Profit of Operating a Centennial Wheel</v>
      </c>
      <c r="C2094" s="10">
        <f>Github!F$1600</f>
        <v>68</v>
      </c>
      <c r="D2094" s="10">
        <f>Github!G$1600</f>
        <v>210</v>
      </c>
      <c r="E2094" s="10">
        <f>Github!F$1600+Github!G$1600</f>
        <v>278</v>
      </c>
      <c r="F2094" s="12">
        <f t="shared" si="1"/>
        <v>0.32</v>
      </c>
      <c r="G2094" s="10" t="str">
        <f>Github!H$1600</f>
        <v>Algorithms</v>
      </c>
      <c r="H2094" s="13" t="str">
        <f>SUBSTITUTE(Github!L$1600, ";", ", ")</f>
        <v>Array, Simulation, </v>
      </c>
      <c r="I2094" s="10" t="str">
        <f>Github!E$1600</f>
        <v>Medium</v>
      </c>
      <c r="J2094" s="10" t="str">
        <f>IF(TRIM(Github!D$1600)="TRUE","FALSE","TRUE")</f>
        <v>TRUE</v>
      </c>
      <c r="K2094" s="10" t="b">
        <f>Github!M$1600</f>
        <v>0</v>
      </c>
      <c r="L2094" s="10" t="b">
        <f>Github!N$1600</f>
        <v>0</v>
      </c>
      <c r="M2094" s="10" t="str">
        <f>ROUND(Github!O$1600, 2)&amp;"%"</f>
        <v>43.93%</v>
      </c>
      <c r="N2094" s="10">
        <f>Github!P$1600</f>
        <v>9680</v>
      </c>
      <c r="O2094" s="10">
        <f>Github!Q$1600</f>
        <v>22037</v>
      </c>
    </row>
    <row r="2095">
      <c r="A2095" s="10">
        <f>Github!J$1821</f>
        <v>1820</v>
      </c>
      <c r="B2095" s="11" t="str">
        <f>HYPERLINK(CONCAT("http://leetcode.com/problems/",Github!C$1821), Github!B$1821)</f>
        <v>Maximum Number of Accepted Invitations</v>
      </c>
      <c r="C2095" s="10">
        <f>Github!F$1821</f>
        <v>72</v>
      </c>
      <c r="D2095" s="10">
        <f>Github!G$1821</f>
        <v>21</v>
      </c>
      <c r="E2095" s="10">
        <f>Github!F$1821+Github!G$1821</f>
        <v>93</v>
      </c>
      <c r="F2095" s="12">
        <f t="shared" si="1"/>
        <v>3.43</v>
      </c>
      <c r="G2095" s="10" t="str">
        <f>Github!H$1821</f>
        <v>Algorithms</v>
      </c>
      <c r="H2095" s="13" t="str">
        <f>SUBSTITUTE(Github!L$1821, ";", ", ")</f>
        <v>Array, Backtracking, Matrix, </v>
      </c>
      <c r="I2095" s="10" t="str">
        <f>Github!E$1821</f>
        <v>Medium</v>
      </c>
      <c r="J2095" s="10" t="str">
        <f>IF(TRIM(Github!D$1821)="TRUE","FALSE","TRUE")</f>
        <v>FALSE</v>
      </c>
      <c r="K2095" s="10" t="b">
        <f>Github!M$1821</f>
        <v>0</v>
      </c>
      <c r="L2095" s="10" t="b">
        <f>Github!N$1821</f>
        <v>0</v>
      </c>
      <c r="M2095" s="10" t="str">
        <f>ROUND(Github!O$1821, 2)&amp;"%"</f>
        <v>47.23%</v>
      </c>
      <c r="N2095" s="10">
        <f>Github!P$1821</f>
        <v>1502</v>
      </c>
      <c r="O2095" s="10">
        <f>Github!Q$1821</f>
        <v>3180</v>
      </c>
    </row>
    <row r="2096">
      <c r="A2096" s="10">
        <f>Github!J$973</f>
        <v>972</v>
      </c>
      <c r="B2096" s="11" t="str">
        <f>HYPERLINK(CONCAT("http://leetcode.com/problems/",Github!C$973), Github!B$973)</f>
        <v>Equal Rational Numbers</v>
      </c>
      <c r="C2096" s="10">
        <f>Github!F$973</f>
        <v>68</v>
      </c>
      <c r="D2096" s="10">
        <f>Github!G$973</f>
        <v>185</v>
      </c>
      <c r="E2096" s="10">
        <f>Github!F$973+Github!G$973</f>
        <v>253</v>
      </c>
      <c r="F2096" s="12">
        <f t="shared" si="1"/>
        <v>0.37</v>
      </c>
      <c r="G2096" s="10" t="str">
        <f>Github!H$973</f>
        <v>Algorithms</v>
      </c>
      <c r="H2096" s="13" t="str">
        <f>SUBSTITUTE(Github!L$973, ";", ", ")</f>
        <v>Math, String, </v>
      </c>
      <c r="I2096" s="10" t="str">
        <f>Github!E$973</f>
        <v>Hard</v>
      </c>
      <c r="J2096" s="10" t="str">
        <f>IF(TRIM(Github!D$973)="TRUE","FALSE","TRUE")</f>
        <v>TRUE</v>
      </c>
      <c r="K2096" s="10" t="b">
        <f>Github!M$973</f>
        <v>1</v>
      </c>
      <c r="L2096" s="10" t="b">
        <f>Github!N$973</f>
        <v>0</v>
      </c>
      <c r="M2096" s="10" t="str">
        <f>ROUND(Github!O$973, 2)&amp;"%"</f>
        <v>42.51%</v>
      </c>
      <c r="N2096" s="10">
        <f>Github!P$973</f>
        <v>5354</v>
      </c>
      <c r="O2096" s="10">
        <f>Github!Q$973</f>
        <v>12596</v>
      </c>
    </row>
    <row r="2097">
      <c r="A2097" s="10">
        <f>Github!J$1528</f>
        <v>1527</v>
      </c>
      <c r="B2097" s="11" t="str">
        <f>HYPERLINK(CONCAT("http://leetcode.com/problems/",Github!C$1528), Github!B$1528)</f>
        <v>Patients With a Condition</v>
      </c>
      <c r="C2097" s="10">
        <f>Github!F$1528</f>
        <v>75</v>
      </c>
      <c r="D2097" s="10">
        <f>Github!G$1528</f>
        <v>123</v>
      </c>
      <c r="E2097" s="10">
        <f>Github!F$1528+Github!G$1528</f>
        <v>198</v>
      </c>
      <c r="F2097" s="12">
        <f t="shared" si="1"/>
        <v>0.61</v>
      </c>
      <c r="G2097" s="10" t="str">
        <f>Github!H$1528</f>
        <v>Database</v>
      </c>
      <c r="H2097" s="13" t="str">
        <f>SUBSTITUTE(Github!L$1528, ";", ", ")</f>
        <v>Database, </v>
      </c>
      <c r="I2097" s="10" t="str">
        <f>Github!E$1528</f>
        <v>Easy</v>
      </c>
      <c r="J2097" s="10" t="str">
        <f>IF(TRIM(Github!D$1528)="TRUE","FALSE","TRUE")</f>
        <v>TRUE</v>
      </c>
      <c r="K2097" s="10" t="b">
        <f>Github!M$1528</f>
        <v>0</v>
      </c>
      <c r="L2097" s="10" t="b">
        <f>Github!N$1528</f>
        <v>0</v>
      </c>
      <c r="M2097" s="10" t="str">
        <f>ROUND(Github!O$1528, 2)&amp;"%"</f>
        <v>47.73%</v>
      </c>
      <c r="N2097" s="10">
        <f>Github!P$1528</f>
        <v>21136</v>
      </c>
      <c r="O2097" s="10">
        <f>Github!Q$1528</f>
        <v>44278</v>
      </c>
    </row>
    <row r="2098">
      <c r="A2098" s="10">
        <f>Github!J$1709</f>
        <v>1708</v>
      </c>
      <c r="B2098" s="11" t="str">
        <f>HYPERLINK(CONCAT("http://leetcode.com/problems/",Github!C$1709), Github!B$1709)</f>
        <v>Largest Subarray Length K</v>
      </c>
      <c r="C2098" s="10">
        <f>Github!F$1709</f>
        <v>65</v>
      </c>
      <c r="D2098" s="10">
        <f>Github!G$1709</f>
        <v>82</v>
      </c>
      <c r="E2098" s="10">
        <f>Github!F$1709+Github!G$1709</f>
        <v>147</v>
      </c>
      <c r="F2098" s="12">
        <f t="shared" si="1"/>
        <v>0.79</v>
      </c>
      <c r="G2098" s="10" t="str">
        <f>Github!H$1709</f>
        <v>Algorithms</v>
      </c>
      <c r="H2098" s="13" t="str">
        <f>SUBSTITUTE(Github!L$1709, ";", ", ")</f>
        <v>Array, Greedy, </v>
      </c>
      <c r="I2098" s="10" t="str">
        <f>Github!E$1709</f>
        <v>Easy</v>
      </c>
      <c r="J2098" s="10" t="str">
        <f>IF(TRIM(Github!D$1709)="TRUE","FALSE","TRUE")</f>
        <v>FALSE</v>
      </c>
      <c r="K2098" s="10" t="b">
        <f>Github!M$1709</f>
        <v>0</v>
      </c>
      <c r="L2098" s="10" t="b">
        <f>Github!N$1709</f>
        <v>0</v>
      </c>
      <c r="M2098" s="10" t="str">
        <f>ROUND(Github!O$1709, 2)&amp;"%"</f>
        <v>63.64%</v>
      </c>
      <c r="N2098" s="10">
        <f>Github!P$1709</f>
        <v>5475</v>
      </c>
      <c r="O2098" s="10">
        <f>Github!Q$1709</f>
        <v>8603</v>
      </c>
    </row>
    <row r="2099">
      <c r="A2099" s="10">
        <f>Github!J$1068</f>
        <v>1067</v>
      </c>
      <c r="B2099" s="11" t="str">
        <f>HYPERLINK(CONCAT("http://leetcode.com/problems/",Github!C$1068), Github!B$1068)</f>
        <v>Digit Count in Range</v>
      </c>
      <c r="C2099" s="10">
        <f>Github!F$1068</f>
        <v>64</v>
      </c>
      <c r="D2099" s="10">
        <f>Github!G$1068</f>
        <v>16</v>
      </c>
      <c r="E2099" s="10">
        <f>Github!F$1068+Github!G$1068</f>
        <v>80</v>
      </c>
      <c r="F2099" s="12">
        <f t="shared" si="1"/>
        <v>4</v>
      </c>
      <c r="G2099" s="10" t="str">
        <f>Github!H$1068</f>
        <v>Algorithms</v>
      </c>
      <c r="H2099" s="13" t="str">
        <f>SUBSTITUTE(Github!L$1068, ";", ", ")</f>
        <v>Math, Dynamic Programming, </v>
      </c>
      <c r="I2099" s="10" t="str">
        <f>Github!E$1068</f>
        <v>Hard</v>
      </c>
      <c r="J2099" s="10" t="str">
        <f>IF(TRIM(Github!D$1068)="TRUE","FALSE","TRUE")</f>
        <v>FALSE</v>
      </c>
      <c r="K2099" s="10" t="b">
        <f>Github!M$1068</f>
        <v>0</v>
      </c>
      <c r="L2099" s="10" t="b">
        <f>Github!N$1068</f>
        <v>0</v>
      </c>
      <c r="M2099" s="10" t="str">
        <f>ROUND(Github!O$1068, 2)&amp;"%"</f>
        <v>42.98%</v>
      </c>
      <c r="N2099" s="10">
        <f>Github!P$1068</f>
        <v>2697</v>
      </c>
      <c r="O2099" s="10">
        <f>Github!Q$1068</f>
        <v>6275</v>
      </c>
    </row>
    <row r="2100">
      <c r="A2100" s="10">
        <f>Github!J$1379</f>
        <v>1378</v>
      </c>
      <c r="B2100" s="11" t="str">
        <f>HYPERLINK(CONCAT("http://leetcode.com/problems/",Github!C$1379), Github!B$1379)</f>
        <v>Replace Employee ID With The Unique Identifier</v>
      </c>
      <c r="C2100" s="10">
        <f>Github!F$1379</f>
        <v>65</v>
      </c>
      <c r="D2100" s="10">
        <f>Github!G$1379</f>
        <v>30</v>
      </c>
      <c r="E2100" s="10">
        <f>Github!F$1379+Github!G$1379</f>
        <v>95</v>
      </c>
      <c r="F2100" s="12">
        <f t="shared" si="1"/>
        <v>2.17</v>
      </c>
      <c r="G2100" s="10" t="str">
        <f>Github!H$1379</f>
        <v>Database</v>
      </c>
      <c r="H2100" s="13" t="str">
        <f>SUBSTITUTE(Github!L$1379, ";", ", ")</f>
        <v>Database, </v>
      </c>
      <c r="I2100" s="10" t="str">
        <f>Github!E$1379</f>
        <v>Easy</v>
      </c>
      <c r="J2100" s="10" t="str">
        <f>IF(TRIM(Github!D$1379)="TRUE","FALSE","TRUE")</f>
        <v>FALSE</v>
      </c>
      <c r="K2100" s="10" t="b">
        <f>Github!M$1379</f>
        <v>0</v>
      </c>
      <c r="L2100" s="10" t="b">
        <f>Github!N$1379</f>
        <v>0</v>
      </c>
      <c r="M2100" s="10" t="str">
        <f>ROUND(Github!O$1379, 2)&amp;"%"</f>
        <v>91.15%</v>
      </c>
      <c r="N2100" s="10">
        <f>Github!P$1379</f>
        <v>28531</v>
      </c>
      <c r="O2100" s="10">
        <f>Github!Q$1379</f>
        <v>31301</v>
      </c>
    </row>
    <row r="2101">
      <c r="A2101" s="10">
        <f>Github!J$2084</f>
        <v>2083</v>
      </c>
      <c r="B2101" s="11" t="str">
        <f>HYPERLINK(CONCAT("http://leetcode.com/problems/",Github!C$2084), Github!B$2084)</f>
        <v>Substrings That Begin and End With the Same Letter</v>
      </c>
      <c r="C2101" s="10">
        <f>Github!F$2084</f>
        <v>67</v>
      </c>
      <c r="D2101" s="10">
        <f>Github!G$2084</f>
        <v>2</v>
      </c>
      <c r="E2101" s="10">
        <f>Github!F$2084+Github!G$2084</f>
        <v>69</v>
      </c>
      <c r="F2101" s="12">
        <f t="shared" si="1"/>
        <v>33.5</v>
      </c>
      <c r="G2101" s="10" t="str">
        <f>Github!H$2084</f>
        <v>Algorithms</v>
      </c>
      <c r="H2101" s="13" t="str">
        <f>SUBSTITUTE(Github!L$2084, ";", ", ")</f>
        <v>Hash Table, Math, String, Counting, Prefix Sum, </v>
      </c>
      <c r="I2101" s="10" t="str">
        <f>Github!E$2084</f>
        <v>Medium</v>
      </c>
      <c r="J2101" s="10" t="str">
        <f>IF(TRIM(Github!D$2084)="TRUE","FALSE","TRUE")</f>
        <v>FALSE</v>
      </c>
      <c r="K2101" s="10" t="b">
        <f>Github!M$2084</f>
        <v>0</v>
      </c>
      <c r="L2101" s="10" t="b">
        <f>Github!N$2084</f>
        <v>0</v>
      </c>
      <c r="M2101" s="10" t="str">
        <f>ROUND(Github!O$2084, 2)&amp;"%"</f>
        <v>68.47%</v>
      </c>
      <c r="N2101" s="10">
        <f>Github!P$2084</f>
        <v>3320</v>
      </c>
      <c r="O2101" s="10">
        <f>Github!Q$2084</f>
        <v>4849</v>
      </c>
    </row>
    <row r="2102">
      <c r="A2102" s="10">
        <f>Github!J$1539</f>
        <v>1538</v>
      </c>
      <c r="B2102" s="11" t="str">
        <f>HYPERLINK(CONCAT("http://leetcode.com/problems/",Github!C$1539), Github!B$1539)</f>
        <v>Guess the Majority in a Hidden Array</v>
      </c>
      <c r="C2102" s="10">
        <f>Github!F$1539</f>
        <v>63</v>
      </c>
      <c r="D2102" s="10">
        <f>Github!G$1539</f>
        <v>36</v>
      </c>
      <c r="E2102" s="10">
        <f>Github!F$1539+Github!G$1539</f>
        <v>99</v>
      </c>
      <c r="F2102" s="12">
        <f t="shared" si="1"/>
        <v>1.75</v>
      </c>
      <c r="G2102" s="10" t="str">
        <f>Github!H$1539</f>
        <v>Algorithms</v>
      </c>
      <c r="H2102" s="13" t="str">
        <f>SUBSTITUTE(Github!L$1539, ";", ", ")</f>
        <v>Array, Math, Interactive, </v>
      </c>
      <c r="I2102" s="10" t="str">
        <f>Github!E$1539</f>
        <v>Medium</v>
      </c>
      <c r="J2102" s="10" t="str">
        <f>IF(TRIM(Github!D$1539)="TRUE","FALSE","TRUE")</f>
        <v>FALSE</v>
      </c>
      <c r="K2102" s="10" t="b">
        <f>Github!M$1539</f>
        <v>0</v>
      </c>
      <c r="L2102" s="10" t="b">
        <f>Github!N$1539</f>
        <v>0</v>
      </c>
      <c r="M2102" s="10" t="str">
        <f>ROUND(Github!O$1539, 2)&amp;"%"</f>
        <v>62.23%</v>
      </c>
      <c r="N2102" s="10">
        <f>Github!P$1539</f>
        <v>1364</v>
      </c>
      <c r="O2102" s="10">
        <f>Github!Q$1539</f>
        <v>2192</v>
      </c>
    </row>
    <row r="2103">
      <c r="A2103" s="10">
        <f>Github!J$556</f>
        <v>555</v>
      </c>
      <c r="B2103" s="11" t="str">
        <f>HYPERLINK(CONCAT("http://leetcode.com/problems/",Github!C$556), Github!B$556)</f>
        <v>Split Concatenated Strings</v>
      </c>
      <c r="C2103" s="10">
        <f>Github!F$556</f>
        <v>62</v>
      </c>
      <c r="D2103" s="10">
        <f>Github!G$556</f>
        <v>239</v>
      </c>
      <c r="E2103" s="10">
        <f>Github!F$556+Github!G$556</f>
        <v>301</v>
      </c>
      <c r="F2103" s="12">
        <f t="shared" si="1"/>
        <v>0.26</v>
      </c>
      <c r="G2103" s="10" t="str">
        <f>Github!H$556</f>
        <v>Algorithms</v>
      </c>
      <c r="H2103" s="13" t="str">
        <f>SUBSTITUTE(Github!L$556, ";", ", ")</f>
        <v>Array, String, Greedy, </v>
      </c>
      <c r="I2103" s="10" t="str">
        <f>Github!E$556</f>
        <v>Medium</v>
      </c>
      <c r="J2103" s="10" t="str">
        <f>IF(TRIM(Github!D$556)="TRUE","FALSE","TRUE")</f>
        <v>FALSE</v>
      </c>
      <c r="K2103" s="10" t="b">
        <f>Github!M$556</f>
        <v>0</v>
      </c>
      <c r="L2103" s="10" t="b">
        <f>Github!N$556</f>
        <v>0</v>
      </c>
      <c r="M2103" s="10" t="str">
        <f>ROUND(Github!O$556, 2)&amp;"%"</f>
        <v>43.22%</v>
      </c>
      <c r="N2103" s="10">
        <f>Github!P$556</f>
        <v>5927</v>
      </c>
      <c r="O2103" s="10">
        <f>Github!Q$556</f>
        <v>13714</v>
      </c>
    </row>
    <row r="2104">
      <c r="A2104" s="10">
        <f>Github!J$1257</f>
        <v>1256</v>
      </c>
      <c r="B2104" s="11" t="str">
        <f>HYPERLINK(CONCAT("http://leetcode.com/problems/",Github!C$1257), Github!B$1257)</f>
        <v>Encode Number</v>
      </c>
      <c r="C2104" s="10">
        <f>Github!F$1257</f>
        <v>62</v>
      </c>
      <c r="D2104" s="10">
        <f>Github!G$1257</f>
        <v>216</v>
      </c>
      <c r="E2104" s="10">
        <f>Github!F$1257+Github!G$1257</f>
        <v>278</v>
      </c>
      <c r="F2104" s="12">
        <f t="shared" si="1"/>
        <v>0.29</v>
      </c>
      <c r="G2104" s="10" t="str">
        <f>Github!H$1257</f>
        <v>Algorithms</v>
      </c>
      <c r="H2104" s="13" t="str">
        <f>SUBSTITUTE(Github!L$1257, ";", ", ")</f>
        <v>Math, String, Bit Manipulation, </v>
      </c>
      <c r="I2104" s="10" t="str">
        <f>Github!E$1257</f>
        <v>Medium</v>
      </c>
      <c r="J2104" s="10" t="str">
        <f>IF(TRIM(Github!D$1257)="TRUE","FALSE","TRUE")</f>
        <v>FALSE</v>
      </c>
      <c r="K2104" s="10" t="b">
        <f>Github!M$1257</f>
        <v>0</v>
      </c>
      <c r="L2104" s="10" t="b">
        <f>Github!N$1257</f>
        <v>0</v>
      </c>
      <c r="M2104" s="10" t="str">
        <f>ROUND(Github!O$1257, 2)&amp;"%"</f>
        <v>69.7%</v>
      </c>
      <c r="N2104" s="10">
        <f>Github!P$1257</f>
        <v>6415</v>
      </c>
      <c r="O2104" s="10">
        <f>Github!Q$1257</f>
        <v>9204</v>
      </c>
    </row>
    <row r="2105">
      <c r="A2105" s="10">
        <f>Github!J$1182</f>
        <v>1181</v>
      </c>
      <c r="B2105" s="11" t="str">
        <f>HYPERLINK(CONCAT("http://leetcode.com/problems/",Github!C$1182), Github!B$1182)</f>
        <v>Before and After Puzzle</v>
      </c>
      <c r="C2105" s="10">
        <f>Github!F$1182</f>
        <v>62</v>
      </c>
      <c r="D2105" s="10">
        <f>Github!G$1182</f>
        <v>141</v>
      </c>
      <c r="E2105" s="10">
        <f>Github!F$1182+Github!G$1182</f>
        <v>203</v>
      </c>
      <c r="F2105" s="12">
        <f t="shared" si="1"/>
        <v>0.44</v>
      </c>
      <c r="G2105" s="10" t="str">
        <f>Github!H$1182</f>
        <v>Algorithms</v>
      </c>
      <c r="H2105" s="13" t="str">
        <f>SUBSTITUTE(Github!L$1182, ";", ", ")</f>
        <v>Array, Hash Table, String, Sorting, </v>
      </c>
      <c r="I2105" s="10" t="str">
        <f>Github!E$1182</f>
        <v>Medium</v>
      </c>
      <c r="J2105" s="10" t="str">
        <f>IF(TRIM(Github!D$1182)="TRUE","FALSE","TRUE")</f>
        <v>FALSE</v>
      </c>
      <c r="K2105" s="10" t="b">
        <f>Github!M$1182</f>
        <v>0</v>
      </c>
      <c r="L2105" s="10" t="b">
        <f>Github!N$1182</f>
        <v>0</v>
      </c>
      <c r="M2105" s="10" t="str">
        <f>ROUND(Github!O$1182, 2)&amp;"%"</f>
        <v>44.98%</v>
      </c>
      <c r="N2105" s="10">
        <f>Github!P$1182</f>
        <v>8922</v>
      </c>
      <c r="O2105" s="10">
        <f>Github!Q$1182</f>
        <v>19836</v>
      </c>
    </row>
    <row r="2106">
      <c r="A2106" s="10">
        <f>Github!J$1550</f>
        <v>1549</v>
      </c>
      <c r="B2106" s="11" t="str">
        <f>HYPERLINK(CONCAT("http://leetcode.com/problems/",Github!C$1550), Github!B$1550)</f>
        <v>The Most Recent Orders for Each Product</v>
      </c>
      <c r="C2106" s="10">
        <f>Github!F$1550</f>
        <v>65</v>
      </c>
      <c r="D2106" s="10">
        <f>Github!G$1550</f>
        <v>5</v>
      </c>
      <c r="E2106" s="10">
        <f>Github!F$1550+Github!G$1550</f>
        <v>70</v>
      </c>
      <c r="F2106" s="12">
        <f t="shared" si="1"/>
        <v>13</v>
      </c>
      <c r="G2106" s="10" t="str">
        <f>Github!H$1550</f>
        <v>Database</v>
      </c>
      <c r="H2106" s="13" t="str">
        <f>SUBSTITUTE(Github!L$1550, ";", ", ")</f>
        <v>Database, </v>
      </c>
      <c r="I2106" s="10" t="str">
        <f>Github!E$1550</f>
        <v>Medium</v>
      </c>
      <c r="J2106" s="10" t="str">
        <f>IF(TRIM(Github!D$1550)="TRUE","FALSE","TRUE")</f>
        <v>FALSE</v>
      </c>
      <c r="K2106" s="10" t="b">
        <f>Github!M$1550</f>
        <v>0</v>
      </c>
      <c r="L2106" s="10" t="b">
        <f>Github!N$1550</f>
        <v>0</v>
      </c>
      <c r="M2106" s="10" t="str">
        <f>ROUND(Github!O$1550, 2)&amp;"%"</f>
        <v>67.62%</v>
      </c>
      <c r="N2106" s="10">
        <f>Github!P$1550</f>
        <v>12759</v>
      </c>
      <c r="O2106" s="10">
        <f>Github!Q$1550</f>
        <v>18869</v>
      </c>
    </row>
    <row r="2107">
      <c r="A2107" s="10">
        <f>Github!J$1903</f>
        <v>1902</v>
      </c>
      <c r="B2107" s="11" t="str">
        <f>HYPERLINK(CONCAT("http://leetcode.com/problems/",Github!C$1903), Github!B$1903)</f>
        <v>Depth of BST Given Insertion Order</v>
      </c>
      <c r="C2107" s="10">
        <f>Github!F$1903</f>
        <v>62</v>
      </c>
      <c r="D2107" s="10">
        <f>Github!G$1903</f>
        <v>6</v>
      </c>
      <c r="E2107" s="10">
        <f>Github!F$1903+Github!G$1903</f>
        <v>68</v>
      </c>
      <c r="F2107" s="12">
        <f t="shared" si="1"/>
        <v>10.33</v>
      </c>
      <c r="G2107" s="10" t="str">
        <f>Github!H$1903</f>
        <v>Algorithms</v>
      </c>
      <c r="H2107" s="13" t="str">
        <f>SUBSTITUTE(Github!L$1903, ";", ", ")</f>
        <v>Tree, Binary Search Tree, Binary Tree, Ordered Set, </v>
      </c>
      <c r="I2107" s="10" t="str">
        <f>Github!E$1903</f>
        <v>Medium</v>
      </c>
      <c r="J2107" s="10" t="str">
        <f>IF(TRIM(Github!D$1903)="TRUE","FALSE","TRUE")</f>
        <v>FALSE</v>
      </c>
      <c r="K2107" s="10" t="b">
        <f>Github!M$1903</f>
        <v>0</v>
      </c>
      <c r="L2107" s="10" t="b">
        <f>Github!N$1903</f>
        <v>0</v>
      </c>
      <c r="M2107" s="10" t="str">
        <f>ROUND(Github!O$1903, 2)&amp;"%"</f>
        <v>46.23%</v>
      </c>
      <c r="N2107" s="10">
        <f>Github!P$1903</f>
        <v>1380</v>
      </c>
      <c r="O2107" s="10">
        <f>Github!Q$1903</f>
        <v>2985</v>
      </c>
    </row>
    <row r="2108">
      <c r="A2108" s="10">
        <f>Github!J$1621</f>
        <v>1620</v>
      </c>
      <c r="B2108" s="11" t="str">
        <f>HYPERLINK(CONCAT("http://leetcode.com/problems/",Github!C$1621), Github!B$1621)</f>
        <v>Coordinate With Maximum Network Quality</v>
      </c>
      <c r="C2108" s="10">
        <f>Github!F$1621</f>
        <v>60</v>
      </c>
      <c r="D2108" s="10">
        <f>Github!G$1621</f>
        <v>202</v>
      </c>
      <c r="E2108" s="10">
        <f>Github!F$1621+Github!G$1621</f>
        <v>262</v>
      </c>
      <c r="F2108" s="12">
        <f t="shared" si="1"/>
        <v>0.3</v>
      </c>
      <c r="G2108" s="10" t="str">
        <f>Github!H$1621</f>
        <v>Algorithms</v>
      </c>
      <c r="H2108" s="13" t="str">
        <f>SUBSTITUTE(Github!L$1621, ";", ", ")</f>
        <v>Array, Enumeration, </v>
      </c>
      <c r="I2108" s="10" t="str">
        <f>Github!E$1621</f>
        <v>Medium</v>
      </c>
      <c r="J2108" s="10" t="str">
        <f>IF(TRIM(Github!D$1621)="TRUE","FALSE","TRUE")</f>
        <v>TRUE</v>
      </c>
      <c r="K2108" s="10" t="b">
        <f>Github!M$1621</f>
        <v>0</v>
      </c>
      <c r="L2108" s="10" t="b">
        <f>Github!N$1621</f>
        <v>0</v>
      </c>
      <c r="M2108" s="10" t="str">
        <f>ROUND(Github!O$1621, 2)&amp;"%"</f>
        <v>37.09%</v>
      </c>
      <c r="N2108" s="10">
        <f>Github!P$1621</f>
        <v>6393</v>
      </c>
      <c r="O2108" s="10">
        <f>Github!Q$1621</f>
        <v>17236</v>
      </c>
    </row>
    <row r="2109">
      <c r="A2109" s="10">
        <f>Github!J$1337</f>
        <v>1336</v>
      </c>
      <c r="B2109" s="11" t="str">
        <f>HYPERLINK(CONCAT("http://leetcode.com/problems/",Github!C$1337), Github!B$1337)</f>
        <v>Number of Transactions per Visit</v>
      </c>
      <c r="C2109" s="10">
        <f>Github!F$1337</f>
        <v>60</v>
      </c>
      <c r="D2109" s="10">
        <f>Github!G$1337</f>
        <v>244</v>
      </c>
      <c r="E2109" s="10">
        <f>Github!F$1337+Github!G$1337</f>
        <v>304</v>
      </c>
      <c r="F2109" s="12">
        <f t="shared" si="1"/>
        <v>0.25</v>
      </c>
      <c r="G2109" s="10" t="str">
        <f>Github!H$1337</f>
        <v>Database</v>
      </c>
      <c r="H2109" s="13" t="str">
        <f>SUBSTITUTE(Github!L$1337, ";", ", ")</f>
        <v>Database, </v>
      </c>
      <c r="I2109" s="10" t="str">
        <f>Github!E$1337</f>
        <v>Hard</v>
      </c>
      <c r="J2109" s="10" t="str">
        <f>IF(TRIM(Github!D$1337)="TRUE","FALSE","TRUE")</f>
        <v>FALSE</v>
      </c>
      <c r="K2109" s="10" t="b">
        <f>Github!M$1337</f>
        <v>0</v>
      </c>
      <c r="L2109" s="10" t="b">
        <f>Github!N$1337</f>
        <v>0</v>
      </c>
      <c r="M2109" s="10" t="str">
        <f>ROUND(Github!O$1337, 2)&amp;"%"</f>
        <v>51.42%</v>
      </c>
      <c r="N2109" s="10">
        <f>Github!P$1337</f>
        <v>8801</v>
      </c>
      <c r="O2109" s="10">
        <f>Github!Q$1337</f>
        <v>17115</v>
      </c>
    </row>
    <row r="2110">
      <c r="A2110" s="10">
        <f>Github!J$1636</f>
        <v>1635</v>
      </c>
      <c r="B2110" s="11" t="str">
        <f>HYPERLINK(CONCAT("http://leetcode.com/problems/",Github!C$1636), Github!B$1636)</f>
        <v>Hopper Company Queries I</v>
      </c>
      <c r="C2110" s="10">
        <f>Github!F$1636</f>
        <v>59</v>
      </c>
      <c r="D2110" s="10">
        <f>Github!G$1636</f>
        <v>23</v>
      </c>
      <c r="E2110" s="10">
        <f>Github!F$1636+Github!G$1636</f>
        <v>82</v>
      </c>
      <c r="F2110" s="12">
        <f t="shared" si="1"/>
        <v>2.57</v>
      </c>
      <c r="G2110" s="10" t="str">
        <f>Github!H$1636</f>
        <v>Database</v>
      </c>
      <c r="H2110" s="13" t="str">
        <f>SUBSTITUTE(Github!L$1636, ";", ", ")</f>
        <v>Database, </v>
      </c>
      <c r="I2110" s="10" t="str">
        <f>Github!E$1636</f>
        <v>Hard</v>
      </c>
      <c r="J2110" s="10" t="str">
        <f>IF(TRIM(Github!D$1636)="TRUE","FALSE","TRUE")</f>
        <v>FALSE</v>
      </c>
      <c r="K2110" s="10" t="b">
        <f>Github!M$1636</f>
        <v>0</v>
      </c>
      <c r="L2110" s="10" t="b">
        <f>Github!N$1636</f>
        <v>0</v>
      </c>
      <c r="M2110" s="10" t="str">
        <f>ROUND(Github!O$1636, 2)&amp;"%"</f>
        <v>53.55%</v>
      </c>
      <c r="N2110" s="10">
        <f>Github!P$1636</f>
        <v>5253</v>
      </c>
      <c r="O2110" s="10">
        <f>Github!Q$1636</f>
        <v>9809</v>
      </c>
    </row>
    <row r="2111">
      <c r="A2111" s="10">
        <f>Github!J$1790</f>
        <v>1789</v>
      </c>
      <c r="B2111" s="11" t="str">
        <f>HYPERLINK(CONCAT("http://leetcode.com/problems/",Github!C$1790), Github!B$1790)</f>
        <v>Primary Department for Each Employee</v>
      </c>
      <c r="C2111" s="10">
        <f>Github!F$1790</f>
        <v>59</v>
      </c>
      <c r="D2111" s="10">
        <f>Github!G$1790</f>
        <v>30</v>
      </c>
      <c r="E2111" s="10">
        <f>Github!F$1790+Github!G$1790</f>
        <v>89</v>
      </c>
      <c r="F2111" s="12">
        <f t="shared" si="1"/>
        <v>1.97</v>
      </c>
      <c r="G2111" s="10" t="str">
        <f>Github!H$1790</f>
        <v>Database</v>
      </c>
      <c r="H2111" s="13" t="str">
        <f>SUBSTITUTE(Github!L$1790, ";", ", ")</f>
        <v>Database, </v>
      </c>
      <c r="I2111" s="10" t="str">
        <f>Github!E$1790</f>
        <v>Easy</v>
      </c>
      <c r="J2111" s="10" t="str">
        <f>IF(TRIM(Github!D$1790)="TRUE","FALSE","TRUE")</f>
        <v>FALSE</v>
      </c>
      <c r="K2111" s="10" t="b">
        <f>Github!M$1790</f>
        <v>0</v>
      </c>
      <c r="L2111" s="10" t="b">
        <f>Github!N$1790</f>
        <v>0</v>
      </c>
      <c r="M2111" s="10" t="str">
        <f>ROUND(Github!O$1790, 2)&amp;"%"</f>
        <v>79.28%</v>
      </c>
      <c r="N2111" s="10">
        <f>Github!P$1790</f>
        <v>9758</v>
      </c>
      <c r="O2111" s="10">
        <f>Github!Q$1790</f>
        <v>12308</v>
      </c>
    </row>
    <row r="2112">
      <c r="A2112" s="10">
        <f>Github!J$1730</f>
        <v>1729</v>
      </c>
      <c r="B2112" s="11" t="str">
        <f>HYPERLINK(CONCAT("http://leetcode.com/problems/",Github!C$1730), Github!B$1730)</f>
        <v>Find Followers Count</v>
      </c>
      <c r="C2112" s="10">
        <f>Github!F$1730</f>
        <v>61</v>
      </c>
      <c r="D2112" s="10">
        <f>Github!G$1730</f>
        <v>9</v>
      </c>
      <c r="E2112" s="10">
        <f>Github!F$1730+Github!G$1730</f>
        <v>70</v>
      </c>
      <c r="F2112" s="12">
        <f t="shared" si="1"/>
        <v>6.78</v>
      </c>
      <c r="G2112" s="10" t="str">
        <f>Github!H$1730</f>
        <v>Database</v>
      </c>
      <c r="H2112" s="13" t="str">
        <f>SUBSTITUTE(Github!L$1730, ";", ", ")</f>
        <v>Database, </v>
      </c>
      <c r="I2112" s="10" t="str">
        <f>Github!E$1730</f>
        <v>Easy</v>
      </c>
      <c r="J2112" s="10" t="str">
        <f>IF(TRIM(Github!D$1730)="TRUE","FALSE","TRUE")</f>
        <v>TRUE</v>
      </c>
      <c r="K2112" s="10" t="b">
        <f>Github!M$1730</f>
        <v>0</v>
      </c>
      <c r="L2112" s="10" t="b">
        <f>Github!N$1730</f>
        <v>0</v>
      </c>
      <c r="M2112" s="10" t="str">
        <f>ROUND(Github!O$1730, 2)&amp;"%"</f>
        <v>71.4%</v>
      </c>
      <c r="N2112" s="10">
        <f>Github!P$1730</f>
        <v>13359</v>
      </c>
      <c r="O2112" s="10">
        <f>Github!Q$1730</f>
        <v>18710</v>
      </c>
    </row>
    <row r="2113">
      <c r="A2113" s="10">
        <f>Github!J$1272</f>
        <v>1271</v>
      </c>
      <c r="B2113" s="11" t="str">
        <f>HYPERLINK(CONCAT("http://leetcode.com/problems/",Github!C$1272), Github!B$1272)</f>
        <v>Hexspeak</v>
      </c>
      <c r="C2113" s="10">
        <f>Github!F$1272</f>
        <v>58</v>
      </c>
      <c r="D2113" s="10">
        <f>Github!G$1272</f>
        <v>104</v>
      </c>
      <c r="E2113" s="10">
        <f>Github!F$1272+Github!G$1272</f>
        <v>162</v>
      </c>
      <c r="F2113" s="12">
        <f t="shared" si="1"/>
        <v>0.56</v>
      </c>
      <c r="G2113" s="10" t="str">
        <f>Github!H$1272</f>
        <v>Algorithms</v>
      </c>
      <c r="H2113" s="13" t="str">
        <f>SUBSTITUTE(Github!L$1272, ";", ", ")</f>
        <v>Math, String, </v>
      </c>
      <c r="I2113" s="10" t="str">
        <f>Github!E$1272</f>
        <v>Easy</v>
      </c>
      <c r="J2113" s="10" t="str">
        <f>IF(TRIM(Github!D$1272)="TRUE","FALSE","TRUE")</f>
        <v>FALSE</v>
      </c>
      <c r="K2113" s="10" t="b">
        <f>Github!M$1272</f>
        <v>0</v>
      </c>
      <c r="L2113" s="10" t="b">
        <f>Github!N$1272</f>
        <v>0</v>
      </c>
      <c r="M2113" s="10" t="str">
        <f>ROUND(Github!O$1272, 2)&amp;"%"</f>
        <v>56.35%</v>
      </c>
      <c r="N2113" s="10">
        <f>Github!P$1272</f>
        <v>7848</v>
      </c>
      <c r="O2113" s="10">
        <f>Github!Q$1272</f>
        <v>13927</v>
      </c>
    </row>
    <row r="2114">
      <c r="A2114" s="10">
        <f>Github!J$1684</f>
        <v>1683</v>
      </c>
      <c r="B2114" s="11" t="str">
        <f>HYPERLINK(CONCAT("http://leetcode.com/problems/",Github!C$1684), Github!B$1684)</f>
        <v>Invalid Tweets</v>
      </c>
      <c r="C2114" s="10">
        <f>Github!F$1684</f>
        <v>57</v>
      </c>
      <c r="D2114" s="10">
        <f>Github!G$1684</f>
        <v>69</v>
      </c>
      <c r="E2114" s="10">
        <f>Github!F$1684+Github!G$1684</f>
        <v>126</v>
      </c>
      <c r="F2114" s="12">
        <f t="shared" si="1"/>
        <v>0.83</v>
      </c>
      <c r="G2114" s="10" t="str">
        <f>Github!H$1684</f>
        <v>Database</v>
      </c>
      <c r="H2114" s="13" t="str">
        <f>SUBSTITUTE(Github!L$1684, ";", ", ")</f>
        <v>Database, </v>
      </c>
      <c r="I2114" s="10" t="str">
        <f>Github!E$1684</f>
        <v>Easy</v>
      </c>
      <c r="J2114" s="10" t="str">
        <f>IF(TRIM(Github!D$1684)="TRUE","FALSE","TRUE")</f>
        <v>FALSE</v>
      </c>
      <c r="K2114" s="10" t="b">
        <f>Github!M$1684</f>
        <v>0</v>
      </c>
      <c r="L2114" s="10" t="b">
        <f>Github!N$1684</f>
        <v>0</v>
      </c>
      <c r="M2114" s="10" t="str">
        <f>ROUND(Github!O$1684, 2)&amp;"%"</f>
        <v>90.95%</v>
      </c>
      <c r="N2114" s="10">
        <f>Github!P$1684</f>
        <v>17457</v>
      </c>
      <c r="O2114" s="10">
        <f>Github!Q$1684</f>
        <v>19195</v>
      </c>
    </row>
    <row r="2115">
      <c r="A2115" s="10">
        <f>Github!J$1070</f>
        <v>1069</v>
      </c>
      <c r="B2115" s="11" t="str">
        <f>HYPERLINK(CONCAT("http://leetcode.com/problems/",Github!C$1070), Github!B$1070)</f>
        <v>Product Sales Analysis II</v>
      </c>
      <c r="C2115" s="10">
        <f>Github!F$1070</f>
        <v>56</v>
      </c>
      <c r="D2115" s="10">
        <f>Github!G$1070</f>
        <v>144</v>
      </c>
      <c r="E2115" s="10">
        <f>Github!F$1070+Github!G$1070</f>
        <v>200</v>
      </c>
      <c r="F2115" s="12">
        <f t="shared" si="1"/>
        <v>0.39</v>
      </c>
      <c r="G2115" s="10" t="str">
        <f>Github!H$1070</f>
        <v>Database</v>
      </c>
      <c r="H2115" s="13" t="str">
        <f>SUBSTITUTE(Github!L$1070, ";", ", ")</f>
        <v>Database, </v>
      </c>
      <c r="I2115" s="10" t="str">
        <f>Github!E$1070</f>
        <v>Easy</v>
      </c>
      <c r="J2115" s="10" t="str">
        <f>IF(TRIM(Github!D$1070)="TRUE","FALSE","TRUE")</f>
        <v>FALSE</v>
      </c>
      <c r="K2115" s="10" t="b">
        <f>Github!M$1070</f>
        <v>0</v>
      </c>
      <c r="L2115" s="10" t="b">
        <f>Github!N$1070</f>
        <v>0</v>
      </c>
      <c r="M2115" s="10" t="str">
        <f>ROUND(Github!O$1070, 2)&amp;"%"</f>
        <v>82.44%</v>
      </c>
      <c r="N2115" s="10">
        <f>Github!P$1070</f>
        <v>39363</v>
      </c>
      <c r="O2115" s="10">
        <f>Github!Q$1070</f>
        <v>47748</v>
      </c>
    </row>
    <row r="2116">
      <c r="A2116" s="10">
        <f>Github!J$2062</f>
        <v>2061</v>
      </c>
      <c r="B2116" s="11" t="str">
        <f>HYPERLINK(CONCAT("http://leetcode.com/problems/",Github!C$2062), Github!B$2062)</f>
        <v>Number of Spaces Cleaning Robot Cleaned</v>
      </c>
      <c r="C2116" s="10">
        <f>Github!F$2062</f>
        <v>56</v>
      </c>
      <c r="D2116" s="10">
        <f>Github!G$2062</f>
        <v>14</v>
      </c>
      <c r="E2116" s="10">
        <f>Github!F$2062+Github!G$2062</f>
        <v>70</v>
      </c>
      <c r="F2116" s="12">
        <f t="shared" si="1"/>
        <v>4</v>
      </c>
      <c r="G2116" s="10" t="str">
        <f>Github!H$2062</f>
        <v>Algorithms</v>
      </c>
      <c r="H2116" s="13" t="str">
        <f>SUBSTITUTE(Github!L$2062, ";", ", ")</f>
        <v>Array, Matrix, Simulation, </v>
      </c>
      <c r="I2116" s="10" t="str">
        <f>Github!E$2062</f>
        <v>Medium</v>
      </c>
      <c r="J2116" s="10" t="str">
        <f>IF(TRIM(Github!D$2062)="TRUE","FALSE","TRUE")</f>
        <v>FALSE</v>
      </c>
      <c r="K2116" s="10" t="b">
        <f>Github!M$2062</f>
        <v>0</v>
      </c>
      <c r="L2116" s="10" t="b">
        <f>Github!N$2062</f>
        <v>0</v>
      </c>
      <c r="M2116" s="10" t="str">
        <f>ROUND(Github!O$2062, 2)&amp;"%"</f>
        <v>53.88%</v>
      </c>
      <c r="N2116" s="10">
        <f>Github!P$2062</f>
        <v>2502</v>
      </c>
      <c r="O2116" s="10">
        <f>Github!Q$2062</f>
        <v>4644</v>
      </c>
    </row>
    <row r="2117">
      <c r="A2117" s="10">
        <f>Github!J$1891</f>
        <v>1890</v>
      </c>
      <c r="B2117" s="11" t="str">
        <f>HYPERLINK(CONCAT("http://leetcode.com/problems/",Github!C$1891), Github!B$1891)</f>
        <v>The Latest Login in 2020</v>
      </c>
      <c r="C2117" s="10">
        <f>Github!F$1891</f>
        <v>61</v>
      </c>
      <c r="D2117" s="10">
        <f>Github!G$1891</f>
        <v>0</v>
      </c>
      <c r="E2117" s="10">
        <f>Github!F$1891+Github!G$1891</f>
        <v>61</v>
      </c>
      <c r="F2117" s="12">
        <f t="shared" si="1"/>
        <v>61</v>
      </c>
      <c r="G2117" s="10" t="str">
        <f>Github!H$1891</f>
        <v>Database</v>
      </c>
      <c r="H2117" s="13" t="str">
        <f>SUBSTITUTE(Github!L$1891, ";", ", ")</f>
        <v>Database, </v>
      </c>
      <c r="I2117" s="10" t="str">
        <f>Github!E$1891</f>
        <v>Easy</v>
      </c>
      <c r="J2117" s="10" t="str">
        <f>IF(TRIM(Github!D$1891)="TRUE","FALSE","TRUE")</f>
        <v>TRUE</v>
      </c>
      <c r="K2117" s="10" t="b">
        <f>Github!M$1891</f>
        <v>0</v>
      </c>
      <c r="L2117" s="10" t="b">
        <f>Github!N$1891</f>
        <v>0</v>
      </c>
      <c r="M2117" s="10" t="str">
        <f>ROUND(Github!O$1891, 2)&amp;"%"</f>
        <v>83.38%</v>
      </c>
      <c r="N2117" s="10">
        <f>Github!P$1891</f>
        <v>10043</v>
      </c>
      <c r="O2117" s="10">
        <f>Github!Q$1891</f>
        <v>12046</v>
      </c>
    </row>
    <row r="2118">
      <c r="A2118" s="10">
        <f>Github!J$1544</f>
        <v>1543</v>
      </c>
      <c r="B2118" s="11" t="str">
        <f>HYPERLINK(CONCAT("http://leetcode.com/problems/",Github!C$1544), Github!B$1544)</f>
        <v>Fix Product Name Format</v>
      </c>
      <c r="C2118" s="10">
        <f>Github!F$1544</f>
        <v>56</v>
      </c>
      <c r="D2118" s="10">
        <f>Github!G$1544</f>
        <v>35</v>
      </c>
      <c r="E2118" s="10">
        <f>Github!F$1544+Github!G$1544</f>
        <v>91</v>
      </c>
      <c r="F2118" s="12">
        <f t="shared" si="1"/>
        <v>1.6</v>
      </c>
      <c r="G2118" s="10" t="str">
        <f>Github!H$1544</f>
        <v>Database</v>
      </c>
      <c r="H2118" s="13" t="str">
        <f>SUBSTITUTE(Github!L$1544, ";", ", ")</f>
        <v>Database, </v>
      </c>
      <c r="I2118" s="10" t="str">
        <f>Github!E$1544</f>
        <v>Easy</v>
      </c>
      <c r="J2118" s="10" t="str">
        <f>IF(TRIM(Github!D$1544)="TRUE","FALSE","TRUE")</f>
        <v>FALSE</v>
      </c>
      <c r="K2118" s="10" t="b">
        <f>Github!M$1544</f>
        <v>0</v>
      </c>
      <c r="L2118" s="10" t="b">
        <f>Github!N$1544</f>
        <v>0</v>
      </c>
      <c r="M2118" s="10" t="str">
        <f>ROUND(Github!O$1544, 2)&amp;"%"</f>
        <v>63.12%</v>
      </c>
      <c r="N2118" s="10">
        <f>Github!P$1544</f>
        <v>13157</v>
      </c>
      <c r="O2118" s="10">
        <f>Github!Q$1544</f>
        <v>20843</v>
      </c>
    </row>
    <row r="2119">
      <c r="A2119" s="10">
        <f>Github!J$1732</f>
        <v>1731</v>
      </c>
      <c r="B2119" s="11" t="str">
        <f>HYPERLINK(CONCAT("http://leetcode.com/problems/",Github!C$1732), Github!B$1732)</f>
        <v>The Number of Employees Which Report to Each Employee</v>
      </c>
      <c r="C2119" s="10">
        <f>Github!F$1732</f>
        <v>58</v>
      </c>
      <c r="D2119" s="10">
        <f>Github!G$1732</f>
        <v>14</v>
      </c>
      <c r="E2119" s="10">
        <f>Github!F$1732+Github!G$1732</f>
        <v>72</v>
      </c>
      <c r="F2119" s="12">
        <f t="shared" si="1"/>
        <v>4.14</v>
      </c>
      <c r="G2119" s="10" t="str">
        <f>Github!H$1732</f>
        <v>Database</v>
      </c>
      <c r="H2119" s="13" t="str">
        <f>SUBSTITUTE(Github!L$1732, ";", ", ")</f>
        <v>Database, </v>
      </c>
      <c r="I2119" s="10" t="str">
        <f>Github!E$1732</f>
        <v>Easy</v>
      </c>
      <c r="J2119" s="10" t="str">
        <f>IF(TRIM(Github!D$1732)="TRUE","FALSE","TRUE")</f>
        <v>FALSE</v>
      </c>
      <c r="K2119" s="10" t="b">
        <f>Github!M$1732</f>
        <v>0</v>
      </c>
      <c r="L2119" s="10" t="b">
        <f>Github!N$1732</f>
        <v>0</v>
      </c>
      <c r="M2119" s="10" t="str">
        <f>ROUND(Github!O$1732, 2)&amp;"%"</f>
        <v>49.14%</v>
      </c>
      <c r="N2119" s="10">
        <f>Github!P$1732</f>
        <v>9810</v>
      </c>
      <c r="O2119" s="10">
        <f>Github!Q$1732</f>
        <v>19963</v>
      </c>
    </row>
    <row r="2120">
      <c r="A2120" s="10">
        <f>Github!J$2005</f>
        <v>2004</v>
      </c>
      <c r="B2120" s="11" t="str">
        <f>HYPERLINK(CONCAT("http://leetcode.com/problems/",Github!C$2005), Github!B$2005)</f>
        <v>The Number of Seniors and Juniors to Join the Company</v>
      </c>
      <c r="C2120" s="10">
        <f>Github!F$2005</f>
        <v>56</v>
      </c>
      <c r="D2120" s="10">
        <f>Github!G$2005</f>
        <v>4</v>
      </c>
      <c r="E2120" s="10">
        <f>Github!F$2005+Github!G$2005</f>
        <v>60</v>
      </c>
      <c r="F2120" s="12">
        <f t="shared" si="1"/>
        <v>14</v>
      </c>
      <c r="G2120" s="10" t="str">
        <f>Github!H$2005</f>
        <v>Database</v>
      </c>
      <c r="H2120" s="13" t="str">
        <f>SUBSTITUTE(Github!L$2005, ";", ", ")</f>
        <v>Database, </v>
      </c>
      <c r="I2120" s="10" t="str">
        <f>Github!E$2005</f>
        <v>Hard</v>
      </c>
      <c r="J2120" s="10" t="str">
        <f>IF(TRIM(Github!D$2005)="TRUE","FALSE","TRUE")</f>
        <v>FALSE</v>
      </c>
      <c r="K2120" s="10" t="b">
        <f>Github!M$2005</f>
        <v>0</v>
      </c>
      <c r="L2120" s="10" t="b">
        <f>Github!N$2005</f>
        <v>0</v>
      </c>
      <c r="M2120" s="10" t="str">
        <f>ROUND(Github!O$2005, 2)&amp;"%"</f>
        <v>38.42%</v>
      </c>
      <c r="N2120" s="10">
        <f>Github!P$2005</f>
        <v>3293</v>
      </c>
      <c r="O2120" s="10">
        <f>Github!Q$2005</f>
        <v>8571</v>
      </c>
    </row>
    <row r="2121">
      <c r="A2121" s="10">
        <f>Github!J$1365</f>
        <v>1364</v>
      </c>
      <c r="B2121" s="11" t="str">
        <f>HYPERLINK(CONCAT("http://leetcode.com/problems/",Github!C$1365), Github!B$1365)</f>
        <v>Number of Trusted Contacts of a Customer</v>
      </c>
      <c r="C2121" s="10">
        <f>Github!F$1365</f>
        <v>54</v>
      </c>
      <c r="D2121" s="10">
        <f>Github!G$1365</f>
        <v>280</v>
      </c>
      <c r="E2121" s="10">
        <f>Github!F$1365+Github!G$1365</f>
        <v>334</v>
      </c>
      <c r="F2121" s="12">
        <f t="shared" si="1"/>
        <v>0.19</v>
      </c>
      <c r="G2121" s="10" t="str">
        <f>Github!H$1365</f>
        <v>Database</v>
      </c>
      <c r="H2121" s="13" t="str">
        <f>SUBSTITUTE(Github!L$1365, ";", ", ")</f>
        <v>Database, </v>
      </c>
      <c r="I2121" s="10" t="str">
        <f>Github!E$1365</f>
        <v>Medium</v>
      </c>
      <c r="J2121" s="10" t="str">
        <f>IF(TRIM(Github!D$1365)="TRUE","FALSE","TRUE")</f>
        <v>FALSE</v>
      </c>
      <c r="K2121" s="10" t="b">
        <f>Github!M$1365</f>
        <v>0</v>
      </c>
      <c r="L2121" s="10" t="b">
        <f>Github!N$1365</f>
        <v>0</v>
      </c>
      <c r="M2121" s="10" t="str">
        <f>ROUND(Github!O$1365, 2)&amp;"%"</f>
        <v>78.9%</v>
      </c>
      <c r="N2121" s="10">
        <f>Github!P$1365</f>
        <v>13079</v>
      </c>
      <c r="O2121" s="10">
        <f>Github!Q$1365</f>
        <v>16577</v>
      </c>
    </row>
    <row r="2122">
      <c r="A2122" s="10">
        <f>Github!J$1496</f>
        <v>1495</v>
      </c>
      <c r="B2122" s="11" t="str">
        <f>HYPERLINK(CONCAT("http://leetcode.com/problems/",Github!C$1496), Github!B$1496)</f>
        <v>Friendly Movies Streamed Last Month</v>
      </c>
      <c r="C2122" s="10">
        <f>Github!F$1496</f>
        <v>54</v>
      </c>
      <c r="D2122" s="10">
        <f>Github!G$1496</f>
        <v>9</v>
      </c>
      <c r="E2122" s="10">
        <f>Github!F$1496+Github!G$1496</f>
        <v>63</v>
      </c>
      <c r="F2122" s="12">
        <f t="shared" si="1"/>
        <v>6</v>
      </c>
      <c r="G2122" s="10" t="str">
        <f>Github!H$1496</f>
        <v>Database</v>
      </c>
      <c r="H2122" s="13" t="str">
        <f>SUBSTITUTE(Github!L$1496, ";", ", ")</f>
        <v>Database, </v>
      </c>
      <c r="I2122" s="10" t="str">
        <f>Github!E$1496</f>
        <v>Easy</v>
      </c>
      <c r="J2122" s="10" t="str">
        <f>IF(TRIM(Github!D$1496)="TRUE","FALSE","TRUE")</f>
        <v>FALSE</v>
      </c>
      <c r="K2122" s="10" t="b">
        <f>Github!M$1496</f>
        <v>0</v>
      </c>
      <c r="L2122" s="10" t="b">
        <f>Github!N$1496</f>
        <v>0</v>
      </c>
      <c r="M2122" s="10" t="str">
        <f>ROUND(Github!O$1496, 2)&amp;"%"</f>
        <v>50.3%</v>
      </c>
      <c r="N2122" s="10">
        <f>Github!P$1496</f>
        <v>18597</v>
      </c>
      <c r="O2122" s="10">
        <f>Github!Q$1496</f>
        <v>36973</v>
      </c>
    </row>
    <row r="2123">
      <c r="A2123" s="10">
        <f>Github!J$1608</f>
        <v>1607</v>
      </c>
      <c r="B2123" s="11" t="str">
        <f>HYPERLINK(CONCAT("http://leetcode.com/problems/",Github!C$1608), Github!B$1608)</f>
        <v>Sellers With No Sales</v>
      </c>
      <c r="C2123" s="10">
        <f>Github!F$1608</f>
        <v>55</v>
      </c>
      <c r="D2123" s="10">
        <f>Github!G$1608</f>
        <v>8</v>
      </c>
      <c r="E2123" s="10">
        <f>Github!F$1608+Github!G$1608</f>
        <v>63</v>
      </c>
      <c r="F2123" s="12">
        <f t="shared" si="1"/>
        <v>6.88</v>
      </c>
      <c r="G2123" s="10" t="str">
        <f>Github!H$1608</f>
        <v>Database</v>
      </c>
      <c r="H2123" s="13" t="str">
        <f>SUBSTITUTE(Github!L$1608, ";", ", ")</f>
        <v>Database, </v>
      </c>
      <c r="I2123" s="10" t="str">
        <f>Github!E$1608</f>
        <v>Easy</v>
      </c>
      <c r="J2123" s="10" t="str">
        <f>IF(TRIM(Github!D$1608)="TRUE","FALSE","TRUE")</f>
        <v>FALSE</v>
      </c>
      <c r="K2123" s="10" t="b">
        <f>Github!M$1608</f>
        <v>0</v>
      </c>
      <c r="L2123" s="10" t="b">
        <f>Github!N$1608</f>
        <v>0</v>
      </c>
      <c r="M2123" s="10" t="str">
        <f>ROUND(Github!O$1608, 2)&amp;"%"</f>
        <v>54.56%</v>
      </c>
      <c r="N2123" s="10">
        <f>Github!P$1608</f>
        <v>13422</v>
      </c>
      <c r="O2123" s="10">
        <f>Github!Q$1608</f>
        <v>24599</v>
      </c>
    </row>
    <row r="2124">
      <c r="A2124" s="10">
        <f>Github!J$1566</f>
        <v>1565</v>
      </c>
      <c r="B2124" s="11" t="str">
        <f>HYPERLINK(CONCAT("http://leetcode.com/problems/",Github!C$1566), Github!B$1566)</f>
        <v>Unique Orders and Customers Per Month</v>
      </c>
      <c r="C2124" s="10">
        <f>Github!F$1566</f>
        <v>53</v>
      </c>
      <c r="D2124" s="10">
        <f>Github!G$1566</f>
        <v>32</v>
      </c>
      <c r="E2124" s="10">
        <f>Github!F$1566+Github!G$1566</f>
        <v>85</v>
      </c>
      <c r="F2124" s="12">
        <f t="shared" si="1"/>
        <v>1.66</v>
      </c>
      <c r="G2124" s="10" t="str">
        <f>Github!H$1566</f>
        <v>Database</v>
      </c>
      <c r="H2124" s="13" t="str">
        <f>SUBSTITUTE(Github!L$1566, ";", ", ")</f>
        <v>Database, </v>
      </c>
      <c r="I2124" s="10" t="str">
        <f>Github!E$1566</f>
        <v>Easy</v>
      </c>
      <c r="J2124" s="10" t="str">
        <f>IF(TRIM(Github!D$1566)="TRUE","FALSE","TRUE")</f>
        <v>FALSE</v>
      </c>
      <c r="K2124" s="10" t="b">
        <f>Github!M$1566</f>
        <v>0</v>
      </c>
      <c r="L2124" s="10" t="b">
        <f>Github!N$1566</f>
        <v>0</v>
      </c>
      <c r="M2124" s="10" t="str">
        <f>ROUND(Github!O$1566, 2)&amp;"%"</f>
        <v>83.24%</v>
      </c>
      <c r="N2124" s="10">
        <f>Github!P$1566</f>
        <v>14324</v>
      </c>
      <c r="O2124" s="10">
        <f>Github!Q$1566</f>
        <v>17209</v>
      </c>
    </row>
    <row r="2125">
      <c r="A2125" s="10">
        <f>Github!J$2118</f>
        <v>2117</v>
      </c>
      <c r="B2125" s="11" t="str">
        <f>HYPERLINK(CONCAT("http://leetcode.com/problems/",Github!C$2118), Github!B$2118)</f>
        <v>Abbreviating the Product of a Range</v>
      </c>
      <c r="C2125" s="10">
        <f>Github!F$2118</f>
        <v>52</v>
      </c>
      <c r="D2125" s="10">
        <f>Github!G$2118</f>
        <v>94</v>
      </c>
      <c r="E2125" s="10">
        <f>Github!F$2118+Github!G$2118</f>
        <v>146</v>
      </c>
      <c r="F2125" s="12">
        <f t="shared" si="1"/>
        <v>0.55</v>
      </c>
      <c r="G2125" s="10" t="str">
        <f>Github!H$2118</f>
        <v>Algorithms</v>
      </c>
      <c r="H2125" s="13" t="str">
        <f>SUBSTITUTE(Github!L$2118, ";", ", ")</f>
        <v>Math, </v>
      </c>
      <c r="I2125" s="10" t="str">
        <f>Github!E$2118</f>
        <v>Hard</v>
      </c>
      <c r="J2125" s="10" t="str">
        <f>IF(TRIM(Github!D$2118)="TRUE","FALSE","TRUE")</f>
        <v>TRUE</v>
      </c>
      <c r="K2125" s="10" t="b">
        <f>Github!M$2118</f>
        <v>0</v>
      </c>
      <c r="L2125" s="10" t="b">
        <f>Github!N$2118</f>
        <v>0</v>
      </c>
      <c r="M2125" s="10" t="str">
        <f>ROUND(Github!O$2118, 2)&amp;"%"</f>
        <v>28.27%</v>
      </c>
      <c r="N2125" s="10">
        <f>Github!P$2118</f>
        <v>1891</v>
      </c>
      <c r="O2125" s="10">
        <f>Github!Q$2118</f>
        <v>6688</v>
      </c>
    </row>
    <row r="2126">
      <c r="A2126" s="10">
        <f>Github!J$1842</f>
        <v>1841</v>
      </c>
      <c r="B2126" s="11" t="str">
        <f>HYPERLINK(CONCAT("http://leetcode.com/problems/",Github!C$1842), Github!B$1842)</f>
        <v>League Statistics</v>
      </c>
      <c r="C2126" s="10">
        <f>Github!F$1842</f>
        <v>52</v>
      </c>
      <c r="D2126" s="10">
        <f>Github!G$1842</f>
        <v>44</v>
      </c>
      <c r="E2126" s="10">
        <f>Github!F$1842+Github!G$1842</f>
        <v>96</v>
      </c>
      <c r="F2126" s="12">
        <f t="shared" si="1"/>
        <v>1.18</v>
      </c>
      <c r="G2126" s="10" t="str">
        <f>Github!H$1842</f>
        <v>Database</v>
      </c>
      <c r="H2126" s="13" t="str">
        <f>SUBSTITUTE(Github!L$1842, ";", ", ")</f>
        <v>Database, </v>
      </c>
      <c r="I2126" s="10" t="str">
        <f>Github!E$1842</f>
        <v>Medium</v>
      </c>
      <c r="J2126" s="10" t="str">
        <f>IF(TRIM(Github!D$1842)="TRUE","FALSE","TRUE")</f>
        <v>FALSE</v>
      </c>
      <c r="K2126" s="10" t="b">
        <f>Github!M$1842</f>
        <v>0</v>
      </c>
      <c r="L2126" s="10" t="b">
        <f>Github!N$1842</f>
        <v>0</v>
      </c>
      <c r="M2126" s="10" t="str">
        <f>ROUND(Github!O$1842, 2)&amp;"%"</f>
        <v>57.64%</v>
      </c>
      <c r="N2126" s="10">
        <f>Github!P$1842</f>
        <v>6078</v>
      </c>
      <c r="O2126" s="10">
        <f>Github!Q$1842</f>
        <v>10545</v>
      </c>
    </row>
    <row r="2127">
      <c r="A2127" s="10">
        <f>Github!J$1094</f>
        <v>1093</v>
      </c>
      <c r="B2127" s="11" t="str">
        <f>HYPERLINK(CONCAT("http://leetcode.com/problems/",Github!C$1094), Github!B$1094)</f>
        <v>Statistics from a Large Sample</v>
      </c>
      <c r="C2127" s="10">
        <f>Github!F$1094</f>
        <v>52</v>
      </c>
      <c r="D2127" s="10">
        <f>Github!G$1094</f>
        <v>54</v>
      </c>
      <c r="E2127" s="10">
        <f>Github!F$1094+Github!G$1094</f>
        <v>106</v>
      </c>
      <c r="F2127" s="12">
        <f t="shared" si="1"/>
        <v>0.96</v>
      </c>
      <c r="G2127" s="10" t="str">
        <f>Github!H$1094</f>
        <v>Algorithms</v>
      </c>
      <c r="H2127" s="13" t="str">
        <f>SUBSTITUTE(Github!L$1094, ";", ", ")</f>
        <v>Math, Two Pointers, Probability and Statistics, </v>
      </c>
      <c r="I2127" s="10" t="str">
        <f>Github!E$1094</f>
        <v>Medium</v>
      </c>
      <c r="J2127" s="10" t="str">
        <f>IF(TRIM(Github!D$1094)="TRUE","FALSE","TRUE")</f>
        <v>TRUE</v>
      </c>
      <c r="K2127" s="10" t="b">
        <f>Github!M$1094</f>
        <v>0</v>
      </c>
      <c r="L2127" s="10" t="b">
        <f>Github!N$1094</f>
        <v>0</v>
      </c>
      <c r="M2127" s="10" t="str">
        <f>ROUND(Github!O$1094, 2)&amp;"%"</f>
        <v>45.76%</v>
      </c>
      <c r="N2127" s="10">
        <f>Github!P$1094</f>
        <v>13323</v>
      </c>
      <c r="O2127" s="10">
        <f>Github!Q$1094</f>
        <v>29118</v>
      </c>
    </row>
    <row r="2128">
      <c r="A2128" s="10">
        <f>Github!J$1716</f>
        <v>1715</v>
      </c>
      <c r="B2128" s="11" t="str">
        <f>HYPERLINK(CONCAT("http://leetcode.com/problems/",Github!C$1716), Github!B$1716)</f>
        <v>Count Apples and Oranges</v>
      </c>
      <c r="C2128" s="10">
        <f>Github!F$1716</f>
        <v>52</v>
      </c>
      <c r="D2128" s="10">
        <f>Github!G$1716</f>
        <v>7</v>
      </c>
      <c r="E2128" s="10">
        <f>Github!F$1716+Github!G$1716</f>
        <v>59</v>
      </c>
      <c r="F2128" s="12">
        <f t="shared" si="1"/>
        <v>7.43</v>
      </c>
      <c r="G2128" s="10" t="str">
        <f>Github!H$1716</f>
        <v>Database</v>
      </c>
      <c r="H2128" s="13" t="str">
        <f>SUBSTITUTE(Github!L$1716, ";", ", ")</f>
        <v>Database, </v>
      </c>
      <c r="I2128" s="10" t="str">
        <f>Github!E$1716</f>
        <v>Medium</v>
      </c>
      <c r="J2128" s="10" t="str">
        <f>IF(TRIM(Github!D$1716)="TRUE","FALSE","TRUE")</f>
        <v>FALSE</v>
      </c>
      <c r="K2128" s="10" t="b">
        <f>Github!M$1716</f>
        <v>0</v>
      </c>
      <c r="L2128" s="10" t="b">
        <f>Github!N$1716</f>
        <v>0</v>
      </c>
      <c r="M2128" s="10" t="str">
        <f>ROUND(Github!O$1716, 2)&amp;"%"</f>
        <v>78.12%</v>
      </c>
      <c r="N2128" s="10">
        <f>Github!P$1716</f>
        <v>8540</v>
      </c>
      <c r="O2128" s="10">
        <f>Github!Q$1716</f>
        <v>10932</v>
      </c>
    </row>
    <row r="2129">
      <c r="A2129" s="10">
        <f>Github!J$1811</f>
        <v>1810</v>
      </c>
      <c r="B2129" s="11" t="str">
        <f>HYPERLINK(CONCAT("http://leetcode.com/problems/",Github!C$1811), Github!B$1811)</f>
        <v>Minimum Path Cost in a Hidden Grid</v>
      </c>
      <c r="C2129" s="10">
        <f>Github!F$1811</f>
        <v>51</v>
      </c>
      <c r="D2129" s="10">
        <f>Github!G$1811</f>
        <v>18</v>
      </c>
      <c r="E2129" s="10">
        <f>Github!F$1811+Github!G$1811</f>
        <v>69</v>
      </c>
      <c r="F2129" s="12">
        <f t="shared" si="1"/>
        <v>2.83</v>
      </c>
      <c r="G2129" s="10" t="str">
        <f>Github!H$1811</f>
        <v>Algorithms</v>
      </c>
      <c r="H2129" s="13" t="str">
        <f>SUBSTITUTE(Github!L$1811, ";", ", ")</f>
        <v>Depth-First Search, Breadth-First Search, Graph, Heap (Priority Queue), Interactive, </v>
      </c>
      <c r="I2129" s="10" t="str">
        <f>Github!E$1811</f>
        <v>Medium</v>
      </c>
      <c r="J2129" s="10" t="str">
        <f>IF(TRIM(Github!D$1811)="TRUE","FALSE","TRUE")</f>
        <v>FALSE</v>
      </c>
      <c r="K2129" s="10" t="b">
        <f>Github!M$1811</f>
        <v>0</v>
      </c>
      <c r="L2129" s="10" t="b">
        <f>Github!N$1811</f>
        <v>0</v>
      </c>
      <c r="M2129" s="10" t="str">
        <f>ROUND(Github!O$1811, 2)&amp;"%"</f>
        <v>53.48%</v>
      </c>
      <c r="N2129" s="10">
        <f>Github!P$1811</f>
        <v>1811</v>
      </c>
      <c r="O2129" s="10">
        <f>Github!Q$1811</f>
        <v>3386</v>
      </c>
    </row>
    <row r="2130">
      <c r="A2130" s="10">
        <f>Github!J$2068</f>
        <v>2067</v>
      </c>
      <c r="B2130" s="11" t="str">
        <f>HYPERLINK(CONCAT("http://leetcode.com/problems/",Github!C$2068), Github!B$2068)</f>
        <v>Number of Equal Count Substrings</v>
      </c>
      <c r="C2130" s="10">
        <f>Github!F$2068</f>
        <v>52</v>
      </c>
      <c r="D2130" s="10">
        <f>Github!G$2068</f>
        <v>4</v>
      </c>
      <c r="E2130" s="10">
        <f>Github!F$2068+Github!G$2068</f>
        <v>56</v>
      </c>
      <c r="F2130" s="12">
        <f t="shared" si="1"/>
        <v>13</v>
      </c>
      <c r="G2130" s="10" t="str">
        <f>Github!H$2068</f>
        <v>Algorithms</v>
      </c>
      <c r="H2130" s="13" t="str">
        <f>SUBSTITUTE(Github!L$2068, ";", ", ")</f>
        <v>String, Counting, Prefix Sum, </v>
      </c>
      <c r="I2130" s="10" t="str">
        <f>Github!E$2068</f>
        <v>Medium</v>
      </c>
      <c r="J2130" s="10" t="str">
        <f>IF(TRIM(Github!D$2068)="TRUE","FALSE","TRUE")</f>
        <v>FALSE</v>
      </c>
      <c r="K2130" s="10" t="b">
        <f>Github!M$2068</f>
        <v>0</v>
      </c>
      <c r="L2130" s="10" t="b">
        <f>Github!N$2068</f>
        <v>0</v>
      </c>
      <c r="M2130" s="10" t="str">
        <f>ROUND(Github!O$2068, 2)&amp;"%"</f>
        <v>50.36%</v>
      </c>
      <c r="N2130" s="10">
        <f>Github!P$2068</f>
        <v>1049</v>
      </c>
      <c r="O2130" s="10">
        <f>Github!Q$2068</f>
        <v>2083</v>
      </c>
    </row>
    <row r="2131">
      <c r="A2131" s="10">
        <f>Github!J$1280</f>
        <v>1279</v>
      </c>
      <c r="B2131" s="11" t="str">
        <f>HYPERLINK(CONCAT("http://leetcode.com/problems/",Github!C$1280), Github!B$1280)</f>
        <v>Traffic Light Controlled Intersection</v>
      </c>
      <c r="C2131" s="10">
        <f>Github!F$1280</f>
        <v>50</v>
      </c>
      <c r="D2131" s="10">
        <f>Github!G$1280</f>
        <v>246</v>
      </c>
      <c r="E2131" s="10">
        <f>Github!F$1280+Github!G$1280</f>
        <v>296</v>
      </c>
      <c r="F2131" s="12">
        <f t="shared" si="1"/>
        <v>0.2</v>
      </c>
      <c r="G2131" s="10" t="str">
        <f>Github!H$1280</f>
        <v>Concurrency</v>
      </c>
      <c r="H2131" s="13" t="str">
        <f>SUBSTITUTE(Github!L$1280, ";", ", ")</f>
        <v>Concurrency, </v>
      </c>
      <c r="I2131" s="10" t="str">
        <f>Github!E$1280</f>
        <v>Easy</v>
      </c>
      <c r="J2131" s="10" t="str">
        <f>IF(TRIM(Github!D$1280)="TRUE","FALSE","TRUE")</f>
        <v>FALSE</v>
      </c>
      <c r="K2131" s="10" t="b">
        <f>Github!M$1280</f>
        <v>0</v>
      </c>
      <c r="L2131" s="10" t="b">
        <f>Github!N$1280</f>
        <v>0</v>
      </c>
      <c r="M2131" s="10" t="str">
        <f>ROUND(Github!O$1280, 2)&amp;"%"</f>
        <v>75.26%</v>
      </c>
      <c r="N2131" s="10">
        <f>Github!P$1280</f>
        <v>8580</v>
      </c>
      <c r="O2131" s="10">
        <f>Github!Q$1280</f>
        <v>11401</v>
      </c>
    </row>
    <row r="2132">
      <c r="A2132" s="10">
        <f>Github!J$1624</f>
        <v>1623</v>
      </c>
      <c r="B2132" s="11" t="str">
        <f>HYPERLINK(CONCAT("http://leetcode.com/problems/",Github!C$1624), Github!B$1624)</f>
        <v>All Valid Triplets That Can Represent a Country</v>
      </c>
      <c r="C2132" s="10">
        <f>Github!F$1624</f>
        <v>50</v>
      </c>
      <c r="D2132" s="10">
        <f>Github!G$1624</f>
        <v>87</v>
      </c>
      <c r="E2132" s="10">
        <f>Github!F$1624+Github!G$1624</f>
        <v>137</v>
      </c>
      <c r="F2132" s="12">
        <f t="shared" si="1"/>
        <v>0.57</v>
      </c>
      <c r="G2132" s="10" t="str">
        <f>Github!H$1624</f>
        <v>Database</v>
      </c>
      <c r="H2132" s="13" t="str">
        <f>SUBSTITUTE(Github!L$1624, ";", ", ")</f>
        <v>Database, </v>
      </c>
      <c r="I2132" s="10" t="str">
        <f>Github!E$1624</f>
        <v>Easy</v>
      </c>
      <c r="J2132" s="10" t="str">
        <f>IF(TRIM(Github!D$1624)="TRUE","FALSE","TRUE")</f>
        <v>FALSE</v>
      </c>
      <c r="K2132" s="10" t="b">
        <f>Github!M$1624</f>
        <v>0</v>
      </c>
      <c r="L2132" s="10" t="b">
        <f>Github!N$1624</f>
        <v>0</v>
      </c>
      <c r="M2132" s="10" t="str">
        <f>ROUND(Github!O$1624, 2)&amp;"%"</f>
        <v>88.56%</v>
      </c>
      <c r="N2132" s="10">
        <f>Github!P$1624</f>
        <v>13073</v>
      </c>
      <c r="O2132" s="10">
        <f>Github!Q$1624</f>
        <v>14761</v>
      </c>
    </row>
    <row r="2133">
      <c r="A2133" s="10">
        <f>Github!J$1725</f>
        <v>1724</v>
      </c>
      <c r="B2133" s="11" t="str">
        <f>HYPERLINK(CONCAT("http://leetcode.com/problems/",Github!C$1725), Github!B$1725)</f>
        <v>Checking Existence of Edge Length Limited Paths II</v>
      </c>
      <c r="C2133" s="10">
        <f>Github!F$1725</f>
        <v>50</v>
      </c>
      <c r="D2133" s="10">
        <f>Github!G$1725</f>
        <v>6</v>
      </c>
      <c r="E2133" s="10">
        <f>Github!F$1725+Github!G$1725</f>
        <v>56</v>
      </c>
      <c r="F2133" s="12">
        <f t="shared" si="1"/>
        <v>8.33</v>
      </c>
      <c r="G2133" s="10" t="str">
        <f>Github!H$1725</f>
        <v>Algorithms</v>
      </c>
      <c r="H2133" s="13" t="str">
        <f>SUBSTITUTE(Github!L$1725, ";", ", ")</f>
        <v>Union Find, Graph, Minimum Spanning Tree, </v>
      </c>
      <c r="I2133" s="10" t="str">
        <f>Github!E$1725</f>
        <v>Hard</v>
      </c>
      <c r="J2133" s="10" t="str">
        <f>IF(TRIM(Github!D$1725)="TRUE","FALSE","TRUE")</f>
        <v>FALSE</v>
      </c>
      <c r="K2133" s="10" t="b">
        <f>Github!M$1725</f>
        <v>0</v>
      </c>
      <c r="L2133" s="10" t="b">
        <f>Github!N$1725</f>
        <v>0</v>
      </c>
      <c r="M2133" s="10" t="str">
        <f>ROUND(Github!O$1725, 2)&amp;"%"</f>
        <v>52.58%</v>
      </c>
      <c r="N2133" s="10">
        <f>Github!P$1725</f>
        <v>1620</v>
      </c>
      <c r="O2133" s="10">
        <f>Github!Q$1725</f>
        <v>3081</v>
      </c>
    </row>
    <row r="2134">
      <c r="A2134" s="10">
        <f>Github!J$1460</f>
        <v>1459</v>
      </c>
      <c r="B2134" s="11" t="str">
        <f>HYPERLINK(CONCAT("http://leetcode.com/problems/",Github!C$1460), Github!B$1460)</f>
        <v>Rectangles Area</v>
      </c>
      <c r="C2134" s="10">
        <f>Github!F$1460</f>
        <v>51</v>
      </c>
      <c r="D2134" s="10">
        <f>Github!G$1460</f>
        <v>93</v>
      </c>
      <c r="E2134" s="10">
        <f>Github!F$1460+Github!G$1460</f>
        <v>144</v>
      </c>
      <c r="F2134" s="12">
        <f t="shared" si="1"/>
        <v>0.55</v>
      </c>
      <c r="G2134" s="10" t="str">
        <f>Github!H$1460</f>
        <v>Database</v>
      </c>
      <c r="H2134" s="13" t="str">
        <f>SUBSTITUTE(Github!L$1460, ";", ", ")</f>
        <v>Database, </v>
      </c>
      <c r="I2134" s="10" t="str">
        <f>Github!E$1460</f>
        <v>Medium</v>
      </c>
      <c r="J2134" s="10" t="str">
        <f>IF(TRIM(Github!D$1460)="TRUE","FALSE","TRUE")</f>
        <v>FALSE</v>
      </c>
      <c r="K2134" s="10" t="b">
        <f>Github!M$1460</f>
        <v>0</v>
      </c>
      <c r="L2134" s="10" t="b">
        <f>Github!N$1460</f>
        <v>0</v>
      </c>
      <c r="M2134" s="10" t="str">
        <f>ROUND(Github!O$1460, 2)&amp;"%"</f>
        <v>68.47%</v>
      </c>
      <c r="N2134" s="10">
        <f>Github!P$1460</f>
        <v>9049</v>
      </c>
      <c r="O2134" s="10">
        <f>Github!Q$1460</f>
        <v>13216</v>
      </c>
    </row>
    <row r="2135">
      <c r="A2135" s="10">
        <f>Github!J$1810</f>
        <v>1809</v>
      </c>
      <c r="B2135" s="11" t="str">
        <f>HYPERLINK(CONCAT("http://leetcode.com/problems/",Github!C$1810), Github!B$1810)</f>
        <v>Ad-Free Sessions</v>
      </c>
      <c r="C2135" s="10">
        <f>Github!F$1810</f>
        <v>49</v>
      </c>
      <c r="D2135" s="10">
        <f>Github!G$1810</f>
        <v>31</v>
      </c>
      <c r="E2135" s="10">
        <f>Github!F$1810+Github!G$1810</f>
        <v>80</v>
      </c>
      <c r="F2135" s="12">
        <f t="shared" si="1"/>
        <v>1.58</v>
      </c>
      <c r="G2135" s="10" t="str">
        <f>Github!H$1810</f>
        <v>Database</v>
      </c>
      <c r="H2135" s="13" t="str">
        <f>SUBSTITUTE(Github!L$1810, ";", ", ")</f>
        <v>Database, </v>
      </c>
      <c r="I2135" s="10" t="str">
        <f>Github!E$1810</f>
        <v>Easy</v>
      </c>
      <c r="J2135" s="10" t="str">
        <f>IF(TRIM(Github!D$1810)="TRUE","FALSE","TRUE")</f>
        <v>FALSE</v>
      </c>
      <c r="K2135" s="10" t="b">
        <f>Github!M$1810</f>
        <v>0</v>
      </c>
      <c r="L2135" s="10" t="b">
        <f>Github!N$1810</f>
        <v>0</v>
      </c>
      <c r="M2135" s="10" t="str">
        <f>ROUND(Github!O$1810, 2)&amp;"%"</f>
        <v>59.91%</v>
      </c>
      <c r="N2135" s="10">
        <f>Github!P$1810</f>
        <v>8849</v>
      </c>
      <c r="O2135" s="10">
        <f>Github!Q$1810</f>
        <v>14771</v>
      </c>
    </row>
    <row r="2136">
      <c r="A2136" s="10">
        <f>Github!J$1634</f>
        <v>1633</v>
      </c>
      <c r="B2136" s="11" t="str">
        <f>HYPERLINK(CONCAT("http://leetcode.com/problems/",Github!C$1634), Github!B$1634)</f>
        <v>Percentage of Users Attended a Contest</v>
      </c>
      <c r="C2136" s="10">
        <f>Github!F$1634</f>
        <v>51</v>
      </c>
      <c r="D2136" s="10">
        <f>Github!G$1634</f>
        <v>12</v>
      </c>
      <c r="E2136" s="10">
        <f>Github!F$1634+Github!G$1634</f>
        <v>63</v>
      </c>
      <c r="F2136" s="12">
        <f t="shared" si="1"/>
        <v>4.25</v>
      </c>
      <c r="G2136" s="10" t="str">
        <f>Github!H$1634</f>
        <v>Database</v>
      </c>
      <c r="H2136" s="13" t="str">
        <f>SUBSTITUTE(Github!L$1634, ";", ", ")</f>
        <v>Database, </v>
      </c>
      <c r="I2136" s="10" t="str">
        <f>Github!E$1634</f>
        <v>Easy</v>
      </c>
      <c r="J2136" s="10" t="str">
        <f>IF(TRIM(Github!D$1634)="TRUE","FALSE","TRUE")</f>
        <v>FALSE</v>
      </c>
      <c r="K2136" s="10" t="b">
        <f>Github!M$1634</f>
        <v>0</v>
      </c>
      <c r="L2136" s="10" t="b">
        <f>Github!N$1634</f>
        <v>0</v>
      </c>
      <c r="M2136" s="10" t="str">
        <f>ROUND(Github!O$1634, 2)&amp;"%"</f>
        <v>69.4%</v>
      </c>
      <c r="N2136" s="10">
        <f>Github!P$1634</f>
        <v>12119</v>
      </c>
      <c r="O2136" s="10">
        <f>Github!Q$1634</f>
        <v>17463</v>
      </c>
    </row>
    <row r="2137">
      <c r="A2137" s="10">
        <f>Github!J$1893</f>
        <v>1892</v>
      </c>
      <c r="B2137" s="11" t="str">
        <f>HYPERLINK(CONCAT("http://leetcode.com/problems/",Github!C$1893), Github!B$1893)</f>
        <v>Page Recommendations II</v>
      </c>
      <c r="C2137" s="10">
        <f>Github!F$1893</f>
        <v>49</v>
      </c>
      <c r="D2137" s="10">
        <f>Github!G$1893</f>
        <v>13</v>
      </c>
      <c r="E2137" s="10">
        <f>Github!F$1893+Github!G$1893</f>
        <v>62</v>
      </c>
      <c r="F2137" s="12">
        <f t="shared" si="1"/>
        <v>3.77</v>
      </c>
      <c r="G2137" s="10" t="str">
        <f>Github!H$1893</f>
        <v>Database</v>
      </c>
      <c r="H2137" s="13" t="str">
        <f>SUBSTITUTE(Github!L$1893, ";", ", ")</f>
        <v>Database, </v>
      </c>
      <c r="I2137" s="10" t="str">
        <f>Github!E$1893</f>
        <v>Hard</v>
      </c>
      <c r="J2137" s="10" t="str">
        <f>IF(TRIM(Github!D$1893)="TRUE","FALSE","TRUE")</f>
        <v>FALSE</v>
      </c>
      <c r="K2137" s="10" t="b">
        <f>Github!M$1893</f>
        <v>0</v>
      </c>
      <c r="L2137" s="10" t="b">
        <f>Github!N$1893</f>
        <v>0</v>
      </c>
      <c r="M2137" s="10" t="str">
        <f>ROUND(Github!O$1893, 2)&amp;"%"</f>
        <v>44.29%</v>
      </c>
      <c r="N2137" s="10">
        <f>Github!P$1893</f>
        <v>3618</v>
      </c>
      <c r="O2137" s="10">
        <f>Github!Q$1893</f>
        <v>8168</v>
      </c>
    </row>
    <row r="2138">
      <c r="A2138" s="10">
        <f>Github!J$1973</f>
        <v>1972</v>
      </c>
      <c r="B2138" s="11" t="str">
        <f>HYPERLINK(CONCAT("http://leetcode.com/problems/",Github!C$1973), Github!B$1973)</f>
        <v>First and Last Call On the Same Day</v>
      </c>
      <c r="C2138" s="10">
        <f>Github!F$1973</f>
        <v>50</v>
      </c>
      <c r="D2138" s="10">
        <f>Github!G$1973</f>
        <v>12</v>
      </c>
      <c r="E2138" s="10">
        <f>Github!F$1973+Github!G$1973</f>
        <v>62</v>
      </c>
      <c r="F2138" s="12">
        <f t="shared" si="1"/>
        <v>4.17</v>
      </c>
      <c r="G2138" s="10" t="str">
        <f>Github!H$1973</f>
        <v>Database</v>
      </c>
      <c r="H2138" s="13" t="str">
        <f>SUBSTITUTE(Github!L$1973, ";", ", ")</f>
        <v>Database, </v>
      </c>
      <c r="I2138" s="10" t="str">
        <f>Github!E$1973</f>
        <v>Hard</v>
      </c>
      <c r="J2138" s="10" t="str">
        <f>IF(TRIM(Github!D$1973)="TRUE","FALSE","TRUE")</f>
        <v>FALSE</v>
      </c>
      <c r="K2138" s="10" t="b">
        <f>Github!M$1973</f>
        <v>0</v>
      </c>
      <c r="L2138" s="10" t="b">
        <f>Github!N$1973</f>
        <v>0</v>
      </c>
      <c r="M2138" s="10" t="str">
        <f>ROUND(Github!O$1973, 2)&amp;"%"</f>
        <v>51.86%</v>
      </c>
      <c r="N2138" s="10">
        <f>Github!P$1973</f>
        <v>3228</v>
      </c>
      <c r="O2138" s="10">
        <f>Github!Q$1973</f>
        <v>6224</v>
      </c>
    </row>
    <row r="2139">
      <c r="A2139" s="10">
        <f>Github!J$1843</f>
        <v>1842</v>
      </c>
      <c r="B2139" s="11" t="str">
        <f>HYPERLINK(CONCAT("http://leetcode.com/problems/",Github!C$1843), Github!B$1843)</f>
        <v>Next Palindrome Using Same Digits</v>
      </c>
      <c r="C2139" s="10">
        <f>Github!F$1843</f>
        <v>48</v>
      </c>
      <c r="D2139" s="10">
        <f>Github!G$1843</f>
        <v>8</v>
      </c>
      <c r="E2139" s="10">
        <f>Github!F$1843+Github!G$1843</f>
        <v>56</v>
      </c>
      <c r="F2139" s="12">
        <f t="shared" si="1"/>
        <v>6</v>
      </c>
      <c r="G2139" s="10" t="str">
        <f>Github!H$1843</f>
        <v>Algorithms</v>
      </c>
      <c r="H2139" s="13" t="str">
        <f>SUBSTITUTE(Github!L$1843, ";", ", ")</f>
        <v>Two Pointers, String, </v>
      </c>
      <c r="I2139" s="10" t="str">
        <f>Github!E$1843</f>
        <v>Hard</v>
      </c>
      <c r="J2139" s="10" t="str">
        <f>IF(TRIM(Github!D$1843)="TRUE","FALSE","TRUE")</f>
        <v>FALSE</v>
      </c>
      <c r="K2139" s="10" t="b">
        <f>Github!M$1843</f>
        <v>0</v>
      </c>
      <c r="L2139" s="10" t="b">
        <f>Github!N$1843</f>
        <v>0</v>
      </c>
      <c r="M2139" s="10" t="str">
        <f>ROUND(Github!O$1843, 2)&amp;"%"</f>
        <v>55%</v>
      </c>
      <c r="N2139" s="10">
        <f>Github!P$1843</f>
        <v>1793</v>
      </c>
      <c r="O2139" s="10">
        <f>Github!Q$1843</f>
        <v>3260</v>
      </c>
    </row>
    <row r="2140">
      <c r="A2140" s="10">
        <f>Github!J$1773</f>
        <v>1772</v>
      </c>
      <c r="B2140" s="11" t="str">
        <f>HYPERLINK(CONCAT("http://leetcode.com/problems/",Github!C$1773), Github!B$1773)</f>
        <v>Sort Features by Popularity</v>
      </c>
      <c r="C2140" s="10">
        <f>Github!F$1773</f>
        <v>48</v>
      </c>
      <c r="D2140" s="10">
        <f>Github!G$1773</f>
        <v>37</v>
      </c>
      <c r="E2140" s="10">
        <f>Github!F$1773+Github!G$1773</f>
        <v>85</v>
      </c>
      <c r="F2140" s="12">
        <f t="shared" si="1"/>
        <v>1.3</v>
      </c>
      <c r="G2140" s="10" t="str">
        <f>Github!H$1773</f>
        <v>Algorithms</v>
      </c>
      <c r="H2140" s="13" t="str">
        <f>SUBSTITUTE(Github!L$1773, ";", ", ")</f>
        <v>Array, Hash Table, String, Sorting, </v>
      </c>
      <c r="I2140" s="10" t="str">
        <f>Github!E$1773</f>
        <v>Medium</v>
      </c>
      <c r="J2140" s="10" t="str">
        <f>IF(TRIM(Github!D$1773)="TRUE","FALSE","TRUE")</f>
        <v>FALSE</v>
      </c>
      <c r="K2140" s="10" t="b">
        <f>Github!M$1773</f>
        <v>0</v>
      </c>
      <c r="L2140" s="10" t="b">
        <f>Github!N$1773</f>
        <v>0</v>
      </c>
      <c r="M2140" s="10" t="str">
        <f>ROUND(Github!O$1773, 2)&amp;"%"</f>
        <v>65.93%</v>
      </c>
      <c r="N2140" s="10">
        <f>Github!P$1773</f>
        <v>3748</v>
      </c>
      <c r="O2140" s="10">
        <f>Github!Q$1773</f>
        <v>5685</v>
      </c>
    </row>
    <row r="2141">
      <c r="A2141" s="10">
        <f>Github!J$2078</f>
        <v>2077</v>
      </c>
      <c r="B2141" s="11" t="str">
        <f>HYPERLINK(CONCAT("http://leetcode.com/problems/",Github!C$2078), Github!B$2078)</f>
        <v>Paths in Maze That Lead to Same Room</v>
      </c>
      <c r="C2141" s="10">
        <f>Github!F$2078</f>
        <v>49</v>
      </c>
      <c r="D2141" s="10">
        <f>Github!G$2078</f>
        <v>4</v>
      </c>
      <c r="E2141" s="10">
        <f>Github!F$2078+Github!G$2078</f>
        <v>53</v>
      </c>
      <c r="F2141" s="12">
        <f t="shared" si="1"/>
        <v>12.25</v>
      </c>
      <c r="G2141" s="10" t="str">
        <f>Github!H$2078</f>
        <v>Algorithms</v>
      </c>
      <c r="H2141" s="13" t="str">
        <f>SUBSTITUTE(Github!L$2078, ";", ", ")</f>
        <v>Graph, </v>
      </c>
      <c r="I2141" s="10" t="str">
        <f>Github!E$2078</f>
        <v>Medium</v>
      </c>
      <c r="J2141" s="10" t="str">
        <f>IF(TRIM(Github!D$2078)="TRUE","FALSE","TRUE")</f>
        <v>FALSE</v>
      </c>
      <c r="K2141" s="10" t="b">
        <f>Github!M$2078</f>
        <v>0</v>
      </c>
      <c r="L2141" s="10" t="b">
        <f>Github!N$2078</f>
        <v>0</v>
      </c>
      <c r="M2141" s="10" t="str">
        <f>ROUND(Github!O$2078, 2)&amp;"%"</f>
        <v>57.17%</v>
      </c>
      <c r="N2141" s="10">
        <f>Github!P$2078</f>
        <v>1682</v>
      </c>
      <c r="O2141" s="10">
        <f>Github!Q$2078</f>
        <v>2942</v>
      </c>
    </row>
    <row r="2142">
      <c r="A2142" s="10">
        <f>Github!J$2138</f>
        <v>2137</v>
      </c>
      <c r="B2142" s="11" t="str">
        <f>HYPERLINK(CONCAT("http://leetcode.com/problems/",Github!C$2138), Github!B$2138)</f>
        <v>Pour Water Between Buckets to Make Water Levels Equal</v>
      </c>
      <c r="C2142" s="10">
        <f>Github!F$2138</f>
        <v>46</v>
      </c>
      <c r="D2142" s="10">
        <f>Github!G$2138</f>
        <v>4</v>
      </c>
      <c r="E2142" s="10">
        <f>Github!F$2138+Github!G$2138</f>
        <v>50</v>
      </c>
      <c r="F2142" s="12">
        <f t="shared" si="1"/>
        <v>11.5</v>
      </c>
      <c r="G2142" s="10" t="str">
        <f>Github!H$2138</f>
        <v>Algorithms</v>
      </c>
      <c r="H2142" s="13" t="str">
        <f>SUBSTITUTE(Github!L$2138, ";", ", ")</f>
        <v>Array, Binary Search, </v>
      </c>
      <c r="I2142" s="10" t="str">
        <f>Github!E$2138</f>
        <v>Medium</v>
      </c>
      <c r="J2142" s="10" t="str">
        <f>IF(TRIM(Github!D$2138)="TRUE","FALSE","TRUE")</f>
        <v>FALSE</v>
      </c>
      <c r="K2142" s="10" t="b">
        <f>Github!M$2138</f>
        <v>0</v>
      </c>
      <c r="L2142" s="10" t="b">
        <f>Github!N$2138</f>
        <v>0</v>
      </c>
      <c r="M2142" s="10" t="str">
        <f>ROUND(Github!O$2138, 2)&amp;"%"</f>
        <v>67.18%</v>
      </c>
      <c r="N2142" s="10">
        <f>Github!P$2138</f>
        <v>909</v>
      </c>
      <c r="O2142" s="10">
        <f>Github!Q$2138</f>
        <v>1353</v>
      </c>
    </row>
    <row r="2143">
      <c r="A2143" s="10">
        <f>Github!J$1789</f>
        <v>1788</v>
      </c>
      <c r="B2143" s="11" t="str">
        <f>HYPERLINK(CONCAT("http://leetcode.com/problems/",Github!C$1789), Github!B$1789)</f>
        <v>Maximize the Beauty of the Garden</v>
      </c>
      <c r="C2143" s="10">
        <f>Github!F$1789</f>
        <v>46</v>
      </c>
      <c r="D2143" s="10">
        <f>Github!G$1789</f>
        <v>5</v>
      </c>
      <c r="E2143" s="10">
        <f>Github!F$1789+Github!G$1789</f>
        <v>51</v>
      </c>
      <c r="F2143" s="12">
        <f t="shared" si="1"/>
        <v>9.2</v>
      </c>
      <c r="G2143" s="10" t="str">
        <f>Github!H$1789</f>
        <v>Algorithms</v>
      </c>
      <c r="H2143" s="13" t="str">
        <f>SUBSTITUTE(Github!L$1789, ";", ", ")</f>
        <v>Array, Greedy, Prefix Sum, </v>
      </c>
      <c r="I2143" s="10" t="str">
        <f>Github!E$1789</f>
        <v>Hard</v>
      </c>
      <c r="J2143" s="10" t="str">
        <f>IF(TRIM(Github!D$1789)="TRUE","FALSE","TRUE")</f>
        <v>FALSE</v>
      </c>
      <c r="K2143" s="10" t="b">
        <f>Github!M$1789</f>
        <v>0</v>
      </c>
      <c r="L2143" s="10" t="b">
        <f>Github!N$1789</f>
        <v>0</v>
      </c>
      <c r="M2143" s="10" t="str">
        <f>ROUND(Github!O$1789, 2)&amp;"%"</f>
        <v>67.25%</v>
      </c>
      <c r="N2143" s="10">
        <f>Github!P$1789</f>
        <v>1392</v>
      </c>
      <c r="O2143" s="10">
        <f>Github!Q$1789</f>
        <v>2070</v>
      </c>
    </row>
    <row r="2144">
      <c r="A2144" s="10">
        <f>Github!J$1827</f>
        <v>1826</v>
      </c>
      <c r="B2144" s="11" t="str">
        <f>HYPERLINK(CONCAT("http://leetcode.com/problems/",Github!C$1827), Github!B$1827)</f>
        <v>Faulty Sensor</v>
      </c>
      <c r="C2144" s="10">
        <f>Github!F$1827</f>
        <v>45</v>
      </c>
      <c r="D2144" s="10">
        <f>Github!G$1827</f>
        <v>37</v>
      </c>
      <c r="E2144" s="10">
        <f>Github!F$1827+Github!G$1827</f>
        <v>82</v>
      </c>
      <c r="F2144" s="12">
        <f t="shared" si="1"/>
        <v>1.22</v>
      </c>
      <c r="G2144" s="10" t="str">
        <f>Github!H$1827</f>
        <v>Algorithms</v>
      </c>
      <c r="H2144" s="13" t="str">
        <f>SUBSTITUTE(Github!L$1827, ";", ", ")</f>
        <v>Array, Two Pointers, </v>
      </c>
      <c r="I2144" s="10" t="str">
        <f>Github!E$1827</f>
        <v>Easy</v>
      </c>
      <c r="J2144" s="10" t="str">
        <f>IF(TRIM(Github!D$1827)="TRUE","FALSE","TRUE")</f>
        <v>FALSE</v>
      </c>
      <c r="K2144" s="10" t="b">
        <f>Github!M$1827</f>
        <v>0</v>
      </c>
      <c r="L2144" s="10" t="b">
        <f>Github!N$1827</f>
        <v>0</v>
      </c>
      <c r="M2144" s="10" t="str">
        <f>ROUND(Github!O$1827, 2)&amp;"%"</f>
        <v>49.67%</v>
      </c>
      <c r="N2144" s="10">
        <f>Github!P$1827</f>
        <v>2670</v>
      </c>
      <c r="O2144" s="10">
        <f>Github!Q$1827</f>
        <v>5375</v>
      </c>
    </row>
    <row r="2145">
      <c r="A2145" s="10">
        <f>Github!J$1667</f>
        <v>1666</v>
      </c>
      <c r="B2145" s="11" t="str">
        <f>HYPERLINK(CONCAT("http://leetcode.com/problems/",Github!C$1667), Github!B$1667)</f>
        <v>Change the Root of a Binary Tree</v>
      </c>
      <c r="C2145" s="10">
        <f>Github!F$1667</f>
        <v>45</v>
      </c>
      <c r="D2145" s="10">
        <f>Github!G$1667</f>
        <v>112</v>
      </c>
      <c r="E2145" s="10">
        <f>Github!F$1667+Github!G$1667</f>
        <v>157</v>
      </c>
      <c r="F2145" s="12">
        <f t="shared" si="1"/>
        <v>0.4</v>
      </c>
      <c r="G2145" s="10" t="str">
        <f>Github!H$1667</f>
        <v>Algorithms</v>
      </c>
      <c r="H2145" s="13" t="str">
        <f>SUBSTITUTE(Github!L$1667, ";", ", ")</f>
        <v>Tree, Depth-First Search, Binary Tree, </v>
      </c>
      <c r="I2145" s="10" t="str">
        <f>Github!E$1667</f>
        <v>Medium</v>
      </c>
      <c r="J2145" s="10" t="str">
        <f>IF(TRIM(Github!D$1667)="TRUE","FALSE","TRUE")</f>
        <v>FALSE</v>
      </c>
      <c r="K2145" s="10" t="b">
        <f>Github!M$1667</f>
        <v>0</v>
      </c>
      <c r="L2145" s="10" t="b">
        <f>Github!N$1667</f>
        <v>0</v>
      </c>
      <c r="M2145" s="10" t="str">
        <f>ROUND(Github!O$1667, 2)&amp;"%"</f>
        <v>68.45%</v>
      </c>
      <c r="N2145" s="10">
        <f>Github!P$1667</f>
        <v>2339</v>
      </c>
      <c r="O2145" s="10">
        <f>Github!Q$1667</f>
        <v>3417</v>
      </c>
    </row>
    <row r="2146">
      <c r="A2146" s="10">
        <f>Github!J$1984</f>
        <v>1983</v>
      </c>
      <c r="B2146" s="11" t="str">
        <f>HYPERLINK(CONCAT("http://leetcode.com/problems/",Github!C$1984), Github!B$1984)</f>
        <v>Widest Pair of Indices With Equal Range Sum</v>
      </c>
      <c r="C2146" s="10">
        <f>Github!F$1984</f>
        <v>45</v>
      </c>
      <c r="D2146" s="10">
        <f>Github!G$1984</f>
        <v>0</v>
      </c>
      <c r="E2146" s="10">
        <f>Github!F$1984+Github!G$1984</f>
        <v>45</v>
      </c>
      <c r="F2146" s="12">
        <f t="shared" si="1"/>
        <v>45</v>
      </c>
      <c r="G2146" s="10" t="str">
        <f>Github!H$1984</f>
        <v>Algorithms</v>
      </c>
      <c r="H2146" s="13" t="str">
        <f>SUBSTITUTE(Github!L$1984, ";", ", ")</f>
        <v>Array, Hash Table, Prefix Sum, </v>
      </c>
      <c r="I2146" s="10" t="str">
        <f>Github!E$1984</f>
        <v>Medium</v>
      </c>
      <c r="J2146" s="10" t="str">
        <f>IF(TRIM(Github!D$1984)="TRUE","FALSE","TRUE")</f>
        <v>FALSE</v>
      </c>
      <c r="K2146" s="10" t="b">
        <f>Github!M$1984</f>
        <v>0</v>
      </c>
      <c r="L2146" s="10" t="b">
        <f>Github!N$1984</f>
        <v>0</v>
      </c>
      <c r="M2146" s="10" t="str">
        <f>ROUND(Github!O$1984, 2)&amp;"%"</f>
        <v>53.68%</v>
      </c>
      <c r="N2146" s="10">
        <f>Github!P$1984</f>
        <v>1124</v>
      </c>
      <c r="O2146" s="10">
        <f>Github!Q$1984</f>
        <v>2094</v>
      </c>
    </row>
    <row r="2147">
      <c r="A2147" s="10">
        <f>Github!J$1693</f>
        <v>1692</v>
      </c>
      <c r="B2147" s="11" t="str">
        <f>HYPERLINK(CONCAT("http://leetcode.com/problems/",Github!C$1693), Github!B$1693)</f>
        <v>Count Ways to Distribute Candies</v>
      </c>
      <c r="C2147" s="10">
        <f>Github!F$1693</f>
        <v>45</v>
      </c>
      <c r="D2147" s="10">
        <f>Github!G$1693</f>
        <v>6</v>
      </c>
      <c r="E2147" s="10">
        <f>Github!F$1693+Github!G$1693</f>
        <v>51</v>
      </c>
      <c r="F2147" s="12">
        <f t="shared" si="1"/>
        <v>7.5</v>
      </c>
      <c r="G2147" s="10" t="str">
        <f>Github!H$1693</f>
        <v>Algorithms</v>
      </c>
      <c r="H2147" s="13" t="str">
        <f>SUBSTITUTE(Github!L$1693, ";", ", ")</f>
        <v>Dynamic Programming, </v>
      </c>
      <c r="I2147" s="10" t="str">
        <f>Github!E$1693</f>
        <v>Hard</v>
      </c>
      <c r="J2147" s="10" t="str">
        <f>IF(TRIM(Github!D$1693)="TRUE","FALSE","TRUE")</f>
        <v>FALSE</v>
      </c>
      <c r="K2147" s="10" t="b">
        <f>Github!M$1693</f>
        <v>0</v>
      </c>
      <c r="L2147" s="10" t="b">
        <f>Github!N$1693</f>
        <v>0</v>
      </c>
      <c r="M2147" s="10" t="str">
        <f>ROUND(Github!O$1693, 2)&amp;"%"</f>
        <v>60.95%</v>
      </c>
      <c r="N2147" s="10">
        <f>Github!P$1693</f>
        <v>1486</v>
      </c>
      <c r="O2147" s="10">
        <f>Github!Q$1693</f>
        <v>2438</v>
      </c>
    </row>
    <row r="2148">
      <c r="A2148" s="10">
        <f>Github!J$2185</f>
        <v>2184</v>
      </c>
      <c r="B2148" s="11" t="str">
        <f>HYPERLINK(CONCAT("http://leetcode.com/problems/",Github!C$2185), Github!B$2185)</f>
        <v>Number of Ways to Build Sturdy Brick Wall</v>
      </c>
      <c r="C2148" s="10">
        <f>Github!F$2185</f>
        <v>43</v>
      </c>
      <c r="D2148" s="10">
        <f>Github!G$2185</f>
        <v>16</v>
      </c>
      <c r="E2148" s="10">
        <f>Github!F$2185+Github!G$2185</f>
        <v>59</v>
      </c>
      <c r="F2148" s="12">
        <f t="shared" si="1"/>
        <v>2.69</v>
      </c>
      <c r="G2148" s="10" t="str">
        <f>Github!H$2185</f>
        <v>Algorithms</v>
      </c>
      <c r="H2148" s="13" t="str">
        <f>SUBSTITUTE(Github!L$2185, ";", ", ")</f>
        <v>Array, Dynamic Programming, Bit Manipulation, Bitmask, </v>
      </c>
      <c r="I2148" s="10" t="str">
        <f>Github!E$2185</f>
        <v>Medium</v>
      </c>
      <c r="J2148" s="10" t="str">
        <f>IF(TRIM(Github!D$2185)="TRUE","FALSE","TRUE")</f>
        <v>FALSE</v>
      </c>
      <c r="K2148" s="10" t="b">
        <f>Github!M$2185</f>
        <v>0</v>
      </c>
      <c r="L2148" s="10" t="b">
        <f>Github!N$2185</f>
        <v>0</v>
      </c>
      <c r="M2148" s="10" t="str">
        <f>ROUND(Github!O$2185, 2)&amp;"%"</f>
        <v>56.89%</v>
      </c>
      <c r="N2148" s="10">
        <f>Github!P$2185</f>
        <v>995</v>
      </c>
      <c r="O2148" s="10">
        <f>Github!Q$2185</f>
        <v>1749</v>
      </c>
    </row>
    <row r="2149">
      <c r="A2149" s="10">
        <f>Github!J$2108</f>
        <v>2107</v>
      </c>
      <c r="B2149" s="11" t="str">
        <f>HYPERLINK(CONCAT("http://leetcode.com/problems/",Github!C$2108), Github!B$2108)</f>
        <v>Number of Unique Flavors After Sharing K Candies</v>
      </c>
      <c r="C2149" s="10">
        <f>Github!F$2108</f>
        <v>43</v>
      </c>
      <c r="D2149" s="10">
        <f>Github!G$2108</f>
        <v>1</v>
      </c>
      <c r="E2149" s="10">
        <f>Github!F$2108+Github!G$2108</f>
        <v>44</v>
      </c>
      <c r="F2149" s="12">
        <f t="shared" si="1"/>
        <v>43</v>
      </c>
      <c r="G2149" s="10" t="str">
        <f>Github!H$2108</f>
        <v>Algorithms</v>
      </c>
      <c r="H2149" s="13" t="str">
        <f>SUBSTITUTE(Github!L$2108, ";", ", ")</f>
        <v>Array, Hash Table, Sliding Window, </v>
      </c>
      <c r="I2149" s="10" t="str">
        <f>Github!E$2108</f>
        <v>Medium</v>
      </c>
      <c r="J2149" s="10" t="str">
        <f>IF(TRIM(Github!D$2108)="TRUE","FALSE","TRUE")</f>
        <v>FALSE</v>
      </c>
      <c r="K2149" s="10" t="b">
        <f>Github!M$2108</f>
        <v>0</v>
      </c>
      <c r="L2149" s="10" t="b">
        <f>Github!N$2108</f>
        <v>0</v>
      </c>
      <c r="M2149" s="10" t="str">
        <f>ROUND(Github!O$2108, 2)&amp;"%"</f>
        <v>57.56%</v>
      </c>
      <c r="N2149" s="10">
        <f>Github!P$2108</f>
        <v>1317</v>
      </c>
      <c r="O2149" s="10">
        <f>Github!Q$2108</f>
        <v>2288</v>
      </c>
    </row>
    <row r="2150">
      <c r="A2150" s="10">
        <f>Github!J$2037</f>
        <v>2036</v>
      </c>
      <c r="B2150" s="11" t="str">
        <f>HYPERLINK(CONCAT("http://leetcode.com/problems/",Github!C$2037), Github!B$2037)</f>
        <v>Maximum Alternating Subarray Sum</v>
      </c>
      <c r="C2150" s="10">
        <f>Github!F$2037</f>
        <v>42</v>
      </c>
      <c r="D2150" s="10">
        <f>Github!G$2037</f>
        <v>2</v>
      </c>
      <c r="E2150" s="10">
        <f>Github!F$2037+Github!G$2037</f>
        <v>44</v>
      </c>
      <c r="F2150" s="12">
        <f t="shared" si="1"/>
        <v>21</v>
      </c>
      <c r="G2150" s="10" t="str">
        <f>Github!H$2037</f>
        <v>Algorithms</v>
      </c>
      <c r="H2150" s="13" t="str">
        <f>SUBSTITUTE(Github!L$2037, ";", ", ")</f>
        <v>Array, Dynamic Programming, </v>
      </c>
      <c r="I2150" s="10" t="str">
        <f>Github!E$2037</f>
        <v>Medium</v>
      </c>
      <c r="J2150" s="10" t="str">
        <f>IF(TRIM(Github!D$2037)="TRUE","FALSE","TRUE")</f>
        <v>FALSE</v>
      </c>
      <c r="K2150" s="10" t="b">
        <f>Github!M$2037</f>
        <v>0</v>
      </c>
      <c r="L2150" s="10" t="b">
        <f>Github!N$2037</f>
        <v>0</v>
      </c>
      <c r="M2150" s="10" t="str">
        <f>ROUND(Github!O$2037, 2)&amp;"%"</f>
        <v>40.85%</v>
      </c>
      <c r="N2150" s="10">
        <f>Github!P$2037</f>
        <v>1127</v>
      </c>
      <c r="O2150" s="10">
        <f>Github!Q$2037</f>
        <v>2759</v>
      </c>
    </row>
    <row r="2151">
      <c r="A2151" s="10">
        <f>Github!J$1844</f>
        <v>1843</v>
      </c>
      <c r="B2151" s="11" t="str">
        <f>HYPERLINK(CONCAT("http://leetcode.com/problems/",Github!C$1844), Github!B$1844)</f>
        <v>Suspicious Bank Accounts</v>
      </c>
      <c r="C2151" s="10">
        <f>Github!F$1844</f>
        <v>45</v>
      </c>
      <c r="D2151" s="10">
        <f>Github!G$1844</f>
        <v>28</v>
      </c>
      <c r="E2151" s="10">
        <f>Github!F$1844+Github!G$1844</f>
        <v>73</v>
      </c>
      <c r="F2151" s="12">
        <f t="shared" si="1"/>
        <v>1.61</v>
      </c>
      <c r="G2151" s="10" t="str">
        <f>Github!H$1844</f>
        <v>Database</v>
      </c>
      <c r="H2151" s="13" t="str">
        <f>SUBSTITUTE(Github!L$1844, ";", ", ")</f>
        <v>Database, </v>
      </c>
      <c r="I2151" s="10" t="str">
        <f>Github!E$1844</f>
        <v>Medium</v>
      </c>
      <c r="J2151" s="10" t="str">
        <f>IF(TRIM(Github!D$1844)="TRUE","FALSE","TRUE")</f>
        <v>FALSE</v>
      </c>
      <c r="K2151" s="10" t="b">
        <f>Github!M$1844</f>
        <v>0</v>
      </c>
      <c r="L2151" s="10" t="b">
        <f>Github!N$1844</f>
        <v>0</v>
      </c>
      <c r="M2151" s="10" t="str">
        <f>ROUND(Github!O$1844, 2)&amp;"%"</f>
        <v>48.38%</v>
      </c>
      <c r="N2151" s="10">
        <f>Github!P$1844</f>
        <v>5360</v>
      </c>
      <c r="O2151" s="10">
        <f>Github!Q$1844</f>
        <v>11080</v>
      </c>
    </row>
    <row r="2152">
      <c r="A2152" s="10">
        <f>Github!J$1967</f>
        <v>1966</v>
      </c>
      <c r="B2152" s="11" t="str">
        <f>HYPERLINK(CONCAT("http://leetcode.com/problems/",Github!C$1967), Github!B$1967)</f>
        <v>Binary Searchable Numbers in an Unsorted Array</v>
      </c>
      <c r="C2152" s="10">
        <f>Github!F$1967</f>
        <v>42</v>
      </c>
      <c r="D2152" s="10">
        <f>Github!G$1967</f>
        <v>6</v>
      </c>
      <c r="E2152" s="10">
        <f>Github!F$1967+Github!G$1967</f>
        <v>48</v>
      </c>
      <c r="F2152" s="12">
        <f t="shared" si="1"/>
        <v>7</v>
      </c>
      <c r="G2152" s="10" t="str">
        <f>Github!H$1967</f>
        <v>Algorithms</v>
      </c>
      <c r="H2152" s="13" t="str">
        <f>SUBSTITUTE(Github!L$1967, ";", ", ")</f>
        <v>Array, Binary Search, </v>
      </c>
      <c r="I2152" s="10" t="str">
        <f>Github!E$1967</f>
        <v>Medium</v>
      </c>
      <c r="J2152" s="10" t="str">
        <f>IF(TRIM(Github!D$1967)="TRUE","FALSE","TRUE")</f>
        <v>FALSE</v>
      </c>
      <c r="K2152" s="10" t="b">
        <f>Github!M$1967</f>
        <v>0</v>
      </c>
      <c r="L2152" s="10" t="b">
        <f>Github!N$1967</f>
        <v>0</v>
      </c>
      <c r="M2152" s="10" t="str">
        <f>ROUND(Github!O$1967, 2)&amp;"%"</f>
        <v>66.56%</v>
      </c>
      <c r="N2152" s="10">
        <f>Github!P$1967</f>
        <v>1485</v>
      </c>
      <c r="O2152" s="10">
        <f>Github!Q$1967</f>
        <v>2231</v>
      </c>
    </row>
    <row r="2153">
      <c r="A2153" s="10">
        <f>Github!J$1832</f>
        <v>1831</v>
      </c>
      <c r="B2153" s="11" t="str">
        <f>HYPERLINK(CONCAT("http://leetcode.com/problems/",Github!C$1832), Github!B$1832)</f>
        <v>Maximum Transaction Each Day</v>
      </c>
      <c r="C2153" s="10">
        <f>Github!F$1832</f>
        <v>40</v>
      </c>
      <c r="D2153" s="10">
        <f>Github!G$1832</f>
        <v>1</v>
      </c>
      <c r="E2153" s="10">
        <f>Github!F$1832+Github!G$1832</f>
        <v>41</v>
      </c>
      <c r="F2153" s="12">
        <f t="shared" si="1"/>
        <v>40</v>
      </c>
      <c r="G2153" s="10" t="str">
        <f>Github!H$1832</f>
        <v>Database</v>
      </c>
      <c r="H2153" s="13" t="str">
        <f>SUBSTITUTE(Github!L$1832, ";", ", ")</f>
        <v>Database, </v>
      </c>
      <c r="I2153" s="10" t="str">
        <f>Github!E$1832</f>
        <v>Medium</v>
      </c>
      <c r="J2153" s="10" t="str">
        <f>IF(TRIM(Github!D$1832)="TRUE","FALSE","TRUE")</f>
        <v>FALSE</v>
      </c>
      <c r="K2153" s="10" t="b">
        <f>Github!M$1832</f>
        <v>0</v>
      </c>
      <c r="L2153" s="10" t="b">
        <f>Github!N$1832</f>
        <v>0</v>
      </c>
      <c r="M2153" s="10" t="str">
        <f>ROUND(Github!O$1832, 2)&amp;"%"</f>
        <v>82.7%</v>
      </c>
      <c r="N2153" s="10">
        <f>Github!P$1832</f>
        <v>7300</v>
      </c>
      <c r="O2153" s="10">
        <f>Github!Q$1832</f>
        <v>8827</v>
      </c>
    </row>
    <row r="2154">
      <c r="A2154" s="10">
        <f>Github!J$1990</f>
        <v>1989</v>
      </c>
      <c r="B2154" s="11" t="str">
        <f>HYPERLINK(CONCAT("http://leetcode.com/problems/",Github!C$1990), Github!B$1990)</f>
        <v>Maximum Number of People That Can Be Caught in Tag</v>
      </c>
      <c r="C2154" s="10">
        <f>Github!F$1990</f>
        <v>40</v>
      </c>
      <c r="D2154" s="10">
        <f>Github!G$1990</f>
        <v>6</v>
      </c>
      <c r="E2154" s="10">
        <f>Github!F$1990+Github!G$1990</f>
        <v>46</v>
      </c>
      <c r="F2154" s="12">
        <f t="shared" si="1"/>
        <v>6.67</v>
      </c>
      <c r="G2154" s="10" t="str">
        <f>Github!H$1990</f>
        <v>Algorithms</v>
      </c>
      <c r="H2154" s="13" t="str">
        <f>SUBSTITUTE(Github!L$1990, ";", ", ")</f>
        <v>Array, Greedy, </v>
      </c>
      <c r="I2154" s="10" t="str">
        <f>Github!E$1990</f>
        <v>Medium</v>
      </c>
      <c r="J2154" s="10" t="str">
        <f>IF(TRIM(Github!D$1990)="TRUE","FALSE","TRUE")</f>
        <v>FALSE</v>
      </c>
      <c r="K2154" s="10" t="b">
        <f>Github!M$1990</f>
        <v>0</v>
      </c>
      <c r="L2154" s="10" t="b">
        <f>Github!N$1990</f>
        <v>0</v>
      </c>
      <c r="M2154" s="10" t="str">
        <f>ROUND(Github!O$1990, 2)&amp;"%"</f>
        <v>54.04%</v>
      </c>
      <c r="N2154" s="10">
        <f>Github!P$1990</f>
        <v>1036</v>
      </c>
      <c r="O2154" s="10">
        <f>Github!Q$1990</f>
        <v>1917</v>
      </c>
    </row>
    <row r="2155">
      <c r="A2155" s="10">
        <f>Github!J$1501</f>
        <v>1500</v>
      </c>
      <c r="B2155" s="11" t="str">
        <f>HYPERLINK(CONCAT("http://leetcode.com/problems/",Github!C$1501), Github!B$1501)</f>
        <v>Design a File Sharing System</v>
      </c>
      <c r="C2155" s="10">
        <f>Github!F$1501</f>
        <v>38</v>
      </c>
      <c r="D2155" s="10">
        <f>Github!G$1501</f>
        <v>91</v>
      </c>
      <c r="E2155" s="10">
        <f>Github!F$1501+Github!G$1501</f>
        <v>129</v>
      </c>
      <c r="F2155" s="12">
        <f t="shared" si="1"/>
        <v>0.42</v>
      </c>
      <c r="G2155" s="10" t="str">
        <f>Github!H$1501</f>
        <v>Algorithms</v>
      </c>
      <c r="H2155" s="13" t="str">
        <f>SUBSTITUTE(Github!L$1501, ";", ", ")</f>
        <v>Hash Table, Design, Heap (Priority Queue), Data Stream, </v>
      </c>
      <c r="I2155" s="10" t="str">
        <f>Github!E$1501</f>
        <v>Medium</v>
      </c>
      <c r="J2155" s="10" t="str">
        <f>IF(TRIM(Github!D$1501)="TRUE","FALSE","TRUE")</f>
        <v>FALSE</v>
      </c>
      <c r="K2155" s="10" t="b">
        <f>Github!M$1501</f>
        <v>0</v>
      </c>
      <c r="L2155" s="10" t="b">
        <f>Github!N$1501</f>
        <v>0</v>
      </c>
      <c r="M2155" s="10" t="str">
        <f>ROUND(Github!O$1501, 2)&amp;"%"</f>
        <v>44.89%</v>
      </c>
      <c r="N2155" s="10">
        <f>Github!P$1501</f>
        <v>2875</v>
      </c>
      <c r="O2155" s="10">
        <f>Github!Q$1501</f>
        <v>6404</v>
      </c>
    </row>
    <row r="2156">
      <c r="A2156" s="10">
        <f>Github!J$1876</f>
        <v>1875</v>
      </c>
      <c r="B2156" s="11" t="str">
        <f>HYPERLINK(CONCAT("http://leetcode.com/problems/",Github!C$1876), Github!B$1876)</f>
        <v>Group Employees of the Same Salary</v>
      </c>
      <c r="C2156" s="10">
        <f>Github!F$1876</f>
        <v>38</v>
      </c>
      <c r="D2156" s="10">
        <f>Github!G$1876</f>
        <v>3</v>
      </c>
      <c r="E2156" s="10">
        <f>Github!F$1876+Github!G$1876</f>
        <v>41</v>
      </c>
      <c r="F2156" s="12">
        <f t="shared" si="1"/>
        <v>12.67</v>
      </c>
      <c r="G2156" s="10" t="str">
        <f>Github!H$1876</f>
        <v>Database</v>
      </c>
      <c r="H2156" s="13" t="str">
        <f>SUBSTITUTE(Github!L$1876, ";", ", ")</f>
        <v>Database, </v>
      </c>
      <c r="I2156" s="10" t="str">
        <f>Github!E$1876</f>
        <v>Medium</v>
      </c>
      <c r="J2156" s="10" t="str">
        <f>IF(TRIM(Github!D$1876)="TRUE","FALSE","TRUE")</f>
        <v>FALSE</v>
      </c>
      <c r="K2156" s="10" t="b">
        <f>Github!M$1876</f>
        <v>0</v>
      </c>
      <c r="L2156" s="10" t="b">
        <f>Github!N$1876</f>
        <v>0</v>
      </c>
      <c r="M2156" s="10" t="str">
        <f>ROUND(Github!O$1876, 2)&amp;"%"</f>
        <v>75.68%</v>
      </c>
      <c r="N2156" s="10">
        <f>Github!P$1876</f>
        <v>5404</v>
      </c>
      <c r="O2156" s="10">
        <f>Github!Q$1876</f>
        <v>7141</v>
      </c>
    </row>
    <row r="2157">
      <c r="A2157" s="10">
        <f>Github!J$1646</f>
        <v>1645</v>
      </c>
      <c r="B2157" s="11" t="str">
        <f>HYPERLINK(CONCAT("http://leetcode.com/problems/",Github!C$1646), Github!B$1646)</f>
        <v>Hopper Company Queries II</v>
      </c>
      <c r="C2157" s="10">
        <f>Github!F$1646</f>
        <v>37</v>
      </c>
      <c r="D2157" s="10">
        <f>Github!G$1646</f>
        <v>10</v>
      </c>
      <c r="E2157" s="10">
        <f>Github!F$1646+Github!G$1646</f>
        <v>47</v>
      </c>
      <c r="F2157" s="12">
        <f t="shared" si="1"/>
        <v>3.7</v>
      </c>
      <c r="G2157" s="10" t="str">
        <f>Github!H$1646</f>
        <v>Database</v>
      </c>
      <c r="H2157" s="13" t="str">
        <f>SUBSTITUTE(Github!L$1646, ";", ", ")</f>
        <v>Database, </v>
      </c>
      <c r="I2157" s="10" t="str">
        <f>Github!E$1646</f>
        <v>Hard</v>
      </c>
      <c r="J2157" s="10" t="str">
        <f>IF(TRIM(Github!D$1646)="TRUE","FALSE","TRUE")</f>
        <v>FALSE</v>
      </c>
      <c r="K2157" s="10" t="b">
        <f>Github!M$1646</f>
        <v>0</v>
      </c>
      <c r="L2157" s="10" t="b">
        <f>Github!N$1646</f>
        <v>0</v>
      </c>
      <c r="M2157" s="10" t="str">
        <f>ROUND(Github!O$1646, 2)&amp;"%"</f>
        <v>38.93%</v>
      </c>
      <c r="N2157" s="10">
        <f>Github!P$1646</f>
        <v>3960</v>
      </c>
      <c r="O2157" s="10">
        <f>Github!Q$1646</f>
        <v>10172</v>
      </c>
    </row>
    <row r="2158">
      <c r="A2158" s="10">
        <f>Github!J$2114</f>
        <v>2113</v>
      </c>
      <c r="B2158" s="11" t="str">
        <f>HYPERLINK(CONCAT("http://leetcode.com/problems/",Github!C$2114), Github!B$2114)</f>
        <v>Elements in Array After Removing and Replacing Elements</v>
      </c>
      <c r="C2158" s="10">
        <f>Github!F$2114</f>
        <v>36</v>
      </c>
      <c r="D2158" s="10">
        <f>Github!G$2114</f>
        <v>5</v>
      </c>
      <c r="E2158" s="10">
        <f>Github!F$2114+Github!G$2114</f>
        <v>41</v>
      </c>
      <c r="F2158" s="12">
        <f t="shared" si="1"/>
        <v>7.2</v>
      </c>
      <c r="G2158" s="10" t="str">
        <f>Github!H$2114</f>
        <v>Algorithms</v>
      </c>
      <c r="H2158" s="13" t="str">
        <f>SUBSTITUTE(Github!L$2114, ";", ", ")</f>
        <v>Array, </v>
      </c>
      <c r="I2158" s="10" t="str">
        <f>Github!E$2114</f>
        <v>Medium</v>
      </c>
      <c r="J2158" s="10" t="str">
        <f>IF(TRIM(Github!D$2114)="TRUE","FALSE","TRUE")</f>
        <v>FALSE</v>
      </c>
      <c r="K2158" s="10" t="b">
        <f>Github!M$2114</f>
        <v>0</v>
      </c>
      <c r="L2158" s="10" t="b">
        <f>Github!N$2114</f>
        <v>0</v>
      </c>
      <c r="M2158" s="10" t="str">
        <f>ROUND(Github!O$2114, 2)&amp;"%"</f>
        <v>73.93%</v>
      </c>
      <c r="N2158" s="10">
        <f>Github!P$2114</f>
        <v>916</v>
      </c>
      <c r="O2158" s="10">
        <f>Github!Q$2114</f>
        <v>1239</v>
      </c>
    </row>
    <row r="2159">
      <c r="A2159" s="10">
        <f>Github!J$1918</f>
        <v>1917</v>
      </c>
      <c r="B2159" s="11" t="str">
        <f>HYPERLINK(CONCAT("http://leetcode.com/problems/",Github!C$1918), Github!B$1918)</f>
        <v>Leetcodify Friends Recommendations</v>
      </c>
      <c r="C2159" s="10">
        <f>Github!F$1918</f>
        <v>34</v>
      </c>
      <c r="D2159" s="10">
        <f>Github!G$1918</f>
        <v>20</v>
      </c>
      <c r="E2159" s="10">
        <f>Github!F$1918+Github!G$1918</f>
        <v>54</v>
      </c>
      <c r="F2159" s="12">
        <f t="shared" si="1"/>
        <v>1.7</v>
      </c>
      <c r="G2159" s="10" t="str">
        <f>Github!H$1918</f>
        <v>Database</v>
      </c>
      <c r="H2159" s="13" t="str">
        <f>SUBSTITUTE(Github!L$1918, ";", ", ")</f>
        <v>Database, </v>
      </c>
      <c r="I2159" s="10" t="str">
        <f>Github!E$1918</f>
        <v>Hard</v>
      </c>
      <c r="J2159" s="10" t="str">
        <f>IF(TRIM(Github!D$1918)="TRUE","FALSE","TRUE")</f>
        <v>FALSE</v>
      </c>
      <c r="K2159" s="10" t="b">
        <f>Github!M$1918</f>
        <v>0</v>
      </c>
      <c r="L2159" s="10" t="b">
        <f>Github!N$1918</f>
        <v>0</v>
      </c>
      <c r="M2159" s="10" t="str">
        <f>ROUND(Github!O$1918, 2)&amp;"%"</f>
        <v>30.14%</v>
      </c>
      <c r="N2159" s="10">
        <f>Github!P$1918</f>
        <v>3378</v>
      </c>
      <c r="O2159" s="10">
        <f>Github!Q$1918</f>
        <v>11206</v>
      </c>
    </row>
    <row r="2160">
      <c r="A2160" s="10">
        <f>Github!J$673</f>
        <v>672</v>
      </c>
      <c r="B2160" s="11" t="str">
        <f>HYPERLINK(CONCAT("http://leetcode.com/problems/",Github!C$673), Github!B$673)</f>
        <v>Bulb Switcher II</v>
      </c>
      <c r="C2160" s="10">
        <f>Github!F$673</f>
        <v>34</v>
      </c>
      <c r="D2160" s="10">
        <f>Github!G$673</f>
        <v>76</v>
      </c>
      <c r="E2160" s="10">
        <f>Github!F$673+Github!G$673</f>
        <v>110</v>
      </c>
      <c r="F2160" s="12">
        <f t="shared" si="1"/>
        <v>0.45</v>
      </c>
      <c r="G2160" s="10" t="str">
        <f>Github!H$673</f>
        <v>Algorithms</v>
      </c>
      <c r="H2160" s="13" t="str">
        <f>SUBSTITUTE(Github!L$673, ";", ", ")</f>
        <v>Math, Bit Manipulation, Depth-First Search, Breadth-First Search, </v>
      </c>
      <c r="I2160" s="10" t="str">
        <f>Github!E$673</f>
        <v>Medium</v>
      </c>
      <c r="J2160" s="10" t="str">
        <f>IF(TRIM(Github!D$673)="TRUE","FALSE","TRUE")</f>
        <v>TRUE</v>
      </c>
      <c r="K2160" s="10" t="b">
        <f>Github!M$673</f>
        <v>0</v>
      </c>
      <c r="L2160" s="10" t="b">
        <f>Github!N$673</f>
        <v>0</v>
      </c>
      <c r="M2160" s="10" t="str">
        <f>ROUND(Github!O$673, 2)&amp;"%"</f>
        <v>50.77%</v>
      </c>
      <c r="N2160" s="10">
        <f>Github!P$673</f>
        <v>16891</v>
      </c>
      <c r="O2160" s="10">
        <f>Github!Q$673</f>
        <v>33268</v>
      </c>
    </row>
    <row r="2161">
      <c r="A2161" s="10">
        <f>Github!J$1908</f>
        <v>1907</v>
      </c>
      <c r="B2161" s="11" t="str">
        <f>HYPERLINK(CONCAT("http://leetcode.com/problems/",Github!C$1908), Github!B$1908)</f>
        <v>Count Salary Categories</v>
      </c>
      <c r="C2161" s="10">
        <f>Github!F$1908</f>
        <v>35</v>
      </c>
      <c r="D2161" s="10">
        <f>Github!G$1908</f>
        <v>13</v>
      </c>
      <c r="E2161" s="10">
        <f>Github!F$1908+Github!G$1908</f>
        <v>48</v>
      </c>
      <c r="F2161" s="12">
        <f t="shared" si="1"/>
        <v>2.69</v>
      </c>
      <c r="G2161" s="10" t="str">
        <f>Github!H$1908</f>
        <v>Database</v>
      </c>
      <c r="H2161" s="13" t="str">
        <f>SUBSTITUTE(Github!L$1908, ";", ", ")</f>
        <v>Database, </v>
      </c>
      <c r="I2161" s="10" t="str">
        <f>Github!E$1908</f>
        <v>Medium</v>
      </c>
      <c r="J2161" s="10" t="str">
        <f>IF(TRIM(Github!D$1908)="TRUE","FALSE","TRUE")</f>
        <v>FALSE</v>
      </c>
      <c r="K2161" s="10" t="b">
        <f>Github!M$1908</f>
        <v>0</v>
      </c>
      <c r="L2161" s="10" t="b">
        <f>Github!N$1908</f>
        <v>0</v>
      </c>
      <c r="M2161" s="10" t="str">
        <f>ROUND(Github!O$1908, 2)&amp;"%"</f>
        <v>66.05%</v>
      </c>
      <c r="N2161" s="10">
        <f>Github!P$1908</f>
        <v>5210</v>
      </c>
      <c r="O2161" s="10">
        <f>Github!Q$1908</f>
        <v>7888</v>
      </c>
    </row>
    <row r="2162">
      <c r="A2162" s="10">
        <f>Github!J$2175</f>
        <v>2174</v>
      </c>
      <c r="B2162" s="11" t="str">
        <f>HYPERLINK(CONCAT("http://leetcode.com/problems/",Github!C$2175), Github!B$2175)</f>
        <v>Remove All Ones With Row and Column Flips II</v>
      </c>
      <c r="C2162" s="10">
        <f>Github!F$2175</f>
        <v>36</v>
      </c>
      <c r="D2162" s="10">
        <f>Github!G$2175</f>
        <v>2</v>
      </c>
      <c r="E2162" s="10">
        <f>Github!F$2175+Github!G$2175</f>
        <v>38</v>
      </c>
      <c r="F2162" s="12">
        <f t="shared" si="1"/>
        <v>18</v>
      </c>
      <c r="G2162" s="10" t="str">
        <f>Github!H$2175</f>
        <v>Algorithms</v>
      </c>
      <c r="H2162" s="13" t="str">
        <f>SUBSTITUTE(Github!L$2175, ";", ", ")</f>
        <v>Array, Bit Manipulation, Breadth-First Search, Matrix, </v>
      </c>
      <c r="I2162" s="10" t="str">
        <f>Github!E$2175</f>
        <v>Medium</v>
      </c>
      <c r="J2162" s="10" t="str">
        <f>IF(TRIM(Github!D$2175)="TRUE","FALSE","TRUE")</f>
        <v>FALSE</v>
      </c>
      <c r="K2162" s="10" t="b">
        <f>Github!M$2175</f>
        <v>0</v>
      </c>
      <c r="L2162" s="10" t="b">
        <f>Github!N$2175</f>
        <v>0</v>
      </c>
      <c r="M2162" s="10" t="str">
        <f>ROUND(Github!O$2175, 2)&amp;"%"</f>
        <v>69.62%</v>
      </c>
      <c r="N2162" s="10">
        <f>Github!P$2175</f>
        <v>1177</v>
      </c>
      <c r="O2162" s="10">
        <f>Github!Q$2175</f>
        <v>1691</v>
      </c>
    </row>
    <row r="2163">
      <c r="A2163" s="10">
        <f>Github!J$2057</f>
        <v>2056</v>
      </c>
      <c r="B2163" s="11" t="str">
        <f>HYPERLINK(CONCAT("http://leetcode.com/problems/",Github!C$2057), Github!B$2057)</f>
        <v>Number of Valid Move Combinations On Chessboard</v>
      </c>
      <c r="C2163" s="10">
        <f>Github!F$2057</f>
        <v>33</v>
      </c>
      <c r="D2163" s="10">
        <f>Github!G$2057</f>
        <v>187</v>
      </c>
      <c r="E2163" s="10">
        <f>Github!F$2057+Github!G$2057</f>
        <v>220</v>
      </c>
      <c r="F2163" s="12">
        <f t="shared" si="1"/>
        <v>0.18</v>
      </c>
      <c r="G2163" s="10" t="str">
        <f>Github!H$2057</f>
        <v>Algorithms</v>
      </c>
      <c r="H2163" s="13" t="str">
        <f>SUBSTITUTE(Github!L$2057, ";", ", ")</f>
        <v>Array, String, Backtracking, Simulation, </v>
      </c>
      <c r="I2163" s="10" t="str">
        <f>Github!E$2057</f>
        <v>Hard</v>
      </c>
      <c r="J2163" s="10" t="str">
        <f>IF(TRIM(Github!D$2057)="TRUE","FALSE","TRUE")</f>
        <v>TRUE</v>
      </c>
      <c r="K2163" s="10" t="b">
        <f>Github!M$2057</f>
        <v>0</v>
      </c>
      <c r="L2163" s="10" t="b">
        <f>Github!N$2057</f>
        <v>0</v>
      </c>
      <c r="M2163" s="10" t="str">
        <f>ROUND(Github!O$2057, 2)&amp;"%"</f>
        <v>58.52%</v>
      </c>
      <c r="N2163" s="10">
        <f>Github!P$2057</f>
        <v>2517</v>
      </c>
      <c r="O2163" s="10">
        <f>Github!Q$2057</f>
        <v>4301</v>
      </c>
    </row>
    <row r="2164">
      <c r="A2164" s="10">
        <f>Github!J$1868</f>
        <v>1867</v>
      </c>
      <c r="B2164" s="11" t="str">
        <f>HYPERLINK(CONCAT("http://leetcode.com/problems/",Github!C$1868), Github!B$1868)</f>
        <v>Orders With Maximum Quantity Above Average</v>
      </c>
      <c r="C2164" s="10">
        <f>Github!F$1868</f>
        <v>34</v>
      </c>
      <c r="D2164" s="10">
        <f>Github!G$1868</f>
        <v>120</v>
      </c>
      <c r="E2164" s="10">
        <f>Github!F$1868+Github!G$1868</f>
        <v>154</v>
      </c>
      <c r="F2164" s="12">
        <f t="shared" si="1"/>
        <v>0.28</v>
      </c>
      <c r="G2164" s="10" t="str">
        <f>Github!H$1868</f>
        <v>Database</v>
      </c>
      <c r="H2164" s="13" t="str">
        <f>SUBSTITUTE(Github!L$1868, ";", ", ")</f>
        <v>Database, </v>
      </c>
      <c r="I2164" s="10" t="str">
        <f>Github!E$1868</f>
        <v>Medium</v>
      </c>
      <c r="J2164" s="10" t="str">
        <f>IF(TRIM(Github!D$1868)="TRUE","FALSE","TRUE")</f>
        <v>FALSE</v>
      </c>
      <c r="K2164" s="10" t="b">
        <f>Github!M$1868</f>
        <v>0</v>
      </c>
      <c r="L2164" s="10" t="b">
        <f>Github!N$1868</f>
        <v>0</v>
      </c>
      <c r="M2164" s="10" t="str">
        <f>ROUND(Github!O$1868, 2)&amp;"%"</f>
        <v>76.09%</v>
      </c>
      <c r="N2164" s="10">
        <f>Github!P$1868</f>
        <v>6878</v>
      </c>
      <c r="O2164" s="10">
        <f>Github!Q$1868</f>
        <v>9039</v>
      </c>
    </row>
    <row r="2165">
      <c r="A2165" s="10">
        <f>Github!J$2143</f>
        <v>2142</v>
      </c>
      <c r="B2165" s="11" t="str">
        <f>HYPERLINK(CONCAT("http://leetcode.com/problems/",Github!C$2143), Github!B$2143)</f>
        <v>The Number of Passengers in Each Bus I</v>
      </c>
      <c r="C2165" s="10">
        <f>Github!F$2143</f>
        <v>32</v>
      </c>
      <c r="D2165" s="10">
        <f>Github!G$2143</f>
        <v>5</v>
      </c>
      <c r="E2165" s="10">
        <f>Github!F$2143+Github!G$2143</f>
        <v>37</v>
      </c>
      <c r="F2165" s="12">
        <f t="shared" si="1"/>
        <v>6.4</v>
      </c>
      <c r="G2165" s="10" t="str">
        <f>Github!H$2143</f>
        <v>Database</v>
      </c>
      <c r="H2165" s="13" t="str">
        <f>SUBSTITUTE(Github!L$2143, ";", ", ")</f>
        <v>Database, </v>
      </c>
      <c r="I2165" s="10" t="str">
        <f>Github!E$2143</f>
        <v>Medium</v>
      </c>
      <c r="J2165" s="10" t="str">
        <f>IF(TRIM(Github!D$2143)="TRUE","FALSE","TRUE")</f>
        <v>FALSE</v>
      </c>
      <c r="K2165" s="10" t="b">
        <f>Github!M$2143</f>
        <v>0</v>
      </c>
      <c r="L2165" s="10" t="b">
        <f>Github!N$2143</f>
        <v>0</v>
      </c>
      <c r="M2165" s="10" t="str">
        <f>ROUND(Github!O$2143, 2)&amp;"%"</f>
        <v>50.51%</v>
      </c>
      <c r="N2165" s="10">
        <f>Github!P$2143</f>
        <v>2037</v>
      </c>
      <c r="O2165" s="10">
        <f>Github!Q$2143</f>
        <v>4033</v>
      </c>
    </row>
    <row r="2166">
      <c r="A2166" s="10">
        <f>Github!J$1935</f>
        <v>1934</v>
      </c>
      <c r="B2166" s="11" t="str">
        <f>HYPERLINK(CONCAT("http://leetcode.com/problems/",Github!C$1935), Github!B$1935)</f>
        <v>Confirmation Rate</v>
      </c>
      <c r="C2166" s="10">
        <f>Github!F$1935</f>
        <v>31</v>
      </c>
      <c r="D2166" s="10">
        <f>Github!G$1935</f>
        <v>9</v>
      </c>
      <c r="E2166" s="10">
        <f>Github!F$1935+Github!G$1935</f>
        <v>40</v>
      </c>
      <c r="F2166" s="12">
        <f t="shared" si="1"/>
        <v>3.44</v>
      </c>
      <c r="G2166" s="10" t="str">
        <f>Github!H$1935</f>
        <v>Database</v>
      </c>
      <c r="H2166" s="13" t="str">
        <f>SUBSTITUTE(Github!L$1935, ";", ", ")</f>
        <v>Database, </v>
      </c>
      <c r="I2166" s="10" t="str">
        <f>Github!E$1935</f>
        <v>Medium</v>
      </c>
      <c r="J2166" s="10" t="str">
        <f>IF(TRIM(Github!D$1935)="TRUE","FALSE","TRUE")</f>
        <v>FALSE</v>
      </c>
      <c r="K2166" s="10" t="b">
        <f>Github!M$1935</f>
        <v>0</v>
      </c>
      <c r="L2166" s="10" t="b">
        <f>Github!N$1935</f>
        <v>0</v>
      </c>
      <c r="M2166" s="10" t="str">
        <f>ROUND(Github!O$1935, 2)&amp;"%"</f>
        <v>77.44%</v>
      </c>
      <c r="N2166" s="10">
        <f>Github!P$1935</f>
        <v>6422</v>
      </c>
      <c r="O2166" s="10">
        <f>Github!Q$1935</f>
        <v>8293</v>
      </c>
    </row>
    <row r="2167">
      <c r="A2167" s="10">
        <f>Github!J$1934</f>
        <v>1933</v>
      </c>
      <c r="B2167" s="11" t="str">
        <f>HYPERLINK(CONCAT("http://leetcode.com/problems/",Github!C$1934), Github!B$1934)</f>
        <v>Check if String Is Decomposable Into Value-Equal Substrings</v>
      </c>
      <c r="C2167" s="10">
        <f>Github!F$1934</f>
        <v>31</v>
      </c>
      <c r="D2167" s="10">
        <f>Github!G$1934</f>
        <v>7</v>
      </c>
      <c r="E2167" s="10">
        <f>Github!F$1934+Github!G$1934</f>
        <v>38</v>
      </c>
      <c r="F2167" s="12">
        <f t="shared" si="1"/>
        <v>4.43</v>
      </c>
      <c r="G2167" s="10" t="str">
        <f>Github!H$1934</f>
        <v>Algorithms</v>
      </c>
      <c r="H2167" s="13" t="str">
        <f>SUBSTITUTE(Github!L$1934, ";", ", ")</f>
        <v>String, </v>
      </c>
      <c r="I2167" s="10" t="str">
        <f>Github!E$1934</f>
        <v>Easy</v>
      </c>
      <c r="J2167" s="10" t="str">
        <f>IF(TRIM(Github!D$1934)="TRUE","FALSE","TRUE")</f>
        <v>FALSE</v>
      </c>
      <c r="K2167" s="10" t="b">
        <f>Github!M$1934</f>
        <v>0</v>
      </c>
      <c r="L2167" s="10" t="b">
        <f>Github!N$1934</f>
        <v>0</v>
      </c>
      <c r="M2167" s="10" t="str">
        <f>ROUND(Github!O$1934, 2)&amp;"%"</f>
        <v>51.34%</v>
      </c>
      <c r="N2167" s="10">
        <f>Github!P$1934</f>
        <v>2015</v>
      </c>
      <c r="O2167" s="10">
        <f>Github!Q$1934</f>
        <v>3925</v>
      </c>
    </row>
    <row r="2168">
      <c r="A2168" s="10">
        <f>Github!J$2016</f>
        <v>2015</v>
      </c>
      <c r="B2168" s="11" t="str">
        <f>HYPERLINK(CONCAT("http://leetcode.com/problems/",Github!C$2016), Github!B$2016)</f>
        <v>Average Height of Buildings in Each Segment</v>
      </c>
      <c r="C2168" s="10">
        <f>Github!F$2016</f>
        <v>30</v>
      </c>
      <c r="D2168" s="10">
        <f>Github!G$2016</f>
        <v>13</v>
      </c>
      <c r="E2168" s="10">
        <f>Github!F$2016+Github!G$2016</f>
        <v>43</v>
      </c>
      <c r="F2168" s="12">
        <f t="shared" si="1"/>
        <v>2.31</v>
      </c>
      <c r="G2168" s="10" t="str">
        <f>Github!H$2016</f>
        <v>Algorithms</v>
      </c>
      <c r="H2168" s="13" t="str">
        <f>SUBSTITUTE(Github!L$2016, ";", ", ")</f>
        <v>Array, Greedy, Sorting, Heap (Priority Queue), </v>
      </c>
      <c r="I2168" s="10" t="str">
        <f>Github!E$2016</f>
        <v>Medium</v>
      </c>
      <c r="J2168" s="10" t="str">
        <f>IF(TRIM(Github!D$2016)="TRUE","FALSE","TRUE")</f>
        <v>FALSE</v>
      </c>
      <c r="K2168" s="10" t="b">
        <f>Github!M$2016</f>
        <v>0</v>
      </c>
      <c r="L2168" s="10" t="b">
        <f>Github!N$2016</f>
        <v>0</v>
      </c>
      <c r="M2168" s="10" t="str">
        <f>ROUND(Github!O$2016, 2)&amp;"%"</f>
        <v>57.5%</v>
      </c>
      <c r="N2168" s="10">
        <f>Github!P$2016</f>
        <v>878</v>
      </c>
      <c r="O2168" s="10">
        <f>Github!Q$2016</f>
        <v>1527</v>
      </c>
    </row>
    <row r="2169">
      <c r="A2169" s="10">
        <f>Github!J$1920</f>
        <v>1919</v>
      </c>
      <c r="B2169" s="11" t="str">
        <f>HYPERLINK(CONCAT("http://leetcode.com/problems/",Github!C$1920), Github!B$1920)</f>
        <v>Leetcodify Similar Friends</v>
      </c>
      <c r="C2169" s="10">
        <f>Github!F$1920</f>
        <v>31</v>
      </c>
      <c r="D2169" s="10">
        <f>Github!G$1920</f>
        <v>4</v>
      </c>
      <c r="E2169" s="10">
        <f>Github!F$1920+Github!G$1920</f>
        <v>35</v>
      </c>
      <c r="F2169" s="12">
        <f t="shared" si="1"/>
        <v>7.75</v>
      </c>
      <c r="G2169" s="10" t="str">
        <f>Github!H$1920</f>
        <v>Database</v>
      </c>
      <c r="H2169" s="13" t="str">
        <f>SUBSTITUTE(Github!L$1920, ";", ", ")</f>
        <v>Database, </v>
      </c>
      <c r="I2169" s="10" t="str">
        <f>Github!E$1920</f>
        <v>Hard</v>
      </c>
      <c r="J2169" s="10" t="str">
        <f>IF(TRIM(Github!D$1920)="TRUE","FALSE","TRUE")</f>
        <v>FALSE</v>
      </c>
      <c r="K2169" s="10" t="b">
        <f>Github!M$1920</f>
        <v>0</v>
      </c>
      <c r="L2169" s="10" t="b">
        <f>Github!N$1920</f>
        <v>0</v>
      </c>
      <c r="M2169" s="10" t="str">
        <f>ROUND(Github!O$1920, 2)&amp;"%"</f>
        <v>42.62%</v>
      </c>
      <c r="N2169" s="10">
        <f>Github!P$1920</f>
        <v>2613</v>
      </c>
      <c r="O2169" s="10">
        <f>Github!Q$1920</f>
        <v>6131</v>
      </c>
    </row>
    <row r="2170">
      <c r="A2170" s="10">
        <f>Github!J$1795</f>
        <v>1794</v>
      </c>
      <c r="B2170" s="11" t="str">
        <f>HYPERLINK(CONCAT("http://leetcode.com/problems/",Github!C$1795), Github!B$1795)</f>
        <v>Count Pairs of Equal Substrings With Minimum Difference</v>
      </c>
      <c r="C2170" s="10">
        <f>Github!F$1795</f>
        <v>30</v>
      </c>
      <c r="D2170" s="10">
        <f>Github!G$1795</f>
        <v>37</v>
      </c>
      <c r="E2170" s="10">
        <f>Github!F$1795+Github!G$1795</f>
        <v>67</v>
      </c>
      <c r="F2170" s="12">
        <f t="shared" si="1"/>
        <v>0.81</v>
      </c>
      <c r="G2170" s="10" t="str">
        <f>Github!H$1795</f>
        <v>Algorithms</v>
      </c>
      <c r="H2170" s="13" t="str">
        <f>SUBSTITUTE(Github!L$1795, ";", ", ")</f>
        <v>Hash Table, String, Greedy, </v>
      </c>
      <c r="I2170" s="10" t="str">
        <f>Github!E$1795</f>
        <v>Medium</v>
      </c>
      <c r="J2170" s="10" t="str">
        <f>IF(TRIM(Github!D$1795)="TRUE","FALSE","TRUE")</f>
        <v>FALSE</v>
      </c>
      <c r="K2170" s="10" t="b">
        <f>Github!M$1795</f>
        <v>0</v>
      </c>
      <c r="L2170" s="10" t="b">
        <f>Github!N$1795</f>
        <v>0</v>
      </c>
      <c r="M2170" s="10" t="str">
        <f>ROUND(Github!O$1795, 2)&amp;"%"</f>
        <v>65.05%</v>
      </c>
      <c r="N2170" s="10">
        <f>Github!P$1795</f>
        <v>1249</v>
      </c>
      <c r="O2170" s="10">
        <f>Github!Q$1795</f>
        <v>1920</v>
      </c>
    </row>
    <row r="2171">
      <c r="A2171" s="10">
        <f>Github!J$2099</f>
        <v>2098</v>
      </c>
      <c r="B2171" s="11" t="str">
        <f>HYPERLINK(CONCAT("http://leetcode.com/problems/",Github!C$2099), Github!B$2099)</f>
        <v>Subsequence of Size K With the Largest Even Sum</v>
      </c>
      <c r="C2171" s="10">
        <f>Github!F$2099</f>
        <v>30</v>
      </c>
      <c r="D2171" s="10">
        <f>Github!G$2099</f>
        <v>1</v>
      </c>
      <c r="E2171" s="10">
        <f>Github!F$2099+Github!G$2099</f>
        <v>31</v>
      </c>
      <c r="F2171" s="12">
        <f t="shared" si="1"/>
        <v>30</v>
      </c>
      <c r="G2171" s="10" t="str">
        <f>Github!H$2099</f>
        <v>Algorithms</v>
      </c>
      <c r="H2171" s="13" t="str">
        <f>SUBSTITUTE(Github!L$2099, ";", ", ")</f>
        <v>Array, Greedy, Sorting, </v>
      </c>
      <c r="I2171" s="10" t="str">
        <f>Github!E$2099</f>
        <v>Medium</v>
      </c>
      <c r="J2171" s="10" t="str">
        <f>IF(TRIM(Github!D$2099)="TRUE","FALSE","TRUE")</f>
        <v>FALSE</v>
      </c>
      <c r="K2171" s="10" t="b">
        <f>Github!M$2099</f>
        <v>0</v>
      </c>
      <c r="L2171" s="10" t="b">
        <f>Github!N$2099</f>
        <v>0</v>
      </c>
      <c r="M2171" s="10" t="str">
        <f>ROUND(Github!O$2099, 2)&amp;"%"</f>
        <v>39.37%</v>
      </c>
      <c r="N2171" s="10">
        <f>Github!P$2099</f>
        <v>1170</v>
      </c>
      <c r="O2171" s="10">
        <f>Github!Q$2099</f>
        <v>2972</v>
      </c>
    </row>
    <row r="2172">
      <c r="A2172" s="10">
        <f>Github!J$752</f>
        <v>751</v>
      </c>
      <c r="B2172" s="11" t="str">
        <f>HYPERLINK(CONCAT("http://leetcode.com/problems/",Github!C$752), Github!B$752)</f>
        <v>IP to CIDR</v>
      </c>
      <c r="C2172" s="10">
        <f>Github!F$752</f>
        <v>30</v>
      </c>
      <c r="D2172" s="10">
        <f>Github!G$752</f>
        <v>83</v>
      </c>
      <c r="E2172" s="10">
        <f>Github!F$752+Github!G$752</f>
        <v>113</v>
      </c>
      <c r="F2172" s="12">
        <f t="shared" si="1"/>
        <v>0.36</v>
      </c>
      <c r="G2172" s="10" t="str">
        <f>Github!H$752</f>
        <v>Algorithms</v>
      </c>
      <c r="H2172" s="13" t="str">
        <f>SUBSTITUTE(Github!L$752, ";", ", ")</f>
        <v>String, Bit Manipulation, </v>
      </c>
      <c r="I2172" s="10" t="str">
        <f>Github!E$752</f>
        <v>Medium</v>
      </c>
      <c r="J2172" s="10" t="str">
        <f>IF(TRIM(Github!D$752)="TRUE","FALSE","TRUE")</f>
        <v>FALSE</v>
      </c>
      <c r="K2172" s="10" t="b">
        <f>Github!M$752</f>
        <v>0</v>
      </c>
      <c r="L2172" s="10" t="b">
        <f>Github!N$752</f>
        <v>0</v>
      </c>
      <c r="M2172" s="10" t="str">
        <f>ROUND(Github!O$752, 2)&amp;"%"</f>
        <v>54.88%</v>
      </c>
      <c r="N2172" s="10">
        <f>Github!P$752</f>
        <v>13963</v>
      </c>
      <c r="O2172" s="10">
        <f>Github!Q$752</f>
        <v>25443</v>
      </c>
    </row>
    <row r="2173">
      <c r="A2173" s="10">
        <f>Github!J$1119</f>
        <v>1118</v>
      </c>
      <c r="B2173" s="11" t="str">
        <f>HYPERLINK(CONCAT("http://leetcode.com/problems/",Github!C$1119), Github!B$1119)</f>
        <v>Number of Days in a Month</v>
      </c>
      <c r="C2173" s="10">
        <f>Github!F$1119</f>
        <v>29</v>
      </c>
      <c r="D2173" s="10">
        <f>Github!G$1119</f>
        <v>136</v>
      </c>
      <c r="E2173" s="10">
        <f>Github!F$1119+Github!G$1119</f>
        <v>165</v>
      </c>
      <c r="F2173" s="12">
        <f t="shared" si="1"/>
        <v>0.21</v>
      </c>
      <c r="G2173" s="10" t="str">
        <f>Github!H$1119</f>
        <v>Algorithms</v>
      </c>
      <c r="H2173" s="13" t="str">
        <f>SUBSTITUTE(Github!L$1119, ";", ", ")</f>
        <v>Math, </v>
      </c>
      <c r="I2173" s="10" t="str">
        <f>Github!E$1119</f>
        <v>Easy</v>
      </c>
      <c r="J2173" s="10" t="str">
        <f>IF(TRIM(Github!D$1119)="TRUE","FALSE","TRUE")</f>
        <v>FALSE</v>
      </c>
      <c r="K2173" s="10" t="b">
        <f>Github!M$1119</f>
        <v>0</v>
      </c>
      <c r="L2173" s="10" t="b">
        <f>Github!N$1119</f>
        <v>0</v>
      </c>
      <c r="M2173" s="10" t="str">
        <f>ROUND(Github!O$1119, 2)&amp;"%"</f>
        <v>56.82%</v>
      </c>
      <c r="N2173" s="10">
        <f>Github!P$1119</f>
        <v>6342</v>
      </c>
      <c r="O2173" s="10">
        <f>Github!Q$1119</f>
        <v>11162</v>
      </c>
    </row>
    <row r="2174">
      <c r="A2174" s="10">
        <f>Github!J$2073</f>
        <v>2072</v>
      </c>
      <c r="B2174" s="11" t="str">
        <f>HYPERLINK(CONCAT("http://leetcode.com/problems/",Github!C$2073), Github!B$2073)</f>
        <v>The Winner University</v>
      </c>
      <c r="C2174" s="10">
        <f>Github!F$2073</f>
        <v>29</v>
      </c>
      <c r="D2174" s="10">
        <f>Github!G$2073</f>
        <v>2</v>
      </c>
      <c r="E2174" s="10">
        <f>Github!F$2073+Github!G$2073</f>
        <v>31</v>
      </c>
      <c r="F2174" s="12">
        <f t="shared" si="1"/>
        <v>14.5</v>
      </c>
      <c r="G2174" s="10" t="str">
        <f>Github!H$2073</f>
        <v>Database</v>
      </c>
      <c r="H2174" s="13" t="str">
        <f>SUBSTITUTE(Github!L$2073, ";", ", ")</f>
        <v>Database, </v>
      </c>
      <c r="I2174" s="10" t="str">
        <f>Github!E$2073</f>
        <v>Easy</v>
      </c>
      <c r="J2174" s="10" t="str">
        <f>IF(TRIM(Github!D$2073)="TRUE","FALSE","TRUE")</f>
        <v>FALSE</v>
      </c>
      <c r="K2174" s="10" t="b">
        <f>Github!M$2073</f>
        <v>0</v>
      </c>
      <c r="L2174" s="10" t="b">
        <f>Github!N$2073</f>
        <v>0</v>
      </c>
      <c r="M2174" s="10" t="str">
        <f>ROUND(Github!O$2073, 2)&amp;"%"</f>
        <v>73.46%</v>
      </c>
      <c r="N2174" s="10">
        <f>Github!P$2073</f>
        <v>3815</v>
      </c>
      <c r="O2174" s="10">
        <f>Github!Q$2073</f>
        <v>5193</v>
      </c>
    </row>
    <row r="2175">
      <c r="A2175" s="10">
        <f>Github!J$2205</f>
        <v>2204</v>
      </c>
      <c r="B2175" s="11" t="str">
        <f>HYPERLINK(CONCAT("http://leetcode.com/problems/",Github!C$2205), Github!B$2205)</f>
        <v>Distance to a Cycle in Undirected Graph</v>
      </c>
      <c r="C2175" s="10">
        <f>Github!F$2205</f>
        <v>29</v>
      </c>
      <c r="D2175" s="10">
        <f>Github!G$2205</f>
        <v>4</v>
      </c>
      <c r="E2175" s="10">
        <f>Github!F$2205+Github!G$2205</f>
        <v>33</v>
      </c>
      <c r="F2175" s="12">
        <f t="shared" si="1"/>
        <v>7.25</v>
      </c>
      <c r="G2175" s="10" t="str">
        <f>Github!H$2205</f>
        <v>Algorithms</v>
      </c>
      <c r="H2175" s="13" t="str">
        <f>SUBSTITUTE(Github!L$2205, ";", ", ")</f>
        <v>Depth-First Search, Breadth-First Search, Union Find, Graph, </v>
      </c>
      <c r="I2175" s="10" t="str">
        <f>Github!E$2205</f>
        <v>Hard</v>
      </c>
      <c r="J2175" s="10" t="str">
        <f>IF(TRIM(Github!D$2205)="TRUE","FALSE","TRUE")</f>
        <v>FALSE</v>
      </c>
      <c r="K2175" s="10" t="b">
        <f>Github!M$2205</f>
        <v>0</v>
      </c>
      <c r="L2175" s="10" t="b">
        <f>Github!N$2205</f>
        <v>0</v>
      </c>
      <c r="M2175" s="10" t="str">
        <f>ROUND(Github!O$2205, 2)&amp;"%"</f>
        <v>68.98%</v>
      </c>
      <c r="N2175" s="10">
        <f>Github!P$2205</f>
        <v>567</v>
      </c>
      <c r="O2175" s="10">
        <f>Github!Q$2205</f>
        <v>822</v>
      </c>
    </row>
    <row r="2176">
      <c r="A2176" s="10">
        <f>Github!J$1952</f>
        <v>1951</v>
      </c>
      <c r="B2176" s="11" t="str">
        <f>HYPERLINK(CONCAT("http://leetcode.com/problems/",Github!C$1952), Github!B$1952)</f>
        <v>All the Pairs With the Maximum Number of Common Followers</v>
      </c>
      <c r="C2176" s="10">
        <f>Github!F$1952</f>
        <v>30</v>
      </c>
      <c r="D2176" s="10">
        <f>Github!G$1952</f>
        <v>3</v>
      </c>
      <c r="E2176" s="10">
        <f>Github!F$1952+Github!G$1952</f>
        <v>33</v>
      </c>
      <c r="F2176" s="12">
        <f t="shared" si="1"/>
        <v>10</v>
      </c>
      <c r="G2176" s="10" t="str">
        <f>Github!H$1952</f>
        <v>Database</v>
      </c>
      <c r="H2176" s="13" t="str">
        <f>SUBSTITUTE(Github!L$1952, ";", ", ")</f>
        <v>Database, </v>
      </c>
      <c r="I2176" s="10" t="str">
        <f>Github!E$1952</f>
        <v>Medium</v>
      </c>
      <c r="J2176" s="10" t="str">
        <f>IF(TRIM(Github!D$1952)="TRUE","FALSE","TRUE")</f>
        <v>FALSE</v>
      </c>
      <c r="K2176" s="10" t="b">
        <f>Github!M$1952</f>
        <v>0</v>
      </c>
      <c r="L2176" s="10" t="b">
        <f>Github!N$1952</f>
        <v>0</v>
      </c>
      <c r="M2176" s="10" t="str">
        <f>ROUND(Github!O$1952, 2)&amp;"%"</f>
        <v>72.35%</v>
      </c>
      <c r="N2176" s="10">
        <f>Github!P$1952</f>
        <v>3692</v>
      </c>
      <c r="O2176" s="10">
        <f>Github!Q$1952</f>
        <v>5103</v>
      </c>
    </row>
    <row r="2177">
      <c r="A2177" s="10">
        <f>Github!J$2067</f>
        <v>2066</v>
      </c>
      <c r="B2177" s="11" t="str">
        <f>HYPERLINK(CONCAT("http://leetcode.com/problems/",Github!C$2067), Github!B$2067)</f>
        <v>Account Balance</v>
      </c>
      <c r="C2177" s="10">
        <f>Github!F$2067</f>
        <v>30</v>
      </c>
      <c r="D2177" s="10">
        <f>Github!G$2067</f>
        <v>1</v>
      </c>
      <c r="E2177" s="10">
        <f>Github!F$2067+Github!G$2067</f>
        <v>31</v>
      </c>
      <c r="F2177" s="12">
        <f t="shared" si="1"/>
        <v>30</v>
      </c>
      <c r="G2177" s="10" t="str">
        <f>Github!H$2067</f>
        <v>Database</v>
      </c>
      <c r="H2177" s="13" t="str">
        <f>SUBSTITUTE(Github!L$2067, ";", ", ")</f>
        <v>Database, </v>
      </c>
      <c r="I2177" s="10" t="str">
        <f>Github!E$2067</f>
        <v>Medium</v>
      </c>
      <c r="J2177" s="10" t="str">
        <f>IF(TRIM(Github!D$2067)="TRUE","FALSE","TRUE")</f>
        <v>FALSE</v>
      </c>
      <c r="K2177" s="10" t="b">
        <f>Github!M$2067</f>
        <v>0</v>
      </c>
      <c r="L2177" s="10" t="b">
        <f>Github!N$2067</f>
        <v>0</v>
      </c>
      <c r="M2177" s="10" t="str">
        <f>ROUND(Github!O$2067, 2)&amp;"%"</f>
        <v>85.5%</v>
      </c>
      <c r="N2177" s="10">
        <f>Github!P$2067</f>
        <v>3196</v>
      </c>
      <c r="O2177" s="10">
        <f>Github!Q$2067</f>
        <v>3738</v>
      </c>
    </row>
    <row r="2178">
      <c r="A2178" s="10">
        <f>Github!J$2190</f>
        <v>2189</v>
      </c>
      <c r="B2178" s="11" t="str">
        <f>HYPERLINK(CONCAT("http://leetcode.com/problems/",Github!C$2190), Github!B$2190)</f>
        <v>Number of Ways to Build House of Cards</v>
      </c>
      <c r="C2178" s="10">
        <f>Github!F$2190</f>
        <v>31</v>
      </c>
      <c r="D2178" s="10">
        <f>Github!G$2190</f>
        <v>3</v>
      </c>
      <c r="E2178" s="10">
        <f>Github!F$2190+Github!G$2190</f>
        <v>34</v>
      </c>
      <c r="F2178" s="12">
        <f t="shared" si="1"/>
        <v>10.33</v>
      </c>
      <c r="G2178" s="10" t="str">
        <f>Github!H$2190</f>
        <v>Algorithms</v>
      </c>
      <c r="H2178" s="13" t="str">
        <f>SUBSTITUTE(Github!L$2190, ";", ", ")</f>
        <v>Math, Dynamic Programming, </v>
      </c>
      <c r="I2178" s="10" t="str">
        <f>Github!E$2190</f>
        <v>Medium</v>
      </c>
      <c r="J2178" s="10" t="str">
        <f>IF(TRIM(Github!D$2190)="TRUE","FALSE","TRUE")</f>
        <v>FALSE</v>
      </c>
      <c r="K2178" s="10" t="b">
        <f>Github!M$2190</f>
        <v>0</v>
      </c>
      <c r="L2178" s="10" t="b">
        <f>Github!N$2190</f>
        <v>0</v>
      </c>
      <c r="M2178" s="10" t="str">
        <f>ROUND(Github!O$2190, 2)&amp;"%"</f>
        <v>66.01%</v>
      </c>
      <c r="N2178" s="10">
        <f>Github!P$2190</f>
        <v>767</v>
      </c>
      <c r="O2178" s="10">
        <f>Github!Q$2190</f>
        <v>1162</v>
      </c>
    </row>
    <row r="2179">
      <c r="A2179" s="10">
        <f>Github!J$1854</f>
        <v>1853</v>
      </c>
      <c r="B2179" s="11" t="str">
        <f>HYPERLINK(CONCAT("http://leetcode.com/problems/",Github!C$1854), Github!B$1854)</f>
        <v>Convert Date Format</v>
      </c>
      <c r="C2179" s="10">
        <f>Github!F$1854</f>
        <v>28</v>
      </c>
      <c r="D2179" s="10">
        <f>Github!G$1854</f>
        <v>32</v>
      </c>
      <c r="E2179" s="10">
        <f>Github!F$1854+Github!G$1854</f>
        <v>60</v>
      </c>
      <c r="F2179" s="12">
        <f t="shared" si="1"/>
        <v>0.88</v>
      </c>
      <c r="G2179" s="10" t="str">
        <f>Github!H$1854</f>
        <v>Database</v>
      </c>
      <c r="H2179" s="13" t="str">
        <f>SUBSTITUTE(Github!L$1854, ";", ", ")</f>
        <v>Database, </v>
      </c>
      <c r="I2179" s="10" t="str">
        <f>Github!E$1854</f>
        <v>Easy</v>
      </c>
      <c r="J2179" s="10" t="str">
        <f>IF(TRIM(Github!D$1854)="TRUE","FALSE","TRUE")</f>
        <v>FALSE</v>
      </c>
      <c r="K2179" s="10" t="b">
        <f>Github!M$1854</f>
        <v>0</v>
      </c>
      <c r="L2179" s="10" t="b">
        <f>Github!N$1854</f>
        <v>0</v>
      </c>
      <c r="M2179" s="10" t="str">
        <f>ROUND(Github!O$1854, 2)&amp;"%"</f>
        <v>87.71%</v>
      </c>
      <c r="N2179" s="10">
        <f>Github!P$1854</f>
        <v>6727</v>
      </c>
      <c r="O2179" s="10">
        <f>Github!Q$1854</f>
        <v>7670</v>
      </c>
    </row>
    <row r="2180">
      <c r="A2180" s="10">
        <f>Github!J$2169</f>
        <v>2168</v>
      </c>
      <c r="B2180" s="11" t="str">
        <f>HYPERLINK(CONCAT("http://leetcode.com/problems/",Github!C$2169), Github!B$2169)</f>
        <v>Unique Substrings With Equal Digit Frequency</v>
      </c>
      <c r="C2180" s="10">
        <f>Github!F$2169</f>
        <v>30</v>
      </c>
      <c r="D2180" s="10">
        <f>Github!G$2169</f>
        <v>3</v>
      </c>
      <c r="E2180" s="10">
        <f>Github!F$2169+Github!G$2169</f>
        <v>33</v>
      </c>
      <c r="F2180" s="12">
        <f t="shared" si="1"/>
        <v>10</v>
      </c>
      <c r="G2180" s="10" t="str">
        <f>Github!H$2169</f>
        <v>Algorithms</v>
      </c>
      <c r="H2180" s="13" t="str">
        <f>SUBSTITUTE(Github!L$2169, ";", ", ")</f>
        <v>Hash Table, String, Rolling Hash, Counting, Hash Function, </v>
      </c>
      <c r="I2180" s="10" t="str">
        <f>Github!E$2169</f>
        <v>Medium</v>
      </c>
      <c r="J2180" s="10" t="str">
        <f>IF(TRIM(Github!D$2169)="TRUE","FALSE","TRUE")</f>
        <v>FALSE</v>
      </c>
      <c r="K2180" s="10" t="b">
        <f>Github!M$2169</f>
        <v>0</v>
      </c>
      <c r="L2180" s="10" t="b">
        <f>Github!N$2169</f>
        <v>0</v>
      </c>
      <c r="M2180" s="10" t="str">
        <f>ROUND(Github!O$2169, 2)&amp;"%"</f>
        <v>60.58%</v>
      </c>
      <c r="N2180" s="10">
        <f>Github!P$2169</f>
        <v>893</v>
      </c>
      <c r="O2180" s="10">
        <f>Github!Q$2169</f>
        <v>1474</v>
      </c>
    </row>
    <row r="2181">
      <c r="A2181" s="10">
        <f>Github!J$1422</f>
        <v>1421</v>
      </c>
      <c r="B2181" s="11" t="str">
        <f>HYPERLINK(CONCAT("http://leetcode.com/problems/",Github!C$1422), Github!B$1422)</f>
        <v>NPV Queries</v>
      </c>
      <c r="C2181" s="10">
        <f>Github!F$1422</f>
        <v>27</v>
      </c>
      <c r="D2181" s="10">
        <f>Github!G$1422</f>
        <v>240</v>
      </c>
      <c r="E2181" s="10">
        <f>Github!F$1422+Github!G$1422</f>
        <v>267</v>
      </c>
      <c r="F2181" s="12">
        <f t="shared" si="1"/>
        <v>0.11</v>
      </c>
      <c r="G2181" s="10" t="str">
        <f>Github!H$1422</f>
        <v>Database</v>
      </c>
      <c r="H2181" s="13" t="str">
        <f>SUBSTITUTE(Github!L$1422, ";", ", ")</f>
        <v>Database, </v>
      </c>
      <c r="I2181" s="10" t="str">
        <f>Github!E$1422</f>
        <v>Easy</v>
      </c>
      <c r="J2181" s="10" t="str">
        <f>IF(TRIM(Github!D$1422)="TRUE","FALSE","TRUE")</f>
        <v>FALSE</v>
      </c>
      <c r="K2181" s="10" t="b">
        <f>Github!M$1422</f>
        <v>0</v>
      </c>
      <c r="L2181" s="10" t="b">
        <f>Github!N$1422</f>
        <v>0</v>
      </c>
      <c r="M2181" s="10" t="str">
        <f>ROUND(Github!O$1422, 2)&amp;"%"</f>
        <v>83.63%</v>
      </c>
      <c r="N2181" s="10">
        <f>Github!P$1422</f>
        <v>16759</v>
      </c>
      <c r="O2181" s="10">
        <f>Github!Q$1422</f>
        <v>20039</v>
      </c>
    </row>
    <row r="2182">
      <c r="A2182" s="10">
        <f>Github!J$2085</f>
        <v>2084</v>
      </c>
      <c r="B2182" s="11" t="str">
        <f>HYPERLINK(CONCAT("http://leetcode.com/problems/",Github!C$2085), Github!B$2085)</f>
        <v>Drop Type 1 Orders for Customers With Type 0 Orders</v>
      </c>
      <c r="C2182" s="10">
        <f>Github!F$2085</f>
        <v>28</v>
      </c>
      <c r="D2182" s="10">
        <f>Github!G$2085</f>
        <v>6</v>
      </c>
      <c r="E2182" s="10">
        <f>Github!F$2085+Github!G$2085</f>
        <v>34</v>
      </c>
      <c r="F2182" s="12">
        <f t="shared" si="1"/>
        <v>4.67</v>
      </c>
      <c r="G2182" s="10" t="str">
        <f>Github!H$2085</f>
        <v>Database</v>
      </c>
      <c r="H2182" s="13" t="str">
        <f>SUBSTITUTE(Github!L$2085, ";", ", ")</f>
        <v>Database, </v>
      </c>
      <c r="I2182" s="10" t="str">
        <f>Github!E$2085</f>
        <v>Medium</v>
      </c>
      <c r="J2182" s="10" t="str">
        <f>IF(TRIM(Github!D$2085)="TRUE","FALSE","TRUE")</f>
        <v>FALSE</v>
      </c>
      <c r="K2182" s="10" t="b">
        <f>Github!M$2085</f>
        <v>0</v>
      </c>
      <c r="L2182" s="10" t="b">
        <f>Github!N$2085</f>
        <v>0</v>
      </c>
      <c r="M2182" s="10" t="str">
        <f>ROUND(Github!O$2085, 2)&amp;"%"</f>
        <v>90.9%</v>
      </c>
      <c r="N2182" s="10">
        <f>Github!P$2085</f>
        <v>3216</v>
      </c>
      <c r="O2182" s="10">
        <f>Github!Q$2085</f>
        <v>3538</v>
      </c>
    </row>
    <row r="2183">
      <c r="A2183" s="10">
        <f>Github!J$1979</f>
        <v>1978</v>
      </c>
      <c r="B2183" s="11" t="str">
        <f>HYPERLINK(CONCAT("http://leetcode.com/problems/",Github!C$1979), Github!B$1979)</f>
        <v>Employees Whose Manager Left the Company</v>
      </c>
      <c r="C2183" s="10">
        <f>Github!F$1979</f>
        <v>27</v>
      </c>
      <c r="D2183" s="10">
        <f>Github!G$1979</f>
        <v>5</v>
      </c>
      <c r="E2183" s="10">
        <f>Github!F$1979+Github!G$1979</f>
        <v>32</v>
      </c>
      <c r="F2183" s="12">
        <f t="shared" si="1"/>
        <v>5.4</v>
      </c>
      <c r="G2183" s="10" t="str">
        <f>Github!H$1979</f>
        <v>Database</v>
      </c>
      <c r="H2183" s="13" t="str">
        <f>SUBSTITUTE(Github!L$1979, ";", ", ")</f>
        <v>Database, </v>
      </c>
      <c r="I2183" s="10" t="str">
        <f>Github!E$1979</f>
        <v>Easy</v>
      </c>
      <c r="J2183" s="10" t="str">
        <f>IF(TRIM(Github!D$1979)="TRUE","FALSE","TRUE")</f>
        <v>FALSE</v>
      </c>
      <c r="K2183" s="10" t="b">
        <f>Github!M$1979</f>
        <v>0</v>
      </c>
      <c r="L2183" s="10" t="b">
        <f>Github!N$1979</f>
        <v>0</v>
      </c>
      <c r="M2183" s="10" t="str">
        <f>ROUND(Github!O$1979, 2)&amp;"%"</f>
        <v>50.25%</v>
      </c>
      <c r="N2183" s="10">
        <f>Github!P$1979</f>
        <v>4861</v>
      </c>
      <c r="O2183" s="10">
        <f>Github!Q$1979</f>
        <v>9674</v>
      </c>
    </row>
    <row r="2184">
      <c r="A2184" s="10">
        <f>Github!J$1940</f>
        <v>1939</v>
      </c>
      <c r="B2184" s="11" t="str">
        <f>HYPERLINK(CONCAT("http://leetcode.com/problems/",Github!C$1940), Github!B$1940)</f>
        <v>Users That Actively Request Confirmation Messages</v>
      </c>
      <c r="C2184" s="10">
        <f>Github!F$1940</f>
        <v>27</v>
      </c>
      <c r="D2184" s="10">
        <f>Github!G$1940</f>
        <v>23</v>
      </c>
      <c r="E2184" s="10">
        <f>Github!F$1940+Github!G$1940</f>
        <v>50</v>
      </c>
      <c r="F2184" s="12">
        <f t="shared" si="1"/>
        <v>1.17</v>
      </c>
      <c r="G2184" s="10" t="str">
        <f>Github!H$1940</f>
        <v>Database</v>
      </c>
      <c r="H2184" s="13" t="str">
        <f>SUBSTITUTE(Github!L$1940, ";", ", ")</f>
        <v>Database, </v>
      </c>
      <c r="I2184" s="10" t="str">
        <f>Github!E$1940</f>
        <v>Easy</v>
      </c>
      <c r="J2184" s="10" t="str">
        <f>IF(TRIM(Github!D$1940)="TRUE","FALSE","TRUE")</f>
        <v>FALSE</v>
      </c>
      <c r="K2184" s="10" t="b">
        <f>Github!M$1940</f>
        <v>0</v>
      </c>
      <c r="L2184" s="10" t="b">
        <f>Github!N$1940</f>
        <v>0</v>
      </c>
      <c r="M2184" s="10" t="str">
        <f>ROUND(Github!O$1940, 2)&amp;"%"</f>
        <v>61.63%</v>
      </c>
      <c r="N2184" s="10">
        <f>Github!P$1940</f>
        <v>4908</v>
      </c>
      <c r="O2184" s="10">
        <f>Github!Q$1940</f>
        <v>7964</v>
      </c>
    </row>
    <row r="2185">
      <c r="A2185" s="10">
        <f>Github!J$2124</f>
        <v>2123</v>
      </c>
      <c r="B2185" s="11" t="str">
        <f>HYPERLINK(CONCAT("http://leetcode.com/problems/",Github!C$2124), Github!B$2124)</f>
        <v>Minimum Operations to Remove Adjacent Ones in Matrix</v>
      </c>
      <c r="C2185" s="10">
        <f>Github!F$2124</f>
        <v>26</v>
      </c>
      <c r="D2185" s="10">
        <f>Github!G$2124</f>
        <v>4</v>
      </c>
      <c r="E2185" s="10">
        <f>Github!F$2124+Github!G$2124</f>
        <v>30</v>
      </c>
      <c r="F2185" s="12">
        <f t="shared" si="1"/>
        <v>6.5</v>
      </c>
      <c r="G2185" s="10" t="str">
        <f>Github!H$2124</f>
        <v>Algorithms</v>
      </c>
      <c r="H2185" s="13" t="str">
        <f>SUBSTITUTE(Github!L$2124, ";", ", ")</f>
        <v>Array, Graph, Matrix, </v>
      </c>
      <c r="I2185" s="10" t="str">
        <f>Github!E$2124</f>
        <v>Hard</v>
      </c>
      <c r="J2185" s="10" t="str">
        <f>IF(TRIM(Github!D$2124)="TRUE","FALSE","TRUE")</f>
        <v>FALSE</v>
      </c>
      <c r="K2185" s="10" t="b">
        <f>Github!M$2124</f>
        <v>0</v>
      </c>
      <c r="L2185" s="10" t="b">
        <f>Github!N$2124</f>
        <v>0</v>
      </c>
      <c r="M2185" s="10" t="str">
        <f>ROUND(Github!O$2124, 2)&amp;"%"</f>
        <v>41.14%</v>
      </c>
      <c r="N2185" s="10">
        <f>Github!P$2124</f>
        <v>439</v>
      </c>
      <c r="O2185" s="10">
        <f>Github!Q$2124</f>
        <v>1067</v>
      </c>
    </row>
    <row r="2186">
      <c r="A2186" s="10">
        <f>Github!J$1909</f>
        <v>1908</v>
      </c>
      <c r="B2186" s="11" t="str">
        <f>HYPERLINK(CONCAT("http://leetcode.com/problems/",Github!C$1909), Github!B$1909)</f>
        <v>Game of Nim</v>
      </c>
      <c r="C2186" s="10">
        <f>Github!F$1909</f>
        <v>26</v>
      </c>
      <c r="D2186" s="10">
        <f>Github!G$1909</f>
        <v>13</v>
      </c>
      <c r="E2186" s="10">
        <f>Github!F$1909+Github!G$1909</f>
        <v>39</v>
      </c>
      <c r="F2186" s="12">
        <f t="shared" si="1"/>
        <v>2</v>
      </c>
      <c r="G2186" s="10" t="str">
        <f>Github!H$1909</f>
        <v>Algorithms</v>
      </c>
      <c r="H2186" s="13" t="str">
        <f>SUBSTITUTE(Github!L$1909, ";", ", ")</f>
        <v>Array, Math, Dynamic Programming, Bit Manipulation, Brainteaser, Game Theory, </v>
      </c>
      <c r="I2186" s="10" t="str">
        <f>Github!E$1909</f>
        <v>Medium</v>
      </c>
      <c r="J2186" s="10" t="str">
        <f>IF(TRIM(Github!D$1909)="TRUE","FALSE","TRUE")</f>
        <v>FALSE</v>
      </c>
      <c r="K2186" s="10" t="b">
        <f>Github!M$1909</f>
        <v>0</v>
      </c>
      <c r="L2186" s="10" t="b">
        <f>Github!N$1909</f>
        <v>0</v>
      </c>
      <c r="M2186" s="10" t="str">
        <f>ROUND(Github!O$1909, 2)&amp;"%"</f>
        <v>57.94%</v>
      </c>
      <c r="N2186" s="10">
        <f>Github!P$1909</f>
        <v>945</v>
      </c>
      <c r="O2186" s="10">
        <f>Github!Q$1909</f>
        <v>1631</v>
      </c>
    </row>
    <row r="2187">
      <c r="A2187" s="10">
        <f>Github!J$1989</f>
        <v>1988</v>
      </c>
      <c r="B2187" s="11" t="str">
        <f>HYPERLINK(CONCAT("http://leetcode.com/problems/",Github!C$1989), Github!B$1989)</f>
        <v>Find Cutoff Score for Each School</v>
      </c>
      <c r="C2187" s="10">
        <f>Github!F$1989</f>
        <v>27</v>
      </c>
      <c r="D2187" s="10">
        <f>Github!G$1989</f>
        <v>60</v>
      </c>
      <c r="E2187" s="10">
        <f>Github!F$1989+Github!G$1989</f>
        <v>87</v>
      </c>
      <c r="F2187" s="12">
        <f t="shared" si="1"/>
        <v>0.45</v>
      </c>
      <c r="G2187" s="10" t="str">
        <f>Github!H$1989</f>
        <v>Database</v>
      </c>
      <c r="H2187" s="13" t="str">
        <f>SUBSTITUTE(Github!L$1989, ";", ", ")</f>
        <v>Database, </v>
      </c>
      <c r="I2187" s="10" t="str">
        <f>Github!E$1989</f>
        <v>Medium</v>
      </c>
      <c r="J2187" s="10" t="str">
        <f>IF(TRIM(Github!D$1989)="TRUE","FALSE","TRUE")</f>
        <v>FALSE</v>
      </c>
      <c r="K2187" s="10" t="b">
        <f>Github!M$1989</f>
        <v>0</v>
      </c>
      <c r="L2187" s="10" t="b">
        <f>Github!N$1989</f>
        <v>0</v>
      </c>
      <c r="M2187" s="10" t="str">
        <f>ROUND(Github!O$1989, 2)&amp;"%"</f>
        <v>69.08%</v>
      </c>
      <c r="N2187" s="10">
        <f>Github!P$1989</f>
        <v>3291</v>
      </c>
      <c r="O2187" s="10">
        <f>Github!Q$1989</f>
        <v>4764</v>
      </c>
    </row>
    <row r="2188">
      <c r="A2188" s="10">
        <f>Github!J$1517</f>
        <v>1516</v>
      </c>
      <c r="B2188" s="11" t="str">
        <f>HYPERLINK(CONCAT("http://leetcode.com/problems/",Github!C$1517), Github!B$1517)</f>
        <v>Move Sub-Tree of N-Ary Tree</v>
      </c>
      <c r="C2188" s="10">
        <f>Github!F$1517</f>
        <v>24</v>
      </c>
      <c r="D2188" s="10">
        <f>Github!G$1517</f>
        <v>36</v>
      </c>
      <c r="E2188" s="10">
        <f>Github!F$1517+Github!G$1517</f>
        <v>60</v>
      </c>
      <c r="F2188" s="12">
        <f t="shared" si="1"/>
        <v>0.67</v>
      </c>
      <c r="G2188" s="10" t="str">
        <f>Github!H$1517</f>
        <v>Algorithms</v>
      </c>
      <c r="H2188" s="13" t="str">
        <f>SUBSTITUTE(Github!L$1517, ";", ", ")</f>
        <v>Tree, Depth-First Search, </v>
      </c>
      <c r="I2188" s="10" t="str">
        <f>Github!E$1517</f>
        <v>Hard</v>
      </c>
      <c r="J2188" s="10" t="str">
        <f>IF(TRIM(Github!D$1517)="TRUE","FALSE","TRUE")</f>
        <v>FALSE</v>
      </c>
      <c r="K2188" s="10" t="b">
        <f>Github!M$1517</f>
        <v>0</v>
      </c>
      <c r="L2188" s="10" t="b">
        <f>Github!N$1517</f>
        <v>0</v>
      </c>
      <c r="M2188" s="10" t="str">
        <f>ROUND(Github!O$1517, 2)&amp;"%"</f>
        <v>64.87%</v>
      </c>
      <c r="N2188" s="10">
        <f>Github!P$1517</f>
        <v>1745</v>
      </c>
      <c r="O2188" s="10">
        <f>Github!Q$1517</f>
        <v>2690</v>
      </c>
    </row>
    <row r="2189">
      <c r="A2189" s="10">
        <f>Github!J$2052</f>
        <v>2051</v>
      </c>
      <c r="B2189" s="11" t="str">
        <f>HYPERLINK(CONCAT("http://leetcode.com/problems/",Github!C$2052), Github!B$2052)</f>
        <v>The Category of Each Member in the Store</v>
      </c>
      <c r="C2189" s="10">
        <f>Github!F$2052</f>
        <v>26</v>
      </c>
      <c r="D2189" s="10">
        <f>Github!G$2052</f>
        <v>4</v>
      </c>
      <c r="E2189" s="10">
        <f>Github!F$2052+Github!G$2052</f>
        <v>30</v>
      </c>
      <c r="F2189" s="12">
        <f t="shared" si="1"/>
        <v>6.5</v>
      </c>
      <c r="G2189" s="10" t="str">
        <f>Github!H$2052</f>
        <v>Database</v>
      </c>
      <c r="H2189" s="13" t="str">
        <f>SUBSTITUTE(Github!L$2052, ";", ", ")</f>
        <v>Database, </v>
      </c>
      <c r="I2189" s="10" t="str">
        <f>Github!E$2052</f>
        <v>Medium</v>
      </c>
      <c r="J2189" s="10" t="str">
        <f>IF(TRIM(Github!D$2052)="TRUE","FALSE","TRUE")</f>
        <v>FALSE</v>
      </c>
      <c r="K2189" s="10" t="b">
        <f>Github!M$2052</f>
        <v>0</v>
      </c>
      <c r="L2189" s="10" t="b">
        <f>Github!N$2052</f>
        <v>0</v>
      </c>
      <c r="M2189" s="10" t="str">
        <f>ROUND(Github!O$2052, 2)&amp;"%"</f>
        <v>73.08%</v>
      </c>
      <c r="N2189" s="10">
        <f>Github!P$2052</f>
        <v>2742</v>
      </c>
      <c r="O2189" s="10">
        <f>Github!Q$2052</f>
        <v>3752</v>
      </c>
    </row>
    <row r="2190">
      <c r="A2190" s="10">
        <f>Github!J$2153</f>
        <v>2152</v>
      </c>
      <c r="B2190" s="11" t="str">
        <f>HYPERLINK(CONCAT("http://leetcode.com/problems/",Github!C$2153), Github!B$2153)</f>
        <v>Minimum Number of Lines to Cover Points</v>
      </c>
      <c r="C2190" s="10">
        <f>Github!F$2153</f>
        <v>27</v>
      </c>
      <c r="D2190" s="10">
        <f>Github!G$2153</f>
        <v>6</v>
      </c>
      <c r="E2190" s="10">
        <f>Github!F$2153+Github!G$2153</f>
        <v>33</v>
      </c>
      <c r="F2190" s="12">
        <f t="shared" si="1"/>
        <v>4.5</v>
      </c>
      <c r="G2190" s="10" t="str">
        <f>Github!H$2153</f>
        <v>Algorithms</v>
      </c>
      <c r="H2190" s="13" t="str">
        <f>SUBSTITUTE(Github!L$2153, ";", ", ")</f>
        <v>Array, Hash Table, Math, Dynamic Programming, Backtracking, Bit Manipulation, Geometry, Bitmask, </v>
      </c>
      <c r="I2190" s="10" t="str">
        <f>Github!E$2153</f>
        <v>Medium</v>
      </c>
      <c r="J2190" s="10" t="str">
        <f>IF(TRIM(Github!D$2153)="TRUE","FALSE","TRUE")</f>
        <v>FALSE</v>
      </c>
      <c r="K2190" s="10" t="b">
        <f>Github!M$2153</f>
        <v>0</v>
      </c>
      <c r="L2190" s="10" t="b">
        <f>Github!N$2153</f>
        <v>0</v>
      </c>
      <c r="M2190" s="10" t="str">
        <f>ROUND(Github!O$2153, 2)&amp;"%"</f>
        <v>46.38%</v>
      </c>
      <c r="N2190" s="10">
        <f>Github!P$2153</f>
        <v>749</v>
      </c>
      <c r="O2190" s="10">
        <f>Github!Q$2153</f>
        <v>1615</v>
      </c>
    </row>
    <row r="2191">
      <c r="A2191" s="10">
        <f>Github!J$2053</f>
        <v>2052</v>
      </c>
      <c r="B2191" s="11" t="str">
        <f>HYPERLINK(CONCAT("http://leetcode.com/problems/",Github!C$2053), Github!B$2053)</f>
        <v>Minimum Cost to Separate Sentence Into Rows</v>
      </c>
      <c r="C2191" s="10">
        <f>Github!F$2053</f>
        <v>23</v>
      </c>
      <c r="D2191" s="10">
        <f>Github!G$2053</f>
        <v>8</v>
      </c>
      <c r="E2191" s="10">
        <f>Github!F$2053+Github!G$2053</f>
        <v>31</v>
      </c>
      <c r="F2191" s="12">
        <f t="shared" si="1"/>
        <v>2.88</v>
      </c>
      <c r="G2191" s="10" t="str">
        <f>Github!H$2053</f>
        <v>Algorithms</v>
      </c>
      <c r="H2191" s="13" t="str">
        <f>SUBSTITUTE(Github!L$2053, ";", ", ")</f>
        <v>Array, Dynamic Programming, </v>
      </c>
      <c r="I2191" s="10" t="str">
        <f>Github!E$2053</f>
        <v>Medium</v>
      </c>
      <c r="J2191" s="10" t="str">
        <f>IF(TRIM(Github!D$2053)="TRUE","FALSE","TRUE")</f>
        <v>FALSE</v>
      </c>
      <c r="K2191" s="10" t="b">
        <f>Github!M$2053</f>
        <v>0</v>
      </c>
      <c r="L2191" s="10" t="b">
        <f>Github!N$2053</f>
        <v>0</v>
      </c>
      <c r="M2191" s="10" t="str">
        <f>ROUND(Github!O$2053, 2)&amp;"%"</f>
        <v>52.95%</v>
      </c>
      <c r="N2191" s="10">
        <f>Github!P$2053</f>
        <v>941</v>
      </c>
      <c r="O2191" s="10">
        <f>Github!Q$2053</f>
        <v>1777</v>
      </c>
    </row>
    <row r="2192">
      <c r="A2192" s="10">
        <f>Github!J$2174</f>
        <v>2173</v>
      </c>
      <c r="B2192" s="11" t="str">
        <f>HYPERLINK(CONCAT("http://leetcode.com/problems/",Github!C$2174), Github!B$2174)</f>
        <v>Longest Winning Streak</v>
      </c>
      <c r="C2192" s="10">
        <f>Github!F$2174</f>
        <v>25</v>
      </c>
      <c r="D2192" s="10">
        <f>Github!G$2174</f>
        <v>1</v>
      </c>
      <c r="E2192" s="10">
        <f>Github!F$2174+Github!G$2174</f>
        <v>26</v>
      </c>
      <c r="F2192" s="12">
        <f t="shared" si="1"/>
        <v>25</v>
      </c>
      <c r="G2192" s="10" t="str">
        <f>Github!H$2174</f>
        <v>Database</v>
      </c>
      <c r="H2192" s="13" t="str">
        <f>SUBSTITUTE(Github!L$2174, ";", ", ")</f>
        <v>Database, </v>
      </c>
      <c r="I2192" s="10" t="str">
        <f>Github!E$2174</f>
        <v>Hard</v>
      </c>
      <c r="J2192" s="10" t="str">
        <f>IF(TRIM(Github!D$2174)="TRUE","FALSE","TRUE")</f>
        <v>FALSE</v>
      </c>
      <c r="K2192" s="10" t="b">
        <f>Github!M$2174</f>
        <v>0</v>
      </c>
      <c r="L2192" s="10" t="b">
        <f>Github!N$2174</f>
        <v>0</v>
      </c>
      <c r="M2192" s="10" t="str">
        <f>ROUND(Github!O$2174, 2)&amp;"%"</f>
        <v>51.57%</v>
      </c>
      <c r="N2192" s="10">
        <f>Github!P$2174</f>
        <v>724</v>
      </c>
      <c r="O2192" s="10">
        <f>Github!Q$2174</f>
        <v>1404</v>
      </c>
    </row>
    <row r="2193">
      <c r="A2193" s="10">
        <f>Github!J$1822</f>
        <v>1821</v>
      </c>
      <c r="B2193" s="11" t="str">
        <f>HYPERLINK(CONCAT("http://leetcode.com/problems/",Github!C$1822), Github!B$1822)</f>
        <v>Find Customers With Positive Revenue this Year</v>
      </c>
      <c r="C2193" s="10">
        <f>Github!F$1822</f>
        <v>22</v>
      </c>
      <c r="D2193" s="10">
        <f>Github!G$1822</f>
        <v>17</v>
      </c>
      <c r="E2193" s="10">
        <f>Github!F$1822+Github!G$1822</f>
        <v>39</v>
      </c>
      <c r="F2193" s="12">
        <f t="shared" si="1"/>
        <v>1.29</v>
      </c>
      <c r="G2193" s="10" t="str">
        <f>Github!H$1822</f>
        <v>Database</v>
      </c>
      <c r="H2193" s="13" t="str">
        <f>SUBSTITUTE(Github!L$1822, ";", ", ")</f>
        <v>Database, </v>
      </c>
      <c r="I2193" s="10" t="str">
        <f>Github!E$1822</f>
        <v>Easy</v>
      </c>
      <c r="J2193" s="10" t="str">
        <f>IF(TRIM(Github!D$1822)="TRUE","FALSE","TRUE")</f>
        <v>FALSE</v>
      </c>
      <c r="K2193" s="10" t="b">
        <f>Github!M$1822</f>
        <v>0</v>
      </c>
      <c r="L2193" s="10" t="b">
        <f>Github!N$1822</f>
        <v>0</v>
      </c>
      <c r="M2193" s="10" t="str">
        <f>ROUND(Github!O$1822, 2)&amp;"%"</f>
        <v>89.75%</v>
      </c>
      <c r="N2193" s="10">
        <f>Github!P$1822</f>
        <v>9735</v>
      </c>
      <c r="O2193" s="10">
        <f>Github!Q$1822</f>
        <v>10847</v>
      </c>
    </row>
    <row r="2194">
      <c r="A2194" s="10">
        <f>Github!J$1678</f>
        <v>1677</v>
      </c>
      <c r="B2194" s="11" t="str">
        <f>HYPERLINK(CONCAT("http://leetcode.com/problems/",Github!C$1678), Github!B$1678)</f>
        <v>Product's Worth Over Invoices</v>
      </c>
      <c r="C2194" s="10">
        <f>Github!F$1678</f>
        <v>20</v>
      </c>
      <c r="D2194" s="10">
        <f>Github!G$1678</f>
        <v>89</v>
      </c>
      <c r="E2194" s="10">
        <f>Github!F$1678+Github!G$1678</f>
        <v>109</v>
      </c>
      <c r="F2194" s="12">
        <f t="shared" si="1"/>
        <v>0.22</v>
      </c>
      <c r="G2194" s="10" t="str">
        <f>Github!H$1678</f>
        <v>Database</v>
      </c>
      <c r="H2194" s="13" t="str">
        <f>SUBSTITUTE(Github!L$1678, ";", ", ")</f>
        <v>Database, </v>
      </c>
      <c r="I2194" s="10" t="str">
        <f>Github!E$1678</f>
        <v>Easy</v>
      </c>
      <c r="J2194" s="10" t="str">
        <f>IF(TRIM(Github!D$1678)="TRUE","FALSE","TRUE")</f>
        <v>FALSE</v>
      </c>
      <c r="K2194" s="10" t="b">
        <f>Github!M$1678</f>
        <v>0</v>
      </c>
      <c r="L2194" s="10" t="b">
        <f>Github!N$1678</f>
        <v>0</v>
      </c>
      <c r="M2194" s="10" t="str">
        <f>ROUND(Github!O$1678, 2)&amp;"%"</f>
        <v>40.72%</v>
      </c>
      <c r="N2194" s="10">
        <f>Github!P$1678</f>
        <v>10327</v>
      </c>
      <c r="O2194" s="10">
        <f>Github!Q$1678</f>
        <v>25358</v>
      </c>
    </row>
    <row r="2195">
      <c r="A2195" s="10">
        <f>Github!J$2000</f>
        <v>1999</v>
      </c>
      <c r="B2195" s="11" t="str">
        <f>HYPERLINK(CONCAT("http://leetcode.com/problems/",Github!C$2000), Github!B$2000)</f>
        <v>Smallest Greater Multiple Made of Two Digits</v>
      </c>
      <c r="C2195" s="10">
        <f>Github!F$2000</f>
        <v>19</v>
      </c>
      <c r="D2195" s="10">
        <f>Github!G$2000</f>
        <v>3</v>
      </c>
      <c r="E2195" s="10">
        <f>Github!F$2000+Github!G$2000</f>
        <v>22</v>
      </c>
      <c r="F2195" s="12">
        <f t="shared" si="1"/>
        <v>6.33</v>
      </c>
      <c r="G2195" s="10" t="str">
        <f>Github!H$2000</f>
        <v>Algorithms</v>
      </c>
      <c r="H2195" s="13" t="str">
        <f>SUBSTITUTE(Github!L$2000, ";", ", ")</f>
        <v>Math, Enumeration, </v>
      </c>
      <c r="I2195" s="10" t="str">
        <f>Github!E$2000</f>
        <v>Medium</v>
      </c>
      <c r="J2195" s="10" t="str">
        <f>IF(TRIM(Github!D$2000)="TRUE","FALSE","TRUE")</f>
        <v>FALSE</v>
      </c>
      <c r="K2195" s="10" t="b">
        <f>Github!M$2000</f>
        <v>0</v>
      </c>
      <c r="L2195" s="10" t="b">
        <f>Github!N$2000</f>
        <v>0</v>
      </c>
      <c r="M2195" s="10" t="str">
        <f>ROUND(Github!O$2000, 2)&amp;"%"</f>
        <v>52.39%</v>
      </c>
      <c r="N2195" s="10">
        <f>Github!P$2000</f>
        <v>930</v>
      </c>
      <c r="O2195" s="10">
        <f>Github!Q$2000</f>
        <v>1775</v>
      </c>
    </row>
    <row r="2196">
      <c r="A2196" s="10">
        <f>Github!J$2042</f>
        <v>2041</v>
      </c>
      <c r="B2196" s="11" t="str">
        <f>HYPERLINK(CONCAT("http://leetcode.com/problems/",Github!C$2042), Github!B$2042)</f>
        <v>Accepted Candidates From the Interviews</v>
      </c>
      <c r="C2196" s="10">
        <f>Github!F$2042</f>
        <v>20</v>
      </c>
      <c r="D2196" s="10">
        <f>Github!G$2042</f>
        <v>17</v>
      </c>
      <c r="E2196" s="10">
        <f>Github!F$2042+Github!G$2042</f>
        <v>37</v>
      </c>
      <c r="F2196" s="12">
        <f t="shared" si="1"/>
        <v>1.18</v>
      </c>
      <c r="G2196" s="10" t="str">
        <f>Github!H$2042</f>
        <v>Database</v>
      </c>
      <c r="H2196" s="13" t="str">
        <f>SUBSTITUTE(Github!L$2042, ";", ", ")</f>
        <v>Database, </v>
      </c>
      <c r="I2196" s="10" t="str">
        <f>Github!E$2042</f>
        <v>Medium</v>
      </c>
      <c r="J2196" s="10" t="str">
        <f>IF(TRIM(Github!D$2042)="TRUE","FALSE","TRUE")</f>
        <v>FALSE</v>
      </c>
      <c r="K2196" s="10" t="b">
        <f>Github!M$2042</f>
        <v>0</v>
      </c>
      <c r="L2196" s="10" t="b">
        <f>Github!N$2042</f>
        <v>0</v>
      </c>
      <c r="M2196" s="10" t="str">
        <f>ROUND(Github!O$2042, 2)&amp;"%"</f>
        <v>77.7%</v>
      </c>
      <c r="N2196" s="10">
        <f>Github!P$2042</f>
        <v>3097</v>
      </c>
      <c r="O2196" s="10">
        <f>Github!Q$2042</f>
        <v>3986</v>
      </c>
    </row>
    <row r="2197">
      <c r="A2197" s="10">
        <f>Github!J$1715</f>
        <v>1714</v>
      </c>
      <c r="B2197" s="11" t="str">
        <f>HYPERLINK(CONCAT("http://leetcode.com/problems/",Github!C$1715), Github!B$1715)</f>
        <v>Sum Of Special Evenly-Spaced Elements In Array</v>
      </c>
      <c r="C2197" s="10">
        <f>Github!F$1715</f>
        <v>17</v>
      </c>
      <c r="D2197" s="10">
        <f>Github!G$1715</f>
        <v>18</v>
      </c>
      <c r="E2197" s="10">
        <f>Github!F$1715+Github!G$1715</f>
        <v>35</v>
      </c>
      <c r="F2197" s="12">
        <f t="shared" si="1"/>
        <v>0.94</v>
      </c>
      <c r="G2197" s="10" t="str">
        <f>Github!H$1715</f>
        <v>Algorithms</v>
      </c>
      <c r="H2197" s="13" t="str">
        <f>SUBSTITUTE(Github!L$1715, ";", ", ")</f>
        <v>Array, Dynamic Programming, </v>
      </c>
      <c r="I2197" s="10" t="str">
        <f>Github!E$1715</f>
        <v>Hard</v>
      </c>
      <c r="J2197" s="10" t="str">
        <f>IF(TRIM(Github!D$1715)="TRUE","FALSE","TRUE")</f>
        <v>FALSE</v>
      </c>
      <c r="K2197" s="10" t="b">
        <f>Github!M$1715</f>
        <v>0</v>
      </c>
      <c r="L2197" s="10" t="b">
        <f>Github!N$1715</f>
        <v>0</v>
      </c>
      <c r="M2197" s="10" t="str">
        <f>ROUND(Github!O$1715, 2)&amp;"%"</f>
        <v>52.05%</v>
      </c>
      <c r="N2197" s="10">
        <f>Github!P$1715</f>
        <v>967</v>
      </c>
      <c r="O2197" s="10">
        <f>Github!Q$1715</f>
        <v>1858</v>
      </c>
    </row>
    <row r="2198">
      <c r="A2198" s="10">
        <f>Github!J$2113</f>
        <v>2112</v>
      </c>
      <c r="B2198" s="11" t="str">
        <f>HYPERLINK(CONCAT("http://leetcode.com/problems/",Github!C$2113), Github!B$2113)</f>
        <v>The Airport With the Most Traffic</v>
      </c>
      <c r="C2198" s="10">
        <f>Github!F$2113</f>
        <v>17</v>
      </c>
      <c r="D2198" s="10">
        <f>Github!G$2113</f>
        <v>5</v>
      </c>
      <c r="E2198" s="10">
        <f>Github!F$2113+Github!G$2113</f>
        <v>22</v>
      </c>
      <c r="F2198" s="12">
        <f t="shared" si="1"/>
        <v>3.4</v>
      </c>
      <c r="G2198" s="10" t="str">
        <f>Github!H$2113</f>
        <v>Database</v>
      </c>
      <c r="H2198" s="13" t="str">
        <f>SUBSTITUTE(Github!L$2113, ";", ", ")</f>
        <v>Database, </v>
      </c>
      <c r="I2198" s="10" t="str">
        <f>Github!E$2113</f>
        <v>Medium</v>
      </c>
      <c r="J2198" s="10" t="str">
        <f>IF(TRIM(Github!D$2113)="TRUE","FALSE","TRUE")</f>
        <v>FALSE</v>
      </c>
      <c r="K2198" s="10" t="b">
        <f>Github!M$2113</f>
        <v>0</v>
      </c>
      <c r="L2198" s="10" t="b">
        <f>Github!N$2113</f>
        <v>0</v>
      </c>
      <c r="M2198" s="10" t="str">
        <f>ROUND(Github!O$2113, 2)&amp;"%"</f>
        <v>69.84%</v>
      </c>
      <c r="N2198" s="10">
        <f>Github!P$2113</f>
        <v>2427</v>
      </c>
      <c r="O2198" s="10">
        <f>Github!Q$2113</f>
        <v>3475</v>
      </c>
    </row>
    <row r="2199">
      <c r="A2199" s="10">
        <f>Github!J$1957</f>
        <v>1956</v>
      </c>
      <c r="B2199" s="11" t="str">
        <f>HYPERLINK(CONCAT("http://leetcode.com/problems/",Github!C$1957), Github!B$1957)</f>
        <v>Minimum Time For K Virus Variants to Spread</v>
      </c>
      <c r="C2199" s="10">
        <f>Github!F$1957</f>
        <v>16</v>
      </c>
      <c r="D2199" s="10">
        <f>Github!G$1957</f>
        <v>5</v>
      </c>
      <c r="E2199" s="10">
        <f>Github!F$1957+Github!G$1957</f>
        <v>21</v>
      </c>
      <c r="F2199" s="12">
        <f t="shared" si="1"/>
        <v>3.2</v>
      </c>
      <c r="G2199" s="10" t="str">
        <f>Github!H$1957</f>
        <v>Algorithms</v>
      </c>
      <c r="H2199" s="13" t="str">
        <f>SUBSTITUTE(Github!L$1957, ";", ", ")</f>
        <v>Array, Math, Binary Search, Geometry, Enumeration, </v>
      </c>
      <c r="I2199" s="10" t="str">
        <f>Github!E$1957</f>
        <v>Hard</v>
      </c>
      <c r="J2199" s="10" t="str">
        <f>IF(TRIM(Github!D$1957)="TRUE","FALSE","TRUE")</f>
        <v>FALSE</v>
      </c>
      <c r="K2199" s="10" t="b">
        <f>Github!M$1957</f>
        <v>0</v>
      </c>
      <c r="L2199" s="10" t="b">
        <f>Github!N$1957</f>
        <v>0</v>
      </c>
      <c r="M2199" s="10" t="str">
        <f>ROUND(Github!O$1957, 2)&amp;"%"</f>
        <v>43.74%</v>
      </c>
      <c r="N2199" s="10">
        <f>Github!P$1957</f>
        <v>437</v>
      </c>
      <c r="O2199" s="10">
        <f>Github!Q$1957</f>
        <v>999</v>
      </c>
    </row>
    <row r="2200">
      <c r="A2200" s="10">
        <f>Github!J$1652</f>
        <v>1651</v>
      </c>
      <c r="B2200" s="11" t="str">
        <f>HYPERLINK(CONCAT("http://leetcode.com/problems/",Github!C$1652), Github!B$1652)</f>
        <v>Hopper Company Queries III</v>
      </c>
      <c r="C2200" s="10">
        <f>Github!F$1652</f>
        <v>16</v>
      </c>
      <c r="D2200" s="10">
        <f>Github!G$1652</f>
        <v>43</v>
      </c>
      <c r="E2200" s="10">
        <f>Github!F$1652+Github!G$1652</f>
        <v>59</v>
      </c>
      <c r="F2200" s="12">
        <f t="shared" si="1"/>
        <v>0.37</v>
      </c>
      <c r="G2200" s="10" t="str">
        <f>Github!H$1652</f>
        <v>Database</v>
      </c>
      <c r="H2200" s="13" t="str">
        <f>SUBSTITUTE(Github!L$1652, ";", ", ")</f>
        <v>Database, </v>
      </c>
      <c r="I2200" s="10" t="str">
        <f>Github!E$1652</f>
        <v>Hard</v>
      </c>
      <c r="J2200" s="10" t="str">
        <f>IF(TRIM(Github!D$1652)="TRUE","FALSE","TRUE")</f>
        <v>FALSE</v>
      </c>
      <c r="K2200" s="10" t="b">
        <f>Github!M$1652</f>
        <v>0</v>
      </c>
      <c r="L2200" s="10" t="b">
        <f>Github!N$1652</f>
        <v>0</v>
      </c>
      <c r="M2200" s="10" t="str">
        <f>ROUND(Github!O$1652, 2)&amp;"%"</f>
        <v>67.15%</v>
      </c>
      <c r="N2200" s="10">
        <f>Github!P$1652</f>
        <v>4093</v>
      </c>
      <c r="O2200" s="10">
        <f>Github!Q$1652</f>
        <v>6095</v>
      </c>
    </row>
    <row r="2201">
      <c r="A2201" s="10">
        <f>Github!J$2154</f>
        <v>2153</v>
      </c>
      <c r="B2201" s="11" t="str">
        <f>HYPERLINK(CONCAT("http://leetcode.com/problems/",Github!C$2154), Github!B$2154)</f>
        <v>The Number of Passengers in Each Bus II</v>
      </c>
      <c r="C2201" s="10">
        <f>Github!F$2154</f>
        <v>18</v>
      </c>
      <c r="D2201" s="10">
        <f>Github!G$2154</f>
        <v>7</v>
      </c>
      <c r="E2201" s="10">
        <f>Github!F$2154+Github!G$2154</f>
        <v>25</v>
      </c>
      <c r="F2201" s="12">
        <f t="shared" si="1"/>
        <v>2.57</v>
      </c>
      <c r="G2201" s="10" t="str">
        <f>Github!H$2154</f>
        <v>Database</v>
      </c>
      <c r="H2201" s="13" t="str">
        <f>SUBSTITUTE(Github!L$2154, ";", ", ")</f>
        <v>Database, </v>
      </c>
      <c r="I2201" s="10" t="str">
        <f>Github!E$2154</f>
        <v>Hard</v>
      </c>
      <c r="J2201" s="10" t="str">
        <f>IF(TRIM(Github!D$2154)="TRUE","FALSE","TRUE")</f>
        <v>FALSE</v>
      </c>
      <c r="K2201" s="10" t="b">
        <f>Github!M$2154</f>
        <v>0</v>
      </c>
      <c r="L2201" s="10" t="b">
        <f>Github!N$2154</f>
        <v>0</v>
      </c>
      <c r="M2201" s="10" t="str">
        <f>ROUND(Github!O$2154, 2)&amp;"%"</f>
        <v>51.08%</v>
      </c>
      <c r="N2201" s="10">
        <f>Github!P$2154</f>
        <v>471</v>
      </c>
      <c r="O2201" s="10">
        <f>Github!Q$2154</f>
        <v>922</v>
      </c>
    </row>
    <row r="2202">
      <c r="A2202" s="10">
        <f>Github!J$2027</f>
        <v>2026</v>
      </c>
      <c r="B2202" s="11" t="str">
        <f>HYPERLINK(CONCAT("http://leetcode.com/problems/",Github!C$2027), Github!B$2027)</f>
        <v>Low-Quality Problems</v>
      </c>
      <c r="C2202" s="10">
        <f>Github!F$2027</f>
        <v>16</v>
      </c>
      <c r="D2202" s="10">
        <f>Github!G$2027</f>
        <v>6</v>
      </c>
      <c r="E2202" s="10">
        <f>Github!F$2027+Github!G$2027</f>
        <v>22</v>
      </c>
      <c r="F2202" s="12">
        <f t="shared" si="1"/>
        <v>2.67</v>
      </c>
      <c r="G2202" s="10" t="str">
        <f>Github!H$2027</f>
        <v>Database</v>
      </c>
      <c r="H2202" s="13" t="str">
        <f>SUBSTITUTE(Github!L$2027, ";", ", ")</f>
        <v>Database, </v>
      </c>
      <c r="I2202" s="10" t="str">
        <f>Github!E$2027</f>
        <v>Easy</v>
      </c>
      <c r="J2202" s="10" t="str">
        <f>IF(TRIM(Github!D$2027)="TRUE","FALSE","TRUE")</f>
        <v>FALSE</v>
      </c>
      <c r="K2202" s="10" t="b">
        <f>Github!M$2027</f>
        <v>0</v>
      </c>
      <c r="L2202" s="10" t="b">
        <f>Github!N$2027</f>
        <v>0</v>
      </c>
      <c r="M2202" s="10" t="str">
        <f>ROUND(Github!O$2027, 2)&amp;"%"</f>
        <v>85.78%</v>
      </c>
      <c r="N2202" s="10">
        <f>Github!P$2027</f>
        <v>4610</v>
      </c>
      <c r="O2202" s="10">
        <f>Github!Q$2027</f>
        <v>5374</v>
      </c>
    </row>
    <row r="2203">
      <c r="A2203" s="10">
        <f>Github!J$2144</f>
        <v>2143</v>
      </c>
      <c r="B2203" s="11" t="str">
        <f>HYPERLINK(CONCAT("http://leetcode.com/problems/",Github!C$2144), Github!B$2144)</f>
        <v>Choose Numbers From Two Arrays in Range</v>
      </c>
      <c r="C2203" s="10">
        <f>Github!F$2144</f>
        <v>15</v>
      </c>
      <c r="D2203" s="10">
        <f>Github!G$2144</f>
        <v>4</v>
      </c>
      <c r="E2203" s="10">
        <f>Github!F$2144+Github!G$2144</f>
        <v>19</v>
      </c>
      <c r="F2203" s="12">
        <f t="shared" si="1"/>
        <v>3.75</v>
      </c>
      <c r="G2203" s="10" t="str">
        <f>Github!H$2144</f>
        <v>Algorithms</v>
      </c>
      <c r="H2203" s="13" t="str">
        <f>SUBSTITUTE(Github!L$2144, ";", ", ")</f>
        <v>Array, Dynamic Programming, </v>
      </c>
      <c r="I2203" s="10" t="str">
        <f>Github!E$2144</f>
        <v>Hard</v>
      </c>
      <c r="J2203" s="10" t="str">
        <f>IF(TRIM(Github!D$2144)="TRUE","FALSE","TRUE")</f>
        <v>FALSE</v>
      </c>
      <c r="K2203" s="10" t="b">
        <f>Github!M$2144</f>
        <v>0</v>
      </c>
      <c r="L2203" s="10" t="b">
        <f>Github!N$2144</f>
        <v>0</v>
      </c>
      <c r="M2203" s="10" t="str">
        <f>ROUND(Github!O$2144, 2)&amp;"%"</f>
        <v>54.04%</v>
      </c>
      <c r="N2203" s="10">
        <f>Github!P$2144</f>
        <v>448</v>
      </c>
      <c r="O2203" s="10">
        <f>Github!Q$2144</f>
        <v>829</v>
      </c>
    </row>
    <row r="2204">
      <c r="A2204" s="10">
        <f>Github!J$2083</f>
        <v>2082</v>
      </c>
      <c r="B2204" s="11" t="str">
        <f>HYPERLINK(CONCAT("http://leetcode.com/problems/",Github!C$2083), Github!B$2083)</f>
        <v>The Number of Rich Customers</v>
      </c>
      <c r="C2204" s="10">
        <f>Github!F$2083</f>
        <v>14</v>
      </c>
      <c r="D2204" s="10">
        <f>Github!G$2083</f>
        <v>11</v>
      </c>
      <c r="E2204" s="10">
        <f>Github!F$2083+Github!G$2083</f>
        <v>25</v>
      </c>
      <c r="F2204" s="12">
        <f t="shared" si="1"/>
        <v>1.27</v>
      </c>
      <c r="G2204" s="10" t="str">
        <f>Github!H$2083</f>
        <v>Database</v>
      </c>
      <c r="H2204" s="13" t="str">
        <f>SUBSTITUTE(Github!L$2083, ";", ", ")</f>
        <v>Database, </v>
      </c>
      <c r="I2204" s="10" t="str">
        <f>Github!E$2083</f>
        <v>Easy</v>
      </c>
      <c r="J2204" s="10" t="str">
        <f>IF(TRIM(Github!D$2083)="TRUE","FALSE","TRUE")</f>
        <v>FALSE</v>
      </c>
      <c r="K2204" s="10" t="b">
        <f>Github!M$2083</f>
        <v>0</v>
      </c>
      <c r="L2204" s="10" t="b">
        <f>Github!N$2083</f>
        <v>0</v>
      </c>
      <c r="M2204" s="10" t="str">
        <f>ROUND(Github!O$2083, 2)&amp;"%"</f>
        <v>81.03%</v>
      </c>
      <c r="N2204" s="10">
        <f>Github!P$2083</f>
        <v>3926</v>
      </c>
      <c r="O2204" s="10">
        <f>Github!Q$2083</f>
        <v>4845</v>
      </c>
    </row>
    <row r="2205">
      <c r="A2205" s="10">
        <f>Github!J$2199</f>
        <v>2198</v>
      </c>
      <c r="B2205" s="11" t="str">
        <f>HYPERLINK(CONCAT("http://leetcode.com/problems/",Github!C$2199), Github!B$2199)</f>
        <v>Number of Single Divisor Triplets</v>
      </c>
      <c r="C2205" s="10">
        <f>Github!F$2199</f>
        <v>14</v>
      </c>
      <c r="D2205" s="10">
        <f>Github!G$2199</f>
        <v>4</v>
      </c>
      <c r="E2205" s="10">
        <f>Github!F$2199+Github!G$2199</f>
        <v>18</v>
      </c>
      <c r="F2205" s="12">
        <f t="shared" si="1"/>
        <v>3.5</v>
      </c>
      <c r="G2205" s="10" t="str">
        <f>Github!H$2199</f>
        <v>Algorithms</v>
      </c>
      <c r="H2205" s="13" t="str">
        <f>SUBSTITUTE(Github!L$2199, ";", ", ")</f>
        <v>Math, </v>
      </c>
      <c r="I2205" s="10" t="str">
        <f>Github!E$2199</f>
        <v>Medium</v>
      </c>
      <c r="J2205" s="10" t="str">
        <f>IF(TRIM(Github!D$2199)="TRUE","FALSE","TRUE")</f>
        <v>FALSE</v>
      </c>
      <c r="K2205" s="10" t="b">
        <f>Github!M$2199</f>
        <v>0</v>
      </c>
      <c r="L2205" s="10" t="b">
        <f>Github!N$2199</f>
        <v>0</v>
      </c>
      <c r="M2205" s="10" t="str">
        <f>ROUND(Github!O$2199, 2)&amp;"%"</f>
        <v>57.34%</v>
      </c>
      <c r="N2205" s="10">
        <f>Github!P$2199</f>
        <v>457</v>
      </c>
      <c r="O2205" s="10">
        <f>Github!Q$2199</f>
        <v>797</v>
      </c>
    </row>
    <row r="2206">
      <c r="A2206" s="10">
        <f>Github!J$2160</f>
        <v>2159</v>
      </c>
      <c r="B2206" s="11" t="str">
        <f>HYPERLINK(CONCAT("http://leetcode.com/problems/",Github!C$2160), Github!B$2160)</f>
        <v>Order Two Columns Independently</v>
      </c>
      <c r="C2206" s="10">
        <f>Github!F$2160</f>
        <v>12</v>
      </c>
      <c r="D2206" s="10">
        <f>Github!G$2160</f>
        <v>9</v>
      </c>
      <c r="E2206" s="10">
        <f>Github!F$2160+Github!G$2160</f>
        <v>21</v>
      </c>
      <c r="F2206" s="12">
        <f t="shared" si="1"/>
        <v>1.33</v>
      </c>
      <c r="G2206" s="10" t="str">
        <f>Github!H$2160</f>
        <v>Database</v>
      </c>
      <c r="H2206" s="13" t="str">
        <f>SUBSTITUTE(Github!L$2160, ";", ", ")</f>
        <v>Database, </v>
      </c>
      <c r="I2206" s="10" t="str">
        <f>Github!E$2160</f>
        <v>Medium</v>
      </c>
      <c r="J2206" s="10" t="str">
        <f>IF(TRIM(Github!D$2160)="TRUE","FALSE","TRUE")</f>
        <v>FALSE</v>
      </c>
      <c r="K2206" s="10" t="b">
        <f>Github!M$2160</f>
        <v>0</v>
      </c>
      <c r="L2206" s="10" t="b">
        <f>Github!N$2160</f>
        <v>0</v>
      </c>
      <c r="M2206" s="10" t="str">
        <f>ROUND(Github!O$2160, 2)&amp;"%"</f>
        <v>63.36%</v>
      </c>
      <c r="N2206" s="10">
        <f>Github!P$2160</f>
        <v>1394</v>
      </c>
      <c r="O2206" s="10">
        <f>Github!Q$2160</f>
        <v>2200</v>
      </c>
    </row>
    <row r="2207">
      <c r="A2207" s="10">
        <f>Github!J$2119</f>
        <v>2118</v>
      </c>
      <c r="B2207" s="11" t="str">
        <f>HYPERLINK(CONCAT("http://leetcode.com/problems/",Github!C$2119), Github!B$2119)</f>
        <v>Build the Equation</v>
      </c>
      <c r="C2207" s="10">
        <f>Github!F$2119</f>
        <v>10</v>
      </c>
      <c r="D2207" s="10">
        <f>Github!G$2119</f>
        <v>21</v>
      </c>
      <c r="E2207" s="10">
        <f>Github!F$2119+Github!G$2119</f>
        <v>31</v>
      </c>
      <c r="F2207" s="12">
        <f t="shared" si="1"/>
        <v>0.48</v>
      </c>
      <c r="G2207" s="10" t="str">
        <f>Github!H$2119</f>
        <v>Database</v>
      </c>
      <c r="H2207" s="13" t="str">
        <f>SUBSTITUTE(Github!L$2119, ";", ", ")</f>
        <v>Database, </v>
      </c>
      <c r="I2207" s="10" t="str">
        <f>Github!E$2119</f>
        <v>Hard</v>
      </c>
      <c r="J2207" s="10" t="str">
        <f>IF(TRIM(Github!D$2119)="TRUE","FALSE","TRUE")</f>
        <v>FALSE</v>
      </c>
      <c r="K2207" s="10" t="b">
        <f>Github!M$2119</f>
        <v>0</v>
      </c>
      <c r="L2207" s="10" t="b">
        <f>Github!N$2119</f>
        <v>0</v>
      </c>
      <c r="M2207" s="10" t="str">
        <f>ROUND(Github!O$2119, 2)&amp;"%"</f>
        <v>58.38%</v>
      </c>
      <c r="N2207" s="10">
        <f>Github!P$2119</f>
        <v>676</v>
      </c>
      <c r="O2207" s="10">
        <f>Github!Q$2119</f>
        <v>1158</v>
      </c>
    </row>
    <row r="2208">
      <c r="A2208" s="10">
        <f>Github!J$2200</f>
        <v>2199</v>
      </c>
      <c r="B2208" s="11" t="str">
        <f>HYPERLINK(CONCAT("http://leetcode.com/problems/",Github!C$2200), Github!B$2200)</f>
        <v>Finding the Topic of Each Post</v>
      </c>
      <c r="C2208" s="10">
        <f>Github!F$2200</f>
        <v>10</v>
      </c>
      <c r="D2208" s="10">
        <f>Github!G$2200</f>
        <v>6</v>
      </c>
      <c r="E2208" s="10">
        <f>Github!F$2200+Github!G$2200</f>
        <v>16</v>
      </c>
      <c r="F2208" s="12">
        <f t="shared" si="1"/>
        <v>1.67</v>
      </c>
      <c r="G2208" s="10" t="str">
        <f>Github!H$2200</f>
        <v>Database</v>
      </c>
      <c r="H2208" s="13" t="str">
        <f>SUBSTITUTE(Github!L$2200, ";", ", ")</f>
        <v>Database, </v>
      </c>
      <c r="I2208" s="10" t="str">
        <f>Github!E$2200</f>
        <v>Hard</v>
      </c>
      <c r="J2208" s="10" t="str">
        <f>IF(TRIM(Github!D$2200)="TRUE","FALSE","TRUE")</f>
        <v>FALSE</v>
      </c>
      <c r="K2208" s="10" t="b">
        <f>Github!M$2200</f>
        <v>0</v>
      </c>
      <c r="L2208" s="10" t="b">
        <f>Github!N$2200</f>
        <v>0</v>
      </c>
      <c r="M2208" s="10" t="str">
        <f>ROUND(Github!O$2200, 2)&amp;"%"</f>
        <v>43.15%</v>
      </c>
      <c r="N2208" s="10">
        <f>Github!P$2200</f>
        <v>457</v>
      </c>
      <c r="O2208" s="10">
        <f>Github!Q$2200</f>
        <v>1059</v>
      </c>
    </row>
    <row r="2209">
      <c r="A2209" s="10">
        <f>Github!J$2011</f>
        <v>2010</v>
      </c>
      <c r="B2209" s="11" t="str">
        <f>HYPERLINK(CONCAT("http://leetcode.com/problems/",Github!C$2011), Github!B$2011)</f>
        <v>The Number of Seniors and Juniors to Join the Company II</v>
      </c>
      <c r="C2209" s="10">
        <f>Github!F$2011</f>
        <v>11</v>
      </c>
      <c r="D2209" s="10">
        <f>Github!G$2011</f>
        <v>5</v>
      </c>
      <c r="E2209" s="10">
        <f>Github!F$2011+Github!G$2011</f>
        <v>16</v>
      </c>
      <c r="F2209" s="12">
        <f t="shared" si="1"/>
        <v>2.2</v>
      </c>
      <c r="G2209" s="10" t="str">
        <f>Github!H$2011</f>
        <v>Database</v>
      </c>
      <c r="H2209" s="13" t="str">
        <f>SUBSTITUTE(Github!L$2011, ";", ", ")</f>
        <v>Database, </v>
      </c>
      <c r="I2209" s="10" t="str">
        <f>Github!E$2011</f>
        <v>Hard</v>
      </c>
      <c r="J2209" s="10" t="str">
        <f>IF(TRIM(Github!D$2011)="TRUE","FALSE","TRUE")</f>
        <v>FALSE</v>
      </c>
      <c r="K2209" s="10" t="b">
        <f>Github!M$2011</f>
        <v>0</v>
      </c>
      <c r="L2209" s="10" t="b">
        <f>Github!N$2011</f>
        <v>0</v>
      </c>
      <c r="M2209" s="10" t="str">
        <f>ROUND(Github!O$2011, 2)&amp;"%"</f>
        <v>57.3%</v>
      </c>
      <c r="N2209" s="10">
        <f>Github!P$2011</f>
        <v>1769</v>
      </c>
      <c r="O2209" s="10">
        <f>Github!Q$2011</f>
        <v>3087</v>
      </c>
    </row>
    <row r="2210">
      <c r="A2210" s="10">
        <f>Github!J$2021</f>
        <v>2020</v>
      </c>
      <c r="B2210" s="11" t="str">
        <f>HYPERLINK(CONCAT("http://leetcode.com/problems/",Github!C$2021), Github!B$2021)</f>
        <v>Number of Accounts That Did Not Stream</v>
      </c>
      <c r="C2210" s="10">
        <f>Github!F$2021</f>
        <v>10</v>
      </c>
      <c r="D2210" s="10">
        <f>Github!G$2021</f>
        <v>79</v>
      </c>
      <c r="E2210" s="10">
        <f>Github!F$2021+Github!G$2021</f>
        <v>89</v>
      </c>
      <c r="F2210" s="12">
        <f t="shared" si="1"/>
        <v>0.13</v>
      </c>
      <c r="G2210" s="10" t="str">
        <f>Github!H$2021</f>
        <v>Database</v>
      </c>
      <c r="H2210" s="13" t="str">
        <f>SUBSTITUTE(Github!L$2021, ";", ", ")</f>
        <v>Database, </v>
      </c>
      <c r="I2210" s="10" t="str">
        <f>Github!E$2021</f>
        <v>Medium</v>
      </c>
      <c r="J2210" s="10" t="str">
        <f>IF(TRIM(Github!D$2021)="TRUE","FALSE","TRUE")</f>
        <v>FALSE</v>
      </c>
      <c r="K2210" s="10" t="b">
        <f>Github!M$2021</f>
        <v>0</v>
      </c>
      <c r="L2210" s="10" t="b">
        <f>Github!N$2021</f>
        <v>0</v>
      </c>
      <c r="M2210" s="10" t="str">
        <f>ROUND(Github!O$2021, 2)&amp;"%"</f>
        <v>72.77%</v>
      </c>
      <c r="N2210" s="10">
        <f>Github!P$2021</f>
        <v>3758</v>
      </c>
      <c r="O2210" s="10">
        <f>Github!Q$2021</f>
        <v>5164</v>
      </c>
    </row>
    <row r="2211">
      <c r="A2211" s="10">
        <f>Github!J$2006</f>
        <v>2005</v>
      </c>
      <c r="B2211" s="11" t="str">
        <f>HYPERLINK(CONCAT("http://leetcode.com/problems/",Github!C$2006), Github!B$2006)</f>
        <v>Subtree Removal Game with Fibonacci Tree</v>
      </c>
      <c r="C2211" s="10">
        <f>Github!F$2006</f>
        <v>9</v>
      </c>
      <c r="D2211" s="10">
        <f>Github!G$2006</f>
        <v>26</v>
      </c>
      <c r="E2211" s="10">
        <f>Github!F$2006+Github!G$2006</f>
        <v>35</v>
      </c>
      <c r="F2211" s="12">
        <f t="shared" si="1"/>
        <v>0.35</v>
      </c>
      <c r="G2211" s="10" t="str">
        <f>Github!H$2006</f>
        <v>Algorithms</v>
      </c>
      <c r="H2211" s="13" t="str">
        <f>SUBSTITUTE(Github!L$2006, ";", ", ")</f>
        <v>Math, Dynamic Programming, Tree, Binary Tree, Game Theory, </v>
      </c>
      <c r="I2211" s="10" t="str">
        <f>Github!E$2006</f>
        <v>Hard</v>
      </c>
      <c r="J2211" s="10" t="str">
        <f>IF(TRIM(Github!D$2006)="TRUE","FALSE","TRUE")</f>
        <v>FALSE</v>
      </c>
      <c r="K2211" s="10" t="b">
        <f>Github!M$2006</f>
        <v>0</v>
      </c>
      <c r="L2211" s="10" t="b">
        <f>Github!N$2006</f>
        <v>0</v>
      </c>
      <c r="M2211" s="10" t="str">
        <f>ROUND(Github!O$2006, 2)&amp;"%"</f>
        <v>62.45%</v>
      </c>
      <c r="N2211" s="10">
        <f>Github!P$2006</f>
        <v>291</v>
      </c>
      <c r="O2211" s="10">
        <f>Github!Q$2006</f>
        <v>466</v>
      </c>
    </row>
    <row r="2212">
      <c r="A2212" s="10">
        <f>Github!J$2176</f>
        <v>2175</v>
      </c>
      <c r="B2212" s="11" t="str">
        <f>HYPERLINK(CONCAT("http://leetcode.com/problems/",Github!C$2176), Github!B$2176)</f>
        <v>The Change in Global Rankings</v>
      </c>
      <c r="C2212" s="10">
        <f>Github!F$2176</f>
        <v>9</v>
      </c>
      <c r="D2212" s="10">
        <f>Github!G$2176</f>
        <v>5</v>
      </c>
      <c r="E2212" s="10">
        <f>Github!F$2176+Github!G$2176</f>
        <v>14</v>
      </c>
      <c r="F2212" s="12">
        <f t="shared" si="1"/>
        <v>1.8</v>
      </c>
      <c r="G2212" s="10" t="str">
        <f>Github!H$2176</f>
        <v>Database</v>
      </c>
      <c r="H2212" s="13" t="str">
        <f>SUBSTITUTE(Github!L$2176, ";", ", ")</f>
        <v>Database, </v>
      </c>
      <c r="I2212" s="10" t="str">
        <f>Github!E$2176</f>
        <v>Medium</v>
      </c>
      <c r="J2212" s="10" t="str">
        <f>IF(TRIM(Github!D$2176)="TRUE","FALSE","TRUE")</f>
        <v>FALSE</v>
      </c>
      <c r="K2212" s="10" t="b">
        <f>Github!M$2176</f>
        <v>0</v>
      </c>
      <c r="L2212" s="10" t="b">
        <f>Github!N$2176</f>
        <v>0</v>
      </c>
      <c r="M2212" s="10" t="str">
        <f>ROUND(Github!O$2176, 2)&amp;"%"</f>
        <v>65.84%</v>
      </c>
      <c r="N2212" s="10">
        <f>Github!P$2176</f>
        <v>1224</v>
      </c>
      <c r="O2212" s="10">
        <f>Github!Q$2176</f>
        <v>1859</v>
      </c>
    </row>
    <row r="2213">
      <c r="A2213" s="10">
        <f>Github!J$2206</f>
        <v>2205</v>
      </c>
      <c r="B2213" s="11" t="str">
        <f>HYPERLINK(CONCAT("http://leetcode.com/problems/",Github!C$2206), Github!B$2206)</f>
        <v>The Number of Users That Are Eligible for Discount</v>
      </c>
      <c r="C2213" s="10">
        <f>Github!F$2206</f>
        <v>9</v>
      </c>
      <c r="D2213" s="10">
        <f>Github!G$2206</f>
        <v>15</v>
      </c>
      <c r="E2213" s="10">
        <f>Github!F$2206+Github!G$2206</f>
        <v>24</v>
      </c>
      <c r="F2213" s="12">
        <f t="shared" si="1"/>
        <v>0.6</v>
      </c>
      <c r="G2213" s="10" t="str">
        <f>Github!H$2206</f>
        <v>Database</v>
      </c>
      <c r="H2213" s="13" t="str">
        <f>SUBSTITUTE(Github!L$2206, ";", ", ")</f>
        <v>Database, </v>
      </c>
      <c r="I2213" s="10" t="str">
        <f>Github!E$2206</f>
        <v>Easy</v>
      </c>
      <c r="J2213" s="10" t="str">
        <f>IF(TRIM(Github!D$2206)="TRUE","FALSE","TRUE")</f>
        <v>FALSE</v>
      </c>
      <c r="K2213" s="10" t="b">
        <f>Github!M$2206</f>
        <v>0</v>
      </c>
      <c r="L2213" s="10" t="b">
        <f>Github!N$2206</f>
        <v>0</v>
      </c>
      <c r="M2213" s="10" t="str">
        <f>ROUND(Github!O$2206, 2)&amp;"%"</f>
        <v>48.56%</v>
      </c>
      <c r="N2213" s="10">
        <f>Github!P$2206</f>
        <v>1012</v>
      </c>
      <c r="O2213" s="10">
        <f>Github!Q$2206</f>
        <v>2084</v>
      </c>
    </row>
    <row r="2214">
      <c r="A2214" s="10">
        <f>Github!J$1925</f>
        <v>1924</v>
      </c>
      <c r="B2214" s="11" t="str">
        <f>HYPERLINK(CONCAT("http://leetcode.com/problems/",Github!C$1925), Github!B$1925)</f>
        <v>Erect the Fence II</v>
      </c>
      <c r="C2214" s="10">
        <f>Github!F$1925</f>
        <v>8</v>
      </c>
      <c r="D2214" s="10">
        <f>Github!G$1925</f>
        <v>33</v>
      </c>
      <c r="E2214" s="10">
        <f>Github!F$1925+Github!G$1925</f>
        <v>41</v>
      </c>
      <c r="F2214" s="12">
        <f t="shared" si="1"/>
        <v>0.24</v>
      </c>
      <c r="G2214" s="10" t="str">
        <f>Github!H$1925</f>
        <v>Algorithms</v>
      </c>
      <c r="H2214" s="13" t="str">
        <f>SUBSTITUTE(Github!L$1925, ";", ", ")</f>
        <v>Array, Math, Geometry, </v>
      </c>
      <c r="I2214" s="10" t="str">
        <f>Github!E$1925</f>
        <v>Hard</v>
      </c>
      <c r="J2214" s="10" t="str">
        <f>IF(TRIM(Github!D$1925)="TRUE","FALSE","TRUE")</f>
        <v>FALSE</v>
      </c>
      <c r="K2214" s="10" t="b">
        <f>Github!M$1925</f>
        <v>0</v>
      </c>
      <c r="L2214" s="10" t="b">
        <f>Github!N$1925</f>
        <v>0</v>
      </c>
      <c r="M2214" s="10" t="str">
        <f>ROUND(Github!O$1925, 2)&amp;"%"</f>
        <v>56.9%</v>
      </c>
      <c r="N2214" s="10">
        <f>Github!P$1925</f>
        <v>433</v>
      </c>
      <c r="O2214" s="10">
        <f>Github!Q$1925</f>
        <v>761</v>
      </c>
    </row>
    <row r="2215">
      <c r="A2215" s="10">
        <f>Github!J$1991</f>
        <v>1990</v>
      </c>
      <c r="B2215" s="11" t="str">
        <f>HYPERLINK(CONCAT("http://leetcode.com/problems/",Github!C$1991), Github!B$1991)</f>
        <v>Count the Number of Experiments</v>
      </c>
      <c r="C2215" s="10">
        <f>Github!F$1991</f>
        <v>7</v>
      </c>
      <c r="D2215" s="10">
        <f>Github!G$1991</f>
        <v>85</v>
      </c>
      <c r="E2215" s="10">
        <f>Github!F$1991+Github!G$1991</f>
        <v>92</v>
      </c>
      <c r="F2215" s="12">
        <f t="shared" si="1"/>
        <v>0.08</v>
      </c>
      <c r="G2215" s="10" t="str">
        <f>Github!H$1991</f>
        <v>Database</v>
      </c>
      <c r="H2215" s="13" t="str">
        <f>SUBSTITUTE(Github!L$1991, ";", ", ")</f>
        <v>Database, </v>
      </c>
      <c r="I2215" s="10" t="str">
        <f>Github!E$1991</f>
        <v>Medium</v>
      </c>
      <c r="J2215" s="10" t="str">
        <f>IF(TRIM(Github!D$1991)="TRUE","FALSE","TRUE")</f>
        <v>FALSE</v>
      </c>
      <c r="K2215" s="10" t="b">
        <f>Github!M$1991</f>
        <v>0</v>
      </c>
      <c r="L2215" s="10" t="b">
        <f>Github!N$1991</f>
        <v>0</v>
      </c>
      <c r="M2215" s="10" t="str">
        <f>ROUND(Github!O$1991, 2)&amp;"%"</f>
        <v>51.1%</v>
      </c>
      <c r="N2215" s="10">
        <f>Github!P$1991</f>
        <v>2581</v>
      </c>
      <c r="O2215" s="10">
        <f>Github!Q$1991</f>
        <v>5051</v>
      </c>
    </row>
    <row r="2216">
      <c r="A2216" s="10"/>
      <c r="B2216" s="14"/>
      <c r="C2216" s="10"/>
      <c r="D2216" s="10"/>
      <c r="E2216" s="10"/>
      <c r="F2216" s="12"/>
      <c r="G2216" s="10"/>
      <c r="H2216" s="13"/>
      <c r="I2216" s="10"/>
      <c r="J2216" s="10"/>
      <c r="K2216" s="10"/>
      <c r="L2216" s="10"/>
      <c r="M2216" s="10"/>
      <c r="N2216" s="10"/>
      <c r="O2216" s="10"/>
    </row>
    <row r="2217">
      <c r="A2217" s="10"/>
      <c r="B2217" s="14"/>
      <c r="C2217" s="10"/>
      <c r="D2217" s="10"/>
      <c r="E2217" s="10"/>
      <c r="F2217" s="12"/>
      <c r="G2217" s="10"/>
      <c r="H2217" s="13"/>
      <c r="I2217" s="10"/>
      <c r="J2217" s="10"/>
      <c r="K2217" s="10"/>
      <c r="L2217" s="10"/>
      <c r="M2217" s="10"/>
      <c r="N2217" s="10"/>
      <c r="O2217" s="10"/>
    </row>
    <row r="2218">
      <c r="A2218" s="10"/>
      <c r="B2218" s="14"/>
      <c r="C2218" s="10"/>
      <c r="D2218" s="10"/>
      <c r="E2218" s="10"/>
      <c r="F2218" s="12"/>
      <c r="G2218" s="10"/>
      <c r="H2218" s="13"/>
      <c r="I2218" s="10"/>
      <c r="J2218" s="10"/>
      <c r="K2218" s="10"/>
      <c r="L2218" s="10"/>
      <c r="M2218" s="10"/>
      <c r="N2218" s="10"/>
      <c r="O2218" s="10"/>
    </row>
    <row r="2219">
      <c r="A2219" s="10"/>
      <c r="B2219" s="14"/>
      <c r="C2219" s="10"/>
      <c r="D2219" s="10"/>
      <c r="E2219" s="10"/>
      <c r="F2219" s="12"/>
      <c r="G2219" s="10"/>
      <c r="H2219" s="13"/>
      <c r="I2219" s="10"/>
      <c r="J2219" s="10"/>
      <c r="K2219" s="10"/>
      <c r="L2219" s="10"/>
      <c r="M2219" s="10"/>
      <c r="N2219" s="10"/>
      <c r="O2219" s="10"/>
    </row>
    <row r="2220">
      <c r="A2220" s="10"/>
      <c r="B2220" s="14"/>
      <c r="C2220" s="10"/>
      <c r="D2220" s="10"/>
      <c r="E2220" s="10"/>
      <c r="F2220" s="12"/>
      <c r="G2220" s="10"/>
      <c r="H2220" s="13"/>
      <c r="I2220" s="10"/>
      <c r="J2220" s="10"/>
      <c r="K2220" s="10"/>
      <c r="L2220" s="10"/>
      <c r="M2220" s="10"/>
      <c r="N2220" s="10"/>
      <c r="O2220" s="10"/>
    </row>
    <row r="2221">
      <c r="A2221" s="10"/>
      <c r="B2221" s="14"/>
      <c r="C2221" s="10"/>
      <c r="D2221" s="10"/>
      <c r="E2221" s="10"/>
      <c r="F2221" s="12"/>
      <c r="G2221" s="10"/>
      <c r="H2221" s="13"/>
      <c r="I2221" s="10"/>
      <c r="J2221" s="10"/>
      <c r="K2221" s="10"/>
      <c r="L2221" s="10"/>
      <c r="M2221" s="10"/>
      <c r="N2221" s="10"/>
      <c r="O2221" s="10"/>
    </row>
    <row r="2222">
      <c r="A2222" s="10"/>
      <c r="B2222" s="14"/>
      <c r="C2222" s="10"/>
      <c r="D2222" s="10"/>
      <c r="E2222" s="10"/>
      <c r="F2222" s="12"/>
      <c r="G2222" s="10"/>
      <c r="H2222" s="13"/>
      <c r="I2222" s="10"/>
      <c r="J2222" s="10"/>
      <c r="K2222" s="10"/>
      <c r="L2222" s="10"/>
      <c r="M2222" s="10"/>
      <c r="N2222" s="10"/>
      <c r="O2222" s="10"/>
    </row>
    <row r="2223">
      <c r="A2223" s="10"/>
      <c r="B2223" s="14"/>
      <c r="C2223" s="10"/>
      <c r="D2223" s="10"/>
      <c r="E2223" s="10"/>
      <c r="F2223" s="12"/>
      <c r="G2223" s="10"/>
      <c r="H2223" s="13"/>
      <c r="I2223" s="10"/>
      <c r="J2223" s="10"/>
      <c r="K2223" s="10"/>
      <c r="L2223" s="10"/>
      <c r="M2223" s="10"/>
      <c r="N2223" s="10"/>
      <c r="O2223" s="10"/>
    </row>
    <row r="2224">
      <c r="A2224" s="10"/>
      <c r="B2224" s="14"/>
      <c r="C2224" s="10"/>
      <c r="D2224" s="10"/>
      <c r="E2224" s="10"/>
      <c r="F2224" s="12"/>
      <c r="G2224" s="10"/>
      <c r="H2224" s="13"/>
      <c r="I2224" s="10"/>
      <c r="J2224" s="10"/>
      <c r="K2224" s="10"/>
      <c r="L2224" s="10"/>
      <c r="M2224" s="10"/>
      <c r="N2224" s="10"/>
      <c r="O2224" s="10"/>
    </row>
    <row r="2225">
      <c r="A2225" s="10"/>
      <c r="B2225" s="14"/>
      <c r="C2225" s="10"/>
      <c r="D2225" s="10"/>
      <c r="E2225" s="10"/>
      <c r="F2225" s="12"/>
      <c r="G2225" s="10"/>
      <c r="H2225" s="13"/>
      <c r="I2225" s="10"/>
      <c r="J2225" s="10"/>
      <c r="K2225" s="10"/>
      <c r="L2225" s="10"/>
      <c r="M2225" s="10"/>
      <c r="N2225" s="10"/>
      <c r="O2225" s="10"/>
    </row>
    <row r="2226">
      <c r="A2226" s="10"/>
      <c r="B2226" s="14"/>
      <c r="C2226" s="10"/>
      <c r="D2226" s="10"/>
      <c r="E2226" s="10"/>
      <c r="F2226" s="12"/>
      <c r="G2226" s="10"/>
      <c r="H2226" s="13"/>
      <c r="I2226" s="10"/>
      <c r="J2226" s="10"/>
      <c r="K2226" s="10"/>
      <c r="L2226" s="10"/>
      <c r="M2226" s="10"/>
      <c r="N2226" s="10"/>
      <c r="O2226" s="10"/>
    </row>
    <row r="2227">
      <c r="A2227" s="10"/>
      <c r="B2227" s="14"/>
      <c r="C2227" s="10"/>
      <c r="D2227" s="10"/>
      <c r="E2227" s="10"/>
      <c r="F2227" s="12"/>
      <c r="G2227" s="10"/>
      <c r="H2227" s="13"/>
      <c r="I2227" s="10"/>
      <c r="J2227" s="10"/>
      <c r="K2227" s="10"/>
      <c r="L2227" s="10"/>
      <c r="M2227" s="10"/>
      <c r="N2227" s="10"/>
      <c r="O2227" s="10"/>
    </row>
    <row r="2228">
      <c r="A2228" s="10"/>
      <c r="B2228" s="14"/>
      <c r="C2228" s="10"/>
      <c r="D2228" s="10"/>
      <c r="E2228" s="10"/>
      <c r="F2228" s="12"/>
      <c r="G2228" s="10"/>
      <c r="H2228" s="13"/>
      <c r="I2228" s="10"/>
      <c r="J2228" s="10"/>
      <c r="K2228" s="10"/>
      <c r="L2228" s="10"/>
      <c r="M2228" s="10"/>
      <c r="N2228" s="10"/>
      <c r="O2228" s="10"/>
    </row>
    <row r="2229">
      <c r="A2229" s="10"/>
      <c r="B2229" s="14"/>
      <c r="C2229" s="10"/>
      <c r="D2229" s="10"/>
      <c r="E2229" s="10"/>
      <c r="F2229" s="12"/>
      <c r="G2229" s="10"/>
      <c r="H2229" s="13"/>
      <c r="I2229" s="10"/>
      <c r="J2229" s="10"/>
      <c r="K2229" s="10"/>
      <c r="L2229" s="10"/>
      <c r="M2229" s="10"/>
      <c r="N2229" s="10"/>
      <c r="O2229" s="10"/>
    </row>
    <row r="2230">
      <c r="A2230" s="10"/>
      <c r="B2230" s="14"/>
      <c r="C2230" s="10"/>
      <c r="D2230" s="10"/>
      <c r="E2230" s="10"/>
      <c r="F2230" s="12"/>
      <c r="G2230" s="10"/>
      <c r="H2230" s="13"/>
      <c r="I2230" s="10"/>
      <c r="J2230" s="10"/>
      <c r="K2230" s="10"/>
      <c r="L2230" s="10"/>
      <c r="M2230" s="10"/>
      <c r="N2230" s="10"/>
      <c r="O2230" s="10"/>
    </row>
  </sheetData>
  <customSheetViews>
    <customSheetView guid="{810167C6-C4CB-4575-899B-3AFD8CE4E5CA}" filter="1" showAutoFilter="1">
      <autoFilter ref="$A$1:$O$2215">
        <filterColumn colId="7">
          <customFilters>
            <customFilter val="*Array*"/>
          </customFilters>
        </filterColumn>
      </autoFilter>
    </customSheetView>
    <customSheetView guid="{498C7415-862F-4BD2-9FB7-0D50F7143666}" filter="1" showAutoFilter="1">
      <autoFilter ref="$A$1:$O$2215"/>
    </customSheetView>
  </customSheetViews>
  <conditionalFormatting sqref="J1:L2230">
    <cfRule type="containsText" dxfId="0" priority="1" operator="containsText" text="True">
      <formula>NOT(ISERROR(SEARCH(("True"),(J1))))</formula>
    </cfRule>
  </conditionalFormatting>
  <conditionalFormatting sqref="J1:L2230">
    <cfRule type="containsText" dxfId="1" priority="2" operator="containsText" text="False">
      <formula>NOT(ISERROR(SEARCH(("False"),(J1))))</formula>
    </cfRule>
  </conditionalFormatting>
  <conditionalFormatting sqref="I1:I2230">
    <cfRule type="containsText" dxfId="2" priority="3" operator="containsText" text="Medium">
      <formula>NOT(ISERROR(SEARCH(("Medium"),(I1))))</formula>
    </cfRule>
  </conditionalFormatting>
  <conditionalFormatting sqref="I1:I2230">
    <cfRule type="containsText" dxfId="0" priority="4" operator="containsText" text="Easy">
      <formula>NOT(ISERROR(SEARCH(("Easy"),(I1))))</formula>
    </cfRule>
  </conditionalFormatting>
  <conditionalFormatting sqref="O1:O2230">
    <cfRule type="containsText" dxfId="1" priority="5" operator="containsText" text="Hard">
      <formula>NOT(ISERROR(SEARCH(("Hard"),(O1))))</formula>
    </cfRule>
  </conditionalFormatting>
  <conditionalFormatting sqref="I1:I2230">
    <cfRule type="containsText" dxfId="1" priority="6" operator="containsText" text="Hard">
      <formula>NOT(ISERROR(SEARCH(("Hard"),(I1))))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88"/>
  </cols>
  <sheetData>
    <row r="1">
      <c r="A1" s="10">
        <f>Github!J$2</f>
        <v>1</v>
      </c>
      <c r="B1" s="11" t="str">
        <f>HYPERLINK(CONCAT("http://leetcode.com/problems/",Github!C$2), Github!B$2)</f>
        <v>Two Sum</v>
      </c>
      <c r="C1" s="15" t="s">
        <v>16</v>
      </c>
    </row>
    <row r="2">
      <c r="A2" s="10">
        <f>Github!J$4</f>
        <v>3</v>
      </c>
      <c r="B2" s="11" t="str">
        <f>HYPERLINK(CONCAT("http://leetcode.com/problems/",Github!C$4), Github!B$4)</f>
        <v>Longest Substring Without Repeating Characters</v>
      </c>
      <c r="C2" s="15" t="s">
        <v>16</v>
      </c>
    </row>
    <row r="3">
      <c r="A3" s="10">
        <f>Github!J$54</f>
        <v>53</v>
      </c>
      <c r="B3" s="11" t="str">
        <f>HYPERLINK(CONCAT("http://leetcode.com/problems/",Github!C$54), Github!B$54)</f>
        <v>Maximum Subarray</v>
      </c>
      <c r="C3" s="15" t="s">
        <v>16</v>
      </c>
    </row>
    <row r="4">
      <c r="A4" s="10">
        <f>Github!J$43</f>
        <v>42</v>
      </c>
      <c r="B4" s="11" t="str">
        <f>HYPERLINK(CONCAT("http://leetcode.com/problems/",Github!C$43), Github!B$43)</f>
        <v>Trapping Rain Water</v>
      </c>
      <c r="C4" s="15" t="s">
        <v>16</v>
      </c>
    </row>
    <row r="5">
      <c r="A5" s="10">
        <f>Github!J$3</f>
        <v>2</v>
      </c>
      <c r="B5" s="11" t="str">
        <f>HYPERLINK(CONCAT("http://leetcode.com/problems/",Github!C$3), Github!B$3)</f>
        <v>Add Two Numbers</v>
      </c>
      <c r="C5" s="15" t="s">
        <v>16</v>
      </c>
    </row>
    <row r="6">
      <c r="A6" s="10">
        <f>Github!J$16</f>
        <v>15</v>
      </c>
      <c r="B6" s="11" t="str">
        <f>HYPERLINK(CONCAT("http://leetcode.com/problems/",Github!C$16), Github!B$16)</f>
        <v>3Sum</v>
      </c>
    </row>
    <row r="7">
      <c r="A7" s="10">
        <f>Github!J$6</f>
        <v>5</v>
      </c>
      <c r="B7" s="11" t="str">
        <f>HYPERLINK(CONCAT("http://leetcode.com/problems/",Github!C$6), Github!B$6)</f>
        <v>Longest Palindromic Substring</v>
      </c>
      <c r="C7" s="15" t="s">
        <v>16</v>
      </c>
    </row>
    <row r="8">
      <c r="A8" s="10">
        <f>Github!J$12</f>
        <v>11</v>
      </c>
      <c r="B8" s="11" t="str">
        <f>HYPERLINK(CONCAT("http://leetcode.com/problems/",Github!C$12), Github!B$12)</f>
        <v>Container With Most Water</v>
      </c>
      <c r="C8" s="15" t="s">
        <v>16</v>
      </c>
    </row>
    <row r="9">
      <c r="A9" s="10">
        <f>Github!J$5</f>
        <v>4</v>
      </c>
      <c r="B9" s="11" t="str">
        <f>HYPERLINK(CONCAT("http://leetcode.com/problems/",Github!C$5), Github!B$5)</f>
        <v>Median of Two Sorted Arrays</v>
      </c>
    </row>
    <row r="10">
      <c r="A10" s="10">
        <f>Github!J$122</f>
        <v>121</v>
      </c>
      <c r="B10" s="11" t="str">
        <f>HYPERLINK(CONCAT("http://leetcode.com/problems/",Github!C$122), Github!B$122)</f>
        <v>Best Time to Buy and Sell Stock</v>
      </c>
      <c r="C10" s="15" t="s">
        <v>16</v>
      </c>
    </row>
    <row r="11">
      <c r="A11" s="10"/>
      <c r="B11" s="14"/>
      <c r="C11" s="15"/>
    </row>
    <row r="12">
      <c r="A12" s="10"/>
      <c r="B12" s="14"/>
      <c r="C12" s="15"/>
    </row>
    <row r="13">
      <c r="A13" s="10">
        <f>Github!J$34</f>
        <v>33</v>
      </c>
      <c r="B13" s="11" t="str">
        <f>HYPERLINK(CONCAT("http://leetcode.com/problems/",Github!C$34), Github!B$34)</f>
        <v>Search in Rotated Sorted Array</v>
      </c>
      <c r="C13" s="15" t="s">
        <v>16</v>
      </c>
    </row>
    <row r="14">
      <c r="A14" s="10">
        <f>Github!J$288</f>
        <v>287</v>
      </c>
      <c r="B14" s="11" t="str">
        <f>HYPERLINK(CONCAT("http://leetcode.com/problems/",Github!C$288), Github!B$288)</f>
        <v>Find the Duplicate Number</v>
      </c>
      <c r="C14" s="15" t="s">
        <v>16</v>
      </c>
    </row>
    <row r="15">
      <c r="A15" s="10">
        <f>Github!J$201</f>
        <v>200</v>
      </c>
      <c r="B15" s="11" t="str">
        <f>HYPERLINK(CONCAT("http://leetcode.com/problems/",Github!C$201), Github!B$201)</f>
        <v>Number of Islands</v>
      </c>
      <c r="C15" s="15" t="s">
        <v>16</v>
      </c>
    </row>
    <row r="16">
      <c r="A16" s="10">
        <f>Github!J$57</f>
        <v>56</v>
      </c>
      <c r="B16" s="11" t="str">
        <f>HYPERLINK(CONCAT("http://leetcode.com/problems/",Github!C$57), Github!B$57)</f>
        <v>Merge Intervals</v>
      </c>
      <c r="C16" s="15" t="s">
        <v>16</v>
      </c>
    </row>
    <row r="17">
      <c r="A17" s="10">
        <f>Github!J$561</f>
        <v>560</v>
      </c>
      <c r="B17" s="11" t="str">
        <f>HYPERLINK(CONCAT("http://leetcode.com/problems/",Github!C$561), Github!B$561)</f>
        <v>Subarray Sum Equals K</v>
      </c>
      <c r="C17" s="15" t="s">
        <v>16</v>
      </c>
    </row>
    <row r="18">
      <c r="A18" s="10">
        <f>Github!J$147</f>
        <v>146</v>
      </c>
      <c r="B18" s="11" t="str">
        <f>HYPERLINK(CONCAT("http://leetcode.com/problems/",Github!C$147), Github!B$147)</f>
        <v>LRU Cache</v>
      </c>
    </row>
    <row r="19">
      <c r="A19" s="10">
        <f>Github!J$21</f>
        <v>20</v>
      </c>
      <c r="B19" s="11" t="str">
        <f>HYPERLINK(CONCAT("http://leetcode.com/problems/",Github!C$21), Github!B$21)</f>
        <v>Valid Parentheses</v>
      </c>
      <c r="C19" s="15" t="s">
        <v>16</v>
      </c>
    </row>
    <row r="20">
      <c r="A20" s="10">
        <f>Github!J$23</f>
        <v>22</v>
      </c>
      <c r="B20" s="11" t="str">
        <f>HYPERLINK(CONCAT("http://leetcode.com/problems/",Github!C$23), Github!B$23)</f>
        <v>Generate Parentheses</v>
      </c>
      <c r="C20" s="15" t="s">
        <v>16</v>
      </c>
    </row>
    <row r="21">
      <c r="A21" s="10">
        <f>Github!J$199</f>
        <v>198</v>
      </c>
      <c r="B21" s="11" t="str">
        <f>HYPERLINK(CONCAT("http://leetcode.com/problems/",Github!C$199), Github!B$199)</f>
        <v>House Robber</v>
      </c>
      <c r="C21" s="15" t="s">
        <v>16</v>
      </c>
    </row>
    <row r="22">
      <c r="A22" s="10">
        <f>Github!J$239</f>
        <v>238</v>
      </c>
      <c r="B22" s="11" t="str">
        <f>HYPERLINK(CONCAT("http://leetcode.com/problems/",Github!C$239), Github!B$239)</f>
        <v>Product of Array Except Self</v>
      </c>
      <c r="C22" s="15" t="s">
        <v>16</v>
      </c>
    </row>
    <row r="23">
      <c r="A23" s="10">
        <f>Github!J$24</f>
        <v>23</v>
      </c>
      <c r="B23" s="11" t="str">
        <f>HYPERLINK(CONCAT("http://leetcode.com/problems/",Github!C$24), Github!B$24)</f>
        <v>Merge k Sorted Lists</v>
      </c>
      <c r="C23" s="15" t="s">
        <v>16</v>
      </c>
    </row>
    <row r="24">
      <c r="A24" s="10">
        <f>Github!J$22</f>
        <v>21</v>
      </c>
      <c r="B24" s="11" t="str">
        <f>HYPERLINK(CONCAT("http://leetcode.com/problems/",Github!C$22), Github!B$22)</f>
        <v>Merge Two Sorted Lists</v>
      </c>
      <c r="C24" s="15" t="s">
        <v>16</v>
      </c>
    </row>
    <row r="25">
      <c r="A25" s="10"/>
      <c r="B25" s="14"/>
    </row>
    <row r="26">
      <c r="A26" s="10"/>
      <c r="B26" s="14"/>
    </row>
    <row r="27">
      <c r="A27" s="10">
        <f>Github!J$301</f>
        <v>300</v>
      </c>
      <c r="B27" s="11" t="str">
        <f>HYPERLINK(CONCAT("http://leetcode.com/problems/",Github!C$301), Github!B$301)</f>
        <v>Longest Increasing Subsequence</v>
      </c>
      <c r="C27" s="15" t="s">
        <v>16</v>
      </c>
    </row>
    <row r="28">
      <c r="A28" s="10">
        <f>Github!J$207</f>
        <v>206</v>
      </c>
      <c r="B28" s="11" t="str">
        <f>HYPERLINK(CONCAT("http://leetcode.com/problems/",Github!C$207), Github!B$207)</f>
        <v>Reverse Linked List</v>
      </c>
      <c r="C28" s="15" t="s">
        <v>16</v>
      </c>
    </row>
    <row r="29">
      <c r="A29" s="10">
        <f>Github!J$71</f>
        <v>70</v>
      </c>
      <c r="B29" s="11" t="str">
        <f>HYPERLINK(CONCAT("http://leetcode.com/problems/",Github!C$71), Github!B$71)</f>
        <v>Climbing Stairs</v>
      </c>
      <c r="C29" s="15" t="s">
        <v>16</v>
      </c>
    </row>
    <row r="30">
      <c r="A30" s="10">
        <f>Github!J$153</f>
        <v>152</v>
      </c>
      <c r="B30" s="11" t="str">
        <f>HYPERLINK(CONCAT("http://leetcode.com/problems/",Github!C$153), Github!B$153)</f>
        <v>Maximum Product Subarray</v>
      </c>
      <c r="C30" s="15" t="s">
        <v>16</v>
      </c>
    </row>
    <row r="31">
      <c r="A31" s="10">
        <f>Github!J$323</f>
        <v>322</v>
      </c>
      <c r="B31" s="11" t="str">
        <f>HYPERLINK(CONCAT("http://leetcode.com/problems/",Github!C$323), Github!B$323)</f>
        <v>Coin Change</v>
      </c>
    </row>
    <row r="32">
      <c r="A32" s="10">
        <f>Github!J$56</f>
        <v>55</v>
      </c>
      <c r="B32" s="11" t="str">
        <f>HYPERLINK(CONCAT("http://leetcode.com/problems/",Github!C$56), Github!B$56)</f>
        <v>Jump Game</v>
      </c>
      <c r="C32" s="15" t="s">
        <v>16</v>
      </c>
    </row>
    <row r="33">
      <c r="A33" s="10"/>
      <c r="B33" s="14"/>
    </row>
    <row r="34">
      <c r="A34" s="10"/>
      <c r="B34" s="14"/>
    </row>
    <row r="35">
      <c r="A35" s="10">
        <f>Github!J$40</f>
        <v>39</v>
      </c>
      <c r="B35" s="11" t="str">
        <f>HYPERLINK(CONCAT("http://leetcode.com/problems/",Github!C$40), Github!B$40)</f>
        <v>Combination Sum</v>
      </c>
      <c r="C35" s="15" t="s">
        <v>16</v>
      </c>
    </row>
    <row r="36">
      <c r="A36" s="10">
        <f>Github!J$32</f>
        <v>31</v>
      </c>
      <c r="B36" s="11" t="str">
        <f>HYPERLINK(CONCAT("http://leetcode.com/problems/",Github!C$32), Github!B$32)</f>
        <v>Next Permutation</v>
      </c>
      <c r="C36" s="15" t="s">
        <v>16</v>
      </c>
    </row>
    <row r="37">
      <c r="A37" s="10">
        <f>Github!J$35</f>
        <v>34</v>
      </c>
      <c r="B37" s="11" t="str">
        <f>HYPERLINK(CONCAT("http://leetcode.com/problems/",Github!C$35), Github!B$35)</f>
        <v>Find First and Last Position of Element in Sorted Array</v>
      </c>
      <c r="C37" s="15" t="s">
        <v>16</v>
      </c>
    </row>
    <row r="38">
      <c r="A38" s="10">
        <f>Github!J$140</f>
        <v>139</v>
      </c>
      <c r="B38" s="11" t="str">
        <f>HYPERLINK(CONCAT("http://leetcode.com/problems/",Github!C$140), Github!B$140)</f>
        <v>Word Break</v>
      </c>
    </row>
    <row r="39">
      <c r="A39" s="10">
        <f>Github!J$47</f>
        <v>46</v>
      </c>
      <c r="B39" s="11" t="str">
        <f>HYPERLINK(CONCAT("http://leetcode.com/problems/",Github!C$47), Github!B$47)</f>
        <v>Permutations</v>
      </c>
      <c r="C39" s="15" t="s">
        <v>16</v>
      </c>
    </row>
    <row r="40">
      <c r="A40" s="10">
        <f>Github!J$77</f>
        <v>76</v>
      </c>
      <c r="B40" s="11" t="str">
        <f>HYPERLINK(CONCAT("http://leetcode.com/problems/",Github!C$77), Github!B$77)</f>
        <v>Minimum Window Substring</v>
      </c>
    </row>
    <row r="41">
      <c r="A41" s="10">
        <f>Github!J$79</f>
        <v>78</v>
      </c>
      <c r="B41" s="11" t="str">
        <f>HYPERLINK(CONCAT("http://leetcode.com/problems/",Github!C$79), Github!B$79)</f>
        <v>Subsets</v>
      </c>
      <c r="C41" s="15" t="s">
        <v>16</v>
      </c>
    </row>
    <row r="42">
      <c r="A42" s="10">
        <f>Github!J$85</f>
        <v>84</v>
      </c>
      <c r="B42" s="11" t="str">
        <f>HYPERLINK(CONCAT("http://leetcode.com/problems/",Github!C$85), Github!B$85)</f>
        <v>Largest Rectangle in Histogram</v>
      </c>
    </row>
    <row r="43">
      <c r="A43" s="10">
        <f>Github!J$20</f>
        <v>19</v>
      </c>
      <c r="B43" s="11" t="str">
        <f>HYPERLINK(CONCAT("http://leetcode.com/problems/",Github!C$20), Github!B$20)</f>
        <v>Remove Nth Node From End of List</v>
      </c>
      <c r="C43" s="15" t="s">
        <v>16</v>
      </c>
    </row>
    <row r="44">
      <c r="A44" s="10"/>
      <c r="B44" s="14"/>
    </row>
    <row r="45">
      <c r="A45" s="10"/>
      <c r="B45" s="14"/>
    </row>
    <row r="46">
      <c r="A46" s="10">
        <f>Github!J$18</f>
        <v>17</v>
      </c>
      <c r="B46" s="11" t="str">
        <f>HYPERLINK(CONCAT("http://leetcode.com/problems/",Github!C$18), Github!B$18)</f>
        <v>Letter Combinations of a Phone Number</v>
      </c>
      <c r="C46" s="15" t="s">
        <v>16</v>
      </c>
    </row>
    <row r="47">
      <c r="A47" s="10">
        <f>Github!J$137</f>
        <v>136</v>
      </c>
      <c r="B47" s="11" t="str">
        <f>HYPERLINK(CONCAT("http://leetcode.com/problems/",Github!C$137), Github!B$137)</f>
        <v>Single Number</v>
      </c>
      <c r="C47" s="15" t="s">
        <v>16</v>
      </c>
    </row>
    <row r="48">
      <c r="A48" s="10">
        <f>Github!J$240</f>
        <v>239</v>
      </c>
      <c r="B48" s="11" t="str">
        <f>HYPERLINK(CONCAT("http://leetcode.com/problems/",Github!C$240), Github!B$240)</f>
        <v>Sliding Window Maximum</v>
      </c>
      <c r="C48" s="15" t="s">
        <v>16</v>
      </c>
    </row>
    <row r="49">
      <c r="A49" s="10">
        <f>Github!J$76</f>
        <v>75</v>
      </c>
      <c r="B49" s="11" t="str">
        <f>HYPERLINK(CONCAT("http://leetcode.com/problems/",Github!C$76), Github!B$76)</f>
        <v>Sort Colors</v>
      </c>
      <c r="C49" s="15" t="s">
        <v>16</v>
      </c>
    </row>
    <row r="50">
      <c r="A50" s="10">
        <f>Github!J$99</f>
        <v>98</v>
      </c>
      <c r="B50" s="11" t="str">
        <f>HYPERLINK(CONCAT("http://leetcode.com/problems/",Github!C$99), Github!B$99)</f>
        <v>Validate Binary Search Tree</v>
      </c>
      <c r="C50" s="15" t="s">
        <v>16</v>
      </c>
    </row>
    <row r="51">
      <c r="A51" s="10">
        <f>Github!J$237</f>
        <v>236</v>
      </c>
      <c r="B51" s="11" t="str">
        <f>HYPERLINK(CONCAT("http://leetcode.com/problems/",Github!C$237), Github!B$237)</f>
        <v>Lowest Common Ancestor of a Binary Tree</v>
      </c>
      <c r="C51" s="15" t="s">
        <v>16</v>
      </c>
    </row>
    <row r="52">
      <c r="A52" s="10">
        <f>Github!J$170</f>
        <v>169</v>
      </c>
      <c r="B52" s="11" t="str">
        <f>HYPERLINK(CONCAT("http://leetcode.com/problems/",Github!C$170), Github!B$170)</f>
        <v>Majority Element</v>
      </c>
      <c r="C52" s="15" t="s">
        <v>16</v>
      </c>
    </row>
    <row r="53">
      <c r="A53" s="10"/>
      <c r="B53" s="14"/>
    </row>
    <row r="54">
      <c r="A54" s="10"/>
      <c r="B54" s="14"/>
    </row>
    <row r="55">
      <c r="A55" s="10">
        <f>Github!J$42</f>
        <v>41</v>
      </c>
      <c r="B55" s="11" t="str">
        <f>HYPERLINK(CONCAT("http://leetcode.com/problems/",Github!C$42), Github!B$42)</f>
        <v>First Missing Positive</v>
      </c>
      <c r="C55" s="15" t="s">
        <v>16</v>
      </c>
    </row>
    <row r="56">
      <c r="A56" s="10">
        <f>Github!J$125</f>
        <v>124</v>
      </c>
      <c r="B56" s="11" t="str">
        <f>HYPERLINK(CONCAT("http://leetcode.com/problems/",Github!C$125), Github!B$125)</f>
        <v>Binary Tree Maximum Path Sum</v>
      </c>
      <c r="C56" s="15" t="s">
        <v>16</v>
      </c>
    </row>
    <row r="57">
      <c r="A57" s="10">
        <f>Github!J$102</f>
        <v>101</v>
      </c>
      <c r="B57" s="11" t="str">
        <f>HYPERLINK(CONCAT("http://leetcode.com/problems/",Github!C$102), Github!B$102)</f>
        <v>Symmetric Tree</v>
      </c>
      <c r="C57" s="15" t="s">
        <v>16</v>
      </c>
    </row>
    <row r="58">
      <c r="A58" s="10">
        <f>Github!J$190</f>
        <v>189</v>
      </c>
      <c r="B58" s="11" t="str">
        <f>HYPERLINK(CONCAT("http://leetcode.com/problems/",Github!C$190), Github!B$190)</f>
        <v>Rotate Array</v>
      </c>
      <c r="C58" s="15" t="s">
        <v>16</v>
      </c>
    </row>
    <row r="59">
      <c r="A59" s="10">
        <f>Github!J$129</f>
        <v>128</v>
      </c>
      <c r="B59" s="11" t="str">
        <f>HYPERLINK(CONCAT("http://leetcode.com/problems/",Github!C$129), Github!B$129)</f>
        <v>Longest Consecutive Sequence</v>
      </c>
      <c r="C59" s="15" t="s">
        <v>16</v>
      </c>
    </row>
    <row r="60">
      <c r="A60" s="10">
        <f>Github!J$208</f>
        <v>207</v>
      </c>
      <c r="B60" s="11" t="str">
        <f>HYPERLINK(CONCAT("http://leetcode.com/problems/",Github!C$208), Github!B$208)</f>
        <v>Course Schedule</v>
      </c>
    </row>
    <row r="61">
      <c r="A61" s="10"/>
      <c r="B61" s="14"/>
    </row>
    <row r="62">
      <c r="A62" s="10"/>
      <c r="B62" s="14"/>
    </row>
    <row r="63">
      <c r="A63" s="10">
        <f>Github!J$80</f>
        <v>79</v>
      </c>
      <c r="B63" s="11" t="str">
        <f>HYPERLINK(CONCAT("http://leetcode.com/problems/",Github!C$80), Github!B$80)</f>
        <v>Word Search</v>
      </c>
    </row>
    <row r="64">
      <c r="A64" s="10">
        <f>Github!J$50</f>
        <v>49</v>
      </c>
      <c r="B64" s="11" t="str">
        <f>HYPERLINK(CONCAT("http://leetcode.com/problems/",Github!C$50), Github!B$50)</f>
        <v>Group Anagrams</v>
      </c>
      <c r="C64" s="15" t="s">
        <v>16</v>
      </c>
    </row>
    <row r="65">
      <c r="A65" s="10">
        <f>Github!J$216</f>
        <v>215</v>
      </c>
      <c r="B65" s="11" t="str">
        <f>HYPERLINK(CONCAT("http://leetcode.com/problems/",Github!C$216), Github!B$216)</f>
        <v>Kth Largest Element in an Array</v>
      </c>
      <c r="C65" s="15" t="s">
        <v>16</v>
      </c>
    </row>
    <row r="66">
      <c r="A66" s="10">
        <f>Github!J$348</f>
        <v>347</v>
      </c>
      <c r="B66" s="11" t="str">
        <f>HYPERLINK(CONCAT("http://leetcode.com/problems/",Github!C$348), Github!B$348)</f>
        <v>Top K Frequent Elements</v>
      </c>
      <c r="C66" s="15" t="s">
        <v>16</v>
      </c>
    </row>
    <row r="67">
      <c r="A67" s="10">
        <f>Github!J$284</f>
        <v>283</v>
      </c>
      <c r="B67" s="11" t="str">
        <f>HYPERLINK(CONCAT("http://leetcode.com/problems/",Github!C$284), Github!B$284)</f>
        <v>Move Zeroes</v>
      </c>
      <c r="C67" s="15" t="s">
        <v>16</v>
      </c>
    </row>
    <row r="68">
      <c r="A68" s="10">
        <f>Github!J$49</f>
        <v>48</v>
      </c>
      <c r="B68" s="11" t="str">
        <f>HYPERLINK(CONCAT("http://leetcode.com/problems/",Github!C$49), Github!B$49)</f>
        <v>Rotate Image</v>
      </c>
      <c r="C68" s="15" t="s">
        <v>16</v>
      </c>
    </row>
    <row r="69">
      <c r="A69" s="10"/>
      <c r="B69" s="14"/>
    </row>
    <row r="70">
      <c r="A70" s="10"/>
      <c r="B70" s="14"/>
    </row>
    <row r="71">
      <c r="A71" s="10">
        <f>Github!J$235</f>
        <v>234</v>
      </c>
      <c r="B71" s="11" t="str">
        <f>HYPERLINK(CONCAT("http://leetcode.com/problems/",Github!C$235), Github!B$235)</f>
        <v>Palindrome Linked List</v>
      </c>
      <c r="C71" s="15" t="s">
        <v>16</v>
      </c>
    </row>
    <row r="72">
      <c r="A72" s="10">
        <f>Github!J$161</f>
        <v>160</v>
      </c>
      <c r="B72" s="11" t="str">
        <f>HYPERLINK(CONCAT("http://leetcode.com/problems/",Github!C$161), Github!B$161)</f>
        <v>Intersection of Two Linked Lists</v>
      </c>
      <c r="C72" s="15" t="s">
        <v>16</v>
      </c>
    </row>
    <row r="73">
      <c r="A73" s="10">
        <f>Github!J$63</f>
        <v>62</v>
      </c>
      <c r="B73" s="11" t="str">
        <f>HYPERLINK(CONCAT("http://leetcode.com/problems/",Github!C$63), Github!B$63)</f>
        <v>Unique Paths</v>
      </c>
      <c r="C73" s="15" t="s">
        <v>16</v>
      </c>
    </row>
    <row r="74">
      <c r="A74" s="10">
        <f>Github!J$139</f>
        <v>138</v>
      </c>
      <c r="B74" s="11" t="str">
        <f>HYPERLINK(CONCAT("http://leetcode.com/problems/",Github!C$139), Github!B$139)</f>
        <v>Copy List with Random Pointer</v>
      </c>
      <c r="C74" s="15" t="s">
        <v>16</v>
      </c>
    </row>
    <row r="75">
      <c r="A75" s="10">
        <f>Github!J$106</f>
        <v>105</v>
      </c>
      <c r="B75" s="11" t="str">
        <f>HYPERLINK(CONCAT("http://leetcode.com/problems/",Github!C$106), Github!B$106)</f>
        <v>Construct Binary Tree from Preorder and Inorder Traversal</v>
      </c>
    </row>
    <row r="76">
      <c r="A76" s="10">
        <f>Github!J$73</f>
        <v>72</v>
      </c>
      <c r="B76" s="11" t="str">
        <f>HYPERLINK(CONCAT("http://leetcode.com/problems/",Github!C$73), Github!B$73)</f>
        <v>Edit Distance</v>
      </c>
    </row>
    <row r="77">
      <c r="A77" s="10">
        <f>Github!J$227</f>
        <v>226</v>
      </c>
      <c r="B77" s="11" t="str">
        <f>HYPERLINK(CONCAT("http://leetcode.com/problems/",Github!C$227), Github!B$227)</f>
        <v>Invert Binary Tree</v>
      </c>
      <c r="C77" s="15" t="s">
        <v>16</v>
      </c>
    </row>
    <row r="78">
      <c r="A78" s="10">
        <f>Github!J$395</f>
        <v>394</v>
      </c>
      <c r="B78" s="11" t="str">
        <f>HYPERLINK(CONCAT("http://leetcode.com/problems/",Github!C$395), Github!B$395)</f>
        <v>Decode String</v>
      </c>
    </row>
    <row r="79">
      <c r="A79" s="10">
        <f>Github!J$11</f>
        <v>10</v>
      </c>
      <c r="B79" s="11" t="str">
        <f>HYPERLINK(CONCAT("http://leetcode.com/problems/",Github!C$11), Github!B$11)</f>
        <v>Regular Expression Matching</v>
      </c>
    </row>
    <row r="80">
      <c r="A80" s="10">
        <f>Github!J$103</f>
        <v>102</v>
      </c>
      <c r="B80" s="11" t="str">
        <f>HYPERLINK(CONCAT("http://leetcode.com/problems/",Github!C$103), Github!B$103)</f>
        <v>Binary Tree Level Order Traversal</v>
      </c>
      <c r="C80" s="15" t="s">
        <v>16</v>
      </c>
    </row>
    <row r="81">
      <c r="A81" s="10">
        <f>Github!J$142</f>
        <v>141</v>
      </c>
      <c r="B81" s="11" t="str">
        <f>HYPERLINK(CONCAT("http://leetcode.com/problems/",Github!C$142), Github!B$142)</f>
        <v>Linked List Cycle</v>
      </c>
      <c r="C81" s="15" t="s">
        <v>16</v>
      </c>
    </row>
    <row r="82">
      <c r="A82" s="10">
        <f>Github!J$156</f>
        <v>155</v>
      </c>
      <c r="B82" s="11" t="str">
        <f>HYPERLINK(CONCAT("http://leetcode.com/problems/",Github!C$156), Github!B$156)</f>
        <v>Min Stack</v>
      </c>
      <c r="C82" s="15" t="s">
        <v>16</v>
      </c>
    </row>
    <row r="83">
      <c r="A83" s="10"/>
      <c r="B83" s="14"/>
    </row>
    <row r="84">
      <c r="A84" s="10"/>
      <c r="B84" s="14"/>
    </row>
    <row r="85">
      <c r="A85" s="10">
        <f>Github!J$46</f>
        <v>45</v>
      </c>
      <c r="B85" s="11" t="str">
        <f>HYPERLINK(CONCAT("http://leetcode.com/problems/",Github!C$46), Github!B$46)</f>
        <v>Jump Game II</v>
      </c>
      <c r="C85" s="15" t="s">
        <v>16</v>
      </c>
    </row>
    <row r="86">
      <c r="A86" s="10">
        <f>Github!J$128</f>
        <v>127</v>
      </c>
      <c r="B86" s="11" t="str">
        <f>HYPERLINK(CONCAT("http://leetcode.com/problems/",Github!C$128), Github!B$128)</f>
        <v>Word Ladder</v>
      </c>
    </row>
    <row r="87">
      <c r="A87" s="10">
        <f>Github!J$15</f>
        <v>14</v>
      </c>
      <c r="B87" s="11" t="str">
        <f>HYPERLINK(CONCAT("http://leetcode.com/problems/",Github!C$15), Github!B$15)</f>
        <v>Longest Common Prefix</v>
      </c>
      <c r="C87" s="15" t="s">
        <v>16</v>
      </c>
    </row>
    <row r="88">
      <c r="A88" s="10">
        <f>Github!J$544</f>
        <v>543</v>
      </c>
      <c r="B88" s="11" t="str">
        <f>HYPERLINK(CONCAT("http://leetcode.com/problems/",Github!C$544), Github!B$544)</f>
        <v>Diameter of Binary Tree</v>
      </c>
      <c r="C88" s="15" t="s">
        <v>16</v>
      </c>
    </row>
    <row r="89">
      <c r="A89" s="10">
        <f>Github!J$764</f>
        <v>763</v>
      </c>
      <c r="B89" s="11" t="str">
        <f>HYPERLINK(CONCAT("http://leetcode.com/problems/",Github!C$764), Github!B$764)</f>
        <v>Partition Labels</v>
      </c>
      <c r="C89" s="15" t="s">
        <v>16</v>
      </c>
    </row>
    <row r="90">
      <c r="A90" s="10">
        <f>Github!J$33</f>
        <v>32</v>
      </c>
      <c r="B90" s="11" t="str">
        <f>HYPERLINK(CONCAT("http://leetcode.com/problems/",Github!C$33), Github!B$33)</f>
        <v>Longest Valid Parentheses</v>
      </c>
    </row>
    <row r="91">
      <c r="A91" s="10">
        <f>Github!J$36</f>
        <v>35</v>
      </c>
      <c r="B91" s="11" t="str">
        <f>HYPERLINK(CONCAT("http://leetcode.com/problems/",Github!C$36), Github!B$36)</f>
        <v>Search Insert Position</v>
      </c>
      <c r="C91" s="15" t="s">
        <v>16</v>
      </c>
    </row>
    <row r="92">
      <c r="A92" s="10">
        <f>Github!J$95</f>
        <v>94</v>
      </c>
      <c r="B92" s="11" t="str">
        <f>HYPERLINK(CONCAT("http://leetcode.com/problems/",Github!C$95), Github!B$95)</f>
        <v>Binary Tree Inorder Traversal</v>
      </c>
      <c r="C92" s="15" t="s">
        <v>16</v>
      </c>
    </row>
    <row r="93">
      <c r="A93" s="10">
        <f>Github!J$438</f>
        <v>437</v>
      </c>
      <c r="B93" s="11" t="str">
        <f>HYPERLINK(CONCAT("http://leetcode.com/problems/",Github!C$438), Github!B$438)</f>
        <v>Path Sum III</v>
      </c>
    </row>
    <row r="94">
      <c r="A94" s="10">
        <f>Github!J$123</f>
        <v>122</v>
      </c>
      <c r="B94" s="11" t="str">
        <f>HYPERLINK(CONCAT("http://leetcode.com/problems/",Github!C$123), Github!B$123)</f>
        <v>Best Time to Buy and Sell Stock II</v>
      </c>
      <c r="C94" s="15" t="s">
        <v>16</v>
      </c>
    </row>
    <row r="95">
      <c r="A95" s="10"/>
      <c r="B95" s="14"/>
    </row>
    <row r="96">
      <c r="A96" s="10"/>
      <c r="B96" s="14"/>
    </row>
    <row r="97">
      <c r="A97" s="10">
        <f>Github!J$439</f>
        <v>438</v>
      </c>
      <c r="B97" s="11" t="str">
        <f>HYPERLINK(CONCAT("http://leetcode.com/problems/",Github!C$439), Github!B$439)</f>
        <v>Find All Anagrams in a String</v>
      </c>
    </row>
    <row r="98">
      <c r="A98" s="10">
        <f>Github!J$417</f>
        <v>416</v>
      </c>
      <c r="B98" s="11" t="str">
        <f>HYPERLINK(CONCAT("http://leetcode.com/problems/",Github!C$417), Github!B$417)</f>
        <v>Partition Equal Subset Sum</v>
      </c>
      <c r="C98" s="15" t="s">
        <v>16</v>
      </c>
    </row>
    <row r="99">
      <c r="A99" s="10">
        <f>Github!J$75</f>
        <v>74</v>
      </c>
      <c r="B99" s="11" t="str">
        <f>HYPERLINK(CONCAT("http://leetcode.com/problems/",Github!C$75), Github!B$75)</f>
        <v>Search a 2D Matrix</v>
      </c>
      <c r="C99" s="15" t="s">
        <v>16</v>
      </c>
    </row>
    <row r="100">
      <c r="A100" s="10">
        <f>Github!J$241</f>
        <v>240</v>
      </c>
      <c r="B100" s="11" t="str">
        <f>HYPERLINK(CONCAT("http://leetcode.com/problems/",Github!C$241), Github!B$241)</f>
        <v>Search a 2D Matrix II</v>
      </c>
    </row>
    <row r="101">
      <c r="A101" s="10">
        <f>Github!J$65</f>
        <v>64</v>
      </c>
      <c r="B101" s="11" t="str">
        <f>HYPERLINK(CONCAT("http://leetcode.com/problems/",Github!C$65), Github!B$65)</f>
        <v>Minimum Path Sum</v>
      </c>
      <c r="C101" s="15" t="s">
        <v>16</v>
      </c>
    </row>
    <row r="102">
      <c r="A102" s="10">
        <f>Github!J$143</f>
        <v>142</v>
      </c>
      <c r="B102" s="11" t="str">
        <f>HYPERLINK(CONCAT("http://leetcode.com/problems/",Github!C$143), Github!B$143)</f>
        <v>Linked List Cycle II</v>
      </c>
      <c r="C102" s="15" t="s">
        <v>16</v>
      </c>
    </row>
    <row r="103">
      <c r="A103" s="10">
        <f>Github!J$97</f>
        <v>96</v>
      </c>
      <c r="B103" s="11" t="str">
        <f>HYPERLINK(CONCAT("http://leetcode.com/problems/",Github!C$97), Github!B$97)</f>
        <v>Unique Binary Search Trees</v>
      </c>
      <c r="C103" s="15" t="s">
        <v>16</v>
      </c>
    </row>
    <row r="104">
      <c r="A104" s="10">
        <f>Github!J$222</f>
        <v>221</v>
      </c>
      <c r="B104" s="11" t="str">
        <f>HYPERLINK(CONCAT("http://leetcode.com/problems/",Github!C$222), Github!B$222)</f>
        <v>Maximal Square</v>
      </c>
      <c r="C104" s="15" t="s">
        <v>16</v>
      </c>
    </row>
    <row r="105">
      <c r="A105" s="10">
        <f>Github!J$149</f>
        <v>148</v>
      </c>
      <c r="B105" s="11" t="str">
        <f>HYPERLINK(CONCAT("http://leetcode.com/problems/",Github!C$149), Github!B$149)</f>
        <v>Sort List</v>
      </c>
    </row>
    <row r="106">
      <c r="A106" s="10">
        <f>Github!J$8</f>
        <v>7</v>
      </c>
      <c r="B106" s="11" t="str">
        <f>HYPERLINK(CONCAT("http://leetcode.com/problems/",Github!C$8), Github!B$8)</f>
        <v>Reverse Integer</v>
      </c>
    </row>
    <row r="107">
      <c r="A107" s="10">
        <f>Github!J$55</f>
        <v>54</v>
      </c>
      <c r="B107" s="11" t="str">
        <f>HYPERLINK(CONCAT("http://leetcode.com/problems/",Github!C$55), Github!B$55)</f>
        <v>Spiral Matrix</v>
      </c>
    </row>
    <row r="108">
      <c r="A108" s="10">
        <f>Github!J$115</f>
        <v>114</v>
      </c>
      <c r="B108" s="11" t="str">
        <f>HYPERLINK(CONCAT("http://leetcode.com/problems/",Github!C$115), Github!B$115)</f>
        <v>Flatten Binary Tree to Linked List</v>
      </c>
      <c r="C108" s="15" t="s">
        <v>16</v>
      </c>
    </row>
    <row r="109">
      <c r="A109" s="10"/>
      <c r="B109" s="14"/>
    </row>
    <row r="110">
      <c r="A110" s="10"/>
      <c r="B110" s="14"/>
    </row>
    <row r="111">
      <c r="A111" s="10">
        <f>Github!J$231</f>
        <v>230</v>
      </c>
      <c r="B111" s="11" t="str">
        <f>HYPERLINK(CONCAT("http://leetcode.com/problems/",Github!C$231), Github!B$231)</f>
        <v>Kth Smallest Element in a BST</v>
      </c>
    </row>
    <row r="112">
      <c r="A112" s="10">
        <f>Github!J$26</f>
        <v>25</v>
      </c>
      <c r="B112" s="11" t="str">
        <f>HYPERLINK(CONCAT("http://leetcode.com/problems/",Github!C$26), Github!B$26)</f>
        <v>Reverse Nodes in k-Group</v>
      </c>
    </row>
    <row r="113">
      <c r="A113" s="10">
        <f>Github!J$209</f>
        <v>208</v>
      </c>
      <c r="B113" s="11" t="str">
        <f>HYPERLINK(CONCAT("http://leetcode.com/problems/",Github!C$209), Github!B$209)</f>
        <v>Implement Trie (Prefix Tree)</v>
      </c>
    </row>
    <row r="114">
      <c r="A114" s="10">
        <f>Github!J$25</f>
        <v>24</v>
      </c>
      <c r="B114" s="11" t="str">
        <f>HYPERLINK(CONCAT("http://leetcode.com/problems/",Github!C$25), Github!B$25)</f>
        <v>Swap Nodes in Pairs</v>
      </c>
    </row>
    <row r="115">
      <c r="A115" s="10">
        <f>Github!J$105</f>
        <v>104</v>
      </c>
      <c r="B115" s="11" t="str">
        <f>HYPERLINK(CONCAT("http://leetcode.com/problems/",Github!C$105), Github!B$105)</f>
        <v>Maximum Depth of Binary Tree</v>
      </c>
    </row>
    <row r="116">
      <c r="A116" s="10">
        <f>Github!J$339</f>
        <v>338</v>
      </c>
      <c r="B116" s="11" t="str">
        <f>HYPERLINK(CONCAT("http://leetcode.com/problems/",Github!C$339), Github!B$339)</f>
        <v>Counting Bits</v>
      </c>
    </row>
    <row r="117">
      <c r="A117" s="10">
        <f>Github!J$740</f>
        <v>739</v>
      </c>
      <c r="B117" s="11" t="str">
        <f>HYPERLINK(CONCAT("http://leetcode.com/problems/",Github!C$740), Github!B$740)</f>
        <v>Daily Temperatures</v>
      </c>
    </row>
    <row r="118">
      <c r="A118" s="10">
        <f>Github!J$74</f>
        <v>73</v>
      </c>
      <c r="B118" s="11" t="str">
        <f>HYPERLINK(CONCAT("http://leetcode.com/problems/",Github!C$74), Github!B$74)</f>
        <v>Set Matrix Zeroes</v>
      </c>
    </row>
    <row r="119">
      <c r="A119" s="10">
        <f>Github!J$92</f>
        <v>91</v>
      </c>
      <c r="B119" s="11" t="str">
        <f>HYPERLINK(CONCAT("http://leetcode.com/problems/",Github!C$92), Github!B$92)</f>
        <v>Decode Ways</v>
      </c>
    </row>
    <row r="120">
      <c r="A120" s="10">
        <f>Github!J$296</f>
        <v>295</v>
      </c>
      <c r="B120" s="11" t="str">
        <f>HYPERLINK(CONCAT("http://leetcode.com/problems/",Github!C$296), Github!B$296)</f>
        <v>Find Median from Data Stream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 outlineLevelRow="1"/>
  <cols>
    <col customWidth="1" min="1" max="1" width="13.75"/>
    <col customWidth="1" min="2" max="2" width="39.88"/>
    <col customWidth="1" min="3" max="3" width="12.5"/>
    <col customWidth="1" min="4" max="4" width="13.75"/>
    <col customWidth="1" min="5" max="5" width="17.13"/>
    <col customWidth="1" min="6" max="6" width="13.75"/>
    <col customWidth="1" min="7" max="7" width="12.13"/>
    <col customWidth="1" min="8" max="8" width="10.38"/>
    <col customWidth="1" min="9" max="9" width="11.88"/>
    <col customWidth="1" min="10" max="10" width="17.75"/>
    <col customWidth="1" min="11" max="11" width="16.38"/>
    <col customWidth="1" min="12" max="12" width="16.0"/>
    <col customWidth="1" min="13" max="26" width="13.75"/>
  </cols>
  <sheetData>
    <row r="1" outlineLevel="1">
      <c r="A1" s="3"/>
      <c r="B1" s="16" t="s">
        <v>17</v>
      </c>
      <c r="C1" s="3"/>
      <c r="D1" s="3"/>
      <c r="E1" s="17"/>
      <c r="F1" s="17"/>
      <c r="G1" s="17"/>
      <c r="H1" s="17"/>
      <c r="I1" s="18" t="s">
        <v>18</v>
      </c>
      <c r="J1" s="17"/>
      <c r="K1" s="17"/>
      <c r="L1" s="17"/>
    </row>
    <row r="2">
      <c r="A2" s="19" t="s">
        <v>19</v>
      </c>
      <c r="B2" s="19" t="s">
        <v>2</v>
      </c>
      <c r="C2" s="19" t="s">
        <v>20</v>
      </c>
      <c r="D2" s="19" t="s">
        <v>21</v>
      </c>
      <c r="E2" s="19" t="s">
        <v>22</v>
      </c>
      <c r="F2" s="19" t="s">
        <v>23</v>
      </c>
      <c r="G2" s="19" t="s">
        <v>7</v>
      </c>
      <c r="H2" s="19" t="s">
        <v>24</v>
      </c>
      <c r="I2" s="19" t="s">
        <v>9</v>
      </c>
      <c r="J2" s="19" t="s">
        <v>25</v>
      </c>
      <c r="K2" s="19" t="s">
        <v>26</v>
      </c>
      <c r="L2" s="19" t="s">
        <v>27</v>
      </c>
    </row>
    <row r="3">
      <c r="A3" s="20" t="str">
        <f>Github2!J$2</f>
        <v/>
      </c>
      <c r="B3" s="21" t="str">
        <f>HYPERLINK(CONCAT("http://leetcode.com/problems/",Github2!C$2), Github2!B$2)</f>
        <v>http://leetcode.com/problems/</v>
      </c>
      <c r="C3" s="20" t="str">
        <f>Github2!F$2</f>
        <v/>
      </c>
      <c r="D3" s="20" t="str">
        <f>Github2!G$2</f>
        <v/>
      </c>
      <c r="E3" s="20">
        <f>Github2!F$2+Github2!G$2</f>
        <v>0</v>
      </c>
      <c r="F3" s="22" t="str">
        <f t="shared" ref="F3:F2199" si="2">ROUND(C3/D3, 2)</f>
        <v>#DIV/0!</v>
      </c>
      <c r="G3" s="20" t="str">
        <f>Github2!H$2</f>
        <v/>
      </c>
      <c r="H3" s="20" t="str">
        <f>Github2!D$2</f>
        <v/>
      </c>
      <c r="I3" s="20" t="str">
        <f>Github2!E$2</f>
        <v/>
      </c>
      <c r="J3" s="20" t="str">
        <f>ROUND(Github2!N$2, 2)&amp;"%"</f>
        <v>0%</v>
      </c>
      <c r="K3" s="20" t="str">
        <f>Github2!O$2</f>
        <v/>
      </c>
      <c r="L3" s="20" t="str">
        <f>Github2!P$2</f>
        <v/>
      </c>
    </row>
    <row r="4">
      <c r="A4" s="20" t="str">
        <f t="shared" ref="A4:A83" si="5">#REF!</f>
        <v>#REF!</v>
      </c>
      <c r="B4" s="20" t="str">
        <f t="shared" ref="B4:B83" si="6">HYPERLINK(CONCAT("http://leetcode.com/problems/",#REF!), #REF!)</f>
        <v>#REF!</v>
      </c>
      <c r="C4" s="20" t="str">
        <f t="shared" ref="C4:D4" si="1">#REF!</f>
        <v>#REF!</v>
      </c>
      <c r="D4" s="20" t="str">
        <f t="shared" si="1"/>
        <v>#REF!</v>
      </c>
      <c r="E4" s="20" t="str">
        <f t="shared" ref="E4:E83" si="8">#REF!+#REF!</f>
        <v>#REF!</v>
      </c>
      <c r="F4" s="22" t="str">
        <f t="shared" si="2"/>
        <v>#REF!</v>
      </c>
      <c r="G4" s="20" t="str">
        <f t="shared" ref="G4:I4" si="3">#REF!</f>
        <v>#REF!</v>
      </c>
      <c r="H4" s="20" t="str">
        <f t="shared" si="3"/>
        <v>#REF!</v>
      </c>
      <c r="I4" s="20" t="str">
        <f t="shared" si="3"/>
        <v>#REF!</v>
      </c>
      <c r="J4" s="20" t="str">
        <f t="shared" ref="J4:J83" si="10">ROUND(#REF!, 2)&amp;"%"</f>
        <v>#REF!</v>
      </c>
      <c r="K4" s="20" t="str">
        <f t="shared" ref="K4:L4" si="4">#REF!</f>
        <v>#REF!</v>
      </c>
      <c r="L4" s="20" t="str">
        <f t="shared" si="4"/>
        <v>#REF!</v>
      </c>
    </row>
    <row r="5">
      <c r="A5" s="20" t="str">
        <f t="shared" si="5"/>
        <v>#REF!</v>
      </c>
      <c r="B5" s="20" t="str">
        <f t="shared" si="6"/>
        <v>#REF!</v>
      </c>
      <c r="C5" s="20" t="str">
        <f t="shared" ref="C5:D5" si="7">#REF!</f>
        <v>#REF!</v>
      </c>
      <c r="D5" s="20" t="str">
        <f t="shared" si="7"/>
        <v>#REF!</v>
      </c>
      <c r="E5" s="20" t="str">
        <f t="shared" si="8"/>
        <v>#REF!</v>
      </c>
      <c r="F5" s="22" t="str">
        <f t="shared" si="2"/>
        <v>#REF!</v>
      </c>
      <c r="G5" s="20" t="str">
        <f t="shared" ref="G5:I5" si="9">#REF!</f>
        <v>#REF!</v>
      </c>
      <c r="H5" s="20" t="str">
        <f t="shared" si="9"/>
        <v>#REF!</v>
      </c>
      <c r="I5" s="20" t="str">
        <f t="shared" si="9"/>
        <v>#REF!</v>
      </c>
      <c r="J5" s="20" t="str">
        <f t="shared" si="10"/>
        <v>#REF!</v>
      </c>
      <c r="K5" s="20" t="str">
        <f t="shared" ref="K5:L5" si="11">#REF!</f>
        <v>#REF!</v>
      </c>
      <c r="L5" s="20" t="str">
        <f t="shared" si="11"/>
        <v>#REF!</v>
      </c>
    </row>
    <row r="6">
      <c r="A6" s="20" t="str">
        <f t="shared" si="5"/>
        <v>#REF!</v>
      </c>
      <c r="B6" s="20" t="str">
        <f t="shared" si="6"/>
        <v>#REF!</v>
      </c>
      <c r="C6" s="20" t="str">
        <f t="shared" ref="C6:D6" si="12">#REF!</f>
        <v>#REF!</v>
      </c>
      <c r="D6" s="20" t="str">
        <f t="shared" si="12"/>
        <v>#REF!</v>
      </c>
      <c r="E6" s="20" t="str">
        <f t="shared" si="8"/>
        <v>#REF!</v>
      </c>
      <c r="F6" s="22" t="str">
        <f t="shared" si="2"/>
        <v>#REF!</v>
      </c>
      <c r="G6" s="20" t="str">
        <f t="shared" ref="G6:I6" si="13">#REF!</f>
        <v>#REF!</v>
      </c>
      <c r="H6" s="20" t="str">
        <f t="shared" si="13"/>
        <v>#REF!</v>
      </c>
      <c r="I6" s="20" t="str">
        <f t="shared" si="13"/>
        <v>#REF!</v>
      </c>
      <c r="J6" s="20" t="str">
        <f t="shared" si="10"/>
        <v>#REF!</v>
      </c>
      <c r="K6" s="20" t="str">
        <f t="shared" ref="K6:L6" si="14">#REF!</f>
        <v>#REF!</v>
      </c>
      <c r="L6" s="20" t="str">
        <f t="shared" si="14"/>
        <v>#REF!</v>
      </c>
    </row>
    <row r="7">
      <c r="A7" s="20" t="str">
        <f t="shared" si="5"/>
        <v>#REF!</v>
      </c>
      <c r="B7" s="20" t="str">
        <f t="shared" si="6"/>
        <v>#REF!</v>
      </c>
      <c r="C7" s="20" t="str">
        <f t="shared" ref="C7:D7" si="15">#REF!</f>
        <v>#REF!</v>
      </c>
      <c r="D7" s="20" t="str">
        <f t="shared" si="15"/>
        <v>#REF!</v>
      </c>
      <c r="E7" s="20" t="str">
        <f t="shared" si="8"/>
        <v>#REF!</v>
      </c>
      <c r="F7" s="22" t="str">
        <f t="shared" si="2"/>
        <v>#REF!</v>
      </c>
      <c r="G7" s="20" t="str">
        <f t="shared" ref="G7:I7" si="16">#REF!</f>
        <v>#REF!</v>
      </c>
      <c r="H7" s="20" t="str">
        <f t="shared" si="16"/>
        <v>#REF!</v>
      </c>
      <c r="I7" s="20" t="str">
        <f t="shared" si="16"/>
        <v>#REF!</v>
      </c>
      <c r="J7" s="20" t="str">
        <f t="shared" si="10"/>
        <v>#REF!</v>
      </c>
      <c r="K7" s="20" t="str">
        <f t="shared" ref="K7:L7" si="17">#REF!</f>
        <v>#REF!</v>
      </c>
      <c r="L7" s="20" t="str">
        <f t="shared" si="17"/>
        <v>#REF!</v>
      </c>
    </row>
    <row r="8">
      <c r="A8" s="20" t="str">
        <f t="shared" si="5"/>
        <v>#REF!</v>
      </c>
      <c r="B8" s="20" t="str">
        <f t="shared" si="6"/>
        <v>#REF!</v>
      </c>
      <c r="C8" s="20" t="str">
        <f t="shared" ref="C8:D8" si="18">#REF!</f>
        <v>#REF!</v>
      </c>
      <c r="D8" s="20" t="str">
        <f t="shared" si="18"/>
        <v>#REF!</v>
      </c>
      <c r="E8" s="20" t="str">
        <f t="shared" si="8"/>
        <v>#REF!</v>
      </c>
      <c r="F8" s="22" t="str">
        <f t="shared" si="2"/>
        <v>#REF!</v>
      </c>
      <c r="G8" s="20" t="str">
        <f t="shared" ref="G8:I8" si="19">#REF!</f>
        <v>#REF!</v>
      </c>
      <c r="H8" s="20" t="str">
        <f t="shared" si="19"/>
        <v>#REF!</v>
      </c>
      <c r="I8" s="20" t="str">
        <f t="shared" si="19"/>
        <v>#REF!</v>
      </c>
      <c r="J8" s="20" t="str">
        <f t="shared" si="10"/>
        <v>#REF!</v>
      </c>
      <c r="K8" s="20" t="str">
        <f t="shared" ref="K8:L8" si="20">#REF!</f>
        <v>#REF!</v>
      </c>
      <c r="L8" s="20" t="str">
        <f t="shared" si="20"/>
        <v>#REF!</v>
      </c>
    </row>
    <row r="9">
      <c r="A9" s="20" t="str">
        <f t="shared" si="5"/>
        <v>#REF!</v>
      </c>
      <c r="B9" s="20" t="str">
        <f t="shared" si="6"/>
        <v>#REF!</v>
      </c>
      <c r="C9" s="20" t="str">
        <f t="shared" ref="C9:D9" si="21">#REF!</f>
        <v>#REF!</v>
      </c>
      <c r="D9" s="20" t="str">
        <f t="shared" si="21"/>
        <v>#REF!</v>
      </c>
      <c r="E9" s="20" t="str">
        <f t="shared" si="8"/>
        <v>#REF!</v>
      </c>
      <c r="F9" s="22" t="str">
        <f t="shared" si="2"/>
        <v>#REF!</v>
      </c>
      <c r="G9" s="20" t="str">
        <f t="shared" ref="G9:I9" si="22">#REF!</f>
        <v>#REF!</v>
      </c>
      <c r="H9" s="20" t="str">
        <f t="shared" si="22"/>
        <v>#REF!</v>
      </c>
      <c r="I9" s="20" t="str">
        <f t="shared" si="22"/>
        <v>#REF!</v>
      </c>
      <c r="J9" s="20" t="str">
        <f t="shared" si="10"/>
        <v>#REF!</v>
      </c>
      <c r="K9" s="20" t="str">
        <f t="shared" ref="K9:L9" si="23">#REF!</f>
        <v>#REF!</v>
      </c>
      <c r="L9" s="20" t="str">
        <f t="shared" si="23"/>
        <v>#REF!</v>
      </c>
    </row>
    <row r="10">
      <c r="A10" s="20" t="str">
        <f t="shared" si="5"/>
        <v>#REF!</v>
      </c>
      <c r="B10" s="20" t="str">
        <f t="shared" si="6"/>
        <v>#REF!</v>
      </c>
      <c r="C10" s="20" t="str">
        <f t="shared" ref="C10:D10" si="24">#REF!</f>
        <v>#REF!</v>
      </c>
      <c r="D10" s="20" t="str">
        <f t="shared" si="24"/>
        <v>#REF!</v>
      </c>
      <c r="E10" s="20" t="str">
        <f t="shared" si="8"/>
        <v>#REF!</v>
      </c>
      <c r="F10" s="22" t="str">
        <f t="shared" si="2"/>
        <v>#REF!</v>
      </c>
      <c r="G10" s="20" t="str">
        <f t="shared" ref="G10:I10" si="25">#REF!</f>
        <v>#REF!</v>
      </c>
      <c r="H10" s="20" t="str">
        <f t="shared" si="25"/>
        <v>#REF!</v>
      </c>
      <c r="I10" s="20" t="str">
        <f t="shared" si="25"/>
        <v>#REF!</v>
      </c>
      <c r="J10" s="20" t="str">
        <f t="shared" si="10"/>
        <v>#REF!</v>
      </c>
      <c r="K10" s="20" t="str">
        <f t="shared" ref="K10:L10" si="26">#REF!</f>
        <v>#REF!</v>
      </c>
      <c r="L10" s="20" t="str">
        <f t="shared" si="26"/>
        <v>#REF!</v>
      </c>
    </row>
    <row r="11">
      <c r="A11" s="20" t="str">
        <f t="shared" si="5"/>
        <v>#REF!</v>
      </c>
      <c r="B11" s="20" t="str">
        <f t="shared" si="6"/>
        <v>#REF!</v>
      </c>
      <c r="C11" s="20" t="str">
        <f t="shared" ref="C11:D11" si="27">#REF!</f>
        <v>#REF!</v>
      </c>
      <c r="D11" s="20" t="str">
        <f t="shared" si="27"/>
        <v>#REF!</v>
      </c>
      <c r="E11" s="20" t="str">
        <f t="shared" si="8"/>
        <v>#REF!</v>
      </c>
      <c r="F11" s="22" t="str">
        <f t="shared" si="2"/>
        <v>#REF!</v>
      </c>
      <c r="G11" s="20" t="str">
        <f t="shared" ref="G11:I11" si="28">#REF!</f>
        <v>#REF!</v>
      </c>
      <c r="H11" s="20" t="str">
        <f t="shared" si="28"/>
        <v>#REF!</v>
      </c>
      <c r="I11" s="20" t="str">
        <f t="shared" si="28"/>
        <v>#REF!</v>
      </c>
      <c r="J11" s="20" t="str">
        <f t="shared" si="10"/>
        <v>#REF!</v>
      </c>
      <c r="K11" s="20" t="str">
        <f t="shared" ref="K11:L11" si="29">#REF!</f>
        <v>#REF!</v>
      </c>
      <c r="L11" s="20" t="str">
        <f t="shared" si="29"/>
        <v>#REF!</v>
      </c>
    </row>
    <row r="12">
      <c r="A12" s="20" t="str">
        <f t="shared" si="5"/>
        <v>#REF!</v>
      </c>
      <c r="B12" s="20" t="str">
        <f t="shared" si="6"/>
        <v>#REF!</v>
      </c>
      <c r="C12" s="20" t="str">
        <f t="shared" ref="C12:D12" si="30">#REF!</f>
        <v>#REF!</v>
      </c>
      <c r="D12" s="20" t="str">
        <f t="shared" si="30"/>
        <v>#REF!</v>
      </c>
      <c r="E12" s="20" t="str">
        <f t="shared" si="8"/>
        <v>#REF!</v>
      </c>
      <c r="F12" s="22" t="str">
        <f t="shared" si="2"/>
        <v>#REF!</v>
      </c>
      <c r="G12" s="20" t="str">
        <f t="shared" ref="G12:I12" si="31">#REF!</f>
        <v>#REF!</v>
      </c>
      <c r="H12" s="20" t="str">
        <f t="shared" si="31"/>
        <v>#REF!</v>
      </c>
      <c r="I12" s="20" t="str">
        <f t="shared" si="31"/>
        <v>#REF!</v>
      </c>
      <c r="J12" s="20" t="str">
        <f t="shared" si="10"/>
        <v>#REF!</v>
      </c>
      <c r="K12" s="20" t="str">
        <f t="shared" ref="K12:L12" si="32">#REF!</f>
        <v>#REF!</v>
      </c>
      <c r="L12" s="20" t="str">
        <f t="shared" si="32"/>
        <v>#REF!</v>
      </c>
    </row>
    <row r="13">
      <c r="A13" s="20" t="str">
        <f t="shared" si="5"/>
        <v>#REF!</v>
      </c>
      <c r="B13" s="20" t="str">
        <f t="shared" si="6"/>
        <v>#REF!</v>
      </c>
      <c r="C13" s="20" t="str">
        <f t="shared" ref="C13:D13" si="33">#REF!</f>
        <v>#REF!</v>
      </c>
      <c r="D13" s="20" t="str">
        <f t="shared" si="33"/>
        <v>#REF!</v>
      </c>
      <c r="E13" s="20" t="str">
        <f t="shared" si="8"/>
        <v>#REF!</v>
      </c>
      <c r="F13" s="22" t="str">
        <f t="shared" si="2"/>
        <v>#REF!</v>
      </c>
      <c r="G13" s="20" t="str">
        <f t="shared" ref="G13:I13" si="34">#REF!</f>
        <v>#REF!</v>
      </c>
      <c r="H13" s="20" t="str">
        <f t="shared" si="34"/>
        <v>#REF!</v>
      </c>
      <c r="I13" s="20" t="str">
        <f t="shared" si="34"/>
        <v>#REF!</v>
      </c>
      <c r="J13" s="20" t="str">
        <f t="shared" si="10"/>
        <v>#REF!</v>
      </c>
      <c r="K13" s="20" t="str">
        <f t="shared" ref="K13:L13" si="35">#REF!</f>
        <v>#REF!</v>
      </c>
      <c r="L13" s="20" t="str">
        <f t="shared" si="35"/>
        <v>#REF!</v>
      </c>
    </row>
    <row r="14">
      <c r="A14" s="20" t="str">
        <f t="shared" si="5"/>
        <v>#REF!</v>
      </c>
      <c r="B14" s="20" t="str">
        <f t="shared" si="6"/>
        <v>#REF!</v>
      </c>
      <c r="C14" s="20" t="str">
        <f t="shared" ref="C14:D14" si="36">#REF!</f>
        <v>#REF!</v>
      </c>
      <c r="D14" s="20" t="str">
        <f t="shared" si="36"/>
        <v>#REF!</v>
      </c>
      <c r="E14" s="20" t="str">
        <f t="shared" si="8"/>
        <v>#REF!</v>
      </c>
      <c r="F14" s="22" t="str">
        <f t="shared" si="2"/>
        <v>#REF!</v>
      </c>
      <c r="G14" s="20" t="str">
        <f t="shared" ref="G14:I14" si="37">#REF!</f>
        <v>#REF!</v>
      </c>
      <c r="H14" s="20" t="str">
        <f t="shared" si="37"/>
        <v>#REF!</v>
      </c>
      <c r="I14" s="20" t="str">
        <f t="shared" si="37"/>
        <v>#REF!</v>
      </c>
      <c r="J14" s="20" t="str">
        <f t="shared" si="10"/>
        <v>#REF!</v>
      </c>
      <c r="K14" s="20" t="str">
        <f t="shared" ref="K14:L14" si="38">#REF!</f>
        <v>#REF!</v>
      </c>
      <c r="L14" s="20" t="str">
        <f t="shared" si="38"/>
        <v>#REF!</v>
      </c>
    </row>
    <row r="15">
      <c r="A15" s="20" t="str">
        <f t="shared" si="5"/>
        <v>#REF!</v>
      </c>
      <c r="B15" s="20" t="str">
        <f t="shared" si="6"/>
        <v>#REF!</v>
      </c>
      <c r="C15" s="20" t="str">
        <f t="shared" ref="C15:D15" si="39">#REF!</f>
        <v>#REF!</v>
      </c>
      <c r="D15" s="20" t="str">
        <f t="shared" si="39"/>
        <v>#REF!</v>
      </c>
      <c r="E15" s="20" t="str">
        <f t="shared" si="8"/>
        <v>#REF!</v>
      </c>
      <c r="F15" s="22" t="str">
        <f t="shared" si="2"/>
        <v>#REF!</v>
      </c>
      <c r="G15" s="20" t="str">
        <f t="shared" ref="G15:I15" si="40">#REF!</f>
        <v>#REF!</v>
      </c>
      <c r="H15" s="20" t="str">
        <f t="shared" si="40"/>
        <v>#REF!</v>
      </c>
      <c r="I15" s="20" t="str">
        <f t="shared" si="40"/>
        <v>#REF!</v>
      </c>
      <c r="J15" s="20" t="str">
        <f t="shared" si="10"/>
        <v>#REF!</v>
      </c>
      <c r="K15" s="20" t="str">
        <f t="shared" ref="K15:L15" si="41">#REF!</f>
        <v>#REF!</v>
      </c>
      <c r="L15" s="20" t="str">
        <f t="shared" si="41"/>
        <v>#REF!</v>
      </c>
    </row>
    <row r="16">
      <c r="A16" s="20" t="str">
        <f t="shared" si="5"/>
        <v>#REF!</v>
      </c>
      <c r="B16" s="20" t="str">
        <f t="shared" si="6"/>
        <v>#REF!</v>
      </c>
      <c r="C16" s="20" t="str">
        <f t="shared" ref="C16:D16" si="42">#REF!</f>
        <v>#REF!</v>
      </c>
      <c r="D16" s="20" t="str">
        <f t="shared" si="42"/>
        <v>#REF!</v>
      </c>
      <c r="E16" s="20" t="str">
        <f t="shared" si="8"/>
        <v>#REF!</v>
      </c>
      <c r="F16" s="22" t="str">
        <f t="shared" si="2"/>
        <v>#REF!</v>
      </c>
      <c r="G16" s="20" t="str">
        <f t="shared" ref="G16:I16" si="43">#REF!</f>
        <v>#REF!</v>
      </c>
      <c r="H16" s="20" t="str">
        <f t="shared" si="43"/>
        <v>#REF!</v>
      </c>
      <c r="I16" s="20" t="str">
        <f t="shared" si="43"/>
        <v>#REF!</v>
      </c>
      <c r="J16" s="20" t="str">
        <f t="shared" si="10"/>
        <v>#REF!</v>
      </c>
      <c r="K16" s="20" t="str">
        <f t="shared" ref="K16:L16" si="44">#REF!</f>
        <v>#REF!</v>
      </c>
      <c r="L16" s="20" t="str">
        <f t="shared" si="44"/>
        <v>#REF!</v>
      </c>
    </row>
    <row r="17">
      <c r="A17" s="20" t="str">
        <f t="shared" si="5"/>
        <v>#REF!</v>
      </c>
      <c r="B17" s="20" t="str">
        <f t="shared" si="6"/>
        <v>#REF!</v>
      </c>
      <c r="C17" s="20" t="str">
        <f t="shared" ref="C17:D17" si="45">#REF!</f>
        <v>#REF!</v>
      </c>
      <c r="D17" s="20" t="str">
        <f t="shared" si="45"/>
        <v>#REF!</v>
      </c>
      <c r="E17" s="20" t="str">
        <f t="shared" si="8"/>
        <v>#REF!</v>
      </c>
      <c r="F17" s="22" t="str">
        <f t="shared" si="2"/>
        <v>#REF!</v>
      </c>
      <c r="G17" s="20" t="str">
        <f t="shared" ref="G17:I17" si="46">#REF!</f>
        <v>#REF!</v>
      </c>
      <c r="H17" s="20" t="str">
        <f t="shared" si="46"/>
        <v>#REF!</v>
      </c>
      <c r="I17" s="20" t="str">
        <f t="shared" si="46"/>
        <v>#REF!</v>
      </c>
      <c r="J17" s="20" t="str">
        <f t="shared" si="10"/>
        <v>#REF!</v>
      </c>
      <c r="K17" s="20" t="str">
        <f t="shared" ref="K17:L17" si="47">#REF!</f>
        <v>#REF!</v>
      </c>
      <c r="L17" s="20" t="str">
        <f t="shared" si="47"/>
        <v>#REF!</v>
      </c>
    </row>
    <row r="18">
      <c r="A18" s="20" t="str">
        <f t="shared" si="5"/>
        <v>#REF!</v>
      </c>
      <c r="B18" s="20" t="str">
        <f t="shared" si="6"/>
        <v>#REF!</v>
      </c>
      <c r="C18" s="20" t="str">
        <f t="shared" ref="C18:D18" si="48">#REF!</f>
        <v>#REF!</v>
      </c>
      <c r="D18" s="20" t="str">
        <f t="shared" si="48"/>
        <v>#REF!</v>
      </c>
      <c r="E18" s="20" t="str">
        <f t="shared" si="8"/>
        <v>#REF!</v>
      </c>
      <c r="F18" s="22" t="str">
        <f t="shared" si="2"/>
        <v>#REF!</v>
      </c>
      <c r="G18" s="20" t="str">
        <f t="shared" ref="G18:I18" si="49">#REF!</f>
        <v>#REF!</v>
      </c>
      <c r="H18" s="20" t="str">
        <f t="shared" si="49"/>
        <v>#REF!</v>
      </c>
      <c r="I18" s="20" t="str">
        <f t="shared" si="49"/>
        <v>#REF!</v>
      </c>
      <c r="J18" s="20" t="str">
        <f t="shared" si="10"/>
        <v>#REF!</v>
      </c>
      <c r="K18" s="20" t="str">
        <f t="shared" ref="K18:L18" si="50">#REF!</f>
        <v>#REF!</v>
      </c>
      <c r="L18" s="20" t="str">
        <f t="shared" si="50"/>
        <v>#REF!</v>
      </c>
    </row>
    <row r="19">
      <c r="A19" s="20" t="str">
        <f t="shared" si="5"/>
        <v>#REF!</v>
      </c>
      <c r="B19" s="20" t="str">
        <f t="shared" si="6"/>
        <v>#REF!</v>
      </c>
      <c r="C19" s="20" t="str">
        <f t="shared" ref="C19:D19" si="51">#REF!</f>
        <v>#REF!</v>
      </c>
      <c r="D19" s="20" t="str">
        <f t="shared" si="51"/>
        <v>#REF!</v>
      </c>
      <c r="E19" s="20" t="str">
        <f t="shared" si="8"/>
        <v>#REF!</v>
      </c>
      <c r="F19" s="22" t="str">
        <f t="shared" si="2"/>
        <v>#REF!</v>
      </c>
      <c r="G19" s="20" t="str">
        <f t="shared" ref="G19:I19" si="52">#REF!</f>
        <v>#REF!</v>
      </c>
      <c r="H19" s="20" t="str">
        <f t="shared" si="52"/>
        <v>#REF!</v>
      </c>
      <c r="I19" s="20" t="str">
        <f t="shared" si="52"/>
        <v>#REF!</v>
      </c>
      <c r="J19" s="20" t="str">
        <f t="shared" si="10"/>
        <v>#REF!</v>
      </c>
      <c r="K19" s="20" t="str">
        <f t="shared" ref="K19:L19" si="53">#REF!</f>
        <v>#REF!</v>
      </c>
      <c r="L19" s="20" t="str">
        <f t="shared" si="53"/>
        <v>#REF!</v>
      </c>
    </row>
    <row r="20">
      <c r="A20" s="20" t="str">
        <f t="shared" si="5"/>
        <v>#REF!</v>
      </c>
      <c r="B20" s="20" t="str">
        <f t="shared" si="6"/>
        <v>#REF!</v>
      </c>
      <c r="C20" s="20" t="str">
        <f t="shared" ref="C20:D20" si="54">#REF!</f>
        <v>#REF!</v>
      </c>
      <c r="D20" s="20" t="str">
        <f t="shared" si="54"/>
        <v>#REF!</v>
      </c>
      <c r="E20" s="20" t="str">
        <f t="shared" si="8"/>
        <v>#REF!</v>
      </c>
      <c r="F20" s="22" t="str">
        <f t="shared" si="2"/>
        <v>#REF!</v>
      </c>
      <c r="G20" s="20" t="str">
        <f t="shared" ref="G20:I20" si="55">#REF!</f>
        <v>#REF!</v>
      </c>
      <c r="H20" s="20" t="str">
        <f t="shared" si="55"/>
        <v>#REF!</v>
      </c>
      <c r="I20" s="20" t="str">
        <f t="shared" si="55"/>
        <v>#REF!</v>
      </c>
      <c r="J20" s="20" t="str">
        <f t="shared" si="10"/>
        <v>#REF!</v>
      </c>
      <c r="K20" s="20" t="str">
        <f t="shared" ref="K20:L20" si="56">#REF!</f>
        <v>#REF!</v>
      </c>
      <c r="L20" s="20" t="str">
        <f t="shared" si="56"/>
        <v>#REF!</v>
      </c>
    </row>
    <row r="21">
      <c r="A21" s="20" t="str">
        <f t="shared" si="5"/>
        <v>#REF!</v>
      </c>
      <c r="B21" s="20" t="str">
        <f t="shared" si="6"/>
        <v>#REF!</v>
      </c>
      <c r="C21" s="20" t="str">
        <f t="shared" ref="C21:D21" si="57">#REF!</f>
        <v>#REF!</v>
      </c>
      <c r="D21" s="20" t="str">
        <f t="shared" si="57"/>
        <v>#REF!</v>
      </c>
      <c r="E21" s="20" t="str">
        <f t="shared" si="8"/>
        <v>#REF!</v>
      </c>
      <c r="F21" s="22" t="str">
        <f t="shared" si="2"/>
        <v>#REF!</v>
      </c>
      <c r="G21" s="20" t="str">
        <f t="shared" ref="G21:I21" si="58">#REF!</f>
        <v>#REF!</v>
      </c>
      <c r="H21" s="20" t="str">
        <f t="shared" si="58"/>
        <v>#REF!</v>
      </c>
      <c r="I21" s="20" t="str">
        <f t="shared" si="58"/>
        <v>#REF!</v>
      </c>
      <c r="J21" s="20" t="str">
        <f t="shared" si="10"/>
        <v>#REF!</v>
      </c>
      <c r="K21" s="20" t="str">
        <f t="shared" ref="K21:L21" si="59">#REF!</f>
        <v>#REF!</v>
      </c>
      <c r="L21" s="20" t="str">
        <f t="shared" si="59"/>
        <v>#REF!</v>
      </c>
    </row>
    <row r="22">
      <c r="A22" s="20" t="str">
        <f t="shared" si="5"/>
        <v>#REF!</v>
      </c>
      <c r="B22" s="20" t="str">
        <f t="shared" si="6"/>
        <v>#REF!</v>
      </c>
      <c r="C22" s="20" t="str">
        <f t="shared" ref="C22:D22" si="60">#REF!</f>
        <v>#REF!</v>
      </c>
      <c r="D22" s="20" t="str">
        <f t="shared" si="60"/>
        <v>#REF!</v>
      </c>
      <c r="E22" s="20" t="str">
        <f t="shared" si="8"/>
        <v>#REF!</v>
      </c>
      <c r="F22" s="22" t="str">
        <f t="shared" si="2"/>
        <v>#REF!</v>
      </c>
      <c r="G22" s="20" t="str">
        <f t="shared" ref="G22:I22" si="61">#REF!</f>
        <v>#REF!</v>
      </c>
      <c r="H22" s="20" t="str">
        <f t="shared" si="61"/>
        <v>#REF!</v>
      </c>
      <c r="I22" s="20" t="str">
        <f t="shared" si="61"/>
        <v>#REF!</v>
      </c>
      <c r="J22" s="20" t="str">
        <f t="shared" si="10"/>
        <v>#REF!</v>
      </c>
      <c r="K22" s="20" t="str">
        <f t="shared" ref="K22:L22" si="62">#REF!</f>
        <v>#REF!</v>
      </c>
      <c r="L22" s="20" t="str">
        <f t="shared" si="62"/>
        <v>#REF!</v>
      </c>
    </row>
    <row r="23">
      <c r="A23" s="20" t="str">
        <f t="shared" si="5"/>
        <v>#REF!</v>
      </c>
      <c r="B23" s="20" t="str">
        <f t="shared" si="6"/>
        <v>#REF!</v>
      </c>
      <c r="C23" s="20" t="str">
        <f t="shared" ref="C23:D23" si="63">#REF!</f>
        <v>#REF!</v>
      </c>
      <c r="D23" s="20" t="str">
        <f t="shared" si="63"/>
        <v>#REF!</v>
      </c>
      <c r="E23" s="20" t="str">
        <f t="shared" si="8"/>
        <v>#REF!</v>
      </c>
      <c r="F23" s="22" t="str">
        <f t="shared" si="2"/>
        <v>#REF!</v>
      </c>
      <c r="G23" s="20" t="str">
        <f t="shared" ref="G23:I23" si="64">#REF!</f>
        <v>#REF!</v>
      </c>
      <c r="H23" s="20" t="str">
        <f t="shared" si="64"/>
        <v>#REF!</v>
      </c>
      <c r="I23" s="20" t="str">
        <f t="shared" si="64"/>
        <v>#REF!</v>
      </c>
      <c r="J23" s="20" t="str">
        <f t="shared" si="10"/>
        <v>#REF!</v>
      </c>
      <c r="K23" s="20" t="str">
        <f t="shared" ref="K23:L23" si="65">#REF!</f>
        <v>#REF!</v>
      </c>
      <c r="L23" s="20" t="str">
        <f t="shared" si="65"/>
        <v>#REF!</v>
      </c>
    </row>
    <row r="24">
      <c r="A24" s="20" t="str">
        <f t="shared" si="5"/>
        <v>#REF!</v>
      </c>
      <c r="B24" s="20" t="str">
        <f t="shared" si="6"/>
        <v>#REF!</v>
      </c>
      <c r="C24" s="20" t="str">
        <f t="shared" ref="C24:D24" si="66">#REF!</f>
        <v>#REF!</v>
      </c>
      <c r="D24" s="20" t="str">
        <f t="shared" si="66"/>
        <v>#REF!</v>
      </c>
      <c r="E24" s="20" t="str">
        <f t="shared" si="8"/>
        <v>#REF!</v>
      </c>
      <c r="F24" s="22" t="str">
        <f t="shared" si="2"/>
        <v>#REF!</v>
      </c>
      <c r="G24" s="20" t="str">
        <f t="shared" ref="G24:I24" si="67">#REF!</f>
        <v>#REF!</v>
      </c>
      <c r="H24" s="20" t="str">
        <f t="shared" si="67"/>
        <v>#REF!</v>
      </c>
      <c r="I24" s="20" t="str">
        <f t="shared" si="67"/>
        <v>#REF!</v>
      </c>
      <c r="J24" s="20" t="str">
        <f t="shared" si="10"/>
        <v>#REF!</v>
      </c>
      <c r="K24" s="20" t="str">
        <f t="shared" ref="K24:L24" si="68">#REF!</f>
        <v>#REF!</v>
      </c>
      <c r="L24" s="20" t="str">
        <f t="shared" si="68"/>
        <v>#REF!</v>
      </c>
    </row>
    <row r="25">
      <c r="A25" s="20" t="str">
        <f t="shared" si="5"/>
        <v>#REF!</v>
      </c>
      <c r="B25" s="20" t="str">
        <f t="shared" si="6"/>
        <v>#REF!</v>
      </c>
      <c r="C25" s="20" t="str">
        <f t="shared" ref="C25:D25" si="69">#REF!</f>
        <v>#REF!</v>
      </c>
      <c r="D25" s="20" t="str">
        <f t="shared" si="69"/>
        <v>#REF!</v>
      </c>
      <c r="E25" s="20" t="str">
        <f t="shared" si="8"/>
        <v>#REF!</v>
      </c>
      <c r="F25" s="22" t="str">
        <f t="shared" si="2"/>
        <v>#REF!</v>
      </c>
      <c r="G25" s="20" t="str">
        <f t="shared" ref="G25:I25" si="70">#REF!</f>
        <v>#REF!</v>
      </c>
      <c r="H25" s="20" t="str">
        <f t="shared" si="70"/>
        <v>#REF!</v>
      </c>
      <c r="I25" s="20" t="str">
        <f t="shared" si="70"/>
        <v>#REF!</v>
      </c>
      <c r="J25" s="20" t="str">
        <f t="shared" si="10"/>
        <v>#REF!</v>
      </c>
      <c r="K25" s="20" t="str">
        <f t="shared" ref="K25:L25" si="71">#REF!</f>
        <v>#REF!</v>
      </c>
      <c r="L25" s="20" t="str">
        <f t="shared" si="71"/>
        <v>#REF!</v>
      </c>
    </row>
    <row r="26">
      <c r="A26" s="20" t="str">
        <f t="shared" si="5"/>
        <v>#REF!</v>
      </c>
      <c r="B26" s="20" t="str">
        <f t="shared" si="6"/>
        <v>#REF!</v>
      </c>
      <c r="C26" s="20" t="str">
        <f t="shared" ref="C26:D26" si="72">#REF!</f>
        <v>#REF!</v>
      </c>
      <c r="D26" s="20" t="str">
        <f t="shared" si="72"/>
        <v>#REF!</v>
      </c>
      <c r="E26" s="20" t="str">
        <f t="shared" si="8"/>
        <v>#REF!</v>
      </c>
      <c r="F26" s="22" t="str">
        <f t="shared" si="2"/>
        <v>#REF!</v>
      </c>
      <c r="G26" s="20" t="str">
        <f t="shared" ref="G26:I26" si="73">#REF!</f>
        <v>#REF!</v>
      </c>
      <c r="H26" s="20" t="str">
        <f t="shared" si="73"/>
        <v>#REF!</v>
      </c>
      <c r="I26" s="20" t="str">
        <f t="shared" si="73"/>
        <v>#REF!</v>
      </c>
      <c r="J26" s="20" t="str">
        <f t="shared" si="10"/>
        <v>#REF!</v>
      </c>
      <c r="K26" s="20" t="str">
        <f t="shared" ref="K26:L26" si="74">#REF!</f>
        <v>#REF!</v>
      </c>
      <c r="L26" s="20" t="str">
        <f t="shared" si="74"/>
        <v>#REF!</v>
      </c>
    </row>
    <row r="27">
      <c r="A27" s="20" t="str">
        <f t="shared" si="5"/>
        <v>#REF!</v>
      </c>
      <c r="B27" s="20" t="str">
        <f t="shared" si="6"/>
        <v>#REF!</v>
      </c>
      <c r="C27" s="20" t="str">
        <f t="shared" ref="C27:D27" si="75">#REF!</f>
        <v>#REF!</v>
      </c>
      <c r="D27" s="20" t="str">
        <f t="shared" si="75"/>
        <v>#REF!</v>
      </c>
      <c r="E27" s="20" t="str">
        <f t="shared" si="8"/>
        <v>#REF!</v>
      </c>
      <c r="F27" s="22" t="str">
        <f t="shared" si="2"/>
        <v>#REF!</v>
      </c>
      <c r="G27" s="20" t="str">
        <f t="shared" ref="G27:I27" si="76">#REF!</f>
        <v>#REF!</v>
      </c>
      <c r="H27" s="20" t="str">
        <f t="shared" si="76"/>
        <v>#REF!</v>
      </c>
      <c r="I27" s="20" t="str">
        <f t="shared" si="76"/>
        <v>#REF!</v>
      </c>
      <c r="J27" s="20" t="str">
        <f t="shared" si="10"/>
        <v>#REF!</v>
      </c>
      <c r="K27" s="20" t="str">
        <f t="shared" ref="K27:L27" si="77">#REF!</f>
        <v>#REF!</v>
      </c>
      <c r="L27" s="20" t="str">
        <f t="shared" si="77"/>
        <v>#REF!</v>
      </c>
    </row>
    <row r="28">
      <c r="A28" s="20" t="str">
        <f t="shared" si="5"/>
        <v>#REF!</v>
      </c>
      <c r="B28" s="20" t="str">
        <f t="shared" si="6"/>
        <v>#REF!</v>
      </c>
      <c r="C28" s="20" t="str">
        <f t="shared" ref="C28:D28" si="78">#REF!</f>
        <v>#REF!</v>
      </c>
      <c r="D28" s="20" t="str">
        <f t="shared" si="78"/>
        <v>#REF!</v>
      </c>
      <c r="E28" s="20" t="str">
        <f t="shared" si="8"/>
        <v>#REF!</v>
      </c>
      <c r="F28" s="22" t="str">
        <f t="shared" si="2"/>
        <v>#REF!</v>
      </c>
      <c r="G28" s="20" t="str">
        <f t="shared" ref="G28:I28" si="79">#REF!</f>
        <v>#REF!</v>
      </c>
      <c r="H28" s="20" t="str">
        <f t="shared" si="79"/>
        <v>#REF!</v>
      </c>
      <c r="I28" s="20" t="str">
        <f t="shared" si="79"/>
        <v>#REF!</v>
      </c>
      <c r="J28" s="20" t="str">
        <f t="shared" si="10"/>
        <v>#REF!</v>
      </c>
      <c r="K28" s="20" t="str">
        <f t="shared" ref="K28:L28" si="80">#REF!</f>
        <v>#REF!</v>
      </c>
      <c r="L28" s="20" t="str">
        <f t="shared" si="80"/>
        <v>#REF!</v>
      </c>
    </row>
    <row r="29">
      <c r="A29" s="20" t="str">
        <f t="shared" si="5"/>
        <v>#REF!</v>
      </c>
      <c r="B29" s="20" t="str">
        <f t="shared" si="6"/>
        <v>#REF!</v>
      </c>
      <c r="C29" s="20" t="str">
        <f t="shared" ref="C29:D29" si="81">#REF!</f>
        <v>#REF!</v>
      </c>
      <c r="D29" s="20" t="str">
        <f t="shared" si="81"/>
        <v>#REF!</v>
      </c>
      <c r="E29" s="20" t="str">
        <f t="shared" si="8"/>
        <v>#REF!</v>
      </c>
      <c r="F29" s="22" t="str">
        <f t="shared" si="2"/>
        <v>#REF!</v>
      </c>
      <c r="G29" s="20" t="str">
        <f t="shared" ref="G29:I29" si="82">#REF!</f>
        <v>#REF!</v>
      </c>
      <c r="H29" s="20" t="str">
        <f t="shared" si="82"/>
        <v>#REF!</v>
      </c>
      <c r="I29" s="20" t="str">
        <f t="shared" si="82"/>
        <v>#REF!</v>
      </c>
      <c r="J29" s="20" t="str">
        <f t="shared" si="10"/>
        <v>#REF!</v>
      </c>
      <c r="K29" s="20" t="str">
        <f t="shared" ref="K29:L29" si="83">#REF!</f>
        <v>#REF!</v>
      </c>
      <c r="L29" s="20" t="str">
        <f t="shared" si="83"/>
        <v>#REF!</v>
      </c>
    </row>
    <row r="30">
      <c r="A30" s="20" t="str">
        <f t="shared" si="5"/>
        <v>#REF!</v>
      </c>
      <c r="B30" s="20" t="str">
        <f t="shared" si="6"/>
        <v>#REF!</v>
      </c>
      <c r="C30" s="20" t="str">
        <f t="shared" ref="C30:D30" si="84">#REF!</f>
        <v>#REF!</v>
      </c>
      <c r="D30" s="20" t="str">
        <f t="shared" si="84"/>
        <v>#REF!</v>
      </c>
      <c r="E30" s="20" t="str">
        <f t="shared" si="8"/>
        <v>#REF!</v>
      </c>
      <c r="F30" s="22" t="str">
        <f t="shared" si="2"/>
        <v>#REF!</v>
      </c>
      <c r="G30" s="20" t="str">
        <f t="shared" ref="G30:I30" si="85">#REF!</f>
        <v>#REF!</v>
      </c>
      <c r="H30" s="20" t="str">
        <f t="shared" si="85"/>
        <v>#REF!</v>
      </c>
      <c r="I30" s="20" t="str">
        <f t="shared" si="85"/>
        <v>#REF!</v>
      </c>
      <c r="J30" s="20" t="str">
        <f t="shared" si="10"/>
        <v>#REF!</v>
      </c>
      <c r="K30" s="20" t="str">
        <f t="shared" ref="K30:L30" si="86">#REF!</f>
        <v>#REF!</v>
      </c>
      <c r="L30" s="20" t="str">
        <f t="shared" si="86"/>
        <v>#REF!</v>
      </c>
    </row>
    <row r="31">
      <c r="A31" s="20" t="str">
        <f t="shared" si="5"/>
        <v>#REF!</v>
      </c>
      <c r="B31" s="20" t="str">
        <f t="shared" si="6"/>
        <v>#REF!</v>
      </c>
      <c r="C31" s="20" t="str">
        <f t="shared" ref="C31:D31" si="87">#REF!</f>
        <v>#REF!</v>
      </c>
      <c r="D31" s="20" t="str">
        <f t="shared" si="87"/>
        <v>#REF!</v>
      </c>
      <c r="E31" s="20" t="str">
        <f t="shared" si="8"/>
        <v>#REF!</v>
      </c>
      <c r="F31" s="22" t="str">
        <f t="shared" si="2"/>
        <v>#REF!</v>
      </c>
      <c r="G31" s="20" t="str">
        <f t="shared" ref="G31:I31" si="88">#REF!</f>
        <v>#REF!</v>
      </c>
      <c r="H31" s="20" t="str">
        <f t="shared" si="88"/>
        <v>#REF!</v>
      </c>
      <c r="I31" s="20" t="str">
        <f t="shared" si="88"/>
        <v>#REF!</v>
      </c>
      <c r="J31" s="20" t="str">
        <f t="shared" si="10"/>
        <v>#REF!</v>
      </c>
      <c r="K31" s="20" t="str">
        <f t="shared" ref="K31:L31" si="89">#REF!</f>
        <v>#REF!</v>
      </c>
      <c r="L31" s="20" t="str">
        <f t="shared" si="89"/>
        <v>#REF!</v>
      </c>
    </row>
    <row r="32">
      <c r="A32" s="20" t="str">
        <f t="shared" si="5"/>
        <v>#REF!</v>
      </c>
      <c r="B32" s="20" t="str">
        <f t="shared" si="6"/>
        <v>#REF!</v>
      </c>
      <c r="C32" s="20" t="str">
        <f t="shared" ref="C32:D32" si="90">#REF!</f>
        <v>#REF!</v>
      </c>
      <c r="D32" s="20" t="str">
        <f t="shared" si="90"/>
        <v>#REF!</v>
      </c>
      <c r="E32" s="20" t="str">
        <f t="shared" si="8"/>
        <v>#REF!</v>
      </c>
      <c r="F32" s="22" t="str">
        <f t="shared" si="2"/>
        <v>#REF!</v>
      </c>
      <c r="G32" s="20" t="str">
        <f t="shared" ref="G32:I32" si="91">#REF!</f>
        <v>#REF!</v>
      </c>
      <c r="H32" s="20" t="str">
        <f t="shared" si="91"/>
        <v>#REF!</v>
      </c>
      <c r="I32" s="20" t="str">
        <f t="shared" si="91"/>
        <v>#REF!</v>
      </c>
      <c r="J32" s="20" t="str">
        <f t="shared" si="10"/>
        <v>#REF!</v>
      </c>
      <c r="K32" s="20" t="str">
        <f t="shared" ref="K32:L32" si="92">#REF!</f>
        <v>#REF!</v>
      </c>
      <c r="L32" s="20" t="str">
        <f t="shared" si="92"/>
        <v>#REF!</v>
      </c>
    </row>
    <row r="33">
      <c r="A33" s="20" t="str">
        <f t="shared" si="5"/>
        <v>#REF!</v>
      </c>
      <c r="B33" s="20" t="str">
        <f t="shared" si="6"/>
        <v>#REF!</v>
      </c>
      <c r="C33" s="20" t="str">
        <f t="shared" ref="C33:D33" si="93">#REF!</f>
        <v>#REF!</v>
      </c>
      <c r="D33" s="20" t="str">
        <f t="shared" si="93"/>
        <v>#REF!</v>
      </c>
      <c r="E33" s="20" t="str">
        <f t="shared" si="8"/>
        <v>#REF!</v>
      </c>
      <c r="F33" s="22" t="str">
        <f t="shared" si="2"/>
        <v>#REF!</v>
      </c>
      <c r="G33" s="20" t="str">
        <f t="shared" ref="G33:I33" si="94">#REF!</f>
        <v>#REF!</v>
      </c>
      <c r="H33" s="20" t="str">
        <f t="shared" si="94"/>
        <v>#REF!</v>
      </c>
      <c r="I33" s="20" t="str">
        <f t="shared" si="94"/>
        <v>#REF!</v>
      </c>
      <c r="J33" s="20" t="str">
        <f t="shared" si="10"/>
        <v>#REF!</v>
      </c>
      <c r="K33" s="20" t="str">
        <f t="shared" ref="K33:L33" si="95">#REF!</f>
        <v>#REF!</v>
      </c>
      <c r="L33" s="20" t="str">
        <f t="shared" si="95"/>
        <v>#REF!</v>
      </c>
    </row>
    <row r="34">
      <c r="A34" s="20" t="str">
        <f t="shared" si="5"/>
        <v>#REF!</v>
      </c>
      <c r="B34" s="20" t="str">
        <f t="shared" si="6"/>
        <v>#REF!</v>
      </c>
      <c r="C34" s="20" t="str">
        <f t="shared" ref="C34:D34" si="96">#REF!</f>
        <v>#REF!</v>
      </c>
      <c r="D34" s="20" t="str">
        <f t="shared" si="96"/>
        <v>#REF!</v>
      </c>
      <c r="E34" s="20" t="str">
        <f t="shared" si="8"/>
        <v>#REF!</v>
      </c>
      <c r="F34" s="22" t="str">
        <f t="shared" si="2"/>
        <v>#REF!</v>
      </c>
      <c r="G34" s="20" t="str">
        <f t="shared" ref="G34:I34" si="97">#REF!</f>
        <v>#REF!</v>
      </c>
      <c r="H34" s="20" t="str">
        <f t="shared" si="97"/>
        <v>#REF!</v>
      </c>
      <c r="I34" s="20" t="str">
        <f t="shared" si="97"/>
        <v>#REF!</v>
      </c>
      <c r="J34" s="20" t="str">
        <f t="shared" si="10"/>
        <v>#REF!</v>
      </c>
      <c r="K34" s="20" t="str">
        <f t="shared" ref="K34:L34" si="98">#REF!</f>
        <v>#REF!</v>
      </c>
      <c r="L34" s="20" t="str">
        <f t="shared" si="98"/>
        <v>#REF!</v>
      </c>
    </row>
    <row r="35">
      <c r="A35" s="20" t="str">
        <f t="shared" si="5"/>
        <v>#REF!</v>
      </c>
      <c r="B35" s="20" t="str">
        <f t="shared" si="6"/>
        <v>#REF!</v>
      </c>
      <c r="C35" s="20" t="str">
        <f t="shared" ref="C35:D35" si="99">#REF!</f>
        <v>#REF!</v>
      </c>
      <c r="D35" s="20" t="str">
        <f t="shared" si="99"/>
        <v>#REF!</v>
      </c>
      <c r="E35" s="20" t="str">
        <f t="shared" si="8"/>
        <v>#REF!</v>
      </c>
      <c r="F35" s="22" t="str">
        <f t="shared" si="2"/>
        <v>#REF!</v>
      </c>
      <c r="G35" s="20" t="str">
        <f t="shared" ref="G35:I35" si="100">#REF!</f>
        <v>#REF!</v>
      </c>
      <c r="H35" s="20" t="str">
        <f t="shared" si="100"/>
        <v>#REF!</v>
      </c>
      <c r="I35" s="20" t="str">
        <f t="shared" si="100"/>
        <v>#REF!</v>
      </c>
      <c r="J35" s="20" t="str">
        <f t="shared" si="10"/>
        <v>#REF!</v>
      </c>
      <c r="K35" s="20" t="str">
        <f t="shared" ref="K35:L35" si="101">#REF!</f>
        <v>#REF!</v>
      </c>
      <c r="L35" s="20" t="str">
        <f t="shared" si="101"/>
        <v>#REF!</v>
      </c>
    </row>
    <row r="36">
      <c r="A36" s="20" t="str">
        <f t="shared" si="5"/>
        <v>#REF!</v>
      </c>
      <c r="B36" s="20" t="str">
        <f t="shared" si="6"/>
        <v>#REF!</v>
      </c>
      <c r="C36" s="20" t="str">
        <f t="shared" ref="C36:D36" si="102">#REF!</f>
        <v>#REF!</v>
      </c>
      <c r="D36" s="20" t="str">
        <f t="shared" si="102"/>
        <v>#REF!</v>
      </c>
      <c r="E36" s="20" t="str">
        <f t="shared" si="8"/>
        <v>#REF!</v>
      </c>
      <c r="F36" s="22" t="str">
        <f t="shared" si="2"/>
        <v>#REF!</v>
      </c>
      <c r="G36" s="20" t="str">
        <f t="shared" ref="G36:I36" si="103">#REF!</f>
        <v>#REF!</v>
      </c>
      <c r="H36" s="20" t="str">
        <f t="shared" si="103"/>
        <v>#REF!</v>
      </c>
      <c r="I36" s="20" t="str">
        <f t="shared" si="103"/>
        <v>#REF!</v>
      </c>
      <c r="J36" s="20" t="str">
        <f t="shared" si="10"/>
        <v>#REF!</v>
      </c>
      <c r="K36" s="20" t="str">
        <f t="shared" ref="K36:L36" si="104">#REF!</f>
        <v>#REF!</v>
      </c>
      <c r="L36" s="20" t="str">
        <f t="shared" si="104"/>
        <v>#REF!</v>
      </c>
    </row>
    <row r="37">
      <c r="A37" s="20" t="str">
        <f t="shared" si="5"/>
        <v>#REF!</v>
      </c>
      <c r="B37" s="20" t="str">
        <f t="shared" si="6"/>
        <v>#REF!</v>
      </c>
      <c r="C37" s="20" t="str">
        <f t="shared" ref="C37:D37" si="105">#REF!</f>
        <v>#REF!</v>
      </c>
      <c r="D37" s="20" t="str">
        <f t="shared" si="105"/>
        <v>#REF!</v>
      </c>
      <c r="E37" s="20" t="str">
        <f t="shared" si="8"/>
        <v>#REF!</v>
      </c>
      <c r="F37" s="22" t="str">
        <f t="shared" si="2"/>
        <v>#REF!</v>
      </c>
      <c r="G37" s="20" t="str">
        <f t="shared" ref="G37:I37" si="106">#REF!</f>
        <v>#REF!</v>
      </c>
      <c r="H37" s="20" t="str">
        <f t="shared" si="106"/>
        <v>#REF!</v>
      </c>
      <c r="I37" s="20" t="str">
        <f t="shared" si="106"/>
        <v>#REF!</v>
      </c>
      <c r="J37" s="20" t="str">
        <f t="shared" si="10"/>
        <v>#REF!</v>
      </c>
      <c r="K37" s="20" t="str">
        <f t="shared" ref="K37:L37" si="107">#REF!</f>
        <v>#REF!</v>
      </c>
      <c r="L37" s="20" t="str">
        <f t="shared" si="107"/>
        <v>#REF!</v>
      </c>
    </row>
    <row r="38">
      <c r="A38" s="20" t="str">
        <f t="shared" si="5"/>
        <v>#REF!</v>
      </c>
      <c r="B38" s="20" t="str">
        <f t="shared" si="6"/>
        <v>#REF!</v>
      </c>
      <c r="C38" s="20" t="str">
        <f t="shared" ref="C38:D38" si="108">#REF!</f>
        <v>#REF!</v>
      </c>
      <c r="D38" s="20" t="str">
        <f t="shared" si="108"/>
        <v>#REF!</v>
      </c>
      <c r="E38" s="20" t="str">
        <f t="shared" si="8"/>
        <v>#REF!</v>
      </c>
      <c r="F38" s="22" t="str">
        <f t="shared" si="2"/>
        <v>#REF!</v>
      </c>
      <c r="G38" s="20" t="str">
        <f t="shared" ref="G38:I38" si="109">#REF!</f>
        <v>#REF!</v>
      </c>
      <c r="H38" s="20" t="str">
        <f t="shared" si="109"/>
        <v>#REF!</v>
      </c>
      <c r="I38" s="20" t="str">
        <f t="shared" si="109"/>
        <v>#REF!</v>
      </c>
      <c r="J38" s="20" t="str">
        <f t="shared" si="10"/>
        <v>#REF!</v>
      </c>
      <c r="K38" s="20" t="str">
        <f t="shared" ref="K38:L38" si="110">#REF!</f>
        <v>#REF!</v>
      </c>
      <c r="L38" s="20" t="str">
        <f t="shared" si="110"/>
        <v>#REF!</v>
      </c>
    </row>
    <row r="39">
      <c r="A39" s="20" t="str">
        <f t="shared" si="5"/>
        <v>#REF!</v>
      </c>
      <c r="B39" s="20" t="str">
        <f t="shared" si="6"/>
        <v>#REF!</v>
      </c>
      <c r="C39" s="20" t="str">
        <f t="shared" ref="C39:D39" si="111">#REF!</f>
        <v>#REF!</v>
      </c>
      <c r="D39" s="20" t="str">
        <f t="shared" si="111"/>
        <v>#REF!</v>
      </c>
      <c r="E39" s="20" t="str">
        <f t="shared" si="8"/>
        <v>#REF!</v>
      </c>
      <c r="F39" s="22" t="str">
        <f t="shared" si="2"/>
        <v>#REF!</v>
      </c>
      <c r="G39" s="20" t="str">
        <f t="shared" ref="G39:I39" si="112">#REF!</f>
        <v>#REF!</v>
      </c>
      <c r="H39" s="20" t="str">
        <f t="shared" si="112"/>
        <v>#REF!</v>
      </c>
      <c r="I39" s="20" t="str">
        <f t="shared" si="112"/>
        <v>#REF!</v>
      </c>
      <c r="J39" s="20" t="str">
        <f t="shared" si="10"/>
        <v>#REF!</v>
      </c>
      <c r="K39" s="20" t="str">
        <f t="shared" ref="K39:L39" si="113">#REF!</f>
        <v>#REF!</v>
      </c>
      <c r="L39" s="20" t="str">
        <f t="shared" si="113"/>
        <v>#REF!</v>
      </c>
    </row>
    <row r="40">
      <c r="A40" s="20" t="str">
        <f t="shared" si="5"/>
        <v>#REF!</v>
      </c>
      <c r="B40" s="20" t="str">
        <f t="shared" si="6"/>
        <v>#REF!</v>
      </c>
      <c r="C40" s="20" t="str">
        <f t="shared" ref="C40:D40" si="114">#REF!</f>
        <v>#REF!</v>
      </c>
      <c r="D40" s="20" t="str">
        <f t="shared" si="114"/>
        <v>#REF!</v>
      </c>
      <c r="E40" s="20" t="str">
        <f t="shared" si="8"/>
        <v>#REF!</v>
      </c>
      <c r="F40" s="22" t="str">
        <f t="shared" si="2"/>
        <v>#REF!</v>
      </c>
      <c r="G40" s="20" t="str">
        <f t="shared" ref="G40:I40" si="115">#REF!</f>
        <v>#REF!</v>
      </c>
      <c r="H40" s="20" t="str">
        <f t="shared" si="115"/>
        <v>#REF!</v>
      </c>
      <c r="I40" s="20" t="str">
        <f t="shared" si="115"/>
        <v>#REF!</v>
      </c>
      <c r="J40" s="20" t="str">
        <f t="shared" si="10"/>
        <v>#REF!</v>
      </c>
      <c r="K40" s="20" t="str">
        <f t="shared" ref="K40:L40" si="116">#REF!</f>
        <v>#REF!</v>
      </c>
      <c r="L40" s="20" t="str">
        <f t="shared" si="116"/>
        <v>#REF!</v>
      </c>
    </row>
    <row r="41">
      <c r="A41" s="20" t="str">
        <f t="shared" si="5"/>
        <v>#REF!</v>
      </c>
      <c r="B41" s="20" t="str">
        <f t="shared" si="6"/>
        <v>#REF!</v>
      </c>
      <c r="C41" s="20" t="str">
        <f t="shared" ref="C41:D41" si="117">#REF!</f>
        <v>#REF!</v>
      </c>
      <c r="D41" s="20" t="str">
        <f t="shared" si="117"/>
        <v>#REF!</v>
      </c>
      <c r="E41" s="20" t="str">
        <f t="shared" si="8"/>
        <v>#REF!</v>
      </c>
      <c r="F41" s="22" t="str">
        <f t="shared" si="2"/>
        <v>#REF!</v>
      </c>
      <c r="G41" s="20" t="str">
        <f t="shared" ref="G41:I41" si="118">#REF!</f>
        <v>#REF!</v>
      </c>
      <c r="H41" s="20" t="str">
        <f t="shared" si="118"/>
        <v>#REF!</v>
      </c>
      <c r="I41" s="20" t="str">
        <f t="shared" si="118"/>
        <v>#REF!</v>
      </c>
      <c r="J41" s="20" t="str">
        <f t="shared" si="10"/>
        <v>#REF!</v>
      </c>
      <c r="K41" s="20" t="str">
        <f t="shared" ref="K41:L41" si="119">#REF!</f>
        <v>#REF!</v>
      </c>
      <c r="L41" s="20" t="str">
        <f t="shared" si="119"/>
        <v>#REF!</v>
      </c>
    </row>
    <row r="42">
      <c r="A42" s="20" t="str">
        <f t="shared" si="5"/>
        <v>#REF!</v>
      </c>
      <c r="B42" s="20" t="str">
        <f t="shared" si="6"/>
        <v>#REF!</v>
      </c>
      <c r="C42" s="20" t="str">
        <f t="shared" ref="C42:D42" si="120">#REF!</f>
        <v>#REF!</v>
      </c>
      <c r="D42" s="20" t="str">
        <f t="shared" si="120"/>
        <v>#REF!</v>
      </c>
      <c r="E42" s="20" t="str">
        <f t="shared" si="8"/>
        <v>#REF!</v>
      </c>
      <c r="F42" s="22" t="str">
        <f t="shared" si="2"/>
        <v>#REF!</v>
      </c>
      <c r="G42" s="20" t="str">
        <f t="shared" ref="G42:I42" si="121">#REF!</f>
        <v>#REF!</v>
      </c>
      <c r="H42" s="20" t="str">
        <f t="shared" si="121"/>
        <v>#REF!</v>
      </c>
      <c r="I42" s="20" t="str">
        <f t="shared" si="121"/>
        <v>#REF!</v>
      </c>
      <c r="J42" s="20" t="str">
        <f t="shared" si="10"/>
        <v>#REF!</v>
      </c>
      <c r="K42" s="20" t="str">
        <f t="shared" ref="K42:L42" si="122">#REF!</f>
        <v>#REF!</v>
      </c>
      <c r="L42" s="20" t="str">
        <f t="shared" si="122"/>
        <v>#REF!</v>
      </c>
    </row>
    <row r="43">
      <c r="A43" s="20" t="str">
        <f t="shared" si="5"/>
        <v>#REF!</v>
      </c>
      <c r="B43" s="20" t="str">
        <f t="shared" si="6"/>
        <v>#REF!</v>
      </c>
      <c r="C43" s="20" t="str">
        <f t="shared" ref="C43:D43" si="123">#REF!</f>
        <v>#REF!</v>
      </c>
      <c r="D43" s="20" t="str">
        <f t="shared" si="123"/>
        <v>#REF!</v>
      </c>
      <c r="E43" s="20" t="str">
        <f t="shared" si="8"/>
        <v>#REF!</v>
      </c>
      <c r="F43" s="22" t="str">
        <f t="shared" si="2"/>
        <v>#REF!</v>
      </c>
      <c r="G43" s="20" t="str">
        <f t="shared" ref="G43:I43" si="124">#REF!</f>
        <v>#REF!</v>
      </c>
      <c r="H43" s="20" t="str">
        <f t="shared" si="124"/>
        <v>#REF!</v>
      </c>
      <c r="I43" s="20" t="str">
        <f t="shared" si="124"/>
        <v>#REF!</v>
      </c>
      <c r="J43" s="20" t="str">
        <f t="shared" si="10"/>
        <v>#REF!</v>
      </c>
      <c r="K43" s="20" t="str">
        <f t="shared" ref="K43:L43" si="125">#REF!</f>
        <v>#REF!</v>
      </c>
      <c r="L43" s="20" t="str">
        <f t="shared" si="125"/>
        <v>#REF!</v>
      </c>
    </row>
    <row r="44">
      <c r="A44" s="20" t="str">
        <f t="shared" si="5"/>
        <v>#REF!</v>
      </c>
      <c r="B44" s="20" t="str">
        <f t="shared" si="6"/>
        <v>#REF!</v>
      </c>
      <c r="C44" s="20" t="str">
        <f t="shared" ref="C44:D44" si="126">#REF!</f>
        <v>#REF!</v>
      </c>
      <c r="D44" s="20" t="str">
        <f t="shared" si="126"/>
        <v>#REF!</v>
      </c>
      <c r="E44" s="20" t="str">
        <f t="shared" si="8"/>
        <v>#REF!</v>
      </c>
      <c r="F44" s="22" t="str">
        <f t="shared" si="2"/>
        <v>#REF!</v>
      </c>
      <c r="G44" s="20" t="str">
        <f t="shared" ref="G44:I44" si="127">#REF!</f>
        <v>#REF!</v>
      </c>
      <c r="H44" s="20" t="str">
        <f t="shared" si="127"/>
        <v>#REF!</v>
      </c>
      <c r="I44" s="20" t="str">
        <f t="shared" si="127"/>
        <v>#REF!</v>
      </c>
      <c r="J44" s="20" t="str">
        <f t="shared" si="10"/>
        <v>#REF!</v>
      </c>
      <c r="K44" s="20" t="str">
        <f t="shared" ref="K44:L44" si="128">#REF!</f>
        <v>#REF!</v>
      </c>
      <c r="L44" s="20" t="str">
        <f t="shared" si="128"/>
        <v>#REF!</v>
      </c>
    </row>
    <row r="45">
      <c r="A45" s="20" t="str">
        <f t="shared" si="5"/>
        <v>#REF!</v>
      </c>
      <c r="B45" s="20" t="str">
        <f t="shared" si="6"/>
        <v>#REF!</v>
      </c>
      <c r="C45" s="20" t="str">
        <f t="shared" ref="C45:D45" si="129">#REF!</f>
        <v>#REF!</v>
      </c>
      <c r="D45" s="20" t="str">
        <f t="shared" si="129"/>
        <v>#REF!</v>
      </c>
      <c r="E45" s="20" t="str">
        <f t="shared" si="8"/>
        <v>#REF!</v>
      </c>
      <c r="F45" s="22" t="str">
        <f t="shared" si="2"/>
        <v>#REF!</v>
      </c>
      <c r="G45" s="20" t="str">
        <f t="shared" ref="G45:I45" si="130">#REF!</f>
        <v>#REF!</v>
      </c>
      <c r="H45" s="20" t="str">
        <f t="shared" si="130"/>
        <v>#REF!</v>
      </c>
      <c r="I45" s="20" t="str">
        <f t="shared" si="130"/>
        <v>#REF!</v>
      </c>
      <c r="J45" s="20" t="str">
        <f t="shared" si="10"/>
        <v>#REF!</v>
      </c>
      <c r="K45" s="20" t="str">
        <f t="shared" ref="K45:L45" si="131">#REF!</f>
        <v>#REF!</v>
      </c>
      <c r="L45" s="20" t="str">
        <f t="shared" si="131"/>
        <v>#REF!</v>
      </c>
    </row>
    <row r="46">
      <c r="A46" s="20" t="str">
        <f t="shared" si="5"/>
        <v>#REF!</v>
      </c>
      <c r="B46" s="20" t="str">
        <f t="shared" si="6"/>
        <v>#REF!</v>
      </c>
      <c r="C46" s="20" t="str">
        <f t="shared" ref="C46:D46" si="132">#REF!</f>
        <v>#REF!</v>
      </c>
      <c r="D46" s="20" t="str">
        <f t="shared" si="132"/>
        <v>#REF!</v>
      </c>
      <c r="E46" s="20" t="str">
        <f t="shared" si="8"/>
        <v>#REF!</v>
      </c>
      <c r="F46" s="22" t="str">
        <f t="shared" si="2"/>
        <v>#REF!</v>
      </c>
      <c r="G46" s="20" t="str">
        <f t="shared" ref="G46:I46" si="133">#REF!</f>
        <v>#REF!</v>
      </c>
      <c r="H46" s="20" t="str">
        <f t="shared" si="133"/>
        <v>#REF!</v>
      </c>
      <c r="I46" s="20" t="str">
        <f t="shared" si="133"/>
        <v>#REF!</v>
      </c>
      <c r="J46" s="20" t="str">
        <f t="shared" si="10"/>
        <v>#REF!</v>
      </c>
      <c r="K46" s="20" t="str">
        <f t="shared" ref="K46:L46" si="134">#REF!</f>
        <v>#REF!</v>
      </c>
      <c r="L46" s="20" t="str">
        <f t="shared" si="134"/>
        <v>#REF!</v>
      </c>
    </row>
    <row r="47">
      <c r="A47" s="20" t="str">
        <f t="shared" si="5"/>
        <v>#REF!</v>
      </c>
      <c r="B47" s="20" t="str">
        <f t="shared" si="6"/>
        <v>#REF!</v>
      </c>
      <c r="C47" s="20" t="str">
        <f t="shared" ref="C47:D47" si="135">#REF!</f>
        <v>#REF!</v>
      </c>
      <c r="D47" s="20" t="str">
        <f t="shared" si="135"/>
        <v>#REF!</v>
      </c>
      <c r="E47" s="20" t="str">
        <f t="shared" si="8"/>
        <v>#REF!</v>
      </c>
      <c r="F47" s="22" t="str">
        <f t="shared" si="2"/>
        <v>#REF!</v>
      </c>
      <c r="G47" s="20" t="str">
        <f t="shared" ref="G47:I47" si="136">#REF!</f>
        <v>#REF!</v>
      </c>
      <c r="H47" s="20" t="str">
        <f t="shared" si="136"/>
        <v>#REF!</v>
      </c>
      <c r="I47" s="20" t="str">
        <f t="shared" si="136"/>
        <v>#REF!</v>
      </c>
      <c r="J47" s="20" t="str">
        <f t="shared" si="10"/>
        <v>#REF!</v>
      </c>
      <c r="K47" s="20" t="str">
        <f t="shared" ref="K47:L47" si="137">#REF!</f>
        <v>#REF!</v>
      </c>
      <c r="L47" s="20" t="str">
        <f t="shared" si="137"/>
        <v>#REF!</v>
      </c>
    </row>
    <row r="48">
      <c r="A48" s="20" t="str">
        <f t="shared" si="5"/>
        <v>#REF!</v>
      </c>
      <c r="B48" s="20" t="str">
        <f t="shared" si="6"/>
        <v>#REF!</v>
      </c>
      <c r="C48" s="20" t="str">
        <f t="shared" ref="C48:D48" si="138">#REF!</f>
        <v>#REF!</v>
      </c>
      <c r="D48" s="20" t="str">
        <f t="shared" si="138"/>
        <v>#REF!</v>
      </c>
      <c r="E48" s="20" t="str">
        <f t="shared" si="8"/>
        <v>#REF!</v>
      </c>
      <c r="F48" s="22" t="str">
        <f t="shared" si="2"/>
        <v>#REF!</v>
      </c>
      <c r="G48" s="20" t="str">
        <f t="shared" ref="G48:I48" si="139">#REF!</f>
        <v>#REF!</v>
      </c>
      <c r="H48" s="20" t="str">
        <f t="shared" si="139"/>
        <v>#REF!</v>
      </c>
      <c r="I48" s="20" t="str">
        <f t="shared" si="139"/>
        <v>#REF!</v>
      </c>
      <c r="J48" s="20" t="str">
        <f t="shared" si="10"/>
        <v>#REF!</v>
      </c>
      <c r="K48" s="20" t="str">
        <f t="shared" ref="K48:L48" si="140">#REF!</f>
        <v>#REF!</v>
      </c>
      <c r="L48" s="20" t="str">
        <f t="shared" si="140"/>
        <v>#REF!</v>
      </c>
    </row>
    <row r="49">
      <c r="A49" s="20" t="str">
        <f t="shared" si="5"/>
        <v>#REF!</v>
      </c>
      <c r="B49" s="20" t="str">
        <f t="shared" si="6"/>
        <v>#REF!</v>
      </c>
      <c r="C49" s="20" t="str">
        <f t="shared" ref="C49:D49" si="141">#REF!</f>
        <v>#REF!</v>
      </c>
      <c r="D49" s="20" t="str">
        <f t="shared" si="141"/>
        <v>#REF!</v>
      </c>
      <c r="E49" s="20" t="str">
        <f t="shared" si="8"/>
        <v>#REF!</v>
      </c>
      <c r="F49" s="22" t="str">
        <f t="shared" si="2"/>
        <v>#REF!</v>
      </c>
      <c r="G49" s="20" t="str">
        <f t="shared" ref="G49:I49" si="142">#REF!</f>
        <v>#REF!</v>
      </c>
      <c r="H49" s="20" t="str">
        <f t="shared" si="142"/>
        <v>#REF!</v>
      </c>
      <c r="I49" s="20" t="str">
        <f t="shared" si="142"/>
        <v>#REF!</v>
      </c>
      <c r="J49" s="20" t="str">
        <f t="shared" si="10"/>
        <v>#REF!</v>
      </c>
      <c r="K49" s="20" t="str">
        <f t="shared" ref="K49:L49" si="143">#REF!</f>
        <v>#REF!</v>
      </c>
      <c r="L49" s="20" t="str">
        <f t="shared" si="143"/>
        <v>#REF!</v>
      </c>
    </row>
    <row r="50">
      <c r="A50" s="20" t="str">
        <f t="shared" si="5"/>
        <v>#REF!</v>
      </c>
      <c r="B50" s="20" t="str">
        <f t="shared" si="6"/>
        <v>#REF!</v>
      </c>
      <c r="C50" s="20" t="str">
        <f t="shared" ref="C50:D50" si="144">#REF!</f>
        <v>#REF!</v>
      </c>
      <c r="D50" s="20" t="str">
        <f t="shared" si="144"/>
        <v>#REF!</v>
      </c>
      <c r="E50" s="20" t="str">
        <f t="shared" si="8"/>
        <v>#REF!</v>
      </c>
      <c r="F50" s="22" t="str">
        <f t="shared" si="2"/>
        <v>#REF!</v>
      </c>
      <c r="G50" s="20" t="str">
        <f t="shared" ref="G50:I50" si="145">#REF!</f>
        <v>#REF!</v>
      </c>
      <c r="H50" s="20" t="str">
        <f t="shared" si="145"/>
        <v>#REF!</v>
      </c>
      <c r="I50" s="20" t="str">
        <f t="shared" si="145"/>
        <v>#REF!</v>
      </c>
      <c r="J50" s="20" t="str">
        <f t="shared" si="10"/>
        <v>#REF!</v>
      </c>
      <c r="K50" s="20" t="str">
        <f t="shared" ref="K50:L50" si="146">#REF!</f>
        <v>#REF!</v>
      </c>
      <c r="L50" s="20" t="str">
        <f t="shared" si="146"/>
        <v>#REF!</v>
      </c>
    </row>
    <row r="51">
      <c r="A51" s="20" t="str">
        <f t="shared" si="5"/>
        <v>#REF!</v>
      </c>
      <c r="B51" s="20" t="str">
        <f t="shared" si="6"/>
        <v>#REF!</v>
      </c>
      <c r="C51" s="20" t="str">
        <f t="shared" ref="C51:D51" si="147">#REF!</f>
        <v>#REF!</v>
      </c>
      <c r="D51" s="20" t="str">
        <f t="shared" si="147"/>
        <v>#REF!</v>
      </c>
      <c r="E51" s="20" t="str">
        <f t="shared" si="8"/>
        <v>#REF!</v>
      </c>
      <c r="F51" s="22" t="str">
        <f t="shared" si="2"/>
        <v>#REF!</v>
      </c>
      <c r="G51" s="20" t="str">
        <f t="shared" ref="G51:I51" si="148">#REF!</f>
        <v>#REF!</v>
      </c>
      <c r="H51" s="20" t="str">
        <f t="shared" si="148"/>
        <v>#REF!</v>
      </c>
      <c r="I51" s="20" t="str">
        <f t="shared" si="148"/>
        <v>#REF!</v>
      </c>
      <c r="J51" s="20" t="str">
        <f t="shared" si="10"/>
        <v>#REF!</v>
      </c>
      <c r="K51" s="20" t="str">
        <f t="shared" ref="K51:L51" si="149">#REF!</f>
        <v>#REF!</v>
      </c>
      <c r="L51" s="20" t="str">
        <f t="shared" si="149"/>
        <v>#REF!</v>
      </c>
    </row>
    <row r="52">
      <c r="A52" s="20" t="str">
        <f t="shared" si="5"/>
        <v>#REF!</v>
      </c>
      <c r="B52" s="20" t="str">
        <f t="shared" si="6"/>
        <v>#REF!</v>
      </c>
      <c r="C52" s="20" t="str">
        <f t="shared" ref="C52:D52" si="150">#REF!</f>
        <v>#REF!</v>
      </c>
      <c r="D52" s="20" t="str">
        <f t="shared" si="150"/>
        <v>#REF!</v>
      </c>
      <c r="E52" s="20" t="str">
        <f t="shared" si="8"/>
        <v>#REF!</v>
      </c>
      <c r="F52" s="22" t="str">
        <f t="shared" si="2"/>
        <v>#REF!</v>
      </c>
      <c r="G52" s="20" t="str">
        <f t="shared" ref="G52:I52" si="151">#REF!</f>
        <v>#REF!</v>
      </c>
      <c r="H52" s="20" t="str">
        <f t="shared" si="151"/>
        <v>#REF!</v>
      </c>
      <c r="I52" s="20" t="str">
        <f t="shared" si="151"/>
        <v>#REF!</v>
      </c>
      <c r="J52" s="20" t="str">
        <f t="shared" si="10"/>
        <v>#REF!</v>
      </c>
      <c r="K52" s="20" t="str">
        <f t="shared" ref="K52:L52" si="152">#REF!</f>
        <v>#REF!</v>
      </c>
      <c r="L52" s="20" t="str">
        <f t="shared" si="152"/>
        <v>#REF!</v>
      </c>
    </row>
    <row r="53">
      <c r="A53" s="20" t="str">
        <f t="shared" si="5"/>
        <v>#REF!</v>
      </c>
      <c r="B53" s="20" t="str">
        <f t="shared" si="6"/>
        <v>#REF!</v>
      </c>
      <c r="C53" s="20" t="str">
        <f t="shared" ref="C53:D53" si="153">#REF!</f>
        <v>#REF!</v>
      </c>
      <c r="D53" s="20" t="str">
        <f t="shared" si="153"/>
        <v>#REF!</v>
      </c>
      <c r="E53" s="20" t="str">
        <f t="shared" si="8"/>
        <v>#REF!</v>
      </c>
      <c r="F53" s="22" t="str">
        <f t="shared" si="2"/>
        <v>#REF!</v>
      </c>
      <c r="G53" s="20" t="str">
        <f t="shared" ref="G53:I53" si="154">#REF!</f>
        <v>#REF!</v>
      </c>
      <c r="H53" s="20" t="str">
        <f t="shared" si="154"/>
        <v>#REF!</v>
      </c>
      <c r="I53" s="20" t="str">
        <f t="shared" si="154"/>
        <v>#REF!</v>
      </c>
      <c r="J53" s="20" t="str">
        <f t="shared" si="10"/>
        <v>#REF!</v>
      </c>
      <c r="K53" s="20" t="str">
        <f t="shared" ref="K53:L53" si="155">#REF!</f>
        <v>#REF!</v>
      </c>
      <c r="L53" s="20" t="str">
        <f t="shared" si="155"/>
        <v>#REF!</v>
      </c>
    </row>
    <row r="54">
      <c r="A54" s="20" t="str">
        <f t="shared" si="5"/>
        <v>#REF!</v>
      </c>
      <c r="B54" s="20" t="str">
        <f t="shared" si="6"/>
        <v>#REF!</v>
      </c>
      <c r="C54" s="20" t="str">
        <f t="shared" ref="C54:D54" si="156">#REF!</f>
        <v>#REF!</v>
      </c>
      <c r="D54" s="20" t="str">
        <f t="shared" si="156"/>
        <v>#REF!</v>
      </c>
      <c r="E54" s="20" t="str">
        <f t="shared" si="8"/>
        <v>#REF!</v>
      </c>
      <c r="F54" s="22" t="str">
        <f t="shared" si="2"/>
        <v>#REF!</v>
      </c>
      <c r="G54" s="20" t="str">
        <f t="shared" ref="G54:I54" si="157">#REF!</f>
        <v>#REF!</v>
      </c>
      <c r="H54" s="20" t="str">
        <f t="shared" si="157"/>
        <v>#REF!</v>
      </c>
      <c r="I54" s="20" t="str">
        <f t="shared" si="157"/>
        <v>#REF!</v>
      </c>
      <c r="J54" s="20" t="str">
        <f t="shared" si="10"/>
        <v>#REF!</v>
      </c>
      <c r="K54" s="20" t="str">
        <f t="shared" ref="K54:L54" si="158">#REF!</f>
        <v>#REF!</v>
      </c>
      <c r="L54" s="20" t="str">
        <f t="shared" si="158"/>
        <v>#REF!</v>
      </c>
    </row>
    <row r="55">
      <c r="A55" s="20" t="str">
        <f t="shared" si="5"/>
        <v>#REF!</v>
      </c>
      <c r="B55" s="20" t="str">
        <f t="shared" si="6"/>
        <v>#REF!</v>
      </c>
      <c r="C55" s="20" t="str">
        <f t="shared" ref="C55:D55" si="159">#REF!</f>
        <v>#REF!</v>
      </c>
      <c r="D55" s="20" t="str">
        <f t="shared" si="159"/>
        <v>#REF!</v>
      </c>
      <c r="E55" s="20" t="str">
        <f t="shared" si="8"/>
        <v>#REF!</v>
      </c>
      <c r="F55" s="22" t="str">
        <f t="shared" si="2"/>
        <v>#REF!</v>
      </c>
      <c r="G55" s="20" t="str">
        <f t="shared" ref="G55:I55" si="160">#REF!</f>
        <v>#REF!</v>
      </c>
      <c r="H55" s="20" t="str">
        <f t="shared" si="160"/>
        <v>#REF!</v>
      </c>
      <c r="I55" s="20" t="str">
        <f t="shared" si="160"/>
        <v>#REF!</v>
      </c>
      <c r="J55" s="20" t="str">
        <f t="shared" si="10"/>
        <v>#REF!</v>
      </c>
      <c r="K55" s="20" t="str">
        <f t="shared" ref="K55:L55" si="161">#REF!</f>
        <v>#REF!</v>
      </c>
      <c r="L55" s="20" t="str">
        <f t="shared" si="161"/>
        <v>#REF!</v>
      </c>
    </row>
    <row r="56">
      <c r="A56" s="20" t="str">
        <f t="shared" si="5"/>
        <v>#REF!</v>
      </c>
      <c r="B56" s="20" t="str">
        <f t="shared" si="6"/>
        <v>#REF!</v>
      </c>
      <c r="C56" s="20" t="str">
        <f t="shared" ref="C56:D56" si="162">#REF!</f>
        <v>#REF!</v>
      </c>
      <c r="D56" s="20" t="str">
        <f t="shared" si="162"/>
        <v>#REF!</v>
      </c>
      <c r="E56" s="20" t="str">
        <f t="shared" si="8"/>
        <v>#REF!</v>
      </c>
      <c r="F56" s="22" t="str">
        <f t="shared" si="2"/>
        <v>#REF!</v>
      </c>
      <c r="G56" s="20" t="str">
        <f t="shared" ref="G56:I56" si="163">#REF!</f>
        <v>#REF!</v>
      </c>
      <c r="H56" s="20" t="str">
        <f t="shared" si="163"/>
        <v>#REF!</v>
      </c>
      <c r="I56" s="20" t="str">
        <f t="shared" si="163"/>
        <v>#REF!</v>
      </c>
      <c r="J56" s="20" t="str">
        <f t="shared" si="10"/>
        <v>#REF!</v>
      </c>
      <c r="K56" s="20" t="str">
        <f t="shared" ref="K56:L56" si="164">#REF!</f>
        <v>#REF!</v>
      </c>
      <c r="L56" s="20" t="str">
        <f t="shared" si="164"/>
        <v>#REF!</v>
      </c>
    </row>
    <row r="57">
      <c r="A57" s="20" t="str">
        <f t="shared" si="5"/>
        <v>#REF!</v>
      </c>
      <c r="B57" s="20" t="str">
        <f t="shared" si="6"/>
        <v>#REF!</v>
      </c>
      <c r="C57" s="20" t="str">
        <f t="shared" ref="C57:D57" si="165">#REF!</f>
        <v>#REF!</v>
      </c>
      <c r="D57" s="20" t="str">
        <f t="shared" si="165"/>
        <v>#REF!</v>
      </c>
      <c r="E57" s="20" t="str">
        <f t="shared" si="8"/>
        <v>#REF!</v>
      </c>
      <c r="F57" s="22" t="str">
        <f t="shared" si="2"/>
        <v>#REF!</v>
      </c>
      <c r="G57" s="20" t="str">
        <f t="shared" ref="G57:I57" si="166">#REF!</f>
        <v>#REF!</v>
      </c>
      <c r="H57" s="20" t="str">
        <f t="shared" si="166"/>
        <v>#REF!</v>
      </c>
      <c r="I57" s="20" t="str">
        <f t="shared" si="166"/>
        <v>#REF!</v>
      </c>
      <c r="J57" s="20" t="str">
        <f t="shared" si="10"/>
        <v>#REF!</v>
      </c>
      <c r="K57" s="20" t="str">
        <f t="shared" ref="K57:L57" si="167">#REF!</f>
        <v>#REF!</v>
      </c>
      <c r="L57" s="20" t="str">
        <f t="shared" si="167"/>
        <v>#REF!</v>
      </c>
    </row>
    <row r="58">
      <c r="A58" s="20" t="str">
        <f t="shared" si="5"/>
        <v>#REF!</v>
      </c>
      <c r="B58" s="20" t="str">
        <f t="shared" si="6"/>
        <v>#REF!</v>
      </c>
      <c r="C58" s="20" t="str">
        <f t="shared" ref="C58:D58" si="168">#REF!</f>
        <v>#REF!</v>
      </c>
      <c r="D58" s="20" t="str">
        <f t="shared" si="168"/>
        <v>#REF!</v>
      </c>
      <c r="E58" s="20" t="str">
        <f t="shared" si="8"/>
        <v>#REF!</v>
      </c>
      <c r="F58" s="22" t="str">
        <f t="shared" si="2"/>
        <v>#REF!</v>
      </c>
      <c r="G58" s="20" t="str">
        <f t="shared" ref="G58:I58" si="169">#REF!</f>
        <v>#REF!</v>
      </c>
      <c r="H58" s="20" t="str">
        <f t="shared" si="169"/>
        <v>#REF!</v>
      </c>
      <c r="I58" s="20" t="str">
        <f t="shared" si="169"/>
        <v>#REF!</v>
      </c>
      <c r="J58" s="20" t="str">
        <f t="shared" si="10"/>
        <v>#REF!</v>
      </c>
      <c r="K58" s="20" t="str">
        <f t="shared" ref="K58:L58" si="170">#REF!</f>
        <v>#REF!</v>
      </c>
      <c r="L58" s="20" t="str">
        <f t="shared" si="170"/>
        <v>#REF!</v>
      </c>
    </row>
    <row r="59">
      <c r="A59" s="20" t="str">
        <f t="shared" si="5"/>
        <v>#REF!</v>
      </c>
      <c r="B59" s="20" t="str">
        <f t="shared" si="6"/>
        <v>#REF!</v>
      </c>
      <c r="C59" s="20" t="str">
        <f t="shared" ref="C59:D59" si="171">#REF!</f>
        <v>#REF!</v>
      </c>
      <c r="D59" s="20" t="str">
        <f t="shared" si="171"/>
        <v>#REF!</v>
      </c>
      <c r="E59" s="20" t="str">
        <f t="shared" si="8"/>
        <v>#REF!</v>
      </c>
      <c r="F59" s="22" t="str">
        <f t="shared" si="2"/>
        <v>#REF!</v>
      </c>
      <c r="G59" s="20" t="str">
        <f t="shared" ref="G59:I59" si="172">#REF!</f>
        <v>#REF!</v>
      </c>
      <c r="H59" s="20" t="str">
        <f t="shared" si="172"/>
        <v>#REF!</v>
      </c>
      <c r="I59" s="20" t="str">
        <f t="shared" si="172"/>
        <v>#REF!</v>
      </c>
      <c r="J59" s="20" t="str">
        <f t="shared" si="10"/>
        <v>#REF!</v>
      </c>
      <c r="K59" s="20" t="str">
        <f t="shared" ref="K59:L59" si="173">#REF!</f>
        <v>#REF!</v>
      </c>
      <c r="L59" s="20" t="str">
        <f t="shared" si="173"/>
        <v>#REF!</v>
      </c>
    </row>
    <row r="60">
      <c r="A60" s="20" t="str">
        <f t="shared" si="5"/>
        <v>#REF!</v>
      </c>
      <c r="B60" s="20" t="str">
        <f t="shared" si="6"/>
        <v>#REF!</v>
      </c>
      <c r="C60" s="20" t="str">
        <f t="shared" ref="C60:D60" si="174">#REF!</f>
        <v>#REF!</v>
      </c>
      <c r="D60" s="20" t="str">
        <f t="shared" si="174"/>
        <v>#REF!</v>
      </c>
      <c r="E60" s="20" t="str">
        <f t="shared" si="8"/>
        <v>#REF!</v>
      </c>
      <c r="F60" s="22" t="str">
        <f t="shared" si="2"/>
        <v>#REF!</v>
      </c>
      <c r="G60" s="20" t="str">
        <f t="shared" ref="G60:I60" si="175">#REF!</f>
        <v>#REF!</v>
      </c>
      <c r="H60" s="20" t="str">
        <f t="shared" si="175"/>
        <v>#REF!</v>
      </c>
      <c r="I60" s="20" t="str">
        <f t="shared" si="175"/>
        <v>#REF!</v>
      </c>
      <c r="J60" s="20" t="str">
        <f t="shared" si="10"/>
        <v>#REF!</v>
      </c>
      <c r="K60" s="20" t="str">
        <f t="shared" ref="K60:L60" si="176">#REF!</f>
        <v>#REF!</v>
      </c>
      <c r="L60" s="20" t="str">
        <f t="shared" si="176"/>
        <v>#REF!</v>
      </c>
    </row>
    <row r="61">
      <c r="A61" s="20" t="str">
        <f t="shared" si="5"/>
        <v>#REF!</v>
      </c>
      <c r="B61" s="20" t="str">
        <f t="shared" si="6"/>
        <v>#REF!</v>
      </c>
      <c r="C61" s="20" t="str">
        <f t="shared" ref="C61:D61" si="177">#REF!</f>
        <v>#REF!</v>
      </c>
      <c r="D61" s="20" t="str">
        <f t="shared" si="177"/>
        <v>#REF!</v>
      </c>
      <c r="E61" s="20" t="str">
        <f t="shared" si="8"/>
        <v>#REF!</v>
      </c>
      <c r="F61" s="22" t="str">
        <f t="shared" si="2"/>
        <v>#REF!</v>
      </c>
      <c r="G61" s="20" t="str">
        <f t="shared" ref="G61:I61" si="178">#REF!</f>
        <v>#REF!</v>
      </c>
      <c r="H61" s="20" t="str">
        <f t="shared" si="178"/>
        <v>#REF!</v>
      </c>
      <c r="I61" s="20" t="str">
        <f t="shared" si="178"/>
        <v>#REF!</v>
      </c>
      <c r="J61" s="20" t="str">
        <f t="shared" si="10"/>
        <v>#REF!</v>
      </c>
      <c r="K61" s="20" t="str">
        <f t="shared" ref="K61:L61" si="179">#REF!</f>
        <v>#REF!</v>
      </c>
      <c r="L61" s="20" t="str">
        <f t="shared" si="179"/>
        <v>#REF!</v>
      </c>
    </row>
    <row r="62">
      <c r="A62" s="20" t="str">
        <f t="shared" si="5"/>
        <v>#REF!</v>
      </c>
      <c r="B62" s="20" t="str">
        <f t="shared" si="6"/>
        <v>#REF!</v>
      </c>
      <c r="C62" s="20" t="str">
        <f t="shared" ref="C62:D62" si="180">#REF!</f>
        <v>#REF!</v>
      </c>
      <c r="D62" s="20" t="str">
        <f t="shared" si="180"/>
        <v>#REF!</v>
      </c>
      <c r="E62" s="20" t="str">
        <f t="shared" si="8"/>
        <v>#REF!</v>
      </c>
      <c r="F62" s="22" t="str">
        <f t="shared" si="2"/>
        <v>#REF!</v>
      </c>
      <c r="G62" s="20" t="str">
        <f t="shared" ref="G62:I62" si="181">#REF!</f>
        <v>#REF!</v>
      </c>
      <c r="H62" s="20" t="str">
        <f t="shared" si="181"/>
        <v>#REF!</v>
      </c>
      <c r="I62" s="20" t="str">
        <f t="shared" si="181"/>
        <v>#REF!</v>
      </c>
      <c r="J62" s="20" t="str">
        <f t="shared" si="10"/>
        <v>#REF!</v>
      </c>
      <c r="K62" s="20" t="str">
        <f t="shared" ref="K62:L62" si="182">#REF!</f>
        <v>#REF!</v>
      </c>
      <c r="L62" s="20" t="str">
        <f t="shared" si="182"/>
        <v>#REF!</v>
      </c>
    </row>
    <row r="63">
      <c r="A63" s="20" t="str">
        <f t="shared" si="5"/>
        <v>#REF!</v>
      </c>
      <c r="B63" s="20" t="str">
        <f t="shared" si="6"/>
        <v>#REF!</v>
      </c>
      <c r="C63" s="20" t="str">
        <f t="shared" ref="C63:D63" si="183">#REF!</f>
        <v>#REF!</v>
      </c>
      <c r="D63" s="20" t="str">
        <f t="shared" si="183"/>
        <v>#REF!</v>
      </c>
      <c r="E63" s="20" t="str">
        <f t="shared" si="8"/>
        <v>#REF!</v>
      </c>
      <c r="F63" s="22" t="str">
        <f t="shared" si="2"/>
        <v>#REF!</v>
      </c>
      <c r="G63" s="20" t="str">
        <f t="shared" ref="G63:I63" si="184">#REF!</f>
        <v>#REF!</v>
      </c>
      <c r="H63" s="20" t="str">
        <f t="shared" si="184"/>
        <v>#REF!</v>
      </c>
      <c r="I63" s="20" t="str">
        <f t="shared" si="184"/>
        <v>#REF!</v>
      </c>
      <c r="J63" s="20" t="str">
        <f t="shared" si="10"/>
        <v>#REF!</v>
      </c>
      <c r="K63" s="20" t="str">
        <f t="shared" ref="K63:L63" si="185">#REF!</f>
        <v>#REF!</v>
      </c>
      <c r="L63" s="20" t="str">
        <f t="shared" si="185"/>
        <v>#REF!</v>
      </c>
    </row>
    <row r="64">
      <c r="A64" s="20" t="str">
        <f t="shared" si="5"/>
        <v>#REF!</v>
      </c>
      <c r="B64" s="20" t="str">
        <f t="shared" si="6"/>
        <v>#REF!</v>
      </c>
      <c r="C64" s="20" t="str">
        <f t="shared" ref="C64:D64" si="186">#REF!</f>
        <v>#REF!</v>
      </c>
      <c r="D64" s="20" t="str">
        <f t="shared" si="186"/>
        <v>#REF!</v>
      </c>
      <c r="E64" s="20" t="str">
        <f t="shared" si="8"/>
        <v>#REF!</v>
      </c>
      <c r="F64" s="22" t="str">
        <f t="shared" si="2"/>
        <v>#REF!</v>
      </c>
      <c r="G64" s="20" t="str">
        <f t="shared" ref="G64:I64" si="187">#REF!</f>
        <v>#REF!</v>
      </c>
      <c r="H64" s="20" t="str">
        <f t="shared" si="187"/>
        <v>#REF!</v>
      </c>
      <c r="I64" s="20" t="str">
        <f t="shared" si="187"/>
        <v>#REF!</v>
      </c>
      <c r="J64" s="20" t="str">
        <f t="shared" si="10"/>
        <v>#REF!</v>
      </c>
      <c r="K64" s="20" t="str">
        <f t="shared" ref="K64:L64" si="188">#REF!</f>
        <v>#REF!</v>
      </c>
      <c r="L64" s="20" t="str">
        <f t="shared" si="188"/>
        <v>#REF!</v>
      </c>
    </row>
    <row r="65">
      <c r="A65" s="20" t="str">
        <f t="shared" si="5"/>
        <v>#REF!</v>
      </c>
      <c r="B65" s="20" t="str">
        <f t="shared" si="6"/>
        <v>#REF!</v>
      </c>
      <c r="C65" s="20" t="str">
        <f t="shared" ref="C65:D65" si="189">#REF!</f>
        <v>#REF!</v>
      </c>
      <c r="D65" s="20" t="str">
        <f t="shared" si="189"/>
        <v>#REF!</v>
      </c>
      <c r="E65" s="20" t="str">
        <f t="shared" si="8"/>
        <v>#REF!</v>
      </c>
      <c r="F65" s="22" t="str">
        <f t="shared" si="2"/>
        <v>#REF!</v>
      </c>
      <c r="G65" s="20" t="str">
        <f t="shared" ref="G65:I65" si="190">#REF!</f>
        <v>#REF!</v>
      </c>
      <c r="H65" s="20" t="str">
        <f t="shared" si="190"/>
        <v>#REF!</v>
      </c>
      <c r="I65" s="20" t="str">
        <f t="shared" si="190"/>
        <v>#REF!</v>
      </c>
      <c r="J65" s="20" t="str">
        <f t="shared" si="10"/>
        <v>#REF!</v>
      </c>
      <c r="K65" s="20" t="str">
        <f t="shared" ref="K65:L65" si="191">#REF!</f>
        <v>#REF!</v>
      </c>
      <c r="L65" s="20" t="str">
        <f t="shared" si="191"/>
        <v>#REF!</v>
      </c>
    </row>
    <row r="66">
      <c r="A66" s="20" t="str">
        <f t="shared" si="5"/>
        <v>#REF!</v>
      </c>
      <c r="B66" s="20" t="str">
        <f t="shared" si="6"/>
        <v>#REF!</v>
      </c>
      <c r="C66" s="20" t="str">
        <f t="shared" ref="C66:D66" si="192">#REF!</f>
        <v>#REF!</v>
      </c>
      <c r="D66" s="20" t="str">
        <f t="shared" si="192"/>
        <v>#REF!</v>
      </c>
      <c r="E66" s="20" t="str">
        <f t="shared" si="8"/>
        <v>#REF!</v>
      </c>
      <c r="F66" s="22" t="str">
        <f t="shared" si="2"/>
        <v>#REF!</v>
      </c>
      <c r="G66" s="20" t="str">
        <f t="shared" ref="G66:I66" si="193">#REF!</f>
        <v>#REF!</v>
      </c>
      <c r="H66" s="20" t="str">
        <f t="shared" si="193"/>
        <v>#REF!</v>
      </c>
      <c r="I66" s="20" t="str">
        <f t="shared" si="193"/>
        <v>#REF!</v>
      </c>
      <c r="J66" s="20" t="str">
        <f t="shared" si="10"/>
        <v>#REF!</v>
      </c>
      <c r="K66" s="20" t="str">
        <f t="shared" ref="K66:L66" si="194">#REF!</f>
        <v>#REF!</v>
      </c>
      <c r="L66" s="20" t="str">
        <f t="shared" si="194"/>
        <v>#REF!</v>
      </c>
    </row>
    <row r="67">
      <c r="A67" s="20" t="str">
        <f t="shared" si="5"/>
        <v>#REF!</v>
      </c>
      <c r="B67" s="20" t="str">
        <f t="shared" si="6"/>
        <v>#REF!</v>
      </c>
      <c r="C67" s="20" t="str">
        <f t="shared" ref="C67:D67" si="195">#REF!</f>
        <v>#REF!</v>
      </c>
      <c r="D67" s="20" t="str">
        <f t="shared" si="195"/>
        <v>#REF!</v>
      </c>
      <c r="E67" s="20" t="str">
        <f t="shared" si="8"/>
        <v>#REF!</v>
      </c>
      <c r="F67" s="22" t="str">
        <f t="shared" si="2"/>
        <v>#REF!</v>
      </c>
      <c r="G67" s="20" t="str">
        <f t="shared" ref="G67:I67" si="196">#REF!</f>
        <v>#REF!</v>
      </c>
      <c r="H67" s="20" t="str">
        <f t="shared" si="196"/>
        <v>#REF!</v>
      </c>
      <c r="I67" s="20" t="str">
        <f t="shared" si="196"/>
        <v>#REF!</v>
      </c>
      <c r="J67" s="20" t="str">
        <f t="shared" si="10"/>
        <v>#REF!</v>
      </c>
      <c r="K67" s="20" t="str">
        <f t="shared" ref="K67:L67" si="197">#REF!</f>
        <v>#REF!</v>
      </c>
      <c r="L67" s="20" t="str">
        <f t="shared" si="197"/>
        <v>#REF!</v>
      </c>
    </row>
    <row r="68">
      <c r="A68" s="20" t="str">
        <f t="shared" si="5"/>
        <v>#REF!</v>
      </c>
      <c r="B68" s="20" t="str">
        <f t="shared" si="6"/>
        <v>#REF!</v>
      </c>
      <c r="C68" s="20" t="str">
        <f t="shared" ref="C68:D68" si="198">#REF!</f>
        <v>#REF!</v>
      </c>
      <c r="D68" s="20" t="str">
        <f t="shared" si="198"/>
        <v>#REF!</v>
      </c>
      <c r="E68" s="20" t="str">
        <f t="shared" si="8"/>
        <v>#REF!</v>
      </c>
      <c r="F68" s="22" t="str">
        <f t="shared" si="2"/>
        <v>#REF!</v>
      </c>
      <c r="G68" s="20" t="str">
        <f t="shared" ref="G68:I68" si="199">#REF!</f>
        <v>#REF!</v>
      </c>
      <c r="H68" s="20" t="str">
        <f t="shared" si="199"/>
        <v>#REF!</v>
      </c>
      <c r="I68" s="20" t="str">
        <f t="shared" si="199"/>
        <v>#REF!</v>
      </c>
      <c r="J68" s="20" t="str">
        <f t="shared" si="10"/>
        <v>#REF!</v>
      </c>
      <c r="K68" s="20" t="str">
        <f t="shared" ref="K68:L68" si="200">#REF!</f>
        <v>#REF!</v>
      </c>
      <c r="L68" s="20" t="str">
        <f t="shared" si="200"/>
        <v>#REF!</v>
      </c>
    </row>
    <row r="69">
      <c r="A69" s="20" t="str">
        <f t="shared" si="5"/>
        <v>#REF!</v>
      </c>
      <c r="B69" s="20" t="str">
        <f t="shared" si="6"/>
        <v>#REF!</v>
      </c>
      <c r="C69" s="20" t="str">
        <f t="shared" ref="C69:D69" si="201">#REF!</f>
        <v>#REF!</v>
      </c>
      <c r="D69" s="20" t="str">
        <f t="shared" si="201"/>
        <v>#REF!</v>
      </c>
      <c r="E69" s="20" t="str">
        <f t="shared" si="8"/>
        <v>#REF!</v>
      </c>
      <c r="F69" s="22" t="str">
        <f t="shared" si="2"/>
        <v>#REF!</v>
      </c>
      <c r="G69" s="20" t="str">
        <f t="shared" ref="G69:I69" si="202">#REF!</f>
        <v>#REF!</v>
      </c>
      <c r="H69" s="20" t="str">
        <f t="shared" si="202"/>
        <v>#REF!</v>
      </c>
      <c r="I69" s="20" t="str">
        <f t="shared" si="202"/>
        <v>#REF!</v>
      </c>
      <c r="J69" s="20" t="str">
        <f t="shared" si="10"/>
        <v>#REF!</v>
      </c>
      <c r="K69" s="20" t="str">
        <f t="shared" ref="K69:L69" si="203">#REF!</f>
        <v>#REF!</v>
      </c>
      <c r="L69" s="20" t="str">
        <f t="shared" si="203"/>
        <v>#REF!</v>
      </c>
    </row>
    <row r="70">
      <c r="A70" s="20" t="str">
        <f t="shared" si="5"/>
        <v>#REF!</v>
      </c>
      <c r="B70" s="20" t="str">
        <f t="shared" si="6"/>
        <v>#REF!</v>
      </c>
      <c r="C70" s="20" t="str">
        <f t="shared" ref="C70:D70" si="204">#REF!</f>
        <v>#REF!</v>
      </c>
      <c r="D70" s="20" t="str">
        <f t="shared" si="204"/>
        <v>#REF!</v>
      </c>
      <c r="E70" s="20" t="str">
        <f t="shared" si="8"/>
        <v>#REF!</v>
      </c>
      <c r="F70" s="22" t="str">
        <f t="shared" si="2"/>
        <v>#REF!</v>
      </c>
      <c r="G70" s="20" t="str">
        <f t="shared" ref="G70:I70" si="205">#REF!</f>
        <v>#REF!</v>
      </c>
      <c r="H70" s="20" t="str">
        <f t="shared" si="205"/>
        <v>#REF!</v>
      </c>
      <c r="I70" s="20" t="str">
        <f t="shared" si="205"/>
        <v>#REF!</v>
      </c>
      <c r="J70" s="20" t="str">
        <f t="shared" si="10"/>
        <v>#REF!</v>
      </c>
      <c r="K70" s="20" t="str">
        <f t="shared" ref="K70:L70" si="206">#REF!</f>
        <v>#REF!</v>
      </c>
      <c r="L70" s="20" t="str">
        <f t="shared" si="206"/>
        <v>#REF!</v>
      </c>
    </row>
    <row r="71">
      <c r="A71" s="20" t="str">
        <f t="shared" si="5"/>
        <v>#REF!</v>
      </c>
      <c r="B71" s="20" t="str">
        <f t="shared" si="6"/>
        <v>#REF!</v>
      </c>
      <c r="C71" s="20" t="str">
        <f t="shared" ref="C71:D71" si="207">#REF!</f>
        <v>#REF!</v>
      </c>
      <c r="D71" s="20" t="str">
        <f t="shared" si="207"/>
        <v>#REF!</v>
      </c>
      <c r="E71" s="20" t="str">
        <f t="shared" si="8"/>
        <v>#REF!</v>
      </c>
      <c r="F71" s="22" t="str">
        <f t="shared" si="2"/>
        <v>#REF!</v>
      </c>
      <c r="G71" s="20" t="str">
        <f t="shared" ref="G71:I71" si="208">#REF!</f>
        <v>#REF!</v>
      </c>
      <c r="H71" s="20" t="str">
        <f t="shared" si="208"/>
        <v>#REF!</v>
      </c>
      <c r="I71" s="20" t="str">
        <f t="shared" si="208"/>
        <v>#REF!</v>
      </c>
      <c r="J71" s="20" t="str">
        <f t="shared" si="10"/>
        <v>#REF!</v>
      </c>
      <c r="K71" s="20" t="str">
        <f t="shared" ref="K71:L71" si="209">#REF!</f>
        <v>#REF!</v>
      </c>
      <c r="L71" s="20" t="str">
        <f t="shared" si="209"/>
        <v>#REF!</v>
      </c>
    </row>
    <row r="72">
      <c r="A72" s="20" t="str">
        <f t="shared" si="5"/>
        <v>#REF!</v>
      </c>
      <c r="B72" s="20" t="str">
        <f t="shared" si="6"/>
        <v>#REF!</v>
      </c>
      <c r="C72" s="20" t="str">
        <f t="shared" ref="C72:D72" si="210">#REF!</f>
        <v>#REF!</v>
      </c>
      <c r="D72" s="20" t="str">
        <f t="shared" si="210"/>
        <v>#REF!</v>
      </c>
      <c r="E72" s="20" t="str">
        <f t="shared" si="8"/>
        <v>#REF!</v>
      </c>
      <c r="F72" s="22" t="str">
        <f t="shared" si="2"/>
        <v>#REF!</v>
      </c>
      <c r="G72" s="20" t="str">
        <f t="shared" ref="G72:I72" si="211">#REF!</f>
        <v>#REF!</v>
      </c>
      <c r="H72" s="20" t="str">
        <f t="shared" si="211"/>
        <v>#REF!</v>
      </c>
      <c r="I72" s="20" t="str">
        <f t="shared" si="211"/>
        <v>#REF!</v>
      </c>
      <c r="J72" s="20" t="str">
        <f t="shared" si="10"/>
        <v>#REF!</v>
      </c>
      <c r="K72" s="20" t="str">
        <f t="shared" ref="K72:L72" si="212">#REF!</f>
        <v>#REF!</v>
      </c>
      <c r="L72" s="20" t="str">
        <f t="shared" si="212"/>
        <v>#REF!</v>
      </c>
    </row>
    <row r="73">
      <c r="A73" s="20" t="str">
        <f t="shared" si="5"/>
        <v>#REF!</v>
      </c>
      <c r="B73" s="20" t="str">
        <f t="shared" si="6"/>
        <v>#REF!</v>
      </c>
      <c r="C73" s="20" t="str">
        <f t="shared" ref="C73:D73" si="213">#REF!</f>
        <v>#REF!</v>
      </c>
      <c r="D73" s="20" t="str">
        <f t="shared" si="213"/>
        <v>#REF!</v>
      </c>
      <c r="E73" s="20" t="str">
        <f t="shared" si="8"/>
        <v>#REF!</v>
      </c>
      <c r="F73" s="22" t="str">
        <f t="shared" si="2"/>
        <v>#REF!</v>
      </c>
      <c r="G73" s="20" t="str">
        <f t="shared" ref="G73:I73" si="214">#REF!</f>
        <v>#REF!</v>
      </c>
      <c r="H73" s="20" t="str">
        <f t="shared" si="214"/>
        <v>#REF!</v>
      </c>
      <c r="I73" s="20" t="str">
        <f t="shared" si="214"/>
        <v>#REF!</v>
      </c>
      <c r="J73" s="20" t="str">
        <f t="shared" si="10"/>
        <v>#REF!</v>
      </c>
      <c r="K73" s="20" t="str">
        <f t="shared" ref="K73:L73" si="215">#REF!</f>
        <v>#REF!</v>
      </c>
      <c r="L73" s="20" t="str">
        <f t="shared" si="215"/>
        <v>#REF!</v>
      </c>
    </row>
    <row r="74">
      <c r="A74" s="20" t="str">
        <f t="shared" si="5"/>
        <v>#REF!</v>
      </c>
      <c r="B74" s="20" t="str">
        <f t="shared" si="6"/>
        <v>#REF!</v>
      </c>
      <c r="C74" s="20" t="str">
        <f t="shared" ref="C74:D74" si="216">#REF!</f>
        <v>#REF!</v>
      </c>
      <c r="D74" s="20" t="str">
        <f t="shared" si="216"/>
        <v>#REF!</v>
      </c>
      <c r="E74" s="20" t="str">
        <f t="shared" si="8"/>
        <v>#REF!</v>
      </c>
      <c r="F74" s="22" t="str">
        <f t="shared" si="2"/>
        <v>#REF!</v>
      </c>
      <c r="G74" s="20" t="str">
        <f t="shared" ref="G74:I74" si="217">#REF!</f>
        <v>#REF!</v>
      </c>
      <c r="H74" s="20" t="str">
        <f t="shared" si="217"/>
        <v>#REF!</v>
      </c>
      <c r="I74" s="20" t="str">
        <f t="shared" si="217"/>
        <v>#REF!</v>
      </c>
      <c r="J74" s="20" t="str">
        <f t="shared" si="10"/>
        <v>#REF!</v>
      </c>
      <c r="K74" s="20" t="str">
        <f t="shared" ref="K74:L74" si="218">#REF!</f>
        <v>#REF!</v>
      </c>
      <c r="L74" s="20" t="str">
        <f t="shared" si="218"/>
        <v>#REF!</v>
      </c>
    </row>
    <row r="75">
      <c r="A75" s="20" t="str">
        <f t="shared" si="5"/>
        <v>#REF!</v>
      </c>
      <c r="B75" s="20" t="str">
        <f t="shared" si="6"/>
        <v>#REF!</v>
      </c>
      <c r="C75" s="20" t="str">
        <f t="shared" ref="C75:D75" si="219">#REF!</f>
        <v>#REF!</v>
      </c>
      <c r="D75" s="20" t="str">
        <f t="shared" si="219"/>
        <v>#REF!</v>
      </c>
      <c r="E75" s="20" t="str">
        <f t="shared" si="8"/>
        <v>#REF!</v>
      </c>
      <c r="F75" s="22" t="str">
        <f t="shared" si="2"/>
        <v>#REF!</v>
      </c>
      <c r="G75" s="20" t="str">
        <f t="shared" ref="G75:I75" si="220">#REF!</f>
        <v>#REF!</v>
      </c>
      <c r="H75" s="20" t="str">
        <f t="shared" si="220"/>
        <v>#REF!</v>
      </c>
      <c r="I75" s="20" t="str">
        <f t="shared" si="220"/>
        <v>#REF!</v>
      </c>
      <c r="J75" s="20" t="str">
        <f t="shared" si="10"/>
        <v>#REF!</v>
      </c>
      <c r="K75" s="20" t="str">
        <f t="shared" ref="K75:L75" si="221">#REF!</f>
        <v>#REF!</v>
      </c>
      <c r="L75" s="20" t="str">
        <f t="shared" si="221"/>
        <v>#REF!</v>
      </c>
    </row>
    <row r="76">
      <c r="A76" s="20" t="str">
        <f t="shared" si="5"/>
        <v>#REF!</v>
      </c>
      <c r="B76" s="20" t="str">
        <f t="shared" si="6"/>
        <v>#REF!</v>
      </c>
      <c r="C76" s="20" t="str">
        <f t="shared" ref="C76:D76" si="222">#REF!</f>
        <v>#REF!</v>
      </c>
      <c r="D76" s="20" t="str">
        <f t="shared" si="222"/>
        <v>#REF!</v>
      </c>
      <c r="E76" s="20" t="str">
        <f t="shared" si="8"/>
        <v>#REF!</v>
      </c>
      <c r="F76" s="22" t="str">
        <f t="shared" si="2"/>
        <v>#REF!</v>
      </c>
      <c r="G76" s="20" t="str">
        <f t="shared" ref="G76:I76" si="223">#REF!</f>
        <v>#REF!</v>
      </c>
      <c r="H76" s="20" t="str">
        <f t="shared" si="223"/>
        <v>#REF!</v>
      </c>
      <c r="I76" s="20" t="str">
        <f t="shared" si="223"/>
        <v>#REF!</v>
      </c>
      <c r="J76" s="20" t="str">
        <f t="shared" si="10"/>
        <v>#REF!</v>
      </c>
      <c r="K76" s="20" t="str">
        <f t="shared" ref="K76:L76" si="224">#REF!</f>
        <v>#REF!</v>
      </c>
      <c r="L76" s="20" t="str">
        <f t="shared" si="224"/>
        <v>#REF!</v>
      </c>
    </row>
    <row r="77">
      <c r="A77" s="20" t="str">
        <f t="shared" si="5"/>
        <v>#REF!</v>
      </c>
      <c r="B77" s="20" t="str">
        <f t="shared" si="6"/>
        <v>#REF!</v>
      </c>
      <c r="C77" s="20" t="str">
        <f t="shared" ref="C77:D77" si="225">#REF!</f>
        <v>#REF!</v>
      </c>
      <c r="D77" s="20" t="str">
        <f t="shared" si="225"/>
        <v>#REF!</v>
      </c>
      <c r="E77" s="20" t="str">
        <f t="shared" si="8"/>
        <v>#REF!</v>
      </c>
      <c r="F77" s="22" t="str">
        <f t="shared" si="2"/>
        <v>#REF!</v>
      </c>
      <c r="G77" s="20" t="str">
        <f t="shared" ref="G77:I77" si="226">#REF!</f>
        <v>#REF!</v>
      </c>
      <c r="H77" s="20" t="str">
        <f t="shared" si="226"/>
        <v>#REF!</v>
      </c>
      <c r="I77" s="20" t="str">
        <f t="shared" si="226"/>
        <v>#REF!</v>
      </c>
      <c r="J77" s="20" t="str">
        <f t="shared" si="10"/>
        <v>#REF!</v>
      </c>
      <c r="K77" s="20" t="str">
        <f t="shared" ref="K77:L77" si="227">#REF!</f>
        <v>#REF!</v>
      </c>
      <c r="L77" s="20" t="str">
        <f t="shared" si="227"/>
        <v>#REF!</v>
      </c>
    </row>
    <row r="78">
      <c r="A78" s="20" t="str">
        <f t="shared" si="5"/>
        <v>#REF!</v>
      </c>
      <c r="B78" s="20" t="str">
        <f t="shared" si="6"/>
        <v>#REF!</v>
      </c>
      <c r="C78" s="20" t="str">
        <f t="shared" ref="C78:D78" si="228">#REF!</f>
        <v>#REF!</v>
      </c>
      <c r="D78" s="20" t="str">
        <f t="shared" si="228"/>
        <v>#REF!</v>
      </c>
      <c r="E78" s="20" t="str">
        <f t="shared" si="8"/>
        <v>#REF!</v>
      </c>
      <c r="F78" s="22" t="str">
        <f t="shared" si="2"/>
        <v>#REF!</v>
      </c>
      <c r="G78" s="20" t="str">
        <f t="shared" ref="G78:I78" si="229">#REF!</f>
        <v>#REF!</v>
      </c>
      <c r="H78" s="20" t="str">
        <f t="shared" si="229"/>
        <v>#REF!</v>
      </c>
      <c r="I78" s="20" t="str">
        <f t="shared" si="229"/>
        <v>#REF!</v>
      </c>
      <c r="J78" s="20" t="str">
        <f t="shared" si="10"/>
        <v>#REF!</v>
      </c>
      <c r="K78" s="20" t="str">
        <f t="shared" ref="K78:L78" si="230">#REF!</f>
        <v>#REF!</v>
      </c>
      <c r="L78" s="20" t="str">
        <f t="shared" si="230"/>
        <v>#REF!</v>
      </c>
    </row>
    <row r="79">
      <c r="A79" s="20" t="str">
        <f t="shared" si="5"/>
        <v>#REF!</v>
      </c>
      <c r="B79" s="20" t="str">
        <f t="shared" si="6"/>
        <v>#REF!</v>
      </c>
      <c r="C79" s="20" t="str">
        <f t="shared" ref="C79:D79" si="231">#REF!</f>
        <v>#REF!</v>
      </c>
      <c r="D79" s="20" t="str">
        <f t="shared" si="231"/>
        <v>#REF!</v>
      </c>
      <c r="E79" s="20" t="str">
        <f t="shared" si="8"/>
        <v>#REF!</v>
      </c>
      <c r="F79" s="22" t="str">
        <f t="shared" si="2"/>
        <v>#REF!</v>
      </c>
      <c r="G79" s="20" t="str">
        <f t="shared" ref="G79:I79" si="232">#REF!</f>
        <v>#REF!</v>
      </c>
      <c r="H79" s="20" t="str">
        <f t="shared" si="232"/>
        <v>#REF!</v>
      </c>
      <c r="I79" s="20" t="str">
        <f t="shared" si="232"/>
        <v>#REF!</v>
      </c>
      <c r="J79" s="20" t="str">
        <f t="shared" si="10"/>
        <v>#REF!</v>
      </c>
      <c r="K79" s="20" t="str">
        <f t="shared" ref="K79:L79" si="233">#REF!</f>
        <v>#REF!</v>
      </c>
      <c r="L79" s="20" t="str">
        <f t="shared" si="233"/>
        <v>#REF!</v>
      </c>
    </row>
    <row r="80">
      <c r="A80" s="20" t="str">
        <f t="shared" si="5"/>
        <v>#REF!</v>
      </c>
      <c r="B80" s="20" t="str">
        <f t="shared" si="6"/>
        <v>#REF!</v>
      </c>
      <c r="C80" s="20" t="str">
        <f t="shared" ref="C80:D80" si="234">#REF!</f>
        <v>#REF!</v>
      </c>
      <c r="D80" s="20" t="str">
        <f t="shared" si="234"/>
        <v>#REF!</v>
      </c>
      <c r="E80" s="20" t="str">
        <f t="shared" si="8"/>
        <v>#REF!</v>
      </c>
      <c r="F80" s="22" t="str">
        <f t="shared" si="2"/>
        <v>#REF!</v>
      </c>
      <c r="G80" s="20" t="str">
        <f t="shared" ref="G80:I80" si="235">#REF!</f>
        <v>#REF!</v>
      </c>
      <c r="H80" s="20" t="str">
        <f t="shared" si="235"/>
        <v>#REF!</v>
      </c>
      <c r="I80" s="20" t="str">
        <f t="shared" si="235"/>
        <v>#REF!</v>
      </c>
      <c r="J80" s="20" t="str">
        <f t="shared" si="10"/>
        <v>#REF!</v>
      </c>
      <c r="K80" s="20" t="str">
        <f t="shared" ref="K80:L80" si="236">#REF!</f>
        <v>#REF!</v>
      </c>
      <c r="L80" s="20" t="str">
        <f t="shared" si="236"/>
        <v>#REF!</v>
      </c>
    </row>
    <row r="81">
      <c r="A81" s="20" t="str">
        <f t="shared" si="5"/>
        <v>#REF!</v>
      </c>
      <c r="B81" s="20" t="str">
        <f t="shared" si="6"/>
        <v>#REF!</v>
      </c>
      <c r="C81" s="20" t="str">
        <f t="shared" ref="C81:D81" si="237">#REF!</f>
        <v>#REF!</v>
      </c>
      <c r="D81" s="20" t="str">
        <f t="shared" si="237"/>
        <v>#REF!</v>
      </c>
      <c r="E81" s="20" t="str">
        <f t="shared" si="8"/>
        <v>#REF!</v>
      </c>
      <c r="F81" s="22" t="str">
        <f t="shared" si="2"/>
        <v>#REF!</v>
      </c>
      <c r="G81" s="20" t="str">
        <f t="shared" ref="G81:I81" si="238">#REF!</f>
        <v>#REF!</v>
      </c>
      <c r="H81" s="20" t="str">
        <f t="shared" si="238"/>
        <v>#REF!</v>
      </c>
      <c r="I81" s="20" t="str">
        <f t="shared" si="238"/>
        <v>#REF!</v>
      </c>
      <c r="J81" s="20" t="str">
        <f t="shared" si="10"/>
        <v>#REF!</v>
      </c>
      <c r="K81" s="20" t="str">
        <f t="shared" ref="K81:L81" si="239">#REF!</f>
        <v>#REF!</v>
      </c>
      <c r="L81" s="20" t="str">
        <f t="shared" si="239"/>
        <v>#REF!</v>
      </c>
    </row>
    <row r="82">
      <c r="A82" s="20" t="str">
        <f t="shared" si="5"/>
        <v>#REF!</v>
      </c>
      <c r="B82" s="20" t="str">
        <f t="shared" si="6"/>
        <v>#REF!</v>
      </c>
      <c r="C82" s="20" t="str">
        <f t="shared" ref="C82:D82" si="240">#REF!</f>
        <v>#REF!</v>
      </c>
      <c r="D82" s="20" t="str">
        <f t="shared" si="240"/>
        <v>#REF!</v>
      </c>
      <c r="E82" s="20" t="str">
        <f t="shared" si="8"/>
        <v>#REF!</v>
      </c>
      <c r="F82" s="22" t="str">
        <f t="shared" si="2"/>
        <v>#REF!</v>
      </c>
      <c r="G82" s="20" t="str">
        <f t="shared" ref="G82:I82" si="241">#REF!</f>
        <v>#REF!</v>
      </c>
      <c r="H82" s="20" t="str">
        <f t="shared" si="241"/>
        <v>#REF!</v>
      </c>
      <c r="I82" s="20" t="str">
        <f t="shared" si="241"/>
        <v>#REF!</v>
      </c>
      <c r="J82" s="20" t="str">
        <f t="shared" si="10"/>
        <v>#REF!</v>
      </c>
      <c r="K82" s="20" t="str">
        <f t="shared" ref="K82:L82" si="242">#REF!</f>
        <v>#REF!</v>
      </c>
      <c r="L82" s="20" t="str">
        <f t="shared" si="242"/>
        <v>#REF!</v>
      </c>
    </row>
    <row r="83">
      <c r="A83" s="20" t="str">
        <f t="shared" si="5"/>
        <v>#REF!</v>
      </c>
      <c r="B83" s="20" t="str">
        <f t="shared" si="6"/>
        <v>#REF!</v>
      </c>
      <c r="C83" s="20" t="str">
        <f t="shared" ref="C83:D83" si="243">#REF!</f>
        <v>#REF!</v>
      </c>
      <c r="D83" s="20" t="str">
        <f t="shared" si="243"/>
        <v>#REF!</v>
      </c>
      <c r="E83" s="20" t="str">
        <f t="shared" si="8"/>
        <v>#REF!</v>
      </c>
      <c r="F83" s="22" t="str">
        <f t="shared" si="2"/>
        <v>#REF!</v>
      </c>
      <c r="G83" s="20" t="str">
        <f t="shared" ref="G83:I83" si="244">#REF!</f>
        <v>#REF!</v>
      </c>
      <c r="H83" s="20" t="str">
        <f t="shared" si="244"/>
        <v>#REF!</v>
      </c>
      <c r="I83" s="20" t="str">
        <f t="shared" si="244"/>
        <v>#REF!</v>
      </c>
      <c r="J83" s="20" t="str">
        <f t="shared" si="10"/>
        <v>#REF!</v>
      </c>
      <c r="K83" s="20" t="str">
        <f t="shared" ref="K83:L83" si="245">#REF!</f>
        <v>#REF!</v>
      </c>
      <c r="L83" s="20" t="str">
        <f t="shared" si="245"/>
        <v>#REF!</v>
      </c>
    </row>
    <row r="84">
      <c r="A84" s="20" t="str">
        <f>Github2!J$3</f>
        <v/>
      </c>
      <c r="B84" s="21" t="str">
        <f>HYPERLINK(CONCAT("http://leetcode.com/problems/",Github2!C$3), Github2!B$3)</f>
        <v>http://leetcode.com/problems/</v>
      </c>
      <c r="C84" s="20" t="str">
        <f>Github2!F$3</f>
        <v/>
      </c>
      <c r="D84" s="20" t="str">
        <f>Github2!G$3</f>
        <v/>
      </c>
      <c r="E84" s="20">
        <f>Github2!F$3+Github2!G$3</f>
        <v>0</v>
      </c>
      <c r="F84" s="22" t="str">
        <f t="shared" si="2"/>
        <v>#DIV/0!</v>
      </c>
      <c r="G84" s="20" t="str">
        <f>Github2!H$3</f>
        <v/>
      </c>
      <c r="H84" s="20" t="str">
        <f>Github2!D$3</f>
        <v/>
      </c>
      <c r="I84" s="20" t="str">
        <f>Github2!E$3</f>
        <v/>
      </c>
      <c r="J84" s="20" t="str">
        <f>ROUND(Github2!N$3, 2)&amp;"%"</f>
        <v>0%</v>
      </c>
      <c r="K84" s="20" t="str">
        <f>Github2!O$3</f>
        <v/>
      </c>
      <c r="L84" s="20" t="str">
        <f>Github2!P$3</f>
        <v/>
      </c>
    </row>
    <row r="85">
      <c r="A85" s="20" t="str">
        <f t="shared" ref="A85:A422" si="249">#REF!</f>
        <v>#REF!</v>
      </c>
      <c r="B85" s="20" t="str">
        <f t="shared" ref="B85:B422" si="250">HYPERLINK(CONCAT("http://leetcode.com/problems/",#REF!), #REF!)</f>
        <v>#REF!</v>
      </c>
      <c r="C85" s="20" t="str">
        <f t="shared" ref="C85:D85" si="246">#REF!</f>
        <v>#REF!</v>
      </c>
      <c r="D85" s="20" t="str">
        <f t="shared" si="246"/>
        <v>#REF!</v>
      </c>
      <c r="E85" s="20" t="str">
        <f t="shared" ref="E85:E422" si="252">#REF!+#REF!</f>
        <v>#REF!</v>
      </c>
      <c r="F85" s="22" t="str">
        <f t="shared" si="2"/>
        <v>#REF!</v>
      </c>
      <c r="G85" s="20" t="str">
        <f t="shared" ref="G85:I85" si="247">#REF!</f>
        <v>#REF!</v>
      </c>
      <c r="H85" s="20" t="str">
        <f t="shared" si="247"/>
        <v>#REF!</v>
      </c>
      <c r="I85" s="20" t="str">
        <f t="shared" si="247"/>
        <v>#REF!</v>
      </c>
      <c r="J85" s="20" t="str">
        <f t="shared" ref="J85:J422" si="254">ROUND(#REF!, 2)&amp;"%"</f>
        <v>#REF!</v>
      </c>
      <c r="K85" s="20" t="str">
        <f t="shared" ref="K85:L85" si="248">#REF!</f>
        <v>#REF!</v>
      </c>
      <c r="L85" s="20" t="str">
        <f t="shared" si="248"/>
        <v>#REF!</v>
      </c>
    </row>
    <row r="86">
      <c r="A86" s="20" t="str">
        <f t="shared" si="249"/>
        <v>#REF!</v>
      </c>
      <c r="B86" s="20" t="str">
        <f t="shared" si="250"/>
        <v>#REF!</v>
      </c>
      <c r="C86" s="20" t="str">
        <f t="shared" ref="C86:D86" si="251">#REF!</f>
        <v>#REF!</v>
      </c>
      <c r="D86" s="20" t="str">
        <f t="shared" si="251"/>
        <v>#REF!</v>
      </c>
      <c r="E86" s="20" t="str">
        <f t="shared" si="252"/>
        <v>#REF!</v>
      </c>
      <c r="F86" s="22" t="str">
        <f t="shared" si="2"/>
        <v>#REF!</v>
      </c>
      <c r="G86" s="20" t="str">
        <f t="shared" ref="G86:I86" si="253">#REF!</f>
        <v>#REF!</v>
      </c>
      <c r="H86" s="20" t="str">
        <f t="shared" si="253"/>
        <v>#REF!</v>
      </c>
      <c r="I86" s="20" t="str">
        <f t="shared" si="253"/>
        <v>#REF!</v>
      </c>
      <c r="J86" s="20" t="str">
        <f t="shared" si="254"/>
        <v>#REF!</v>
      </c>
      <c r="K86" s="20" t="str">
        <f t="shared" ref="K86:L86" si="255">#REF!</f>
        <v>#REF!</v>
      </c>
      <c r="L86" s="20" t="str">
        <f t="shared" si="255"/>
        <v>#REF!</v>
      </c>
    </row>
    <row r="87">
      <c r="A87" s="20" t="str">
        <f t="shared" si="249"/>
        <v>#REF!</v>
      </c>
      <c r="B87" s="20" t="str">
        <f t="shared" si="250"/>
        <v>#REF!</v>
      </c>
      <c r="C87" s="20" t="str">
        <f t="shared" ref="C87:D87" si="256">#REF!</f>
        <v>#REF!</v>
      </c>
      <c r="D87" s="20" t="str">
        <f t="shared" si="256"/>
        <v>#REF!</v>
      </c>
      <c r="E87" s="20" t="str">
        <f t="shared" si="252"/>
        <v>#REF!</v>
      </c>
      <c r="F87" s="22" t="str">
        <f t="shared" si="2"/>
        <v>#REF!</v>
      </c>
      <c r="G87" s="20" t="str">
        <f t="shared" ref="G87:I87" si="257">#REF!</f>
        <v>#REF!</v>
      </c>
      <c r="H87" s="20" t="str">
        <f t="shared" si="257"/>
        <v>#REF!</v>
      </c>
      <c r="I87" s="20" t="str">
        <f t="shared" si="257"/>
        <v>#REF!</v>
      </c>
      <c r="J87" s="20" t="str">
        <f t="shared" si="254"/>
        <v>#REF!</v>
      </c>
      <c r="K87" s="20" t="str">
        <f t="shared" ref="K87:L87" si="258">#REF!</f>
        <v>#REF!</v>
      </c>
      <c r="L87" s="20" t="str">
        <f t="shared" si="258"/>
        <v>#REF!</v>
      </c>
    </row>
    <row r="88">
      <c r="A88" s="20" t="str">
        <f t="shared" si="249"/>
        <v>#REF!</v>
      </c>
      <c r="B88" s="20" t="str">
        <f t="shared" si="250"/>
        <v>#REF!</v>
      </c>
      <c r="C88" s="20" t="str">
        <f t="shared" ref="C88:D88" si="259">#REF!</f>
        <v>#REF!</v>
      </c>
      <c r="D88" s="20" t="str">
        <f t="shared" si="259"/>
        <v>#REF!</v>
      </c>
      <c r="E88" s="20" t="str">
        <f t="shared" si="252"/>
        <v>#REF!</v>
      </c>
      <c r="F88" s="22" t="str">
        <f t="shared" si="2"/>
        <v>#REF!</v>
      </c>
      <c r="G88" s="20" t="str">
        <f t="shared" ref="G88:I88" si="260">#REF!</f>
        <v>#REF!</v>
      </c>
      <c r="H88" s="20" t="str">
        <f t="shared" si="260"/>
        <v>#REF!</v>
      </c>
      <c r="I88" s="20" t="str">
        <f t="shared" si="260"/>
        <v>#REF!</v>
      </c>
      <c r="J88" s="20" t="str">
        <f t="shared" si="254"/>
        <v>#REF!</v>
      </c>
      <c r="K88" s="20" t="str">
        <f t="shared" ref="K88:L88" si="261">#REF!</f>
        <v>#REF!</v>
      </c>
      <c r="L88" s="20" t="str">
        <f t="shared" si="261"/>
        <v>#REF!</v>
      </c>
    </row>
    <row r="89">
      <c r="A89" s="20" t="str">
        <f t="shared" si="249"/>
        <v>#REF!</v>
      </c>
      <c r="B89" s="20" t="str">
        <f t="shared" si="250"/>
        <v>#REF!</v>
      </c>
      <c r="C89" s="20" t="str">
        <f t="shared" ref="C89:D89" si="262">#REF!</f>
        <v>#REF!</v>
      </c>
      <c r="D89" s="20" t="str">
        <f t="shared" si="262"/>
        <v>#REF!</v>
      </c>
      <c r="E89" s="20" t="str">
        <f t="shared" si="252"/>
        <v>#REF!</v>
      </c>
      <c r="F89" s="22" t="str">
        <f t="shared" si="2"/>
        <v>#REF!</v>
      </c>
      <c r="G89" s="20" t="str">
        <f t="shared" ref="G89:I89" si="263">#REF!</f>
        <v>#REF!</v>
      </c>
      <c r="H89" s="20" t="str">
        <f t="shared" si="263"/>
        <v>#REF!</v>
      </c>
      <c r="I89" s="20" t="str">
        <f t="shared" si="263"/>
        <v>#REF!</v>
      </c>
      <c r="J89" s="20" t="str">
        <f t="shared" si="254"/>
        <v>#REF!</v>
      </c>
      <c r="K89" s="20" t="str">
        <f t="shared" ref="K89:L89" si="264">#REF!</f>
        <v>#REF!</v>
      </c>
      <c r="L89" s="20" t="str">
        <f t="shared" si="264"/>
        <v>#REF!</v>
      </c>
    </row>
    <row r="90">
      <c r="A90" s="20" t="str">
        <f t="shared" si="249"/>
        <v>#REF!</v>
      </c>
      <c r="B90" s="20" t="str">
        <f t="shared" si="250"/>
        <v>#REF!</v>
      </c>
      <c r="C90" s="20" t="str">
        <f t="shared" ref="C90:D90" si="265">#REF!</f>
        <v>#REF!</v>
      </c>
      <c r="D90" s="20" t="str">
        <f t="shared" si="265"/>
        <v>#REF!</v>
      </c>
      <c r="E90" s="20" t="str">
        <f t="shared" si="252"/>
        <v>#REF!</v>
      </c>
      <c r="F90" s="22" t="str">
        <f t="shared" si="2"/>
        <v>#REF!</v>
      </c>
      <c r="G90" s="20" t="str">
        <f t="shared" ref="G90:I90" si="266">#REF!</f>
        <v>#REF!</v>
      </c>
      <c r="H90" s="20" t="str">
        <f t="shared" si="266"/>
        <v>#REF!</v>
      </c>
      <c r="I90" s="20" t="str">
        <f t="shared" si="266"/>
        <v>#REF!</v>
      </c>
      <c r="J90" s="20" t="str">
        <f t="shared" si="254"/>
        <v>#REF!</v>
      </c>
      <c r="K90" s="20" t="str">
        <f t="shared" ref="K90:L90" si="267">#REF!</f>
        <v>#REF!</v>
      </c>
      <c r="L90" s="20" t="str">
        <f t="shared" si="267"/>
        <v>#REF!</v>
      </c>
    </row>
    <row r="91">
      <c r="A91" s="20" t="str">
        <f t="shared" si="249"/>
        <v>#REF!</v>
      </c>
      <c r="B91" s="20" t="str">
        <f t="shared" si="250"/>
        <v>#REF!</v>
      </c>
      <c r="C91" s="20" t="str">
        <f t="shared" ref="C91:D91" si="268">#REF!</f>
        <v>#REF!</v>
      </c>
      <c r="D91" s="20" t="str">
        <f t="shared" si="268"/>
        <v>#REF!</v>
      </c>
      <c r="E91" s="20" t="str">
        <f t="shared" si="252"/>
        <v>#REF!</v>
      </c>
      <c r="F91" s="22" t="str">
        <f t="shared" si="2"/>
        <v>#REF!</v>
      </c>
      <c r="G91" s="20" t="str">
        <f t="shared" ref="G91:I91" si="269">#REF!</f>
        <v>#REF!</v>
      </c>
      <c r="H91" s="20" t="str">
        <f t="shared" si="269"/>
        <v>#REF!</v>
      </c>
      <c r="I91" s="20" t="str">
        <f t="shared" si="269"/>
        <v>#REF!</v>
      </c>
      <c r="J91" s="20" t="str">
        <f t="shared" si="254"/>
        <v>#REF!</v>
      </c>
      <c r="K91" s="20" t="str">
        <f t="shared" ref="K91:L91" si="270">#REF!</f>
        <v>#REF!</v>
      </c>
      <c r="L91" s="20" t="str">
        <f t="shared" si="270"/>
        <v>#REF!</v>
      </c>
    </row>
    <row r="92">
      <c r="A92" s="20" t="str">
        <f t="shared" si="249"/>
        <v>#REF!</v>
      </c>
      <c r="B92" s="20" t="str">
        <f t="shared" si="250"/>
        <v>#REF!</v>
      </c>
      <c r="C92" s="20" t="str">
        <f t="shared" ref="C92:D92" si="271">#REF!</f>
        <v>#REF!</v>
      </c>
      <c r="D92" s="20" t="str">
        <f t="shared" si="271"/>
        <v>#REF!</v>
      </c>
      <c r="E92" s="20" t="str">
        <f t="shared" si="252"/>
        <v>#REF!</v>
      </c>
      <c r="F92" s="22" t="str">
        <f t="shared" si="2"/>
        <v>#REF!</v>
      </c>
      <c r="G92" s="20" t="str">
        <f t="shared" ref="G92:I92" si="272">#REF!</f>
        <v>#REF!</v>
      </c>
      <c r="H92" s="20" t="str">
        <f t="shared" si="272"/>
        <v>#REF!</v>
      </c>
      <c r="I92" s="20" t="str">
        <f t="shared" si="272"/>
        <v>#REF!</v>
      </c>
      <c r="J92" s="20" t="str">
        <f t="shared" si="254"/>
        <v>#REF!</v>
      </c>
      <c r="K92" s="20" t="str">
        <f t="shared" ref="K92:L92" si="273">#REF!</f>
        <v>#REF!</v>
      </c>
      <c r="L92" s="20" t="str">
        <f t="shared" si="273"/>
        <v>#REF!</v>
      </c>
    </row>
    <row r="93">
      <c r="A93" s="20" t="str">
        <f t="shared" si="249"/>
        <v>#REF!</v>
      </c>
      <c r="B93" s="20" t="str">
        <f t="shared" si="250"/>
        <v>#REF!</v>
      </c>
      <c r="C93" s="20" t="str">
        <f t="shared" ref="C93:D93" si="274">#REF!</f>
        <v>#REF!</v>
      </c>
      <c r="D93" s="20" t="str">
        <f t="shared" si="274"/>
        <v>#REF!</v>
      </c>
      <c r="E93" s="20" t="str">
        <f t="shared" si="252"/>
        <v>#REF!</v>
      </c>
      <c r="F93" s="22" t="str">
        <f t="shared" si="2"/>
        <v>#REF!</v>
      </c>
      <c r="G93" s="20" t="str">
        <f t="shared" ref="G93:I93" si="275">#REF!</f>
        <v>#REF!</v>
      </c>
      <c r="H93" s="20" t="str">
        <f t="shared" si="275"/>
        <v>#REF!</v>
      </c>
      <c r="I93" s="20" t="str">
        <f t="shared" si="275"/>
        <v>#REF!</v>
      </c>
      <c r="J93" s="20" t="str">
        <f t="shared" si="254"/>
        <v>#REF!</v>
      </c>
      <c r="K93" s="20" t="str">
        <f t="shared" ref="K93:L93" si="276">#REF!</f>
        <v>#REF!</v>
      </c>
      <c r="L93" s="20" t="str">
        <f t="shared" si="276"/>
        <v>#REF!</v>
      </c>
    </row>
    <row r="94">
      <c r="A94" s="20" t="str">
        <f t="shared" si="249"/>
        <v>#REF!</v>
      </c>
      <c r="B94" s="20" t="str">
        <f t="shared" si="250"/>
        <v>#REF!</v>
      </c>
      <c r="C94" s="20" t="str">
        <f t="shared" ref="C94:D94" si="277">#REF!</f>
        <v>#REF!</v>
      </c>
      <c r="D94" s="20" t="str">
        <f t="shared" si="277"/>
        <v>#REF!</v>
      </c>
      <c r="E94" s="20" t="str">
        <f t="shared" si="252"/>
        <v>#REF!</v>
      </c>
      <c r="F94" s="22" t="str">
        <f t="shared" si="2"/>
        <v>#REF!</v>
      </c>
      <c r="G94" s="20" t="str">
        <f t="shared" ref="G94:I94" si="278">#REF!</f>
        <v>#REF!</v>
      </c>
      <c r="H94" s="20" t="str">
        <f t="shared" si="278"/>
        <v>#REF!</v>
      </c>
      <c r="I94" s="20" t="str">
        <f t="shared" si="278"/>
        <v>#REF!</v>
      </c>
      <c r="J94" s="20" t="str">
        <f t="shared" si="254"/>
        <v>#REF!</v>
      </c>
      <c r="K94" s="20" t="str">
        <f t="shared" ref="K94:L94" si="279">#REF!</f>
        <v>#REF!</v>
      </c>
      <c r="L94" s="20" t="str">
        <f t="shared" si="279"/>
        <v>#REF!</v>
      </c>
    </row>
    <row r="95">
      <c r="A95" s="20" t="str">
        <f t="shared" si="249"/>
        <v>#REF!</v>
      </c>
      <c r="B95" s="20" t="str">
        <f t="shared" si="250"/>
        <v>#REF!</v>
      </c>
      <c r="C95" s="20" t="str">
        <f t="shared" ref="C95:D95" si="280">#REF!</f>
        <v>#REF!</v>
      </c>
      <c r="D95" s="20" t="str">
        <f t="shared" si="280"/>
        <v>#REF!</v>
      </c>
      <c r="E95" s="20" t="str">
        <f t="shared" si="252"/>
        <v>#REF!</v>
      </c>
      <c r="F95" s="22" t="str">
        <f t="shared" si="2"/>
        <v>#REF!</v>
      </c>
      <c r="G95" s="20" t="str">
        <f t="shared" ref="G95:I95" si="281">#REF!</f>
        <v>#REF!</v>
      </c>
      <c r="H95" s="20" t="str">
        <f t="shared" si="281"/>
        <v>#REF!</v>
      </c>
      <c r="I95" s="20" t="str">
        <f t="shared" si="281"/>
        <v>#REF!</v>
      </c>
      <c r="J95" s="20" t="str">
        <f t="shared" si="254"/>
        <v>#REF!</v>
      </c>
      <c r="K95" s="20" t="str">
        <f t="shared" ref="K95:L95" si="282">#REF!</f>
        <v>#REF!</v>
      </c>
      <c r="L95" s="20" t="str">
        <f t="shared" si="282"/>
        <v>#REF!</v>
      </c>
    </row>
    <row r="96">
      <c r="A96" s="20" t="str">
        <f t="shared" si="249"/>
        <v>#REF!</v>
      </c>
      <c r="B96" s="20" t="str">
        <f t="shared" si="250"/>
        <v>#REF!</v>
      </c>
      <c r="C96" s="20" t="str">
        <f t="shared" ref="C96:D96" si="283">#REF!</f>
        <v>#REF!</v>
      </c>
      <c r="D96" s="20" t="str">
        <f t="shared" si="283"/>
        <v>#REF!</v>
      </c>
      <c r="E96" s="20" t="str">
        <f t="shared" si="252"/>
        <v>#REF!</v>
      </c>
      <c r="F96" s="22" t="str">
        <f t="shared" si="2"/>
        <v>#REF!</v>
      </c>
      <c r="G96" s="20" t="str">
        <f t="shared" ref="G96:I96" si="284">#REF!</f>
        <v>#REF!</v>
      </c>
      <c r="H96" s="20" t="str">
        <f t="shared" si="284"/>
        <v>#REF!</v>
      </c>
      <c r="I96" s="20" t="str">
        <f t="shared" si="284"/>
        <v>#REF!</v>
      </c>
      <c r="J96" s="20" t="str">
        <f t="shared" si="254"/>
        <v>#REF!</v>
      </c>
      <c r="K96" s="20" t="str">
        <f t="shared" ref="K96:L96" si="285">#REF!</f>
        <v>#REF!</v>
      </c>
      <c r="L96" s="20" t="str">
        <f t="shared" si="285"/>
        <v>#REF!</v>
      </c>
    </row>
    <row r="97">
      <c r="A97" s="20" t="str">
        <f t="shared" si="249"/>
        <v>#REF!</v>
      </c>
      <c r="B97" s="20" t="str">
        <f t="shared" si="250"/>
        <v>#REF!</v>
      </c>
      <c r="C97" s="20" t="str">
        <f t="shared" ref="C97:D97" si="286">#REF!</f>
        <v>#REF!</v>
      </c>
      <c r="D97" s="20" t="str">
        <f t="shared" si="286"/>
        <v>#REF!</v>
      </c>
      <c r="E97" s="20" t="str">
        <f t="shared" si="252"/>
        <v>#REF!</v>
      </c>
      <c r="F97" s="22" t="str">
        <f t="shared" si="2"/>
        <v>#REF!</v>
      </c>
      <c r="G97" s="20" t="str">
        <f t="shared" ref="G97:I97" si="287">#REF!</f>
        <v>#REF!</v>
      </c>
      <c r="H97" s="20" t="str">
        <f t="shared" si="287"/>
        <v>#REF!</v>
      </c>
      <c r="I97" s="20" t="str">
        <f t="shared" si="287"/>
        <v>#REF!</v>
      </c>
      <c r="J97" s="20" t="str">
        <f t="shared" si="254"/>
        <v>#REF!</v>
      </c>
      <c r="K97" s="20" t="str">
        <f t="shared" ref="K97:L97" si="288">#REF!</f>
        <v>#REF!</v>
      </c>
      <c r="L97" s="20" t="str">
        <f t="shared" si="288"/>
        <v>#REF!</v>
      </c>
    </row>
    <row r="98">
      <c r="A98" s="20" t="str">
        <f t="shared" si="249"/>
        <v>#REF!</v>
      </c>
      <c r="B98" s="20" t="str">
        <f t="shared" si="250"/>
        <v>#REF!</v>
      </c>
      <c r="C98" s="20" t="str">
        <f t="shared" ref="C98:D98" si="289">#REF!</f>
        <v>#REF!</v>
      </c>
      <c r="D98" s="20" t="str">
        <f t="shared" si="289"/>
        <v>#REF!</v>
      </c>
      <c r="E98" s="20" t="str">
        <f t="shared" si="252"/>
        <v>#REF!</v>
      </c>
      <c r="F98" s="22" t="str">
        <f t="shared" si="2"/>
        <v>#REF!</v>
      </c>
      <c r="G98" s="20" t="str">
        <f t="shared" ref="G98:I98" si="290">#REF!</f>
        <v>#REF!</v>
      </c>
      <c r="H98" s="20" t="str">
        <f t="shared" si="290"/>
        <v>#REF!</v>
      </c>
      <c r="I98" s="20" t="str">
        <f t="shared" si="290"/>
        <v>#REF!</v>
      </c>
      <c r="J98" s="20" t="str">
        <f t="shared" si="254"/>
        <v>#REF!</v>
      </c>
      <c r="K98" s="20" t="str">
        <f t="shared" ref="K98:L98" si="291">#REF!</f>
        <v>#REF!</v>
      </c>
      <c r="L98" s="20" t="str">
        <f t="shared" si="291"/>
        <v>#REF!</v>
      </c>
    </row>
    <row r="99">
      <c r="A99" s="20" t="str">
        <f t="shared" si="249"/>
        <v>#REF!</v>
      </c>
      <c r="B99" s="20" t="str">
        <f t="shared" si="250"/>
        <v>#REF!</v>
      </c>
      <c r="C99" s="20" t="str">
        <f t="shared" ref="C99:D99" si="292">#REF!</f>
        <v>#REF!</v>
      </c>
      <c r="D99" s="20" t="str">
        <f t="shared" si="292"/>
        <v>#REF!</v>
      </c>
      <c r="E99" s="20" t="str">
        <f t="shared" si="252"/>
        <v>#REF!</v>
      </c>
      <c r="F99" s="22" t="str">
        <f t="shared" si="2"/>
        <v>#REF!</v>
      </c>
      <c r="G99" s="20" t="str">
        <f t="shared" ref="G99:I99" si="293">#REF!</f>
        <v>#REF!</v>
      </c>
      <c r="H99" s="20" t="str">
        <f t="shared" si="293"/>
        <v>#REF!</v>
      </c>
      <c r="I99" s="20" t="str">
        <f t="shared" si="293"/>
        <v>#REF!</v>
      </c>
      <c r="J99" s="20" t="str">
        <f t="shared" si="254"/>
        <v>#REF!</v>
      </c>
      <c r="K99" s="20" t="str">
        <f t="shared" ref="K99:L99" si="294">#REF!</f>
        <v>#REF!</v>
      </c>
      <c r="L99" s="20" t="str">
        <f t="shared" si="294"/>
        <v>#REF!</v>
      </c>
    </row>
    <row r="100">
      <c r="A100" s="20" t="str">
        <f t="shared" si="249"/>
        <v>#REF!</v>
      </c>
      <c r="B100" s="20" t="str">
        <f t="shared" si="250"/>
        <v>#REF!</v>
      </c>
      <c r="C100" s="20" t="str">
        <f t="shared" ref="C100:D100" si="295">#REF!</f>
        <v>#REF!</v>
      </c>
      <c r="D100" s="20" t="str">
        <f t="shared" si="295"/>
        <v>#REF!</v>
      </c>
      <c r="E100" s="20" t="str">
        <f t="shared" si="252"/>
        <v>#REF!</v>
      </c>
      <c r="F100" s="22" t="str">
        <f t="shared" si="2"/>
        <v>#REF!</v>
      </c>
      <c r="G100" s="20" t="str">
        <f t="shared" ref="G100:I100" si="296">#REF!</f>
        <v>#REF!</v>
      </c>
      <c r="H100" s="20" t="str">
        <f t="shared" si="296"/>
        <v>#REF!</v>
      </c>
      <c r="I100" s="20" t="str">
        <f t="shared" si="296"/>
        <v>#REF!</v>
      </c>
      <c r="J100" s="20" t="str">
        <f t="shared" si="254"/>
        <v>#REF!</v>
      </c>
      <c r="K100" s="20" t="str">
        <f t="shared" ref="K100:L100" si="297">#REF!</f>
        <v>#REF!</v>
      </c>
      <c r="L100" s="20" t="str">
        <f t="shared" si="297"/>
        <v>#REF!</v>
      </c>
    </row>
    <row r="101">
      <c r="A101" s="20" t="str">
        <f t="shared" si="249"/>
        <v>#REF!</v>
      </c>
      <c r="B101" s="20" t="str">
        <f t="shared" si="250"/>
        <v>#REF!</v>
      </c>
      <c r="C101" s="20" t="str">
        <f t="shared" ref="C101:D101" si="298">#REF!</f>
        <v>#REF!</v>
      </c>
      <c r="D101" s="20" t="str">
        <f t="shared" si="298"/>
        <v>#REF!</v>
      </c>
      <c r="E101" s="20" t="str">
        <f t="shared" si="252"/>
        <v>#REF!</v>
      </c>
      <c r="F101" s="22" t="str">
        <f t="shared" si="2"/>
        <v>#REF!</v>
      </c>
      <c r="G101" s="20" t="str">
        <f t="shared" ref="G101:I101" si="299">#REF!</f>
        <v>#REF!</v>
      </c>
      <c r="H101" s="20" t="str">
        <f t="shared" si="299"/>
        <v>#REF!</v>
      </c>
      <c r="I101" s="20" t="str">
        <f t="shared" si="299"/>
        <v>#REF!</v>
      </c>
      <c r="J101" s="20" t="str">
        <f t="shared" si="254"/>
        <v>#REF!</v>
      </c>
      <c r="K101" s="20" t="str">
        <f t="shared" ref="K101:L101" si="300">#REF!</f>
        <v>#REF!</v>
      </c>
      <c r="L101" s="20" t="str">
        <f t="shared" si="300"/>
        <v>#REF!</v>
      </c>
    </row>
    <row r="102">
      <c r="A102" s="20" t="str">
        <f t="shared" si="249"/>
        <v>#REF!</v>
      </c>
      <c r="B102" s="20" t="str">
        <f t="shared" si="250"/>
        <v>#REF!</v>
      </c>
      <c r="C102" s="20" t="str">
        <f t="shared" ref="C102:D102" si="301">#REF!</f>
        <v>#REF!</v>
      </c>
      <c r="D102" s="20" t="str">
        <f t="shared" si="301"/>
        <v>#REF!</v>
      </c>
      <c r="E102" s="20" t="str">
        <f t="shared" si="252"/>
        <v>#REF!</v>
      </c>
      <c r="F102" s="22" t="str">
        <f t="shared" si="2"/>
        <v>#REF!</v>
      </c>
      <c r="G102" s="20" t="str">
        <f t="shared" ref="G102:I102" si="302">#REF!</f>
        <v>#REF!</v>
      </c>
      <c r="H102" s="20" t="str">
        <f t="shared" si="302"/>
        <v>#REF!</v>
      </c>
      <c r="I102" s="20" t="str">
        <f t="shared" si="302"/>
        <v>#REF!</v>
      </c>
      <c r="J102" s="20" t="str">
        <f t="shared" si="254"/>
        <v>#REF!</v>
      </c>
      <c r="K102" s="20" t="str">
        <f t="shared" ref="K102:L102" si="303">#REF!</f>
        <v>#REF!</v>
      </c>
      <c r="L102" s="20" t="str">
        <f t="shared" si="303"/>
        <v>#REF!</v>
      </c>
    </row>
    <row r="103">
      <c r="A103" s="20" t="str">
        <f t="shared" si="249"/>
        <v>#REF!</v>
      </c>
      <c r="B103" s="20" t="str">
        <f t="shared" si="250"/>
        <v>#REF!</v>
      </c>
      <c r="C103" s="20" t="str">
        <f t="shared" ref="C103:D103" si="304">#REF!</f>
        <v>#REF!</v>
      </c>
      <c r="D103" s="20" t="str">
        <f t="shared" si="304"/>
        <v>#REF!</v>
      </c>
      <c r="E103" s="20" t="str">
        <f t="shared" si="252"/>
        <v>#REF!</v>
      </c>
      <c r="F103" s="22" t="str">
        <f t="shared" si="2"/>
        <v>#REF!</v>
      </c>
      <c r="G103" s="20" t="str">
        <f t="shared" ref="G103:I103" si="305">#REF!</f>
        <v>#REF!</v>
      </c>
      <c r="H103" s="20" t="str">
        <f t="shared" si="305"/>
        <v>#REF!</v>
      </c>
      <c r="I103" s="20" t="str">
        <f t="shared" si="305"/>
        <v>#REF!</v>
      </c>
      <c r="J103" s="20" t="str">
        <f t="shared" si="254"/>
        <v>#REF!</v>
      </c>
      <c r="K103" s="20" t="str">
        <f t="shared" ref="K103:L103" si="306">#REF!</f>
        <v>#REF!</v>
      </c>
      <c r="L103" s="20" t="str">
        <f t="shared" si="306"/>
        <v>#REF!</v>
      </c>
    </row>
    <row r="104">
      <c r="A104" s="20" t="str">
        <f t="shared" si="249"/>
        <v>#REF!</v>
      </c>
      <c r="B104" s="20" t="str">
        <f t="shared" si="250"/>
        <v>#REF!</v>
      </c>
      <c r="C104" s="20" t="str">
        <f t="shared" ref="C104:D104" si="307">#REF!</f>
        <v>#REF!</v>
      </c>
      <c r="D104" s="20" t="str">
        <f t="shared" si="307"/>
        <v>#REF!</v>
      </c>
      <c r="E104" s="20" t="str">
        <f t="shared" si="252"/>
        <v>#REF!</v>
      </c>
      <c r="F104" s="22" t="str">
        <f t="shared" si="2"/>
        <v>#REF!</v>
      </c>
      <c r="G104" s="20" t="str">
        <f t="shared" ref="G104:I104" si="308">#REF!</f>
        <v>#REF!</v>
      </c>
      <c r="H104" s="20" t="str">
        <f t="shared" si="308"/>
        <v>#REF!</v>
      </c>
      <c r="I104" s="20" t="str">
        <f t="shared" si="308"/>
        <v>#REF!</v>
      </c>
      <c r="J104" s="20" t="str">
        <f t="shared" si="254"/>
        <v>#REF!</v>
      </c>
      <c r="K104" s="20" t="str">
        <f t="shared" ref="K104:L104" si="309">#REF!</f>
        <v>#REF!</v>
      </c>
      <c r="L104" s="20" t="str">
        <f t="shared" si="309"/>
        <v>#REF!</v>
      </c>
    </row>
    <row r="105">
      <c r="A105" s="20" t="str">
        <f t="shared" si="249"/>
        <v>#REF!</v>
      </c>
      <c r="B105" s="20" t="str">
        <f t="shared" si="250"/>
        <v>#REF!</v>
      </c>
      <c r="C105" s="20" t="str">
        <f t="shared" ref="C105:D105" si="310">#REF!</f>
        <v>#REF!</v>
      </c>
      <c r="D105" s="20" t="str">
        <f t="shared" si="310"/>
        <v>#REF!</v>
      </c>
      <c r="E105" s="20" t="str">
        <f t="shared" si="252"/>
        <v>#REF!</v>
      </c>
      <c r="F105" s="22" t="str">
        <f t="shared" si="2"/>
        <v>#REF!</v>
      </c>
      <c r="G105" s="20" t="str">
        <f t="shared" ref="G105:I105" si="311">#REF!</f>
        <v>#REF!</v>
      </c>
      <c r="H105" s="20" t="str">
        <f t="shared" si="311"/>
        <v>#REF!</v>
      </c>
      <c r="I105" s="20" t="str">
        <f t="shared" si="311"/>
        <v>#REF!</v>
      </c>
      <c r="J105" s="20" t="str">
        <f t="shared" si="254"/>
        <v>#REF!</v>
      </c>
      <c r="K105" s="20" t="str">
        <f t="shared" ref="K105:L105" si="312">#REF!</f>
        <v>#REF!</v>
      </c>
      <c r="L105" s="20" t="str">
        <f t="shared" si="312"/>
        <v>#REF!</v>
      </c>
    </row>
    <row r="106">
      <c r="A106" s="20" t="str">
        <f t="shared" si="249"/>
        <v>#REF!</v>
      </c>
      <c r="B106" s="20" t="str">
        <f t="shared" si="250"/>
        <v>#REF!</v>
      </c>
      <c r="C106" s="20" t="str">
        <f t="shared" ref="C106:D106" si="313">#REF!</f>
        <v>#REF!</v>
      </c>
      <c r="D106" s="20" t="str">
        <f t="shared" si="313"/>
        <v>#REF!</v>
      </c>
      <c r="E106" s="20" t="str">
        <f t="shared" si="252"/>
        <v>#REF!</v>
      </c>
      <c r="F106" s="22" t="str">
        <f t="shared" si="2"/>
        <v>#REF!</v>
      </c>
      <c r="G106" s="20" t="str">
        <f t="shared" ref="G106:I106" si="314">#REF!</f>
        <v>#REF!</v>
      </c>
      <c r="H106" s="20" t="str">
        <f t="shared" si="314"/>
        <v>#REF!</v>
      </c>
      <c r="I106" s="20" t="str">
        <f t="shared" si="314"/>
        <v>#REF!</v>
      </c>
      <c r="J106" s="20" t="str">
        <f t="shared" si="254"/>
        <v>#REF!</v>
      </c>
      <c r="K106" s="20" t="str">
        <f t="shared" ref="K106:L106" si="315">#REF!</f>
        <v>#REF!</v>
      </c>
      <c r="L106" s="20" t="str">
        <f t="shared" si="315"/>
        <v>#REF!</v>
      </c>
    </row>
    <row r="107">
      <c r="A107" s="20" t="str">
        <f t="shared" si="249"/>
        <v>#REF!</v>
      </c>
      <c r="B107" s="20" t="str">
        <f t="shared" si="250"/>
        <v>#REF!</v>
      </c>
      <c r="C107" s="20" t="str">
        <f t="shared" ref="C107:D107" si="316">#REF!</f>
        <v>#REF!</v>
      </c>
      <c r="D107" s="20" t="str">
        <f t="shared" si="316"/>
        <v>#REF!</v>
      </c>
      <c r="E107" s="20" t="str">
        <f t="shared" si="252"/>
        <v>#REF!</v>
      </c>
      <c r="F107" s="22" t="str">
        <f t="shared" si="2"/>
        <v>#REF!</v>
      </c>
      <c r="G107" s="20" t="str">
        <f t="shared" ref="G107:I107" si="317">#REF!</f>
        <v>#REF!</v>
      </c>
      <c r="H107" s="20" t="str">
        <f t="shared" si="317"/>
        <v>#REF!</v>
      </c>
      <c r="I107" s="20" t="str">
        <f t="shared" si="317"/>
        <v>#REF!</v>
      </c>
      <c r="J107" s="20" t="str">
        <f t="shared" si="254"/>
        <v>#REF!</v>
      </c>
      <c r="K107" s="20" t="str">
        <f t="shared" ref="K107:L107" si="318">#REF!</f>
        <v>#REF!</v>
      </c>
      <c r="L107" s="20" t="str">
        <f t="shared" si="318"/>
        <v>#REF!</v>
      </c>
    </row>
    <row r="108">
      <c r="A108" s="20" t="str">
        <f t="shared" si="249"/>
        <v>#REF!</v>
      </c>
      <c r="B108" s="20" t="str">
        <f t="shared" si="250"/>
        <v>#REF!</v>
      </c>
      <c r="C108" s="20" t="str">
        <f t="shared" ref="C108:D108" si="319">#REF!</f>
        <v>#REF!</v>
      </c>
      <c r="D108" s="20" t="str">
        <f t="shared" si="319"/>
        <v>#REF!</v>
      </c>
      <c r="E108" s="20" t="str">
        <f t="shared" si="252"/>
        <v>#REF!</v>
      </c>
      <c r="F108" s="22" t="str">
        <f t="shared" si="2"/>
        <v>#REF!</v>
      </c>
      <c r="G108" s="20" t="str">
        <f t="shared" ref="G108:I108" si="320">#REF!</f>
        <v>#REF!</v>
      </c>
      <c r="H108" s="20" t="str">
        <f t="shared" si="320"/>
        <v>#REF!</v>
      </c>
      <c r="I108" s="20" t="str">
        <f t="shared" si="320"/>
        <v>#REF!</v>
      </c>
      <c r="J108" s="20" t="str">
        <f t="shared" si="254"/>
        <v>#REF!</v>
      </c>
      <c r="K108" s="20" t="str">
        <f t="shared" ref="K108:L108" si="321">#REF!</f>
        <v>#REF!</v>
      </c>
      <c r="L108" s="20" t="str">
        <f t="shared" si="321"/>
        <v>#REF!</v>
      </c>
    </row>
    <row r="109">
      <c r="A109" s="20" t="str">
        <f t="shared" si="249"/>
        <v>#REF!</v>
      </c>
      <c r="B109" s="20" t="str">
        <f t="shared" si="250"/>
        <v>#REF!</v>
      </c>
      <c r="C109" s="20" t="str">
        <f t="shared" ref="C109:D109" si="322">#REF!</f>
        <v>#REF!</v>
      </c>
      <c r="D109" s="20" t="str">
        <f t="shared" si="322"/>
        <v>#REF!</v>
      </c>
      <c r="E109" s="20" t="str">
        <f t="shared" si="252"/>
        <v>#REF!</v>
      </c>
      <c r="F109" s="22" t="str">
        <f t="shared" si="2"/>
        <v>#REF!</v>
      </c>
      <c r="G109" s="20" t="str">
        <f t="shared" ref="G109:I109" si="323">#REF!</f>
        <v>#REF!</v>
      </c>
      <c r="H109" s="20" t="str">
        <f t="shared" si="323"/>
        <v>#REF!</v>
      </c>
      <c r="I109" s="20" t="str">
        <f t="shared" si="323"/>
        <v>#REF!</v>
      </c>
      <c r="J109" s="20" t="str">
        <f t="shared" si="254"/>
        <v>#REF!</v>
      </c>
      <c r="K109" s="20" t="str">
        <f t="shared" ref="K109:L109" si="324">#REF!</f>
        <v>#REF!</v>
      </c>
      <c r="L109" s="20" t="str">
        <f t="shared" si="324"/>
        <v>#REF!</v>
      </c>
    </row>
    <row r="110">
      <c r="A110" s="20" t="str">
        <f t="shared" si="249"/>
        <v>#REF!</v>
      </c>
      <c r="B110" s="20" t="str">
        <f t="shared" si="250"/>
        <v>#REF!</v>
      </c>
      <c r="C110" s="20" t="str">
        <f t="shared" ref="C110:D110" si="325">#REF!</f>
        <v>#REF!</v>
      </c>
      <c r="D110" s="20" t="str">
        <f t="shared" si="325"/>
        <v>#REF!</v>
      </c>
      <c r="E110" s="20" t="str">
        <f t="shared" si="252"/>
        <v>#REF!</v>
      </c>
      <c r="F110" s="22" t="str">
        <f t="shared" si="2"/>
        <v>#REF!</v>
      </c>
      <c r="G110" s="20" t="str">
        <f t="shared" ref="G110:I110" si="326">#REF!</f>
        <v>#REF!</v>
      </c>
      <c r="H110" s="20" t="str">
        <f t="shared" si="326"/>
        <v>#REF!</v>
      </c>
      <c r="I110" s="20" t="str">
        <f t="shared" si="326"/>
        <v>#REF!</v>
      </c>
      <c r="J110" s="20" t="str">
        <f t="shared" si="254"/>
        <v>#REF!</v>
      </c>
      <c r="K110" s="20" t="str">
        <f t="shared" ref="K110:L110" si="327">#REF!</f>
        <v>#REF!</v>
      </c>
      <c r="L110" s="20" t="str">
        <f t="shared" si="327"/>
        <v>#REF!</v>
      </c>
    </row>
    <row r="111">
      <c r="A111" s="20" t="str">
        <f t="shared" si="249"/>
        <v>#REF!</v>
      </c>
      <c r="B111" s="20" t="str">
        <f t="shared" si="250"/>
        <v>#REF!</v>
      </c>
      <c r="C111" s="20" t="str">
        <f t="shared" ref="C111:D111" si="328">#REF!</f>
        <v>#REF!</v>
      </c>
      <c r="D111" s="20" t="str">
        <f t="shared" si="328"/>
        <v>#REF!</v>
      </c>
      <c r="E111" s="20" t="str">
        <f t="shared" si="252"/>
        <v>#REF!</v>
      </c>
      <c r="F111" s="22" t="str">
        <f t="shared" si="2"/>
        <v>#REF!</v>
      </c>
      <c r="G111" s="20" t="str">
        <f t="shared" ref="G111:I111" si="329">#REF!</f>
        <v>#REF!</v>
      </c>
      <c r="H111" s="20" t="str">
        <f t="shared" si="329"/>
        <v>#REF!</v>
      </c>
      <c r="I111" s="20" t="str">
        <f t="shared" si="329"/>
        <v>#REF!</v>
      </c>
      <c r="J111" s="20" t="str">
        <f t="shared" si="254"/>
        <v>#REF!</v>
      </c>
      <c r="K111" s="20" t="str">
        <f t="shared" ref="K111:L111" si="330">#REF!</f>
        <v>#REF!</v>
      </c>
      <c r="L111" s="20" t="str">
        <f t="shared" si="330"/>
        <v>#REF!</v>
      </c>
    </row>
    <row r="112">
      <c r="A112" s="20" t="str">
        <f t="shared" si="249"/>
        <v>#REF!</v>
      </c>
      <c r="B112" s="20" t="str">
        <f t="shared" si="250"/>
        <v>#REF!</v>
      </c>
      <c r="C112" s="20" t="str">
        <f t="shared" ref="C112:D112" si="331">#REF!</f>
        <v>#REF!</v>
      </c>
      <c r="D112" s="20" t="str">
        <f t="shared" si="331"/>
        <v>#REF!</v>
      </c>
      <c r="E112" s="20" t="str">
        <f t="shared" si="252"/>
        <v>#REF!</v>
      </c>
      <c r="F112" s="22" t="str">
        <f t="shared" si="2"/>
        <v>#REF!</v>
      </c>
      <c r="G112" s="20" t="str">
        <f t="shared" ref="G112:I112" si="332">#REF!</f>
        <v>#REF!</v>
      </c>
      <c r="H112" s="20" t="str">
        <f t="shared" si="332"/>
        <v>#REF!</v>
      </c>
      <c r="I112" s="20" t="str">
        <f t="shared" si="332"/>
        <v>#REF!</v>
      </c>
      <c r="J112" s="20" t="str">
        <f t="shared" si="254"/>
        <v>#REF!</v>
      </c>
      <c r="K112" s="20" t="str">
        <f t="shared" ref="K112:L112" si="333">#REF!</f>
        <v>#REF!</v>
      </c>
      <c r="L112" s="20" t="str">
        <f t="shared" si="333"/>
        <v>#REF!</v>
      </c>
    </row>
    <row r="113">
      <c r="A113" s="20" t="str">
        <f t="shared" si="249"/>
        <v>#REF!</v>
      </c>
      <c r="B113" s="20" t="str">
        <f t="shared" si="250"/>
        <v>#REF!</v>
      </c>
      <c r="C113" s="20" t="str">
        <f t="shared" ref="C113:D113" si="334">#REF!</f>
        <v>#REF!</v>
      </c>
      <c r="D113" s="20" t="str">
        <f t="shared" si="334"/>
        <v>#REF!</v>
      </c>
      <c r="E113" s="20" t="str">
        <f t="shared" si="252"/>
        <v>#REF!</v>
      </c>
      <c r="F113" s="22" t="str">
        <f t="shared" si="2"/>
        <v>#REF!</v>
      </c>
      <c r="G113" s="20" t="str">
        <f t="shared" ref="G113:I113" si="335">#REF!</f>
        <v>#REF!</v>
      </c>
      <c r="H113" s="20" t="str">
        <f t="shared" si="335"/>
        <v>#REF!</v>
      </c>
      <c r="I113" s="20" t="str">
        <f t="shared" si="335"/>
        <v>#REF!</v>
      </c>
      <c r="J113" s="20" t="str">
        <f t="shared" si="254"/>
        <v>#REF!</v>
      </c>
      <c r="K113" s="20" t="str">
        <f t="shared" ref="K113:L113" si="336">#REF!</f>
        <v>#REF!</v>
      </c>
      <c r="L113" s="20" t="str">
        <f t="shared" si="336"/>
        <v>#REF!</v>
      </c>
    </row>
    <row r="114">
      <c r="A114" s="20" t="str">
        <f t="shared" si="249"/>
        <v>#REF!</v>
      </c>
      <c r="B114" s="20" t="str">
        <f t="shared" si="250"/>
        <v>#REF!</v>
      </c>
      <c r="C114" s="20" t="str">
        <f t="shared" ref="C114:D114" si="337">#REF!</f>
        <v>#REF!</v>
      </c>
      <c r="D114" s="20" t="str">
        <f t="shared" si="337"/>
        <v>#REF!</v>
      </c>
      <c r="E114" s="20" t="str">
        <f t="shared" si="252"/>
        <v>#REF!</v>
      </c>
      <c r="F114" s="22" t="str">
        <f t="shared" si="2"/>
        <v>#REF!</v>
      </c>
      <c r="G114" s="20" t="str">
        <f t="shared" ref="G114:I114" si="338">#REF!</f>
        <v>#REF!</v>
      </c>
      <c r="H114" s="20" t="str">
        <f t="shared" si="338"/>
        <v>#REF!</v>
      </c>
      <c r="I114" s="20" t="str">
        <f t="shared" si="338"/>
        <v>#REF!</v>
      </c>
      <c r="J114" s="20" t="str">
        <f t="shared" si="254"/>
        <v>#REF!</v>
      </c>
      <c r="K114" s="20" t="str">
        <f t="shared" ref="K114:L114" si="339">#REF!</f>
        <v>#REF!</v>
      </c>
      <c r="L114" s="20" t="str">
        <f t="shared" si="339"/>
        <v>#REF!</v>
      </c>
    </row>
    <row r="115">
      <c r="A115" s="20" t="str">
        <f t="shared" si="249"/>
        <v>#REF!</v>
      </c>
      <c r="B115" s="20" t="str">
        <f t="shared" si="250"/>
        <v>#REF!</v>
      </c>
      <c r="C115" s="20" t="str">
        <f t="shared" ref="C115:D115" si="340">#REF!</f>
        <v>#REF!</v>
      </c>
      <c r="D115" s="20" t="str">
        <f t="shared" si="340"/>
        <v>#REF!</v>
      </c>
      <c r="E115" s="20" t="str">
        <f t="shared" si="252"/>
        <v>#REF!</v>
      </c>
      <c r="F115" s="22" t="str">
        <f t="shared" si="2"/>
        <v>#REF!</v>
      </c>
      <c r="G115" s="20" t="str">
        <f t="shared" ref="G115:I115" si="341">#REF!</f>
        <v>#REF!</v>
      </c>
      <c r="H115" s="20" t="str">
        <f t="shared" si="341"/>
        <v>#REF!</v>
      </c>
      <c r="I115" s="20" t="str">
        <f t="shared" si="341"/>
        <v>#REF!</v>
      </c>
      <c r="J115" s="20" t="str">
        <f t="shared" si="254"/>
        <v>#REF!</v>
      </c>
      <c r="K115" s="20" t="str">
        <f t="shared" ref="K115:L115" si="342">#REF!</f>
        <v>#REF!</v>
      </c>
      <c r="L115" s="20" t="str">
        <f t="shared" si="342"/>
        <v>#REF!</v>
      </c>
    </row>
    <row r="116">
      <c r="A116" s="20" t="str">
        <f t="shared" si="249"/>
        <v>#REF!</v>
      </c>
      <c r="B116" s="20" t="str">
        <f t="shared" si="250"/>
        <v>#REF!</v>
      </c>
      <c r="C116" s="20" t="str">
        <f t="shared" ref="C116:D116" si="343">#REF!</f>
        <v>#REF!</v>
      </c>
      <c r="D116" s="20" t="str">
        <f t="shared" si="343"/>
        <v>#REF!</v>
      </c>
      <c r="E116" s="20" t="str">
        <f t="shared" si="252"/>
        <v>#REF!</v>
      </c>
      <c r="F116" s="22" t="str">
        <f t="shared" si="2"/>
        <v>#REF!</v>
      </c>
      <c r="G116" s="20" t="str">
        <f t="shared" ref="G116:I116" si="344">#REF!</f>
        <v>#REF!</v>
      </c>
      <c r="H116" s="20" t="str">
        <f t="shared" si="344"/>
        <v>#REF!</v>
      </c>
      <c r="I116" s="20" t="str">
        <f t="shared" si="344"/>
        <v>#REF!</v>
      </c>
      <c r="J116" s="20" t="str">
        <f t="shared" si="254"/>
        <v>#REF!</v>
      </c>
      <c r="K116" s="20" t="str">
        <f t="shared" ref="K116:L116" si="345">#REF!</f>
        <v>#REF!</v>
      </c>
      <c r="L116" s="20" t="str">
        <f t="shared" si="345"/>
        <v>#REF!</v>
      </c>
    </row>
    <row r="117">
      <c r="A117" s="20" t="str">
        <f t="shared" si="249"/>
        <v>#REF!</v>
      </c>
      <c r="B117" s="20" t="str">
        <f t="shared" si="250"/>
        <v>#REF!</v>
      </c>
      <c r="C117" s="20" t="str">
        <f t="shared" ref="C117:D117" si="346">#REF!</f>
        <v>#REF!</v>
      </c>
      <c r="D117" s="20" t="str">
        <f t="shared" si="346"/>
        <v>#REF!</v>
      </c>
      <c r="E117" s="20" t="str">
        <f t="shared" si="252"/>
        <v>#REF!</v>
      </c>
      <c r="F117" s="22" t="str">
        <f t="shared" si="2"/>
        <v>#REF!</v>
      </c>
      <c r="G117" s="20" t="str">
        <f t="shared" ref="G117:I117" si="347">#REF!</f>
        <v>#REF!</v>
      </c>
      <c r="H117" s="20" t="str">
        <f t="shared" si="347"/>
        <v>#REF!</v>
      </c>
      <c r="I117" s="20" t="str">
        <f t="shared" si="347"/>
        <v>#REF!</v>
      </c>
      <c r="J117" s="20" t="str">
        <f t="shared" si="254"/>
        <v>#REF!</v>
      </c>
      <c r="K117" s="20" t="str">
        <f t="shared" ref="K117:L117" si="348">#REF!</f>
        <v>#REF!</v>
      </c>
      <c r="L117" s="20" t="str">
        <f t="shared" si="348"/>
        <v>#REF!</v>
      </c>
    </row>
    <row r="118">
      <c r="A118" s="20" t="str">
        <f t="shared" si="249"/>
        <v>#REF!</v>
      </c>
      <c r="B118" s="20" t="str">
        <f t="shared" si="250"/>
        <v>#REF!</v>
      </c>
      <c r="C118" s="20" t="str">
        <f t="shared" ref="C118:D118" si="349">#REF!</f>
        <v>#REF!</v>
      </c>
      <c r="D118" s="20" t="str">
        <f t="shared" si="349"/>
        <v>#REF!</v>
      </c>
      <c r="E118" s="20" t="str">
        <f t="shared" si="252"/>
        <v>#REF!</v>
      </c>
      <c r="F118" s="22" t="str">
        <f t="shared" si="2"/>
        <v>#REF!</v>
      </c>
      <c r="G118" s="20" t="str">
        <f t="shared" ref="G118:I118" si="350">#REF!</f>
        <v>#REF!</v>
      </c>
      <c r="H118" s="20" t="str">
        <f t="shared" si="350"/>
        <v>#REF!</v>
      </c>
      <c r="I118" s="20" t="str">
        <f t="shared" si="350"/>
        <v>#REF!</v>
      </c>
      <c r="J118" s="20" t="str">
        <f t="shared" si="254"/>
        <v>#REF!</v>
      </c>
      <c r="K118" s="20" t="str">
        <f t="shared" ref="K118:L118" si="351">#REF!</f>
        <v>#REF!</v>
      </c>
      <c r="L118" s="20" t="str">
        <f t="shared" si="351"/>
        <v>#REF!</v>
      </c>
    </row>
    <row r="119">
      <c r="A119" s="20" t="str">
        <f t="shared" si="249"/>
        <v>#REF!</v>
      </c>
      <c r="B119" s="20" t="str">
        <f t="shared" si="250"/>
        <v>#REF!</v>
      </c>
      <c r="C119" s="20" t="str">
        <f t="shared" ref="C119:D119" si="352">#REF!</f>
        <v>#REF!</v>
      </c>
      <c r="D119" s="20" t="str">
        <f t="shared" si="352"/>
        <v>#REF!</v>
      </c>
      <c r="E119" s="20" t="str">
        <f t="shared" si="252"/>
        <v>#REF!</v>
      </c>
      <c r="F119" s="22" t="str">
        <f t="shared" si="2"/>
        <v>#REF!</v>
      </c>
      <c r="G119" s="20" t="str">
        <f t="shared" ref="G119:I119" si="353">#REF!</f>
        <v>#REF!</v>
      </c>
      <c r="H119" s="20" t="str">
        <f t="shared" si="353"/>
        <v>#REF!</v>
      </c>
      <c r="I119" s="20" t="str">
        <f t="shared" si="353"/>
        <v>#REF!</v>
      </c>
      <c r="J119" s="20" t="str">
        <f t="shared" si="254"/>
        <v>#REF!</v>
      </c>
      <c r="K119" s="20" t="str">
        <f t="shared" ref="K119:L119" si="354">#REF!</f>
        <v>#REF!</v>
      </c>
      <c r="L119" s="20" t="str">
        <f t="shared" si="354"/>
        <v>#REF!</v>
      </c>
    </row>
    <row r="120">
      <c r="A120" s="20" t="str">
        <f t="shared" si="249"/>
        <v>#REF!</v>
      </c>
      <c r="B120" s="20" t="str">
        <f t="shared" si="250"/>
        <v>#REF!</v>
      </c>
      <c r="C120" s="20" t="str">
        <f t="shared" ref="C120:D120" si="355">#REF!</f>
        <v>#REF!</v>
      </c>
      <c r="D120" s="20" t="str">
        <f t="shared" si="355"/>
        <v>#REF!</v>
      </c>
      <c r="E120" s="20" t="str">
        <f t="shared" si="252"/>
        <v>#REF!</v>
      </c>
      <c r="F120" s="22" t="str">
        <f t="shared" si="2"/>
        <v>#REF!</v>
      </c>
      <c r="G120" s="20" t="str">
        <f t="shared" ref="G120:I120" si="356">#REF!</f>
        <v>#REF!</v>
      </c>
      <c r="H120" s="20" t="str">
        <f t="shared" si="356"/>
        <v>#REF!</v>
      </c>
      <c r="I120" s="20" t="str">
        <f t="shared" si="356"/>
        <v>#REF!</v>
      </c>
      <c r="J120" s="20" t="str">
        <f t="shared" si="254"/>
        <v>#REF!</v>
      </c>
      <c r="K120" s="20" t="str">
        <f t="shared" ref="K120:L120" si="357">#REF!</f>
        <v>#REF!</v>
      </c>
      <c r="L120" s="20" t="str">
        <f t="shared" si="357"/>
        <v>#REF!</v>
      </c>
    </row>
    <row r="121">
      <c r="A121" s="20" t="str">
        <f t="shared" si="249"/>
        <v>#REF!</v>
      </c>
      <c r="B121" s="20" t="str">
        <f t="shared" si="250"/>
        <v>#REF!</v>
      </c>
      <c r="C121" s="20" t="str">
        <f t="shared" ref="C121:D121" si="358">#REF!</f>
        <v>#REF!</v>
      </c>
      <c r="D121" s="20" t="str">
        <f t="shared" si="358"/>
        <v>#REF!</v>
      </c>
      <c r="E121" s="20" t="str">
        <f t="shared" si="252"/>
        <v>#REF!</v>
      </c>
      <c r="F121" s="22" t="str">
        <f t="shared" si="2"/>
        <v>#REF!</v>
      </c>
      <c r="G121" s="20" t="str">
        <f t="shared" ref="G121:I121" si="359">#REF!</f>
        <v>#REF!</v>
      </c>
      <c r="H121" s="20" t="str">
        <f t="shared" si="359"/>
        <v>#REF!</v>
      </c>
      <c r="I121" s="20" t="str">
        <f t="shared" si="359"/>
        <v>#REF!</v>
      </c>
      <c r="J121" s="20" t="str">
        <f t="shared" si="254"/>
        <v>#REF!</v>
      </c>
      <c r="K121" s="20" t="str">
        <f t="shared" ref="K121:L121" si="360">#REF!</f>
        <v>#REF!</v>
      </c>
      <c r="L121" s="20" t="str">
        <f t="shared" si="360"/>
        <v>#REF!</v>
      </c>
    </row>
    <row r="122">
      <c r="A122" s="20" t="str">
        <f t="shared" si="249"/>
        <v>#REF!</v>
      </c>
      <c r="B122" s="20" t="str">
        <f t="shared" si="250"/>
        <v>#REF!</v>
      </c>
      <c r="C122" s="20" t="str">
        <f t="shared" ref="C122:D122" si="361">#REF!</f>
        <v>#REF!</v>
      </c>
      <c r="D122" s="20" t="str">
        <f t="shared" si="361"/>
        <v>#REF!</v>
      </c>
      <c r="E122" s="20" t="str">
        <f t="shared" si="252"/>
        <v>#REF!</v>
      </c>
      <c r="F122" s="22" t="str">
        <f t="shared" si="2"/>
        <v>#REF!</v>
      </c>
      <c r="G122" s="20" t="str">
        <f t="shared" ref="G122:I122" si="362">#REF!</f>
        <v>#REF!</v>
      </c>
      <c r="H122" s="20" t="str">
        <f t="shared" si="362"/>
        <v>#REF!</v>
      </c>
      <c r="I122" s="20" t="str">
        <f t="shared" si="362"/>
        <v>#REF!</v>
      </c>
      <c r="J122" s="20" t="str">
        <f t="shared" si="254"/>
        <v>#REF!</v>
      </c>
      <c r="K122" s="20" t="str">
        <f t="shared" ref="K122:L122" si="363">#REF!</f>
        <v>#REF!</v>
      </c>
      <c r="L122" s="20" t="str">
        <f t="shared" si="363"/>
        <v>#REF!</v>
      </c>
    </row>
    <row r="123">
      <c r="A123" s="20" t="str">
        <f t="shared" si="249"/>
        <v>#REF!</v>
      </c>
      <c r="B123" s="20" t="str">
        <f t="shared" si="250"/>
        <v>#REF!</v>
      </c>
      <c r="C123" s="20" t="str">
        <f t="shared" ref="C123:D123" si="364">#REF!</f>
        <v>#REF!</v>
      </c>
      <c r="D123" s="20" t="str">
        <f t="shared" si="364"/>
        <v>#REF!</v>
      </c>
      <c r="E123" s="20" t="str">
        <f t="shared" si="252"/>
        <v>#REF!</v>
      </c>
      <c r="F123" s="22" t="str">
        <f t="shared" si="2"/>
        <v>#REF!</v>
      </c>
      <c r="G123" s="20" t="str">
        <f t="shared" ref="G123:I123" si="365">#REF!</f>
        <v>#REF!</v>
      </c>
      <c r="H123" s="20" t="str">
        <f t="shared" si="365"/>
        <v>#REF!</v>
      </c>
      <c r="I123" s="20" t="str">
        <f t="shared" si="365"/>
        <v>#REF!</v>
      </c>
      <c r="J123" s="20" t="str">
        <f t="shared" si="254"/>
        <v>#REF!</v>
      </c>
      <c r="K123" s="20" t="str">
        <f t="shared" ref="K123:L123" si="366">#REF!</f>
        <v>#REF!</v>
      </c>
      <c r="L123" s="20" t="str">
        <f t="shared" si="366"/>
        <v>#REF!</v>
      </c>
    </row>
    <row r="124">
      <c r="A124" s="20" t="str">
        <f t="shared" si="249"/>
        <v>#REF!</v>
      </c>
      <c r="B124" s="20" t="str">
        <f t="shared" si="250"/>
        <v>#REF!</v>
      </c>
      <c r="C124" s="20" t="str">
        <f t="shared" ref="C124:D124" si="367">#REF!</f>
        <v>#REF!</v>
      </c>
      <c r="D124" s="20" t="str">
        <f t="shared" si="367"/>
        <v>#REF!</v>
      </c>
      <c r="E124" s="20" t="str">
        <f t="shared" si="252"/>
        <v>#REF!</v>
      </c>
      <c r="F124" s="22" t="str">
        <f t="shared" si="2"/>
        <v>#REF!</v>
      </c>
      <c r="G124" s="20" t="str">
        <f t="shared" ref="G124:I124" si="368">#REF!</f>
        <v>#REF!</v>
      </c>
      <c r="H124" s="20" t="str">
        <f t="shared" si="368"/>
        <v>#REF!</v>
      </c>
      <c r="I124" s="20" t="str">
        <f t="shared" si="368"/>
        <v>#REF!</v>
      </c>
      <c r="J124" s="20" t="str">
        <f t="shared" si="254"/>
        <v>#REF!</v>
      </c>
      <c r="K124" s="20" t="str">
        <f t="shared" ref="K124:L124" si="369">#REF!</f>
        <v>#REF!</v>
      </c>
      <c r="L124" s="20" t="str">
        <f t="shared" si="369"/>
        <v>#REF!</v>
      </c>
    </row>
    <row r="125">
      <c r="A125" s="20" t="str">
        <f t="shared" si="249"/>
        <v>#REF!</v>
      </c>
      <c r="B125" s="20" t="str">
        <f t="shared" si="250"/>
        <v>#REF!</v>
      </c>
      <c r="C125" s="20" t="str">
        <f t="shared" ref="C125:D125" si="370">#REF!</f>
        <v>#REF!</v>
      </c>
      <c r="D125" s="20" t="str">
        <f t="shared" si="370"/>
        <v>#REF!</v>
      </c>
      <c r="E125" s="20" t="str">
        <f t="shared" si="252"/>
        <v>#REF!</v>
      </c>
      <c r="F125" s="22" t="str">
        <f t="shared" si="2"/>
        <v>#REF!</v>
      </c>
      <c r="G125" s="20" t="str">
        <f t="shared" ref="G125:I125" si="371">#REF!</f>
        <v>#REF!</v>
      </c>
      <c r="H125" s="20" t="str">
        <f t="shared" si="371"/>
        <v>#REF!</v>
      </c>
      <c r="I125" s="20" t="str">
        <f t="shared" si="371"/>
        <v>#REF!</v>
      </c>
      <c r="J125" s="20" t="str">
        <f t="shared" si="254"/>
        <v>#REF!</v>
      </c>
      <c r="K125" s="20" t="str">
        <f t="shared" ref="K125:L125" si="372">#REF!</f>
        <v>#REF!</v>
      </c>
      <c r="L125" s="20" t="str">
        <f t="shared" si="372"/>
        <v>#REF!</v>
      </c>
    </row>
    <row r="126">
      <c r="A126" s="20" t="str">
        <f t="shared" si="249"/>
        <v>#REF!</v>
      </c>
      <c r="B126" s="20" t="str">
        <f t="shared" si="250"/>
        <v>#REF!</v>
      </c>
      <c r="C126" s="20" t="str">
        <f t="shared" ref="C126:D126" si="373">#REF!</f>
        <v>#REF!</v>
      </c>
      <c r="D126" s="20" t="str">
        <f t="shared" si="373"/>
        <v>#REF!</v>
      </c>
      <c r="E126" s="20" t="str">
        <f t="shared" si="252"/>
        <v>#REF!</v>
      </c>
      <c r="F126" s="22" t="str">
        <f t="shared" si="2"/>
        <v>#REF!</v>
      </c>
      <c r="G126" s="20" t="str">
        <f t="shared" ref="G126:I126" si="374">#REF!</f>
        <v>#REF!</v>
      </c>
      <c r="H126" s="20" t="str">
        <f t="shared" si="374"/>
        <v>#REF!</v>
      </c>
      <c r="I126" s="20" t="str">
        <f t="shared" si="374"/>
        <v>#REF!</v>
      </c>
      <c r="J126" s="20" t="str">
        <f t="shared" si="254"/>
        <v>#REF!</v>
      </c>
      <c r="K126" s="20" t="str">
        <f t="shared" ref="K126:L126" si="375">#REF!</f>
        <v>#REF!</v>
      </c>
      <c r="L126" s="20" t="str">
        <f t="shared" si="375"/>
        <v>#REF!</v>
      </c>
    </row>
    <row r="127">
      <c r="A127" s="20" t="str">
        <f t="shared" si="249"/>
        <v>#REF!</v>
      </c>
      <c r="B127" s="20" t="str">
        <f t="shared" si="250"/>
        <v>#REF!</v>
      </c>
      <c r="C127" s="20" t="str">
        <f t="shared" ref="C127:D127" si="376">#REF!</f>
        <v>#REF!</v>
      </c>
      <c r="D127" s="20" t="str">
        <f t="shared" si="376"/>
        <v>#REF!</v>
      </c>
      <c r="E127" s="20" t="str">
        <f t="shared" si="252"/>
        <v>#REF!</v>
      </c>
      <c r="F127" s="22" t="str">
        <f t="shared" si="2"/>
        <v>#REF!</v>
      </c>
      <c r="G127" s="20" t="str">
        <f t="shared" ref="G127:I127" si="377">#REF!</f>
        <v>#REF!</v>
      </c>
      <c r="H127" s="20" t="str">
        <f t="shared" si="377"/>
        <v>#REF!</v>
      </c>
      <c r="I127" s="20" t="str">
        <f t="shared" si="377"/>
        <v>#REF!</v>
      </c>
      <c r="J127" s="20" t="str">
        <f t="shared" si="254"/>
        <v>#REF!</v>
      </c>
      <c r="K127" s="20" t="str">
        <f t="shared" ref="K127:L127" si="378">#REF!</f>
        <v>#REF!</v>
      </c>
      <c r="L127" s="20" t="str">
        <f t="shared" si="378"/>
        <v>#REF!</v>
      </c>
    </row>
    <row r="128">
      <c r="A128" s="20" t="str">
        <f t="shared" si="249"/>
        <v>#REF!</v>
      </c>
      <c r="B128" s="20" t="str">
        <f t="shared" si="250"/>
        <v>#REF!</v>
      </c>
      <c r="C128" s="20" t="str">
        <f t="shared" ref="C128:D128" si="379">#REF!</f>
        <v>#REF!</v>
      </c>
      <c r="D128" s="20" t="str">
        <f t="shared" si="379"/>
        <v>#REF!</v>
      </c>
      <c r="E128" s="20" t="str">
        <f t="shared" si="252"/>
        <v>#REF!</v>
      </c>
      <c r="F128" s="22" t="str">
        <f t="shared" si="2"/>
        <v>#REF!</v>
      </c>
      <c r="G128" s="20" t="str">
        <f t="shared" ref="G128:I128" si="380">#REF!</f>
        <v>#REF!</v>
      </c>
      <c r="H128" s="20" t="str">
        <f t="shared" si="380"/>
        <v>#REF!</v>
      </c>
      <c r="I128" s="20" t="str">
        <f t="shared" si="380"/>
        <v>#REF!</v>
      </c>
      <c r="J128" s="20" t="str">
        <f t="shared" si="254"/>
        <v>#REF!</v>
      </c>
      <c r="K128" s="20" t="str">
        <f t="shared" ref="K128:L128" si="381">#REF!</f>
        <v>#REF!</v>
      </c>
      <c r="L128" s="20" t="str">
        <f t="shared" si="381"/>
        <v>#REF!</v>
      </c>
    </row>
    <row r="129">
      <c r="A129" s="20" t="str">
        <f t="shared" si="249"/>
        <v>#REF!</v>
      </c>
      <c r="B129" s="20" t="str">
        <f t="shared" si="250"/>
        <v>#REF!</v>
      </c>
      <c r="C129" s="20" t="str">
        <f t="shared" ref="C129:D129" si="382">#REF!</f>
        <v>#REF!</v>
      </c>
      <c r="D129" s="20" t="str">
        <f t="shared" si="382"/>
        <v>#REF!</v>
      </c>
      <c r="E129" s="20" t="str">
        <f t="shared" si="252"/>
        <v>#REF!</v>
      </c>
      <c r="F129" s="22" t="str">
        <f t="shared" si="2"/>
        <v>#REF!</v>
      </c>
      <c r="G129" s="20" t="str">
        <f t="shared" ref="G129:I129" si="383">#REF!</f>
        <v>#REF!</v>
      </c>
      <c r="H129" s="20" t="str">
        <f t="shared" si="383"/>
        <v>#REF!</v>
      </c>
      <c r="I129" s="20" t="str">
        <f t="shared" si="383"/>
        <v>#REF!</v>
      </c>
      <c r="J129" s="20" t="str">
        <f t="shared" si="254"/>
        <v>#REF!</v>
      </c>
      <c r="K129" s="20" t="str">
        <f t="shared" ref="K129:L129" si="384">#REF!</f>
        <v>#REF!</v>
      </c>
      <c r="L129" s="20" t="str">
        <f t="shared" si="384"/>
        <v>#REF!</v>
      </c>
    </row>
    <row r="130">
      <c r="A130" s="20" t="str">
        <f t="shared" si="249"/>
        <v>#REF!</v>
      </c>
      <c r="B130" s="20" t="str">
        <f t="shared" si="250"/>
        <v>#REF!</v>
      </c>
      <c r="C130" s="20" t="str">
        <f t="shared" ref="C130:D130" si="385">#REF!</f>
        <v>#REF!</v>
      </c>
      <c r="D130" s="20" t="str">
        <f t="shared" si="385"/>
        <v>#REF!</v>
      </c>
      <c r="E130" s="20" t="str">
        <f t="shared" si="252"/>
        <v>#REF!</v>
      </c>
      <c r="F130" s="22" t="str">
        <f t="shared" si="2"/>
        <v>#REF!</v>
      </c>
      <c r="G130" s="20" t="str">
        <f t="shared" ref="G130:I130" si="386">#REF!</f>
        <v>#REF!</v>
      </c>
      <c r="H130" s="20" t="str">
        <f t="shared" si="386"/>
        <v>#REF!</v>
      </c>
      <c r="I130" s="20" t="str">
        <f t="shared" si="386"/>
        <v>#REF!</v>
      </c>
      <c r="J130" s="20" t="str">
        <f t="shared" si="254"/>
        <v>#REF!</v>
      </c>
      <c r="K130" s="20" t="str">
        <f t="shared" ref="K130:L130" si="387">#REF!</f>
        <v>#REF!</v>
      </c>
      <c r="L130" s="20" t="str">
        <f t="shared" si="387"/>
        <v>#REF!</v>
      </c>
    </row>
    <row r="131">
      <c r="A131" s="20" t="str">
        <f t="shared" si="249"/>
        <v>#REF!</v>
      </c>
      <c r="B131" s="20" t="str">
        <f t="shared" si="250"/>
        <v>#REF!</v>
      </c>
      <c r="C131" s="20" t="str">
        <f t="shared" ref="C131:D131" si="388">#REF!</f>
        <v>#REF!</v>
      </c>
      <c r="D131" s="20" t="str">
        <f t="shared" si="388"/>
        <v>#REF!</v>
      </c>
      <c r="E131" s="20" t="str">
        <f t="shared" si="252"/>
        <v>#REF!</v>
      </c>
      <c r="F131" s="22" t="str">
        <f t="shared" si="2"/>
        <v>#REF!</v>
      </c>
      <c r="G131" s="20" t="str">
        <f t="shared" ref="G131:I131" si="389">#REF!</f>
        <v>#REF!</v>
      </c>
      <c r="H131" s="20" t="str">
        <f t="shared" si="389"/>
        <v>#REF!</v>
      </c>
      <c r="I131" s="20" t="str">
        <f t="shared" si="389"/>
        <v>#REF!</v>
      </c>
      <c r="J131" s="20" t="str">
        <f t="shared" si="254"/>
        <v>#REF!</v>
      </c>
      <c r="K131" s="20" t="str">
        <f t="shared" ref="K131:L131" si="390">#REF!</f>
        <v>#REF!</v>
      </c>
      <c r="L131" s="20" t="str">
        <f t="shared" si="390"/>
        <v>#REF!</v>
      </c>
    </row>
    <row r="132">
      <c r="A132" s="20" t="str">
        <f t="shared" si="249"/>
        <v>#REF!</v>
      </c>
      <c r="B132" s="20" t="str">
        <f t="shared" si="250"/>
        <v>#REF!</v>
      </c>
      <c r="C132" s="20" t="str">
        <f t="shared" ref="C132:D132" si="391">#REF!</f>
        <v>#REF!</v>
      </c>
      <c r="D132" s="20" t="str">
        <f t="shared" si="391"/>
        <v>#REF!</v>
      </c>
      <c r="E132" s="20" t="str">
        <f t="shared" si="252"/>
        <v>#REF!</v>
      </c>
      <c r="F132" s="22" t="str">
        <f t="shared" si="2"/>
        <v>#REF!</v>
      </c>
      <c r="G132" s="20" t="str">
        <f t="shared" ref="G132:I132" si="392">#REF!</f>
        <v>#REF!</v>
      </c>
      <c r="H132" s="20" t="str">
        <f t="shared" si="392"/>
        <v>#REF!</v>
      </c>
      <c r="I132" s="20" t="str">
        <f t="shared" si="392"/>
        <v>#REF!</v>
      </c>
      <c r="J132" s="20" t="str">
        <f t="shared" si="254"/>
        <v>#REF!</v>
      </c>
      <c r="K132" s="20" t="str">
        <f t="shared" ref="K132:L132" si="393">#REF!</f>
        <v>#REF!</v>
      </c>
      <c r="L132" s="20" t="str">
        <f t="shared" si="393"/>
        <v>#REF!</v>
      </c>
    </row>
    <row r="133">
      <c r="A133" s="20" t="str">
        <f t="shared" si="249"/>
        <v>#REF!</v>
      </c>
      <c r="B133" s="20" t="str">
        <f t="shared" si="250"/>
        <v>#REF!</v>
      </c>
      <c r="C133" s="20" t="str">
        <f t="shared" ref="C133:D133" si="394">#REF!</f>
        <v>#REF!</v>
      </c>
      <c r="D133" s="20" t="str">
        <f t="shared" si="394"/>
        <v>#REF!</v>
      </c>
      <c r="E133" s="20" t="str">
        <f t="shared" si="252"/>
        <v>#REF!</v>
      </c>
      <c r="F133" s="22" t="str">
        <f t="shared" si="2"/>
        <v>#REF!</v>
      </c>
      <c r="G133" s="20" t="str">
        <f t="shared" ref="G133:I133" si="395">#REF!</f>
        <v>#REF!</v>
      </c>
      <c r="H133" s="20" t="str">
        <f t="shared" si="395"/>
        <v>#REF!</v>
      </c>
      <c r="I133" s="20" t="str">
        <f t="shared" si="395"/>
        <v>#REF!</v>
      </c>
      <c r="J133" s="20" t="str">
        <f t="shared" si="254"/>
        <v>#REF!</v>
      </c>
      <c r="K133" s="20" t="str">
        <f t="shared" ref="K133:L133" si="396">#REF!</f>
        <v>#REF!</v>
      </c>
      <c r="L133" s="20" t="str">
        <f t="shared" si="396"/>
        <v>#REF!</v>
      </c>
    </row>
    <row r="134">
      <c r="A134" s="20" t="str">
        <f t="shared" si="249"/>
        <v>#REF!</v>
      </c>
      <c r="B134" s="20" t="str">
        <f t="shared" si="250"/>
        <v>#REF!</v>
      </c>
      <c r="C134" s="20" t="str">
        <f t="shared" ref="C134:D134" si="397">#REF!</f>
        <v>#REF!</v>
      </c>
      <c r="D134" s="20" t="str">
        <f t="shared" si="397"/>
        <v>#REF!</v>
      </c>
      <c r="E134" s="20" t="str">
        <f t="shared" si="252"/>
        <v>#REF!</v>
      </c>
      <c r="F134" s="22" t="str">
        <f t="shared" si="2"/>
        <v>#REF!</v>
      </c>
      <c r="G134" s="20" t="str">
        <f t="shared" ref="G134:I134" si="398">#REF!</f>
        <v>#REF!</v>
      </c>
      <c r="H134" s="20" t="str">
        <f t="shared" si="398"/>
        <v>#REF!</v>
      </c>
      <c r="I134" s="20" t="str">
        <f t="shared" si="398"/>
        <v>#REF!</v>
      </c>
      <c r="J134" s="20" t="str">
        <f t="shared" si="254"/>
        <v>#REF!</v>
      </c>
      <c r="K134" s="20" t="str">
        <f t="shared" ref="K134:L134" si="399">#REF!</f>
        <v>#REF!</v>
      </c>
      <c r="L134" s="20" t="str">
        <f t="shared" si="399"/>
        <v>#REF!</v>
      </c>
    </row>
    <row r="135">
      <c r="A135" s="20" t="str">
        <f t="shared" si="249"/>
        <v>#REF!</v>
      </c>
      <c r="B135" s="20" t="str">
        <f t="shared" si="250"/>
        <v>#REF!</v>
      </c>
      <c r="C135" s="20" t="str">
        <f t="shared" ref="C135:D135" si="400">#REF!</f>
        <v>#REF!</v>
      </c>
      <c r="D135" s="20" t="str">
        <f t="shared" si="400"/>
        <v>#REF!</v>
      </c>
      <c r="E135" s="20" t="str">
        <f t="shared" si="252"/>
        <v>#REF!</v>
      </c>
      <c r="F135" s="22" t="str">
        <f t="shared" si="2"/>
        <v>#REF!</v>
      </c>
      <c r="G135" s="20" t="str">
        <f t="shared" ref="G135:I135" si="401">#REF!</f>
        <v>#REF!</v>
      </c>
      <c r="H135" s="20" t="str">
        <f t="shared" si="401"/>
        <v>#REF!</v>
      </c>
      <c r="I135" s="20" t="str">
        <f t="shared" si="401"/>
        <v>#REF!</v>
      </c>
      <c r="J135" s="20" t="str">
        <f t="shared" si="254"/>
        <v>#REF!</v>
      </c>
      <c r="K135" s="20" t="str">
        <f t="shared" ref="K135:L135" si="402">#REF!</f>
        <v>#REF!</v>
      </c>
      <c r="L135" s="20" t="str">
        <f t="shared" si="402"/>
        <v>#REF!</v>
      </c>
    </row>
    <row r="136">
      <c r="A136" s="20" t="str">
        <f t="shared" si="249"/>
        <v>#REF!</v>
      </c>
      <c r="B136" s="20" t="str">
        <f t="shared" si="250"/>
        <v>#REF!</v>
      </c>
      <c r="C136" s="20" t="str">
        <f t="shared" ref="C136:D136" si="403">#REF!</f>
        <v>#REF!</v>
      </c>
      <c r="D136" s="20" t="str">
        <f t="shared" si="403"/>
        <v>#REF!</v>
      </c>
      <c r="E136" s="20" t="str">
        <f t="shared" si="252"/>
        <v>#REF!</v>
      </c>
      <c r="F136" s="22" t="str">
        <f t="shared" si="2"/>
        <v>#REF!</v>
      </c>
      <c r="G136" s="20" t="str">
        <f t="shared" ref="G136:I136" si="404">#REF!</f>
        <v>#REF!</v>
      </c>
      <c r="H136" s="20" t="str">
        <f t="shared" si="404"/>
        <v>#REF!</v>
      </c>
      <c r="I136" s="20" t="str">
        <f t="shared" si="404"/>
        <v>#REF!</v>
      </c>
      <c r="J136" s="20" t="str">
        <f t="shared" si="254"/>
        <v>#REF!</v>
      </c>
      <c r="K136" s="20" t="str">
        <f t="shared" ref="K136:L136" si="405">#REF!</f>
        <v>#REF!</v>
      </c>
      <c r="L136" s="20" t="str">
        <f t="shared" si="405"/>
        <v>#REF!</v>
      </c>
    </row>
    <row r="137">
      <c r="A137" s="20" t="str">
        <f t="shared" si="249"/>
        <v>#REF!</v>
      </c>
      <c r="B137" s="20" t="str">
        <f t="shared" si="250"/>
        <v>#REF!</v>
      </c>
      <c r="C137" s="20" t="str">
        <f t="shared" ref="C137:D137" si="406">#REF!</f>
        <v>#REF!</v>
      </c>
      <c r="D137" s="20" t="str">
        <f t="shared" si="406"/>
        <v>#REF!</v>
      </c>
      <c r="E137" s="20" t="str">
        <f t="shared" si="252"/>
        <v>#REF!</v>
      </c>
      <c r="F137" s="22" t="str">
        <f t="shared" si="2"/>
        <v>#REF!</v>
      </c>
      <c r="G137" s="20" t="str">
        <f t="shared" ref="G137:I137" si="407">#REF!</f>
        <v>#REF!</v>
      </c>
      <c r="H137" s="20" t="str">
        <f t="shared" si="407"/>
        <v>#REF!</v>
      </c>
      <c r="I137" s="20" t="str">
        <f t="shared" si="407"/>
        <v>#REF!</v>
      </c>
      <c r="J137" s="20" t="str">
        <f t="shared" si="254"/>
        <v>#REF!</v>
      </c>
      <c r="K137" s="20" t="str">
        <f t="shared" ref="K137:L137" si="408">#REF!</f>
        <v>#REF!</v>
      </c>
      <c r="L137" s="20" t="str">
        <f t="shared" si="408"/>
        <v>#REF!</v>
      </c>
    </row>
    <row r="138">
      <c r="A138" s="20" t="str">
        <f t="shared" si="249"/>
        <v>#REF!</v>
      </c>
      <c r="B138" s="20" t="str">
        <f t="shared" si="250"/>
        <v>#REF!</v>
      </c>
      <c r="C138" s="20" t="str">
        <f t="shared" ref="C138:D138" si="409">#REF!</f>
        <v>#REF!</v>
      </c>
      <c r="D138" s="20" t="str">
        <f t="shared" si="409"/>
        <v>#REF!</v>
      </c>
      <c r="E138" s="20" t="str">
        <f t="shared" si="252"/>
        <v>#REF!</v>
      </c>
      <c r="F138" s="22" t="str">
        <f t="shared" si="2"/>
        <v>#REF!</v>
      </c>
      <c r="G138" s="20" t="str">
        <f t="shared" ref="G138:I138" si="410">#REF!</f>
        <v>#REF!</v>
      </c>
      <c r="H138" s="20" t="str">
        <f t="shared" si="410"/>
        <v>#REF!</v>
      </c>
      <c r="I138" s="20" t="str">
        <f t="shared" si="410"/>
        <v>#REF!</v>
      </c>
      <c r="J138" s="20" t="str">
        <f t="shared" si="254"/>
        <v>#REF!</v>
      </c>
      <c r="K138" s="20" t="str">
        <f t="shared" ref="K138:L138" si="411">#REF!</f>
        <v>#REF!</v>
      </c>
      <c r="L138" s="20" t="str">
        <f t="shared" si="411"/>
        <v>#REF!</v>
      </c>
    </row>
    <row r="139">
      <c r="A139" s="20" t="str">
        <f t="shared" si="249"/>
        <v>#REF!</v>
      </c>
      <c r="B139" s="20" t="str">
        <f t="shared" si="250"/>
        <v>#REF!</v>
      </c>
      <c r="C139" s="20" t="str">
        <f t="shared" ref="C139:D139" si="412">#REF!</f>
        <v>#REF!</v>
      </c>
      <c r="D139" s="20" t="str">
        <f t="shared" si="412"/>
        <v>#REF!</v>
      </c>
      <c r="E139" s="20" t="str">
        <f t="shared" si="252"/>
        <v>#REF!</v>
      </c>
      <c r="F139" s="22" t="str">
        <f t="shared" si="2"/>
        <v>#REF!</v>
      </c>
      <c r="G139" s="20" t="str">
        <f t="shared" ref="G139:I139" si="413">#REF!</f>
        <v>#REF!</v>
      </c>
      <c r="H139" s="20" t="str">
        <f t="shared" si="413"/>
        <v>#REF!</v>
      </c>
      <c r="I139" s="20" t="str">
        <f t="shared" si="413"/>
        <v>#REF!</v>
      </c>
      <c r="J139" s="20" t="str">
        <f t="shared" si="254"/>
        <v>#REF!</v>
      </c>
      <c r="K139" s="20" t="str">
        <f t="shared" ref="K139:L139" si="414">#REF!</f>
        <v>#REF!</v>
      </c>
      <c r="L139" s="20" t="str">
        <f t="shared" si="414"/>
        <v>#REF!</v>
      </c>
    </row>
    <row r="140">
      <c r="A140" s="20" t="str">
        <f t="shared" si="249"/>
        <v>#REF!</v>
      </c>
      <c r="B140" s="20" t="str">
        <f t="shared" si="250"/>
        <v>#REF!</v>
      </c>
      <c r="C140" s="20" t="str">
        <f t="shared" ref="C140:D140" si="415">#REF!</f>
        <v>#REF!</v>
      </c>
      <c r="D140" s="20" t="str">
        <f t="shared" si="415"/>
        <v>#REF!</v>
      </c>
      <c r="E140" s="20" t="str">
        <f t="shared" si="252"/>
        <v>#REF!</v>
      </c>
      <c r="F140" s="22" t="str">
        <f t="shared" si="2"/>
        <v>#REF!</v>
      </c>
      <c r="G140" s="20" t="str">
        <f t="shared" ref="G140:I140" si="416">#REF!</f>
        <v>#REF!</v>
      </c>
      <c r="H140" s="20" t="str">
        <f t="shared" si="416"/>
        <v>#REF!</v>
      </c>
      <c r="I140" s="20" t="str">
        <f t="shared" si="416"/>
        <v>#REF!</v>
      </c>
      <c r="J140" s="20" t="str">
        <f t="shared" si="254"/>
        <v>#REF!</v>
      </c>
      <c r="K140" s="20" t="str">
        <f t="shared" ref="K140:L140" si="417">#REF!</f>
        <v>#REF!</v>
      </c>
      <c r="L140" s="20" t="str">
        <f t="shared" si="417"/>
        <v>#REF!</v>
      </c>
    </row>
    <row r="141">
      <c r="A141" s="20" t="str">
        <f t="shared" si="249"/>
        <v>#REF!</v>
      </c>
      <c r="B141" s="20" t="str">
        <f t="shared" si="250"/>
        <v>#REF!</v>
      </c>
      <c r="C141" s="20" t="str">
        <f t="shared" ref="C141:D141" si="418">#REF!</f>
        <v>#REF!</v>
      </c>
      <c r="D141" s="20" t="str">
        <f t="shared" si="418"/>
        <v>#REF!</v>
      </c>
      <c r="E141" s="20" t="str">
        <f t="shared" si="252"/>
        <v>#REF!</v>
      </c>
      <c r="F141" s="22" t="str">
        <f t="shared" si="2"/>
        <v>#REF!</v>
      </c>
      <c r="G141" s="20" t="str">
        <f t="shared" ref="G141:I141" si="419">#REF!</f>
        <v>#REF!</v>
      </c>
      <c r="H141" s="20" t="str">
        <f t="shared" si="419"/>
        <v>#REF!</v>
      </c>
      <c r="I141" s="20" t="str">
        <f t="shared" si="419"/>
        <v>#REF!</v>
      </c>
      <c r="J141" s="20" t="str">
        <f t="shared" si="254"/>
        <v>#REF!</v>
      </c>
      <c r="K141" s="20" t="str">
        <f t="shared" ref="K141:L141" si="420">#REF!</f>
        <v>#REF!</v>
      </c>
      <c r="L141" s="20" t="str">
        <f t="shared" si="420"/>
        <v>#REF!</v>
      </c>
    </row>
    <row r="142">
      <c r="A142" s="20" t="str">
        <f t="shared" si="249"/>
        <v>#REF!</v>
      </c>
      <c r="B142" s="20" t="str">
        <f t="shared" si="250"/>
        <v>#REF!</v>
      </c>
      <c r="C142" s="20" t="str">
        <f t="shared" ref="C142:D142" si="421">#REF!</f>
        <v>#REF!</v>
      </c>
      <c r="D142" s="20" t="str">
        <f t="shared" si="421"/>
        <v>#REF!</v>
      </c>
      <c r="E142" s="20" t="str">
        <f t="shared" si="252"/>
        <v>#REF!</v>
      </c>
      <c r="F142" s="22" t="str">
        <f t="shared" si="2"/>
        <v>#REF!</v>
      </c>
      <c r="G142" s="20" t="str">
        <f t="shared" ref="G142:I142" si="422">#REF!</f>
        <v>#REF!</v>
      </c>
      <c r="H142" s="20" t="str">
        <f t="shared" si="422"/>
        <v>#REF!</v>
      </c>
      <c r="I142" s="20" t="str">
        <f t="shared" si="422"/>
        <v>#REF!</v>
      </c>
      <c r="J142" s="20" t="str">
        <f t="shared" si="254"/>
        <v>#REF!</v>
      </c>
      <c r="K142" s="20" t="str">
        <f t="shared" ref="K142:L142" si="423">#REF!</f>
        <v>#REF!</v>
      </c>
      <c r="L142" s="20" t="str">
        <f t="shared" si="423"/>
        <v>#REF!</v>
      </c>
    </row>
    <row r="143">
      <c r="A143" s="20" t="str">
        <f t="shared" si="249"/>
        <v>#REF!</v>
      </c>
      <c r="B143" s="20" t="str">
        <f t="shared" si="250"/>
        <v>#REF!</v>
      </c>
      <c r="C143" s="20" t="str">
        <f t="shared" ref="C143:D143" si="424">#REF!</f>
        <v>#REF!</v>
      </c>
      <c r="D143" s="20" t="str">
        <f t="shared" si="424"/>
        <v>#REF!</v>
      </c>
      <c r="E143" s="20" t="str">
        <f t="shared" si="252"/>
        <v>#REF!</v>
      </c>
      <c r="F143" s="22" t="str">
        <f t="shared" si="2"/>
        <v>#REF!</v>
      </c>
      <c r="G143" s="20" t="str">
        <f t="shared" ref="G143:I143" si="425">#REF!</f>
        <v>#REF!</v>
      </c>
      <c r="H143" s="20" t="str">
        <f t="shared" si="425"/>
        <v>#REF!</v>
      </c>
      <c r="I143" s="20" t="str">
        <f t="shared" si="425"/>
        <v>#REF!</v>
      </c>
      <c r="J143" s="20" t="str">
        <f t="shared" si="254"/>
        <v>#REF!</v>
      </c>
      <c r="K143" s="20" t="str">
        <f t="shared" ref="K143:L143" si="426">#REF!</f>
        <v>#REF!</v>
      </c>
      <c r="L143" s="20" t="str">
        <f t="shared" si="426"/>
        <v>#REF!</v>
      </c>
    </row>
    <row r="144">
      <c r="A144" s="20" t="str">
        <f t="shared" si="249"/>
        <v>#REF!</v>
      </c>
      <c r="B144" s="20" t="str">
        <f t="shared" si="250"/>
        <v>#REF!</v>
      </c>
      <c r="C144" s="20" t="str">
        <f t="shared" ref="C144:D144" si="427">#REF!</f>
        <v>#REF!</v>
      </c>
      <c r="D144" s="20" t="str">
        <f t="shared" si="427"/>
        <v>#REF!</v>
      </c>
      <c r="E144" s="20" t="str">
        <f t="shared" si="252"/>
        <v>#REF!</v>
      </c>
      <c r="F144" s="22" t="str">
        <f t="shared" si="2"/>
        <v>#REF!</v>
      </c>
      <c r="G144" s="20" t="str">
        <f t="shared" ref="G144:I144" si="428">#REF!</f>
        <v>#REF!</v>
      </c>
      <c r="H144" s="20" t="str">
        <f t="shared" si="428"/>
        <v>#REF!</v>
      </c>
      <c r="I144" s="20" t="str">
        <f t="shared" si="428"/>
        <v>#REF!</v>
      </c>
      <c r="J144" s="20" t="str">
        <f t="shared" si="254"/>
        <v>#REF!</v>
      </c>
      <c r="K144" s="20" t="str">
        <f t="shared" ref="K144:L144" si="429">#REF!</f>
        <v>#REF!</v>
      </c>
      <c r="L144" s="20" t="str">
        <f t="shared" si="429"/>
        <v>#REF!</v>
      </c>
    </row>
    <row r="145">
      <c r="A145" s="20" t="str">
        <f t="shared" si="249"/>
        <v>#REF!</v>
      </c>
      <c r="B145" s="20" t="str">
        <f t="shared" si="250"/>
        <v>#REF!</v>
      </c>
      <c r="C145" s="20" t="str">
        <f t="shared" ref="C145:D145" si="430">#REF!</f>
        <v>#REF!</v>
      </c>
      <c r="D145" s="20" t="str">
        <f t="shared" si="430"/>
        <v>#REF!</v>
      </c>
      <c r="E145" s="20" t="str">
        <f t="shared" si="252"/>
        <v>#REF!</v>
      </c>
      <c r="F145" s="22" t="str">
        <f t="shared" si="2"/>
        <v>#REF!</v>
      </c>
      <c r="G145" s="20" t="str">
        <f t="shared" ref="G145:I145" si="431">#REF!</f>
        <v>#REF!</v>
      </c>
      <c r="H145" s="20" t="str">
        <f t="shared" si="431"/>
        <v>#REF!</v>
      </c>
      <c r="I145" s="20" t="str">
        <f t="shared" si="431"/>
        <v>#REF!</v>
      </c>
      <c r="J145" s="20" t="str">
        <f t="shared" si="254"/>
        <v>#REF!</v>
      </c>
      <c r="K145" s="20" t="str">
        <f t="shared" ref="K145:L145" si="432">#REF!</f>
        <v>#REF!</v>
      </c>
      <c r="L145" s="20" t="str">
        <f t="shared" si="432"/>
        <v>#REF!</v>
      </c>
    </row>
    <row r="146">
      <c r="A146" s="20" t="str">
        <f t="shared" si="249"/>
        <v>#REF!</v>
      </c>
      <c r="B146" s="20" t="str">
        <f t="shared" si="250"/>
        <v>#REF!</v>
      </c>
      <c r="C146" s="20" t="str">
        <f t="shared" ref="C146:D146" si="433">#REF!</f>
        <v>#REF!</v>
      </c>
      <c r="D146" s="20" t="str">
        <f t="shared" si="433"/>
        <v>#REF!</v>
      </c>
      <c r="E146" s="20" t="str">
        <f t="shared" si="252"/>
        <v>#REF!</v>
      </c>
      <c r="F146" s="22" t="str">
        <f t="shared" si="2"/>
        <v>#REF!</v>
      </c>
      <c r="G146" s="20" t="str">
        <f t="shared" ref="G146:I146" si="434">#REF!</f>
        <v>#REF!</v>
      </c>
      <c r="H146" s="20" t="str">
        <f t="shared" si="434"/>
        <v>#REF!</v>
      </c>
      <c r="I146" s="20" t="str">
        <f t="shared" si="434"/>
        <v>#REF!</v>
      </c>
      <c r="J146" s="20" t="str">
        <f t="shared" si="254"/>
        <v>#REF!</v>
      </c>
      <c r="K146" s="20" t="str">
        <f t="shared" ref="K146:L146" si="435">#REF!</f>
        <v>#REF!</v>
      </c>
      <c r="L146" s="20" t="str">
        <f t="shared" si="435"/>
        <v>#REF!</v>
      </c>
    </row>
    <row r="147">
      <c r="A147" s="20" t="str">
        <f t="shared" si="249"/>
        <v>#REF!</v>
      </c>
      <c r="B147" s="20" t="str">
        <f t="shared" si="250"/>
        <v>#REF!</v>
      </c>
      <c r="C147" s="20" t="str">
        <f t="shared" ref="C147:D147" si="436">#REF!</f>
        <v>#REF!</v>
      </c>
      <c r="D147" s="20" t="str">
        <f t="shared" si="436"/>
        <v>#REF!</v>
      </c>
      <c r="E147" s="20" t="str">
        <f t="shared" si="252"/>
        <v>#REF!</v>
      </c>
      <c r="F147" s="22" t="str">
        <f t="shared" si="2"/>
        <v>#REF!</v>
      </c>
      <c r="G147" s="20" t="str">
        <f t="shared" ref="G147:I147" si="437">#REF!</f>
        <v>#REF!</v>
      </c>
      <c r="H147" s="20" t="str">
        <f t="shared" si="437"/>
        <v>#REF!</v>
      </c>
      <c r="I147" s="20" t="str">
        <f t="shared" si="437"/>
        <v>#REF!</v>
      </c>
      <c r="J147" s="20" t="str">
        <f t="shared" si="254"/>
        <v>#REF!</v>
      </c>
      <c r="K147" s="20" t="str">
        <f t="shared" ref="K147:L147" si="438">#REF!</f>
        <v>#REF!</v>
      </c>
      <c r="L147" s="20" t="str">
        <f t="shared" si="438"/>
        <v>#REF!</v>
      </c>
    </row>
    <row r="148">
      <c r="A148" s="20" t="str">
        <f t="shared" si="249"/>
        <v>#REF!</v>
      </c>
      <c r="B148" s="20" t="str">
        <f t="shared" si="250"/>
        <v>#REF!</v>
      </c>
      <c r="C148" s="20" t="str">
        <f t="shared" ref="C148:D148" si="439">#REF!</f>
        <v>#REF!</v>
      </c>
      <c r="D148" s="20" t="str">
        <f t="shared" si="439"/>
        <v>#REF!</v>
      </c>
      <c r="E148" s="20" t="str">
        <f t="shared" si="252"/>
        <v>#REF!</v>
      </c>
      <c r="F148" s="22" t="str">
        <f t="shared" si="2"/>
        <v>#REF!</v>
      </c>
      <c r="G148" s="20" t="str">
        <f t="shared" ref="G148:I148" si="440">#REF!</f>
        <v>#REF!</v>
      </c>
      <c r="H148" s="20" t="str">
        <f t="shared" si="440"/>
        <v>#REF!</v>
      </c>
      <c r="I148" s="20" t="str">
        <f t="shared" si="440"/>
        <v>#REF!</v>
      </c>
      <c r="J148" s="20" t="str">
        <f t="shared" si="254"/>
        <v>#REF!</v>
      </c>
      <c r="K148" s="20" t="str">
        <f t="shared" ref="K148:L148" si="441">#REF!</f>
        <v>#REF!</v>
      </c>
      <c r="L148" s="20" t="str">
        <f t="shared" si="441"/>
        <v>#REF!</v>
      </c>
    </row>
    <row r="149">
      <c r="A149" s="20" t="str">
        <f t="shared" si="249"/>
        <v>#REF!</v>
      </c>
      <c r="B149" s="20" t="str">
        <f t="shared" si="250"/>
        <v>#REF!</v>
      </c>
      <c r="C149" s="20" t="str">
        <f t="shared" ref="C149:D149" si="442">#REF!</f>
        <v>#REF!</v>
      </c>
      <c r="D149" s="20" t="str">
        <f t="shared" si="442"/>
        <v>#REF!</v>
      </c>
      <c r="E149" s="20" t="str">
        <f t="shared" si="252"/>
        <v>#REF!</v>
      </c>
      <c r="F149" s="22" t="str">
        <f t="shared" si="2"/>
        <v>#REF!</v>
      </c>
      <c r="G149" s="20" t="str">
        <f t="shared" ref="G149:I149" si="443">#REF!</f>
        <v>#REF!</v>
      </c>
      <c r="H149" s="20" t="str">
        <f t="shared" si="443"/>
        <v>#REF!</v>
      </c>
      <c r="I149" s="20" t="str">
        <f t="shared" si="443"/>
        <v>#REF!</v>
      </c>
      <c r="J149" s="20" t="str">
        <f t="shared" si="254"/>
        <v>#REF!</v>
      </c>
      <c r="K149" s="20" t="str">
        <f t="shared" ref="K149:L149" si="444">#REF!</f>
        <v>#REF!</v>
      </c>
      <c r="L149" s="20" t="str">
        <f t="shared" si="444"/>
        <v>#REF!</v>
      </c>
    </row>
    <row r="150">
      <c r="A150" s="20" t="str">
        <f t="shared" si="249"/>
        <v>#REF!</v>
      </c>
      <c r="B150" s="20" t="str">
        <f t="shared" si="250"/>
        <v>#REF!</v>
      </c>
      <c r="C150" s="20" t="str">
        <f t="shared" ref="C150:D150" si="445">#REF!</f>
        <v>#REF!</v>
      </c>
      <c r="D150" s="20" t="str">
        <f t="shared" si="445"/>
        <v>#REF!</v>
      </c>
      <c r="E150" s="20" t="str">
        <f t="shared" si="252"/>
        <v>#REF!</v>
      </c>
      <c r="F150" s="22" t="str">
        <f t="shared" si="2"/>
        <v>#REF!</v>
      </c>
      <c r="G150" s="20" t="str">
        <f t="shared" ref="G150:I150" si="446">#REF!</f>
        <v>#REF!</v>
      </c>
      <c r="H150" s="20" t="str">
        <f t="shared" si="446"/>
        <v>#REF!</v>
      </c>
      <c r="I150" s="20" t="str">
        <f t="shared" si="446"/>
        <v>#REF!</v>
      </c>
      <c r="J150" s="20" t="str">
        <f t="shared" si="254"/>
        <v>#REF!</v>
      </c>
      <c r="K150" s="20" t="str">
        <f t="shared" ref="K150:L150" si="447">#REF!</f>
        <v>#REF!</v>
      </c>
      <c r="L150" s="20" t="str">
        <f t="shared" si="447"/>
        <v>#REF!</v>
      </c>
    </row>
    <row r="151">
      <c r="A151" s="20" t="str">
        <f t="shared" si="249"/>
        <v>#REF!</v>
      </c>
      <c r="B151" s="20" t="str">
        <f t="shared" si="250"/>
        <v>#REF!</v>
      </c>
      <c r="C151" s="20" t="str">
        <f t="shared" ref="C151:D151" si="448">#REF!</f>
        <v>#REF!</v>
      </c>
      <c r="D151" s="20" t="str">
        <f t="shared" si="448"/>
        <v>#REF!</v>
      </c>
      <c r="E151" s="20" t="str">
        <f t="shared" si="252"/>
        <v>#REF!</v>
      </c>
      <c r="F151" s="22" t="str">
        <f t="shared" si="2"/>
        <v>#REF!</v>
      </c>
      <c r="G151" s="20" t="str">
        <f t="shared" ref="G151:I151" si="449">#REF!</f>
        <v>#REF!</v>
      </c>
      <c r="H151" s="20" t="str">
        <f t="shared" si="449"/>
        <v>#REF!</v>
      </c>
      <c r="I151" s="20" t="str">
        <f t="shared" si="449"/>
        <v>#REF!</v>
      </c>
      <c r="J151" s="20" t="str">
        <f t="shared" si="254"/>
        <v>#REF!</v>
      </c>
      <c r="K151" s="20" t="str">
        <f t="shared" ref="K151:L151" si="450">#REF!</f>
        <v>#REF!</v>
      </c>
      <c r="L151" s="20" t="str">
        <f t="shared" si="450"/>
        <v>#REF!</v>
      </c>
    </row>
    <row r="152">
      <c r="A152" s="20" t="str">
        <f t="shared" si="249"/>
        <v>#REF!</v>
      </c>
      <c r="B152" s="20" t="str">
        <f t="shared" si="250"/>
        <v>#REF!</v>
      </c>
      <c r="C152" s="20" t="str">
        <f t="shared" ref="C152:D152" si="451">#REF!</f>
        <v>#REF!</v>
      </c>
      <c r="D152" s="20" t="str">
        <f t="shared" si="451"/>
        <v>#REF!</v>
      </c>
      <c r="E152" s="20" t="str">
        <f t="shared" si="252"/>
        <v>#REF!</v>
      </c>
      <c r="F152" s="22" t="str">
        <f t="shared" si="2"/>
        <v>#REF!</v>
      </c>
      <c r="G152" s="20" t="str">
        <f t="shared" ref="G152:I152" si="452">#REF!</f>
        <v>#REF!</v>
      </c>
      <c r="H152" s="20" t="str">
        <f t="shared" si="452"/>
        <v>#REF!</v>
      </c>
      <c r="I152" s="20" t="str">
        <f t="shared" si="452"/>
        <v>#REF!</v>
      </c>
      <c r="J152" s="20" t="str">
        <f t="shared" si="254"/>
        <v>#REF!</v>
      </c>
      <c r="K152" s="20" t="str">
        <f t="shared" ref="K152:L152" si="453">#REF!</f>
        <v>#REF!</v>
      </c>
      <c r="L152" s="20" t="str">
        <f t="shared" si="453"/>
        <v>#REF!</v>
      </c>
    </row>
    <row r="153">
      <c r="A153" s="20" t="str">
        <f t="shared" si="249"/>
        <v>#REF!</v>
      </c>
      <c r="B153" s="20" t="str">
        <f t="shared" si="250"/>
        <v>#REF!</v>
      </c>
      <c r="C153" s="20" t="str">
        <f t="shared" ref="C153:D153" si="454">#REF!</f>
        <v>#REF!</v>
      </c>
      <c r="D153" s="20" t="str">
        <f t="shared" si="454"/>
        <v>#REF!</v>
      </c>
      <c r="E153" s="20" t="str">
        <f t="shared" si="252"/>
        <v>#REF!</v>
      </c>
      <c r="F153" s="22" t="str">
        <f t="shared" si="2"/>
        <v>#REF!</v>
      </c>
      <c r="G153" s="20" t="str">
        <f t="shared" ref="G153:I153" si="455">#REF!</f>
        <v>#REF!</v>
      </c>
      <c r="H153" s="20" t="str">
        <f t="shared" si="455"/>
        <v>#REF!</v>
      </c>
      <c r="I153" s="20" t="str">
        <f t="shared" si="455"/>
        <v>#REF!</v>
      </c>
      <c r="J153" s="20" t="str">
        <f t="shared" si="254"/>
        <v>#REF!</v>
      </c>
      <c r="K153" s="20" t="str">
        <f t="shared" ref="K153:L153" si="456">#REF!</f>
        <v>#REF!</v>
      </c>
      <c r="L153" s="20" t="str">
        <f t="shared" si="456"/>
        <v>#REF!</v>
      </c>
    </row>
    <row r="154">
      <c r="A154" s="20" t="str">
        <f t="shared" si="249"/>
        <v>#REF!</v>
      </c>
      <c r="B154" s="20" t="str">
        <f t="shared" si="250"/>
        <v>#REF!</v>
      </c>
      <c r="C154" s="20" t="str">
        <f t="shared" ref="C154:D154" si="457">#REF!</f>
        <v>#REF!</v>
      </c>
      <c r="D154" s="20" t="str">
        <f t="shared" si="457"/>
        <v>#REF!</v>
      </c>
      <c r="E154" s="20" t="str">
        <f t="shared" si="252"/>
        <v>#REF!</v>
      </c>
      <c r="F154" s="22" t="str">
        <f t="shared" si="2"/>
        <v>#REF!</v>
      </c>
      <c r="G154" s="20" t="str">
        <f t="shared" ref="G154:I154" si="458">#REF!</f>
        <v>#REF!</v>
      </c>
      <c r="H154" s="20" t="str">
        <f t="shared" si="458"/>
        <v>#REF!</v>
      </c>
      <c r="I154" s="20" t="str">
        <f t="shared" si="458"/>
        <v>#REF!</v>
      </c>
      <c r="J154" s="20" t="str">
        <f t="shared" si="254"/>
        <v>#REF!</v>
      </c>
      <c r="K154" s="20" t="str">
        <f t="shared" ref="K154:L154" si="459">#REF!</f>
        <v>#REF!</v>
      </c>
      <c r="L154" s="20" t="str">
        <f t="shared" si="459"/>
        <v>#REF!</v>
      </c>
    </row>
    <row r="155">
      <c r="A155" s="20" t="str">
        <f t="shared" si="249"/>
        <v>#REF!</v>
      </c>
      <c r="B155" s="20" t="str">
        <f t="shared" si="250"/>
        <v>#REF!</v>
      </c>
      <c r="C155" s="20" t="str">
        <f t="shared" ref="C155:D155" si="460">#REF!</f>
        <v>#REF!</v>
      </c>
      <c r="D155" s="20" t="str">
        <f t="shared" si="460"/>
        <v>#REF!</v>
      </c>
      <c r="E155" s="20" t="str">
        <f t="shared" si="252"/>
        <v>#REF!</v>
      </c>
      <c r="F155" s="22" t="str">
        <f t="shared" si="2"/>
        <v>#REF!</v>
      </c>
      <c r="G155" s="20" t="str">
        <f t="shared" ref="G155:I155" si="461">#REF!</f>
        <v>#REF!</v>
      </c>
      <c r="H155" s="20" t="str">
        <f t="shared" si="461"/>
        <v>#REF!</v>
      </c>
      <c r="I155" s="20" t="str">
        <f t="shared" si="461"/>
        <v>#REF!</v>
      </c>
      <c r="J155" s="20" t="str">
        <f t="shared" si="254"/>
        <v>#REF!</v>
      </c>
      <c r="K155" s="20" t="str">
        <f t="shared" ref="K155:L155" si="462">#REF!</f>
        <v>#REF!</v>
      </c>
      <c r="L155" s="20" t="str">
        <f t="shared" si="462"/>
        <v>#REF!</v>
      </c>
    </row>
    <row r="156">
      <c r="A156" s="20" t="str">
        <f t="shared" si="249"/>
        <v>#REF!</v>
      </c>
      <c r="B156" s="20" t="str">
        <f t="shared" si="250"/>
        <v>#REF!</v>
      </c>
      <c r="C156" s="20" t="str">
        <f t="shared" ref="C156:D156" si="463">#REF!</f>
        <v>#REF!</v>
      </c>
      <c r="D156" s="20" t="str">
        <f t="shared" si="463"/>
        <v>#REF!</v>
      </c>
      <c r="E156" s="20" t="str">
        <f t="shared" si="252"/>
        <v>#REF!</v>
      </c>
      <c r="F156" s="22" t="str">
        <f t="shared" si="2"/>
        <v>#REF!</v>
      </c>
      <c r="G156" s="20" t="str">
        <f t="shared" ref="G156:I156" si="464">#REF!</f>
        <v>#REF!</v>
      </c>
      <c r="H156" s="20" t="str">
        <f t="shared" si="464"/>
        <v>#REF!</v>
      </c>
      <c r="I156" s="20" t="str">
        <f t="shared" si="464"/>
        <v>#REF!</v>
      </c>
      <c r="J156" s="20" t="str">
        <f t="shared" si="254"/>
        <v>#REF!</v>
      </c>
      <c r="K156" s="20" t="str">
        <f t="shared" ref="K156:L156" si="465">#REF!</f>
        <v>#REF!</v>
      </c>
      <c r="L156" s="20" t="str">
        <f t="shared" si="465"/>
        <v>#REF!</v>
      </c>
    </row>
    <row r="157">
      <c r="A157" s="20" t="str">
        <f t="shared" si="249"/>
        <v>#REF!</v>
      </c>
      <c r="B157" s="20" t="str">
        <f t="shared" si="250"/>
        <v>#REF!</v>
      </c>
      <c r="C157" s="20" t="str">
        <f t="shared" ref="C157:D157" si="466">#REF!</f>
        <v>#REF!</v>
      </c>
      <c r="D157" s="20" t="str">
        <f t="shared" si="466"/>
        <v>#REF!</v>
      </c>
      <c r="E157" s="20" t="str">
        <f t="shared" si="252"/>
        <v>#REF!</v>
      </c>
      <c r="F157" s="22" t="str">
        <f t="shared" si="2"/>
        <v>#REF!</v>
      </c>
      <c r="G157" s="20" t="str">
        <f t="shared" ref="G157:I157" si="467">#REF!</f>
        <v>#REF!</v>
      </c>
      <c r="H157" s="20" t="str">
        <f t="shared" si="467"/>
        <v>#REF!</v>
      </c>
      <c r="I157" s="20" t="str">
        <f t="shared" si="467"/>
        <v>#REF!</v>
      </c>
      <c r="J157" s="20" t="str">
        <f t="shared" si="254"/>
        <v>#REF!</v>
      </c>
      <c r="K157" s="20" t="str">
        <f t="shared" ref="K157:L157" si="468">#REF!</f>
        <v>#REF!</v>
      </c>
      <c r="L157" s="20" t="str">
        <f t="shared" si="468"/>
        <v>#REF!</v>
      </c>
    </row>
    <row r="158">
      <c r="A158" s="20" t="str">
        <f t="shared" si="249"/>
        <v>#REF!</v>
      </c>
      <c r="B158" s="20" t="str">
        <f t="shared" si="250"/>
        <v>#REF!</v>
      </c>
      <c r="C158" s="20" t="str">
        <f t="shared" ref="C158:D158" si="469">#REF!</f>
        <v>#REF!</v>
      </c>
      <c r="D158" s="20" t="str">
        <f t="shared" si="469"/>
        <v>#REF!</v>
      </c>
      <c r="E158" s="20" t="str">
        <f t="shared" si="252"/>
        <v>#REF!</v>
      </c>
      <c r="F158" s="22" t="str">
        <f t="shared" si="2"/>
        <v>#REF!</v>
      </c>
      <c r="G158" s="20" t="str">
        <f t="shared" ref="G158:I158" si="470">#REF!</f>
        <v>#REF!</v>
      </c>
      <c r="H158" s="20" t="str">
        <f t="shared" si="470"/>
        <v>#REF!</v>
      </c>
      <c r="I158" s="20" t="str">
        <f t="shared" si="470"/>
        <v>#REF!</v>
      </c>
      <c r="J158" s="20" t="str">
        <f t="shared" si="254"/>
        <v>#REF!</v>
      </c>
      <c r="K158" s="20" t="str">
        <f t="shared" ref="K158:L158" si="471">#REF!</f>
        <v>#REF!</v>
      </c>
      <c r="L158" s="20" t="str">
        <f t="shared" si="471"/>
        <v>#REF!</v>
      </c>
    </row>
    <row r="159">
      <c r="A159" s="20" t="str">
        <f t="shared" si="249"/>
        <v>#REF!</v>
      </c>
      <c r="B159" s="20" t="str">
        <f t="shared" si="250"/>
        <v>#REF!</v>
      </c>
      <c r="C159" s="20" t="str">
        <f t="shared" ref="C159:D159" si="472">#REF!</f>
        <v>#REF!</v>
      </c>
      <c r="D159" s="20" t="str">
        <f t="shared" si="472"/>
        <v>#REF!</v>
      </c>
      <c r="E159" s="20" t="str">
        <f t="shared" si="252"/>
        <v>#REF!</v>
      </c>
      <c r="F159" s="22" t="str">
        <f t="shared" si="2"/>
        <v>#REF!</v>
      </c>
      <c r="G159" s="20" t="str">
        <f t="shared" ref="G159:I159" si="473">#REF!</f>
        <v>#REF!</v>
      </c>
      <c r="H159" s="20" t="str">
        <f t="shared" si="473"/>
        <v>#REF!</v>
      </c>
      <c r="I159" s="20" t="str">
        <f t="shared" si="473"/>
        <v>#REF!</v>
      </c>
      <c r="J159" s="20" t="str">
        <f t="shared" si="254"/>
        <v>#REF!</v>
      </c>
      <c r="K159" s="20" t="str">
        <f t="shared" ref="K159:L159" si="474">#REF!</f>
        <v>#REF!</v>
      </c>
      <c r="L159" s="20" t="str">
        <f t="shared" si="474"/>
        <v>#REF!</v>
      </c>
    </row>
    <row r="160">
      <c r="A160" s="20" t="str">
        <f t="shared" si="249"/>
        <v>#REF!</v>
      </c>
      <c r="B160" s="20" t="str">
        <f t="shared" si="250"/>
        <v>#REF!</v>
      </c>
      <c r="C160" s="20" t="str">
        <f t="shared" ref="C160:D160" si="475">#REF!</f>
        <v>#REF!</v>
      </c>
      <c r="D160" s="20" t="str">
        <f t="shared" si="475"/>
        <v>#REF!</v>
      </c>
      <c r="E160" s="20" t="str">
        <f t="shared" si="252"/>
        <v>#REF!</v>
      </c>
      <c r="F160" s="22" t="str">
        <f t="shared" si="2"/>
        <v>#REF!</v>
      </c>
      <c r="G160" s="20" t="str">
        <f t="shared" ref="G160:I160" si="476">#REF!</f>
        <v>#REF!</v>
      </c>
      <c r="H160" s="20" t="str">
        <f t="shared" si="476"/>
        <v>#REF!</v>
      </c>
      <c r="I160" s="20" t="str">
        <f t="shared" si="476"/>
        <v>#REF!</v>
      </c>
      <c r="J160" s="20" t="str">
        <f t="shared" si="254"/>
        <v>#REF!</v>
      </c>
      <c r="K160" s="20" t="str">
        <f t="shared" ref="K160:L160" si="477">#REF!</f>
        <v>#REF!</v>
      </c>
      <c r="L160" s="20" t="str">
        <f t="shared" si="477"/>
        <v>#REF!</v>
      </c>
    </row>
    <row r="161">
      <c r="A161" s="20" t="str">
        <f t="shared" si="249"/>
        <v>#REF!</v>
      </c>
      <c r="B161" s="20" t="str">
        <f t="shared" si="250"/>
        <v>#REF!</v>
      </c>
      <c r="C161" s="20" t="str">
        <f t="shared" ref="C161:D161" si="478">#REF!</f>
        <v>#REF!</v>
      </c>
      <c r="D161" s="20" t="str">
        <f t="shared" si="478"/>
        <v>#REF!</v>
      </c>
      <c r="E161" s="20" t="str">
        <f t="shared" si="252"/>
        <v>#REF!</v>
      </c>
      <c r="F161" s="22" t="str">
        <f t="shared" si="2"/>
        <v>#REF!</v>
      </c>
      <c r="G161" s="20" t="str">
        <f t="shared" ref="G161:I161" si="479">#REF!</f>
        <v>#REF!</v>
      </c>
      <c r="H161" s="20" t="str">
        <f t="shared" si="479"/>
        <v>#REF!</v>
      </c>
      <c r="I161" s="20" t="str">
        <f t="shared" si="479"/>
        <v>#REF!</v>
      </c>
      <c r="J161" s="20" t="str">
        <f t="shared" si="254"/>
        <v>#REF!</v>
      </c>
      <c r="K161" s="20" t="str">
        <f t="shared" ref="K161:L161" si="480">#REF!</f>
        <v>#REF!</v>
      </c>
      <c r="L161" s="20" t="str">
        <f t="shared" si="480"/>
        <v>#REF!</v>
      </c>
    </row>
    <row r="162">
      <c r="A162" s="20" t="str">
        <f t="shared" si="249"/>
        <v>#REF!</v>
      </c>
      <c r="B162" s="20" t="str">
        <f t="shared" si="250"/>
        <v>#REF!</v>
      </c>
      <c r="C162" s="20" t="str">
        <f t="shared" ref="C162:D162" si="481">#REF!</f>
        <v>#REF!</v>
      </c>
      <c r="D162" s="20" t="str">
        <f t="shared" si="481"/>
        <v>#REF!</v>
      </c>
      <c r="E162" s="20" t="str">
        <f t="shared" si="252"/>
        <v>#REF!</v>
      </c>
      <c r="F162" s="22" t="str">
        <f t="shared" si="2"/>
        <v>#REF!</v>
      </c>
      <c r="G162" s="20" t="str">
        <f t="shared" ref="G162:I162" si="482">#REF!</f>
        <v>#REF!</v>
      </c>
      <c r="H162" s="20" t="str">
        <f t="shared" si="482"/>
        <v>#REF!</v>
      </c>
      <c r="I162" s="20" t="str">
        <f t="shared" si="482"/>
        <v>#REF!</v>
      </c>
      <c r="J162" s="20" t="str">
        <f t="shared" si="254"/>
        <v>#REF!</v>
      </c>
      <c r="K162" s="20" t="str">
        <f t="shared" ref="K162:L162" si="483">#REF!</f>
        <v>#REF!</v>
      </c>
      <c r="L162" s="20" t="str">
        <f t="shared" si="483"/>
        <v>#REF!</v>
      </c>
    </row>
    <row r="163">
      <c r="A163" s="20" t="str">
        <f t="shared" si="249"/>
        <v>#REF!</v>
      </c>
      <c r="B163" s="20" t="str">
        <f t="shared" si="250"/>
        <v>#REF!</v>
      </c>
      <c r="C163" s="20" t="str">
        <f t="shared" ref="C163:D163" si="484">#REF!</f>
        <v>#REF!</v>
      </c>
      <c r="D163" s="20" t="str">
        <f t="shared" si="484"/>
        <v>#REF!</v>
      </c>
      <c r="E163" s="20" t="str">
        <f t="shared" si="252"/>
        <v>#REF!</v>
      </c>
      <c r="F163" s="22" t="str">
        <f t="shared" si="2"/>
        <v>#REF!</v>
      </c>
      <c r="G163" s="20" t="str">
        <f t="shared" ref="G163:I163" si="485">#REF!</f>
        <v>#REF!</v>
      </c>
      <c r="H163" s="20" t="str">
        <f t="shared" si="485"/>
        <v>#REF!</v>
      </c>
      <c r="I163" s="20" t="str">
        <f t="shared" si="485"/>
        <v>#REF!</v>
      </c>
      <c r="J163" s="20" t="str">
        <f t="shared" si="254"/>
        <v>#REF!</v>
      </c>
      <c r="K163" s="20" t="str">
        <f t="shared" ref="K163:L163" si="486">#REF!</f>
        <v>#REF!</v>
      </c>
      <c r="L163" s="20" t="str">
        <f t="shared" si="486"/>
        <v>#REF!</v>
      </c>
    </row>
    <row r="164">
      <c r="A164" s="20" t="str">
        <f t="shared" si="249"/>
        <v>#REF!</v>
      </c>
      <c r="B164" s="20" t="str">
        <f t="shared" si="250"/>
        <v>#REF!</v>
      </c>
      <c r="C164" s="20" t="str">
        <f t="shared" ref="C164:D164" si="487">#REF!</f>
        <v>#REF!</v>
      </c>
      <c r="D164" s="20" t="str">
        <f t="shared" si="487"/>
        <v>#REF!</v>
      </c>
      <c r="E164" s="20" t="str">
        <f t="shared" si="252"/>
        <v>#REF!</v>
      </c>
      <c r="F164" s="22" t="str">
        <f t="shared" si="2"/>
        <v>#REF!</v>
      </c>
      <c r="G164" s="20" t="str">
        <f t="shared" ref="G164:I164" si="488">#REF!</f>
        <v>#REF!</v>
      </c>
      <c r="H164" s="20" t="str">
        <f t="shared" si="488"/>
        <v>#REF!</v>
      </c>
      <c r="I164" s="20" t="str">
        <f t="shared" si="488"/>
        <v>#REF!</v>
      </c>
      <c r="J164" s="20" t="str">
        <f t="shared" si="254"/>
        <v>#REF!</v>
      </c>
      <c r="K164" s="20" t="str">
        <f t="shared" ref="K164:L164" si="489">#REF!</f>
        <v>#REF!</v>
      </c>
      <c r="L164" s="20" t="str">
        <f t="shared" si="489"/>
        <v>#REF!</v>
      </c>
    </row>
    <row r="165">
      <c r="A165" s="20" t="str">
        <f t="shared" si="249"/>
        <v>#REF!</v>
      </c>
      <c r="B165" s="20" t="str">
        <f t="shared" si="250"/>
        <v>#REF!</v>
      </c>
      <c r="C165" s="20" t="str">
        <f t="shared" ref="C165:D165" si="490">#REF!</f>
        <v>#REF!</v>
      </c>
      <c r="D165" s="20" t="str">
        <f t="shared" si="490"/>
        <v>#REF!</v>
      </c>
      <c r="E165" s="20" t="str">
        <f t="shared" si="252"/>
        <v>#REF!</v>
      </c>
      <c r="F165" s="22" t="str">
        <f t="shared" si="2"/>
        <v>#REF!</v>
      </c>
      <c r="G165" s="20" t="str">
        <f t="shared" ref="G165:I165" si="491">#REF!</f>
        <v>#REF!</v>
      </c>
      <c r="H165" s="20" t="str">
        <f t="shared" si="491"/>
        <v>#REF!</v>
      </c>
      <c r="I165" s="20" t="str">
        <f t="shared" si="491"/>
        <v>#REF!</v>
      </c>
      <c r="J165" s="20" t="str">
        <f t="shared" si="254"/>
        <v>#REF!</v>
      </c>
      <c r="K165" s="20" t="str">
        <f t="shared" ref="K165:L165" si="492">#REF!</f>
        <v>#REF!</v>
      </c>
      <c r="L165" s="20" t="str">
        <f t="shared" si="492"/>
        <v>#REF!</v>
      </c>
    </row>
    <row r="166">
      <c r="A166" s="20" t="str">
        <f t="shared" si="249"/>
        <v>#REF!</v>
      </c>
      <c r="B166" s="20" t="str">
        <f t="shared" si="250"/>
        <v>#REF!</v>
      </c>
      <c r="C166" s="20" t="str">
        <f t="shared" ref="C166:D166" si="493">#REF!</f>
        <v>#REF!</v>
      </c>
      <c r="D166" s="20" t="str">
        <f t="shared" si="493"/>
        <v>#REF!</v>
      </c>
      <c r="E166" s="20" t="str">
        <f t="shared" si="252"/>
        <v>#REF!</v>
      </c>
      <c r="F166" s="22" t="str">
        <f t="shared" si="2"/>
        <v>#REF!</v>
      </c>
      <c r="G166" s="20" t="str">
        <f t="shared" ref="G166:I166" si="494">#REF!</f>
        <v>#REF!</v>
      </c>
      <c r="H166" s="20" t="str">
        <f t="shared" si="494"/>
        <v>#REF!</v>
      </c>
      <c r="I166" s="20" t="str">
        <f t="shared" si="494"/>
        <v>#REF!</v>
      </c>
      <c r="J166" s="20" t="str">
        <f t="shared" si="254"/>
        <v>#REF!</v>
      </c>
      <c r="K166" s="20" t="str">
        <f t="shared" ref="K166:L166" si="495">#REF!</f>
        <v>#REF!</v>
      </c>
      <c r="L166" s="20" t="str">
        <f t="shared" si="495"/>
        <v>#REF!</v>
      </c>
    </row>
    <row r="167">
      <c r="A167" s="20" t="str">
        <f t="shared" si="249"/>
        <v>#REF!</v>
      </c>
      <c r="B167" s="20" t="str">
        <f t="shared" si="250"/>
        <v>#REF!</v>
      </c>
      <c r="C167" s="20" t="str">
        <f t="shared" ref="C167:D167" si="496">#REF!</f>
        <v>#REF!</v>
      </c>
      <c r="D167" s="20" t="str">
        <f t="shared" si="496"/>
        <v>#REF!</v>
      </c>
      <c r="E167" s="20" t="str">
        <f t="shared" si="252"/>
        <v>#REF!</v>
      </c>
      <c r="F167" s="22" t="str">
        <f t="shared" si="2"/>
        <v>#REF!</v>
      </c>
      <c r="G167" s="20" t="str">
        <f t="shared" ref="G167:I167" si="497">#REF!</f>
        <v>#REF!</v>
      </c>
      <c r="H167" s="20" t="str">
        <f t="shared" si="497"/>
        <v>#REF!</v>
      </c>
      <c r="I167" s="20" t="str">
        <f t="shared" si="497"/>
        <v>#REF!</v>
      </c>
      <c r="J167" s="20" t="str">
        <f t="shared" si="254"/>
        <v>#REF!</v>
      </c>
      <c r="K167" s="20" t="str">
        <f t="shared" ref="K167:L167" si="498">#REF!</f>
        <v>#REF!</v>
      </c>
      <c r="L167" s="20" t="str">
        <f t="shared" si="498"/>
        <v>#REF!</v>
      </c>
    </row>
    <row r="168">
      <c r="A168" s="20" t="str">
        <f t="shared" si="249"/>
        <v>#REF!</v>
      </c>
      <c r="B168" s="20" t="str">
        <f t="shared" si="250"/>
        <v>#REF!</v>
      </c>
      <c r="C168" s="20" t="str">
        <f t="shared" ref="C168:D168" si="499">#REF!</f>
        <v>#REF!</v>
      </c>
      <c r="D168" s="20" t="str">
        <f t="shared" si="499"/>
        <v>#REF!</v>
      </c>
      <c r="E168" s="20" t="str">
        <f t="shared" si="252"/>
        <v>#REF!</v>
      </c>
      <c r="F168" s="22" t="str">
        <f t="shared" si="2"/>
        <v>#REF!</v>
      </c>
      <c r="G168" s="20" t="str">
        <f t="shared" ref="G168:I168" si="500">#REF!</f>
        <v>#REF!</v>
      </c>
      <c r="H168" s="20" t="str">
        <f t="shared" si="500"/>
        <v>#REF!</v>
      </c>
      <c r="I168" s="20" t="str">
        <f t="shared" si="500"/>
        <v>#REF!</v>
      </c>
      <c r="J168" s="20" t="str">
        <f t="shared" si="254"/>
        <v>#REF!</v>
      </c>
      <c r="K168" s="20" t="str">
        <f t="shared" ref="K168:L168" si="501">#REF!</f>
        <v>#REF!</v>
      </c>
      <c r="L168" s="20" t="str">
        <f t="shared" si="501"/>
        <v>#REF!</v>
      </c>
    </row>
    <row r="169">
      <c r="A169" s="20" t="str">
        <f t="shared" si="249"/>
        <v>#REF!</v>
      </c>
      <c r="B169" s="20" t="str">
        <f t="shared" si="250"/>
        <v>#REF!</v>
      </c>
      <c r="C169" s="20" t="str">
        <f t="shared" ref="C169:D169" si="502">#REF!</f>
        <v>#REF!</v>
      </c>
      <c r="D169" s="20" t="str">
        <f t="shared" si="502"/>
        <v>#REF!</v>
      </c>
      <c r="E169" s="20" t="str">
        <f t="shared" si="252"/>
        <v>#REF!</v>
      </c>
      <c r="F169" s="22" t="str">
        <f t="shared" si="2"/>
        <v>#REF!</v>
      </c>
      <c r="G169" s="20" t="str">
        <f t="shared" ref="G169:I169" si="503">#REF!</f>
        <v>#REF!</v>
      </c>
      <c r="H169" s="20" t="str">
        <f t="shared" si="503"/>
        <v>#REF!</v>
      </c>
      <c r="I169" s="20" t="str">
        <f t="shared" si="503"/>
        <v>#REF!</v>
      </c>
      <c r="J169" s="20" t="str">
        <f t="shared" si="254"/>
        <v>#REF!</v>
      </c>
      <c r="K169" s="20" t="str">
        <f t="shared" ref="K169:L169" si="504">#REF!</f>
        <v>#REF!</v>
      </c>
      <c r="L169" s="20" t="str">
        <f t="shared" si="504"/>
        <v>#REF!</v>
      </c>
    </row>
    <row r="170">
      <c r="A170" s="20" t="str">
        <f t="shared" si="249"/>
        <v>#REF!</v>
      </c>
      <c r="B170" s="20" t="str">
        <f t="shared" si="250"/>
        <v>#REF!</v>
      </c>
      <c r="C170" s="20" t="str">
        <f t="shared" ref="C170:D170" si="505">#REF!</f>
        <v>#REF!</v>
      </c>
      <c r="D170" s="20" t="str">
        <f t="shared" si="505"/>
        <v>#REF!</v>
      </c>
      <c r="E170" s="20" t="str">
        <f t="shared" si="252"/>
        <v>#REF!</v>
      </c>
      <c r="F170" s="22" t="str">
        <f t="shared" si="2"/>
        <v>#REF!</v>
      </c>
      <c r="G170" s="20" t="str">
        <f t="shared" ref="G170:I170" si="506">#REF!</f>
        <v>#REF!</v>
      </c>
      <c r="H170" s="20" t="str">
        <f t="shared" si="506"/>
        <v>#REF!</v>
      </c>
      <c r="I170" s="20" t="str">
        <f t="shared" si="506"/>
        <v>#REF!</v>
      </c>
      <c r="J170" s="20" t="str">
        <f t="shared" si="254"/>
        <v>#REF!</v>
      </c>
      <c r="K170" s="20" t="str">
        <f t="shared" ref="K170:L170" si="507">#REF!</f>
        <v>#REF!</v>
      </c>
      <c r="L170" s="20" t="str">
        <f t="shared" si="507"/>
        <v>#REF!</v>
      </c>
    </row>
    <row r="171">
      <c r="A171" s="20" t="str">
        <f t="shared" si="249"/>
        <v>#REF!</v>
      </c>
      <c r="B171" s="20" t="str">
        <f t="shared" si="250"/>
        <v>#REF!</v>
      </c>
      <c r="C171" s="20" t="str">
        <f t="shared" ref="C171:D171" si="508">#REF!</f>
        <v>#REF!</v>
      </c>
      <c r="D171" s="20" t="str">
        <f t="shared" si="508"/>
        <v>#REF!</v>
      </c>
      <c r="E171" s="20" t="str">
        <f t="shared" si="252"/>
        <v>#REF!</v>
      </c>
      <c r="F171" s="22" t="str">
        <f t="shared" si="2"/>
        <v>#REF!</v>
      </c>
      <c r="G171" s="20" t="str">
        <f t="shared" ref="G171:I171" si="509">#REF!</f>
        <v>#REF!</v>
      </c>
      <c r="H171" s="20" t="str">
        <f t="shared" si="509"/>
        <v>#REF!</v>
      </c>
      <c r="I171" s="20" t="str">
        <f t="shared" si="509"/>
        <v>#REF!</v>
      </c>
      <c r="J171" s="20" t="str">
        <f t="shared" si="254"/>
        <v>#REF!</v>
      </c>
      <c r="K171" s="20" t="str">
        <f t="shared" ref="K171:L171" si="510">#REF!</f>
        <v>#REF!</v>
      </c>
      <c r="L171" s="20" t="str">
        <f t="shared" si="510"/>
        <v>#REF!</v>
      </c>
    </row>
    <row r="172">
      <c r="A172" s="20" t="str">
        <f t="shared" si="249"/>
        <v>#REF!</v>
      </c>
      <c r="B172" s="20" t="str">
        <f t="shared" si="250"/>
        <v>#REF!</v>
      </c>
      <c r="C172" s="20" t="str">
        <f t="shared" ref="C172:D172" si="511">#REF!</f>
        <v>#REF!</v>
      </c>
      <c r="D172" s="20" t="str">
        <f t="shared" si="511"/>
        <v>#REF!</v>
      </c>
      <c r="E172" s="20" t="str">
        <f t="shared" si="252"/>
        <v>#REF!</v>
      </c>
      <c r="F172" s="22" t="str">
        <f t="shared" si="2"/>
        <v>#REF!</v>
      </c>
      <c r="G172" s="20" t="str">
        <f t="shared" ref="G172:I172" si="512">#REF!</f>
        <v>#REF!</v>
      </c>
      <c r="H172" s="20" t="str">
        <f t="shared" si="512"/>
        <v>#REF!</v>
      </c>
      <c r="I172" s="20" t="str">
        <f t="shared" si="512"/>
        <v>#REF!</v>
      </c>
      <c r="J172" s="20" t="str">
        <f t="shared" si="254"/>
        <v>#REF!</v>
      </c>
      <c r="K172" s="20" t="str">
        <f t="shared" ref="K172:L172" si="513">#REF!</f>
        <v>#REF!</v>
      </c>
      <c r="L172" s="20" t="str">
        <f t="shared" si="513"/>
        <v>#REF!</v>
      </c>
    </row>
    <row r="173">
      <c r="A173" s="20" t="str">
        <f t="shared" si="249"/>
        <v>#REF!</v>
      </c>
      <c r="B173" s="20" t="str">
        <f t="shared" si="250"/>
        <v>#REF!</v>
      </c>
      <c r="C173" s="20" t="str">
        <f t="shared" ref="C173:D173" si="514">#REF!</f>
        <v>#REF!</v>
      </c>
      <c r="D173" s="20" t="str">
        <f t="shared" si="514"/>
        <v>#REF!</v>
      </c>
      <c r="E173" s="20" t="str">
        <f t="shared" si="252"/>
        <v>#REF!</v>
      </c>
      <c r="F173" s="22" t="str">
        <f t="shared" si="2"/>
        <v>#REF!</v>
      </c>
      <c r="G173" s="20" t="str">
        <f t="shared" ref="G173:I173" si="515">#REF!</f>
        <v>#REF!</v>
      </c>
      <c r="H173" s="20" t="str">
        <f t="shared" si="515"/>
        <v>#REF!</v>
      </c>
      <c r="I173" s="20" t="str">
        <f t="shared" si="515"/>
        <v>#REF!</v>
      </c>
      <c r="J173" s="20" t="str">
        <f t="shared" si="254"/>
        <v>#REF!</v>
      </c>
      <c r="K173" s="20" t="str">
        <f t="shared" ref="K173:L173" si="516">#REF!</f>
        <v>#REF!</v>
      </c>
      <c r="L173" s="20" t="str">
        <f t="shared" si="516"/>
        <v>#REF!</v>
      </c>
    </row>
    <row r="174">
      <c r="A174" s="20" t="str">
        <f t="shared" si="249"/>
        <v>#REF!</v>
      </c>
      <c r="B174" s="20" t="str">
        <f t="shared" si="250"/>
        <v>#REF!</v>
      </c>
      <c r="C174" s="20" t="str">
        <f t="shared" ref="C174:D174" si="517">#REF!</f>
        <v>#REF!</v>
      </c>
      <c r="D174" s="20" t="str">
        <f t="shared" si="517"/>
        <v>#REF!</v>
      </c>
      <c r="E174" s="20" t="str">
        <f t="shared" si="252"/>
        <v>#REF!</v>
      </c>
      <c r="F174" s="22" t="str">
        <f t="shared" si="2"/>
        <v>#REF!</v>
      </c>
      <c r="G174" s="20" t="str">
        <f t="shared" ref="G174:I174" si="518">#REF!</f>
        <v>#REF!</v>
      </c>
      <c r="H174" s="20" t="str">
        <f t="shared" si="518"/>
        <v>#REF!</v>
      </c>
      <c r="I174" s="20" t="str">
        <f t="shared" si="518"/>
        <v>#REF!</v>
      </c>
      <c r="J174" s="20" t="str">
        <f t="shared" si="254"/>
        <v>#REF!</v>
      </c>
      <c r="K174" s="20" t="str">
        <f t="shared" ref="K174:L174" si="519">#REF!</f>
        <v>#REF!</v>
      </c>
      <c r="L174" s="20" t="str">
        <f t="shared" si="519"/>
        <v>#REF!</v>
      </c>
    </row>
    <row r="175">
      <c r="A175" s="20" t="str">
        <f t="shared" si="249"/>
        <v>#REF!</v>
      </c>
      <c r="B175" s="20" t="str">
        <f t="shared" si="250"/>
        <v>#REF!</v>
      </c>
      <c r="C175" s="20" t="str">
        <f t="shared" ref="C175:D175" si="520">#REF!</f>
        <v>#REF!</v>
      </c>
      <c r="D175" s="20" t="str">
        <f t="shared" si="520"/>
        <v>#REF!</v>
      </c>
      <c r="E175" s="20" t="str">
        <f t="shared" si="252"/>
        <v>#REF!</v>
      </c>
      <c r="F175" s="22" t="str">
        <f t="shared" si="2"/>
        <v>#REF!</v>
      </c>
      <c r="G175" s="20" t="str">
        <f t="shared" ref="G175:I175" si="521">#REF!</f>
        <v>#REF!</v>
      </c>
      <c r="H175" s="20" t="str">
        <f t="shared" si="521"/>
        <v>#REF!</v>
      </c>
      <c r="I175" s="20" t="str">
        <f t="shared" si="521"/>
        <v>#REF!</v>
      </c>
      <c r="J175" s="20" t="str">
        <f t="shared" si="254"/>
        <v>#REF!</v>
      </c>
      <c r="K175" s="20" t="str">
        <f t="shared" ref="K175:L175" si="522">#REF!</f>
        <v>#REF!</v>
      </c>
      <c r="L175" s="20" t="str">
        <f t="shared" si="522"/>
        <v>#REF!</v>
      </c>
    </row>
    <row r="176">
      <c r="A176" s="20" t="str">
        <f t="shared" si="249"/>
        <v>#REF!</v>
      </c>
      <c r="B176" s="20" t="str">
        <f t="shared" si="250"/>
        <v>#REF!</v>
      </c>
      <c r="C176" s="20" t="str">
        <f t="shared" ref="C176:D176" si="523">#REF!</f>
        <v>#REF!</v>
      </c>
      <c r="D176" s="20" t="str">
        <f t="shared" si="523"/>
        <v>#REF!</v>
      </c>
      <c r="E176" s="20" t="str">
        <f t="shared" si="252"/>
        <v>#REF!</v>
      </c>
      <c r="F176" s="22" t="str">
        <f t="shared" si="2"/>
        <v>#REF!</v>
      </c>
      <c r="G176" s="20" t="str">
        <f t="shared" ref="G176:I176" si="524">#REF!</f>
        <v>#REF!</v>
      </c>
      <c r="H176" s="20" t="str">
        <f t="shared" si="524"/>
        <v>#REF!</v>
      </c>
      <c r="I176" s="20" t="str">
        <f t="shared" si="524"/>
        <v>#REF!</v>
      </c>
      <c r="J176" s="20" t="str">
        <f t="shared" si="254"/>
        <v>#REF!</v>
      </c>
      <c r="K176" s="20" t="str">
        <f t="shared" ref="K176:L176" si="525">#REF!</f>
        <v>#REF!</v>
      </c>
      <c r="L176" s="20" t="str">
        <f t="shared" si="525"/>
        <v>#REF!</v>
      </c>
    </row>
    <row r="177">
      <c r="A177" s="20" t="str">
        <f t="shared" si="249"/>
        <v>#REF!</v>
      </c>
      <c r="B177" s="20" t="str">
        <f t="shared" si="250"/>
        <v>#REF!</v>
      </c>
      <c r="C177" s="20" t="str">
        <f t="shared" ref="C177:D177" si="526">#REF!</f>
        <v>#REF!</v>
      </c>
      <c r="D177" s="20" t="str">
        <f t="shared" si="526"/>
        <v>#REF!</v>
      </c>
      <c r="E177" s="20" t="str">
        <f t="shared" si="252"/>
        <v>#REF!</v>
      </c>
      <c r="F177" s="22" t="str">
        <f t="shared" si="2"/>
        <v>#REF!</v>
      </c>
      <c r="G177" s="20" t="str">
        <f t="shared" ref="G177:I177" si="527">#REF!</f>
        <v>#REF!</v>
      </c>
      <c r="H177" s="20" t="str">
        <f t="shared" si="527"/>
        <v>#REF!</v>
      </c>
      <c r="I177" s="20" t="str">
        <f t="shared" si="527"/>
        <v>#REF!</v>
      </c>
      <c r="J177" s="20" t="str">
        <f t="shared" si="254"/>
        <v>#REF!</v>
      </c>
      <c r="K177" s="20" t="str">
        <f t="shared" ref="K177:L177" si="528">#REF!</f>
        <v>#REF!</v>
      </c>
      <c r="L177" s="20" t="str">
        <f t="shared" si="528"/>
        <v>#REF!</v>
      </c>
    </row>
    <row r="178">
      <c r="A178" s="20" t="str">
        <f t="shared" si="249"/>
        <v>#REF!</v>
      </c>
      <c r="B178" s="20" t="str">
        <f t="shared" si="250"/>
        <v>#REF!</v>
      </c>
      <c r="C178" s="20" t="str">
        <f t="shared" ref="C178:D178" si="529">#REF!</f>
        <v>#REF!</v>
      </c>
      <c r="D178" s="20" t="str">
        <f t="shared" si="529"/>
        <v>#REF!</v>
      </c>
      <c r="E178" s="20" t="str">
        <f t="shared" si="252"/>
        <v>#REF!</v>
      </c>
      <c r="F178" s="22" t="str">
        <f t="shared" si="2"/>
        <v>#REF!</v>
      </c>
      <c r="G178" s="20" t="str">
        <f t="shared" ref="G178:I178" si="530">#REF!</f>
        <v>#REF!</v>
      </c>
      <c r="H178" s="20" t="str">
        <f t="shared" si="530"/>
        <v>#REF!</v>
      </c>
      <c r="I178" s="20" t="str">
        <f t="shared" si="530"/>
        <v>#REF!</v>
      </c>
      <c r="J178" s="20" t="str">
        <f t="shared" si="254"/>
        <v>#REF!</v>
      </c>
      <c r="K178" s="20" t="str">
        <f t="shared" ref="K178:L178" si="531">#REF!</f>
        <v>#REF!</v>
      </c>
      <c r="L178" s="20" t="str">
        <f t="shared" si="531"/>
        <v>#REF!</v>
      </c>
    </row>
    <row r="179">
      <c r="A179" s="20" t="str">
        <f t="shared" si="249"/>
        <v>#REF!</v>
      </c>
      <c r="B179" s="20" t="str">
        <f t="shared" si="250"/>
        <v>#REF!</v>
      </c>
      <c r="C179" s="20" t="str">
        <f t="shared" ref="C179:D179" si="532">#REF!</f>
        <v>#REF!</v>
      </c>
      <c r="D179" s="20" t="str">
        <f t="shared" si="532"/>
        <v>#REF!</v>
      </c>
      <c r="E179" s="20" t="str">
        <f t="shared" si="252"/>
        <v>#REF!</v>
      </c>
      <c r="F179" s="22" t="str">
        <f t="shared" si="2"/>
        <v>#REF!</v>
      </c>
      <c r="G179" s="20" t="str">
        <f t="shared" ref="G179:I179" si="533">#REF!</f>
        <v>#REF!</v>
      </c>
      <c r="H179" s="20" t="str">
        <f t="shared" si="533"/>
        <v>#REF!</v>
      </c>
      <c r="I179" s="20" t="str">
        <f t="shared" si="533"/>
        <v>#REF!</v>
      </c>
      <c r="J179" s="20" t="str">
        <f t="shared" si="254"/>
        <v>#REF!</v>
      </c>
      <c r="K179" s="20" t="str">
        <f t="shared" ref="K179:L179" si="534">#REF!</f>
        <v>#REF!</v>
      </c>
      <c r="L179" s="20" t="str">
        <f t="shared" si="534"/>
        <v>#REF!</v>
      </c>
    </row>
    <row r="180">
      <c r="A180" s="20" t="str">
        <f t="shared" si="249"/>
        <v>#REF!</v>
      </c>
      <c r="B180" s="20" t="str">
        <f t="shared" si="250"/>
        <v>#REF!</v>
      </c>
      <c r="C180" s="20" t="str">
        <f t="shared" ref="C180:D180" si="535">#REF!</f>
        <v>#REF!</v>
      </c>
      <c r="D180" s="20" t="str">
        <f t="shared" si="535"/>
        <v>#REF!</v>
      </c>
      <c r="E180" s="20" t="str">
        <f t="shared" si="252"/>
        <v>#REF!</v>
      </c>
      <c r="F180" s="22" t="str">
        <f t="shared" si="2"/>
        <v>#REF!</v>
      </c>
      <c r="G180" s="20" t="str">
        <f t="shared" ref="G180:I180" si="536">#REF!</f>
        <v>#REF!</v>
      </c>
      <c r="H180" s="20" t="str">
        <f t="shared" si="536"/>
        <v>#REF!</v>
      </c>
      <c r="I180" s="20" t="str">
        <f t="shared" si="536"/>
        <v>#REF!</v>
      </c>
      <c r="J180" s="20" t="str">
        <f t="shared" si="254"/>
        <v>#REF!</v>
      </c>
      <c r="K180" s="20" t="str">
        <f t="shared" ref="K180:L180" si="537">#REF!</f>
        <v>#REF!</v>
      </c>
      <c r="L180" s="20" t="str">
        <f t="shared" si="537"/>
        <v>#REF!</v>
      </c>
    </row>
    <row r="181">
      <c r="A181" s="20" t="str">
        <f t="shared" si="249"/>
        <v>#REF!</v>
      </c>
      <c r="B181" s="20" t="str">
        <f t="shared" si="250"/>
        <v>#REF!</v>
      </c>
      <c r="C181" s="20" t="str">
        <f t="shared" ref="C181:D181" si="538">#REF!</f>
        <v>#REF!</v>
      </c>
      <c r="D181" s="20" t="str">
        <f t="shared" si="538"/>
        <v>#REF!</v>
      </c>
      <c r="E181" s="20" t="str">
        <f t="shared" si="252"/>
        <v>#REF!</v>
      </c>
      <c r="F181" s="22" t="str">
        <f t="shared" si="2"/>
        <v>#REF!</v>
      </c>
      <c r="G181" s="20" t="str">
        <f t="shared" ref="G181:I181" si="539">#REF!</f>
        <v>#REF!</v>
      </c>
      <c r="H181" s="20" t="str">
        <f t="shared" si="539"/>
        <v>#REF!</v>
      </c>
      <c r="I181" s="20" t="str">
        <f t="shared" si="539"/>
        <v>#REF!</v>
      </c>
      <c r="J181" s="20" t="str">
        <f t="shared" si="254"/>
        <v>#REF!</v>
      </c>
      <c r="K181" s="20" t="str">
        <f t="shared" ref="K181:L181" si="540">#REF!</f>
        <v>#REF!</v>
      </c>
      <c r="L181" s="20" t="str">
        <f t="shared" si="540"/>
        <v>#REF!</v>
      </c>
    </row>
    <row r="182">
      <c r="A182" s="20" t="str">
        <f t="shared" si="249"/>
        <v>#REF!</v>
      </c>
      <c r="B182" s="20" t="str">
        <f t="shared" si="250"/>
        <v>#REF!</v>
      </c>
      <c r="C182" s="20" t="str">
        <f t="shared" ref="C182:D182" si="541">#REF!</f>
        <v>#REF!</v>
      </c>
      <c r="D182" s="20" t="str">
        <f t="shared" si="541"/>
        <v>#REF!</v>
      </c>
      <c r="E182" s="20" t="str">
        <f t="shared" si="252"/>
        <v>#REF!</v>
      </c>
      <c r="F182" s="22" t="str">
        <f t="shared" si="2"/>
        <v>#REF!</v>
      </c>
      <c r="G182" s="20" t="str">
        <f t="shared" ref="G182:I182" si="542">#REF!</f>
        <v>#REF!</v>
      </c>
      <c r="H182" s="20" t="str">
        <f t="shared" si="542"/>
        <v>#REF!</v>
      </c>
      <c r="I182" s="20" t="str">
        <f t="shared" si="542"/>
        <v>#REF!</v>
      </c>
      <c r="J182" s="20" t="str">
        <f t="shared" si="254"/>
        <v>#REF!</v>
      </c>
      <c r="K182" s="20" t="str">
        <f t="shared" ref="K182:L182" si="543">#REF!</f>
        <v>#REF!</v>
      </c>
      <c r="L182" s="20" t="str">
        <f t="shared" si="543"/>
        <v>#REF!</v>
      </c>
    </row>
    <row r="183">
      <c r="A183" s="20" t="str">
        <f t="shared" si="249"/>
        <v>#REF!</v>
      </c>
      <c r="B183" s="20" t="str">
        <f t="shared" si="250"/>
        <v>#REF!</v>
      </c>
      <c r="C183" s="20" t="str">
        <f t="shared" ref="C183:D183" si="544">#REF!</f>
        <v>#REF!</v>
      </c>
      <c r="D183" s="20" t="str">
        <f t="shared" si="544"/>
        <v>#REF!</v>
      </c>
      <c r="E183" s="20" t="str">
        <f t="shared" si="252"/>
        <v>#REF!</v>
      </c>
      <c r="F183" s="22" t="str">
        <f t="shared" si="2"/>
        <v>#REF!</v>
      </c>
      <c r="G183" s="20" t="str">
        <f t="shared" ref="G183:I183" si="545">#REF!</f>
        <v>#REF!</v>
      </c>
      <c r="H183" s="20" t="str">
        <f t="shared" si="545"/>
        <v>#REF!</v>
      </c>
      <c r="I183" s="20" t="str">
        <f t="shared" si="545"/>
        <v>#REF!</v>
      </c>
      <c r="J183" s="20" t="str">
        <f t="shared" si="254"/>
        <v>#REF!</v>
      </c>
      <c r="K183" s="20" t="str">
        <f t="shared" ref="K183:L183" si="546">#REF!</f>
        <v>#REF!</v>
      </c>
      <c r="L183" s="20" t="str">
        <f t="shared" si="546"/>
        <v>#REF!</v>
      </c>
    </row>
    <row r="184">
      <c r="A184" s="20" t="str">
        <f t="shared" si="249"/>
        <v>#REF!</v>
      </c>
      <c r="B184" s="20" t="str">
        <f t="shared" si="250"/>
        <v>#REF!</v>
      </c>
      <c r="C184" s="20" t="str">
        <f t="shared" ref="C184:D184" si="547">#REF!</f>
        <v>#REF!</v>
      </c>
      <c r="D184" s="20" t="str">
        <f t="shared" si="547"/>
        <v>#REF!</v>
      </c>
      <c r="E184" s="20" t="str">
        <f t="shared" si="252"/>
        <v>#REF!</v>
      </c>
      <c r="F184" s="22" t="str">
        <f t="shared" si="2"/>
        <v>#REF!</v>
      </c>
      <c r="G184" s="20" t="str">
        <f t="shared" ref="G184:I184" si="548">#REF!</f>
        <v>#REF!</v>
      </c>
      <c r="H184" s="20" t="str">
        <f t="shared" si="548"/>
        <v>#REF!</v>
      </c>
      <c r="I184" s="20" t="str">
        <f t="shared" si="548"/>
        <v>#REF!</v>
      </c>
      <c r="J184" s="20" t="str">
        <f t="shared" si="254"/>
        <v>#REF!</v>
      </c>
      <c r="K184" s="20" t="str">
        <f t="shared" ref="K184:L184" si="549">#REF!</f>
        <v>#REF!</v>
      </c>
      <c r="L184" s="20" t="str">
        <f t="shared" si="549"/>
        <v>#REF!</v>
      </c>
    </row>
    <row r="185">
      <c r="A185" s="20" t="str">
        <f t="shared" si="249"/>
        <v>#REF!</v>
      </c>
      <c r="B185" s="20" t="str">
        <f t="shared" si="250"/>
        <v>#REF!</v>
      </c>
      <c r="C185" s="20" t="str">
        <f t="shared" ref="C185:D185" si="550">#REF!</f>
        <v>#REF!</v>
      </c>
      <c r="D185" s="20" t="str">
        <f t="shared" si="550"/>
        <v>#REF!</v>
      </c>
      <c r="E185" s="20" t="str">
        <f t="shared" si="252"/>
        <v>#REF!</v>
      </c>
      <c r="F185" s="22" t="str">
        <f t="shared" si="2"/>
        <v>#REF!</v>
      </c>
      <c r="G185" s="20" t="str">
        <f t="shared" ref="G185:I185" si="551">#REF!</f>
        <v>#REF!</v>
      </c>
      <c r="H185" s="20" t="str">
        <f t="shared" si="551"/>
        <v>#REF!</v>
      </c>
      <c r="I185" s="20" t="str">
        <f t="shared" si="551"/>
        <v>#REF!</v>
      </c>
      <c r="J185" s="20" t="str">
        <f t="shared" si="254"/>
        <v>#REF!</v>
      </c>
      <c r="K185" s="20" t="str">
        <f t="shared" ref="K185:L185" si="552">#REF!</f>
        <v>#REF!</v>
      </c>
      <c r="L185" s="20" t="str">
        <f t="shared" si="552"/>
        <v>#REF!</v>
      </c>
    </row>
    <row r="186">
      <c r="A186" s="20" t="str">
        <f t="shared" si="249"/>
        <v>#REF!</v>
      </c>
      <c r="B186" s="20" t="str">
        <f t="shared" si="250"/>
        <v>#REF!</v>
      </c>
      <c r="C186" s="20" t="str">
        <f t="shared" ref="C186:D186" si="553">#REF!</f>
        <v>#REF!</v>
      </c>
      <c r="D186" s="20" t="str">
        <f t="shared" si="553"/>
        <v>#REF!</v>
      </c>
      <c r="E186" s="20" t="str">
        <f t="shared" si="252"/>
        <v>#REF!</v>
      </c>
      <c r="F186" s="22" t="str">
        <f t="shared" si="2"/>
        <v>#REF!</v>
      </c>
      <c r="G186" s="20" t="str">
        <f t="shared" ref="G186:I186" si="554">#REF!</f>
        <v>#REF!</v>
      </c>
      <c r="H186" s="20" t="str">
        <f t="shared" si="554"/>
        <v>#REF!</v>
      </c>
      <c r="I186" s="20" t="str">
        <f t="shared" si="554"/>
        <v>#REF!</v>
      </c>
      <c r="J186" s="20" t="str">
        <f t="shared" si="254"/>
        <v>#REF!</v>
      </c>
      <c r="K186" s="20" t="str">
        <f t="shared" ref="K186:L186" si="555">#REF!</f>
        <v>#REF!</v>
      </c>
      <c r="L186" s="20" t="str">
        <f t="shared" si="555"/>
        <v>#REF!</v>
      </c>
    </row>
    <row r="187">
      <c r="A187" s="20" t="str">
        <f t="shared" si="249"/>
        <v>#REF!</v>
      </c>
      <c r="B187" s="20" t="str">
        <f t="shared" si="250"/>
        <v>#REF!</v>
      </c>
      <c r="C187" s="20" t="str">
        <f t="shared" ref="C187:D187" si="556">#REF!</f>
        <v>#REF!</v>
      </c>
      <c r="D187" s="20" t="str">
        <f t="shared" si="556"/>
        <v>#REF!</v>
      </c>
      <c r="E187" s="20" t="str">
        <f t="shared" si="252"/>
        <v>#REF!</v>
      </c>
      <c r="F187" s="22" t="str">
        <f t="shared" si="2"/>
        <v>#REF!</v>
      </c>
      <c r="G187" s="20" t="str">
        <f t="shared" ref="G187:I187" si="557">#REF!</f>
        <v>#REF!</v>
      </c>
      <c r="H187" s="20" t="str">
        <f t="shared" si="557"/>
        <v>#REF!</v>
      </c>
      <c r="I187" s="20" t="str">
        <f t="shared" si="557"/>
        <v>#REF!</v>
      </c>
      <c r="J187" s="20" t="str">
        <f t="shared" si="254"/>
        <v>#REF!</v>
      </c>
      <c r="K187" s="20" t="str">
        <f t="shared" ref="K187:L187" si="558">#REF!</f>
        <v>#REF!</v>
      </c>
      <c r="L187" s="20" t="str">
        <f t="shared" si="558"/>
        <v>#REF!</v>
      </c>
    </row>
    <row r="188">
      <c r="A188" s="20" t="str">
        <f t="shared" si="249"/>
        <v>#REF!</v>
      </c>
      <c r="B188" s="20" t="str">
        <f t="shared" si="250"/>
        <v>#REF!</v>
      </c>
      <c r="C188" s="20" t="str">
        <f t="shared" ref="C188:D188" si="559">#REF!</f>
        <v>#REF!</v>
      </c>
      <c r="D188" s="20" t="str">
        <f t="shared" si="559"/>
        <v>#REF!</v>
      </c>
      <c r="E188" s="20" t="str">
        <f t="shared" si="252"/>
        <v>#REF!</v>
      </c>
      <c r="F188" s="22" t="str">
        <f t="shared" si="2"/>
        <v>#REF!</v>
      </c>
      <c r="G188" s="20" t="str">
        <f t="shared" ref="G188:I188" si="560">#REF!</f>
        <v>#REF!</v>
      </c>
      <c r="H188" s="20" t="str">
        <f t="shared" si="560"/>
        <v>#REF!</v>
      </c>
      <c r="I188" s="20" t="str">
        <f t="shared" si="560"/>
        <v>#REF!</v>
      </c>
      <c r="J188" s="20" t="str">
        <f t="shared" si="254"/>
        <v>#REF!</v>
      </c>
      <c r="K188" s="20" t="str">
        <f t="shared" ref="K188:L188" si="561">#REF!</f>
        <v>#REF!</v>
      </c>
      <c r="L188" s="20" t="str">
        <f t="shared" si="561"/>
        <v>#REF!</v>
      </c>
    </row>
    <row r="189">
      <c r="A189" s="20" t="str">
        <f t="shared" si="249"/>
        <v>#REF!</v>
      </c>
      <c r="B189" s="20" t="str">
        <f t="shared" si="250"/>
        <v>#REF!</v>
      </c>
      <c r="C189" s="20" t="str">
        <f t="shared" ref="C189:D189" si="562">#REF!</f>
        <v>#REF!</v>
      </c>
      <c r="D189" s="20" t="str">
        <f t="shared" si="562"/>
        <v>#REF!</v>
      </c>
      <c r="E189" s="20" t="str">
        <f t="shared" si="252"/>
        <v>#REF!</v>
      </c>
      <c r="F189" s="22" t="str">
        <f t="shared" si="2"/>
        <v>#REF!</v>
      </c>
      <c r="G189" s="20" t="str">
        <f t="shared" ref="G189:I189" si="563">#REF!</f>
        <v>#REF!</v>
      </c>
      <c r="H189" s="20" t="str">
        <f t="shared" si="563"/>
        <v>#REF!</v>
      </c>
      <c r="I189" s="20" t="str">
        <f t="shared" si="563"/>
        <v>#REF!</v>
      </c>
      <c r="J189" s="20" t="str">
        <f t="shared" si="254"/>
        <v>#REF!</v>
      </c>
      <c r="K189" s="20" t="str">
        <f t="shared" ref="K189:L189" si="564">#REF!</f>
        <v>#REF!</v>
      </c>
      <c r="L189" s="20" t="str">
        <f t="shared" si="564"/>
        <v>#REF!</v>
      </c>
    </row>
    <row r="190">
      <c r="A190" s="20" t="str">
        <f t="shared" si="249"/>
        <v>#REF!</v>
      </c>
      <c r="B190" s="20" t="str">
        <f t="shared" si="250"/>
        <v>#REF!</v>
      </c>
      <c r="C190" s="20" t="str">
        <f t="shared" ref="C190:D190" si="565">#REF!</f>
        <v>#REF!</v>
      </c>
      <c r="D190" s="20" t="str">
        <f t="shared" si="565"/>
        <v>#REF!</v>
      </c>
      <c r="E190" s="20" t="str">
        <f t="shared" si="252"/>
        <v>#REF!</v>
      </c>
      <c r="F190" s="22" t="str">
        <f t="shared" si="2"/>
        <v>#REF!</v>
      </c>
      <c r="G190" s="20" t="str">
        <f t="shared" ref="G190:I190" si="566">#REF!</f>
        <v>#REF!</v>
      </c>
      <c r="H190" s="20" t="str">
        <f t="shared" si="566"/>
        <v>#REF!</v>
      </c>
      <c r="I190" s="20" t="str">
        <f t="shared" si="566"/>
        <v>#REF!</v>
      </c>
      <c r="J190" s="20" t="str">
        <f t="shared" si="254"/>
        <v>#REF!</v>
      </c>
      <c r="K190" s="20" t="str">
        <f t="shared" ref="K190:L190" si="567">#REF!</f>
        <v>#REF!</v>
      </c>
      <c r="L190" s="20" t="str">
        <f t="shared" si="567"/>
        <v>#REF!</v>
      </c>
    </row>
    <row r="191">
      <c r="A191" s="20" t="str">
        <f t="shared" si="249"/>
        <v>#REF!</v>
      </c>
      <c r="B191" s="20" t="str">
        <f t="shared" si="250"/>
        <v>#REF!</v>
      </c>
      <c r="C191" s="20" t="str">
        <f t="shared" ref="C191:D191" si="568">#REF!</f>
        <v>#REF!</v>
      </c>
      <c r="D191" s="20" t="str">
        <f t="shared" si="568"/>
        <v>#REF!</v>
      </c>
      <c r="E191" s="20" t="str">
        <f t="shared" si="252"/>
        <v>#REF!</v>
      </c>
      <c r="F191" s="22" t="str">
        <f t="shared" si="2"/>
        <v>#REF!</v>
      </c>
      <c r="G191" s="20" t="str">
        <f t="shared" ref="G191:I191" si="569">#REF!</f>
        <v>#REF!</v>
      </c>
      <c r="H191" s="20" t="str">
        <f t="shared" si="569"/>
        <v>#REF!</v>
      </c>
      <c r="I191" s="20" t="str">
        <f t="shared" si="569"/>
        <v>#REF!</v>
      </c>
      <c r="J191" s="20" t="str">
        <f t="shared" si="254"/>
        <v>#REF!</v>
      </c>
      <c r="K191" s="20" t="str">
        <f t="shared" ref="K191:L191" si="570">#REF!</f>
        <v>#REF!</v>
      </c>
      <c r="L191" s="20" t="str">
        <f t="shared" si="570"/>
        <v>#REF!</v>
      </c>
    </row>
    <row r="192">
      <c r="A192" s="20" t="str">
        <f t="shared" si="249"/>
        <v>#REF!</v>
      </c>
      <c r="B192" s="20" t="str">
        <f t="shared" si="250"/>
        <v>#REF!</v>
      </c>
      <c r="C192" s="20" t="str">
        <f t="shared" ref="C192:D192" si="571">#REF!</f>
        <v>#REF!</v>
      </c>
      <c r="D192" s="20" t="str">
        <f t="shared" si="571"/>
        <v>#REF!</v>
      </c>
      <c r="E192" s="20" t="str">
        <f t="shared" si="252"/>
        <v>#REF!</v>
      </c>
      <c r="F192" s="22" t="str">
        <f t="shared" si="2"/>
        <v>#REF!</v>
      </c>
      <c r="G192" s="20" t="str">
        <f t="shared" ref="G192:I192" si="572">#REF!</f>
        <v>#REF!</v>
      </c>
      <c r="H192" s="20" t="str">
        <f t="shared" si="572"/>
        <v>#REF!</v>
      </c>
      <c r="I192" s="20" t="str">
        <f t="shared" si="572"/>
        <v>#REF!</v>
      </c>
      <c r="J192" s="20" t="str">
        <f t="shared" si="254"/>
        <v>#REF!</v>
      </c>
      <c r="K192" s="20" t="str">
        <f t="shared" ref="K192:L192" si="573">#REF!</f>
        <v>#REF!</v>
      </c>
      <c r="L192" s="20" t="str">
        <f t="shared" si="573"/>
        <v>#REF!</v>
      </c>
    </row>
    <row r="193">
      <c r="A193" s="20" t="str">
        <f t="shared" si="249"/>
        <v>#REF!</v>
      </c>
      <c r="B193" s="20" t="str">
        <f t="shared" si="250"/>
        <v>#REF!</v>
      </c>
      <c r="C193" s="20" t="str">
        <f t="shared" ref="C193:D193" si="574">#REF!</f>
        <v>#REF!</v>
      </c>
      <c r="D193" s="20" t="str">
        <f t="shared" si="574"/>
        <v>#REF!</v>
      </c>
      <c r="E193" s="20" t="str">
        <f t="shared" si="252"/>
        <v>#REF!</v>
      </c>
      <c r="F193" s="22" t="str">
        <f t="shared" si="2"/>
        <v>#REF!</v>
      </c>
      <c r="G193" s="20" t="str">
        <f t="shared" ref="G193:I193" si="575">#REF!</f>
        <v>#REF!</v>
      </c>
      <c r="H193" s="20" t="str">
        <f t="shared" si="575"/>
        <v>#REF!</v>
      </c>
      <c r="I193" s="20" t="str">
        <f t="shared" si="575"/>
        <v>#REF!</v>
      </c>
      <c r="J193" s="20" t="str">
        <f t="shared" si="254"/>
        <v>#REF!</v>
      </c>
      <c r="K193" s="20" t="str">
        <f t="shared" ref="K193:L193" si="576">#REF!</f>
        <v>#REF!</v>
      </c>
      <c r="L193" s="20" t="str">
        <f t="shared" si="576"/>
        <v>#REF!</v>
      </c>
    </row>
    <row r="194">
      <c r="A194" s="20" t="str">
        <f t="shared" si="249"/>
        <v>#REF!</v>
      </c>
      <c r="B194" s="20" t="str">
        <f t="shared" si="250"/>
        <v>#REF!</v>
      </c>
      <c r="C194" s="20" t="str">
        <f t="shared" ref="C194:D194" si="577">#REF!</f>
        <v>#REF!</v>
      </c>
      <c r="D194" s="20" t="str">
        <f t="shared" si="577"/>
        <v>#REF!</v>
      </c>
      <c r="E194" s="20" t="str">
        <f t="shared" si="252"/>
        <v>#REF!</v>
      </c>
      <c r="F194" s="22" t="str">
        <f t="shared" si="2"/>
        <v>#REF!</v>
      </c>
      <c r="G194" s="20" t="str">
        <f t="shared" ref="G194:I194" si="578">#REF!</f>
        <v>#REF!</v>
      </c>
      <c r="H194" s="20" t="str">
        <f t="shared" si="578"/>
        <v>#REF!</v>
      </c>
      <c r="I194" s="20" t="str">
        <f t="shared" si="578"/>
        <v>#REF!</v>
      </c>
      <c r="J194" s="20" t="str">
        <f t="shared" si="254"/>
        <v>#REF!</v>
      </c>
      <c r="K194" s="20" t="str">
        <f t="shared" ref="K194:L194" si="579">#REF!</f>
        <v>#REF!</v>
      </c>
      <c r="L194" s="20" t="str">
        <f t="shared" si="579"/>
        <v>#REF!</v>
      </c>
    </row>
    <row r="195">
      <c r="A195" s="20" t="str">
        <f t="shared" si="249"/>
        <v>#REF!</v>
      </c>
      <c r="B195" s="20" t="str">
        <f t="shared" si="250"/>
        <v>#REF!</v>
      </c>
      <c r="C195" s="20" t="str">
        <f t="shared" ref="C195:D195" si="580">#REF!</f>
        <v>#REF!</v>
      </c>
      <c r="D195" s="20" t="str">
        <f t="shared" si="580"/>
        <v>#REF!</v>
      </c>
      <c r="E195" s="20" t="str">
        <f t="shared" si="252"/>
        <v>#REF!</v>
      </c>
      <c r="F195" s="22" t="str">
        <f t="shared" si="2"/>
        <v>#REF!</v>
      </c>
      <c r="G195" s="20" t="str">
        <f t="shared" ref="G195:I195" si="581">#REF!</f>
        <v>#REF!</v>
      </c>
      <c r="H195" s="20" t="str">
        <f t="shared" si="581"/>
        <v>#REF!</v>
      </c>
      <c r="I195" s="20" t="str">
        <f t="shared" si="581"/>
        <v>#REF!</v>
      </c>
      <c r="J195" s="20" t="str">
        <f t="shared" si="254"/>
        <v>#REF!</v>
      </c>
      <c r="K195" s="20" t="str">
        <f t="shared" ref="K195:L195" si="582">#REF!</f>
        <v>#REF!</v>
      </c>
      <c r="L195" s="20" t="str">
        <f t="shared" si="582"/>
        <v>#REF!</v>
      </c>
    </row>
    <row r="196">
      <c r="A196" s="20" t="str">
        <f t="shared" si="249"/>
        <v>#REF!</v>
      </c>
      <c r="B196" s="20" t="str">
        <f t="shared" si="250"/>
        <v>#REF!</v>
      </c>
      <c r="C196" s="20" t="str">
        <f t="shared" ref="C196:D196" si="583">#REF!</f>
        <v>#REF!</v>
      </c>
      <c r="D196" s="20" t="str">
        <f t="shared" si="583"/>
        <v>#REF!</v>
      </c>
      <c r="E196" s="20" t="str">
        <f t="shared" si="252"/>
        <v>#REF!</v>
      </c>
      <c r="F196" s="22" t="str">
        <f t="shared" si="2"/>
        <v>#REF!</v>
      </c>
      <c r="G196" s="20" t="str">
        <f t="shared" ref="G196:I196" si="584">#REF!</f>
        <v>#REF!</v>
      </c>
      <c r="H196" s="20" t="str">
        <f t="shared" si="584"/>
        <v>#REF!</v>
      </c>
      <c r="I196" s="20" t="str">
        <f t="shared" si="584"/>
        <v>#REF!</v>
      </c>
      <c r="J196" s="20" t="str">
        <f t="shared" si="254"/>
        <v>#REF!</v>
      </c>
      <c r="K196" s="20" t="str">
        <f t="shared" ref="K196:L196" si="585">#REF!</f>
        <v>#REF!</v>
      </c>
      <c r="L196" s="20" t="str">
        <f t="shared" si="585"/>
        <v>#REF!</v>
      </c>
    </row>
    <row r="197">
      <c r="A197" s="20" t="str">
        <f t="shared" si="249"/>
        <v>#REF!</v>
      </c>
      <c r="B197" s="20" t="str">
        <f t="shared" si="250"/>
        <v>#REF!</v>
      </c>
      <c r="C197" s="20" t="str">
        <f t="shared" ref="C197:D197" si="586">#REF!</f>
        <v>#REF!</v>
      </c>
      <c r="D197" s="20" t="str">
        <f t="shared" si="586"/>
        <v>#REF!</v>
      </c>
      <c r="E197" s="20" t="str">
        <f t="shared" si="252"/>
        <v>#REF!</v>
      </c>
      <c r="F197" s="22" t="str">
        <f t="shared" si="2"/>
        <v>#REF!</v>
      </c>
      <c r="G197" s="20" t="str">
        <f t="shared" ref="G197:I197" si="587">#REF!</f>
        <v>#REF!</v>
      </c>
      <c r="H197" s="20" t="str">
        <f t="shared" si="587"/>
        <v>#REF!</v>
      </c>
      <c r="I197" s="20" t="str">
        <f t="shared" si="587"/>
        <v>#REF!</v>
      </c>
      <c r="J197" s="20" t="str">
        <f t="shared" si="254"/>
        <v>#REF!</v>
      </c>
      <c r="K197" s="20" t="str">
        <f t="shared" ref="K197:L197" si="588">#REF!</f>
        <v>#REF!</v>
      </c>
      <c r="L197" s="20" t="str">
        <f t="shared" si="588"/>
        <v>#REF!</v>
      </c>
    </row>
    <row r="198">
      <c r="A198" s="20" t="str">
        <f t="shared" si="249"/>
        <v>#REF!</v>
      </c>
      <c r="B198" s="20" t="str">
        <f t="shared" si="250"/>
        <v>#REF!</v>
      </c>
      <c r="C198" s="20" t="str">
        <f t="shared" ref="C198:D198" si="589">#REF!</f>
        <v>#REF!</v>
      </c>
      <c r="D198" s="20" t="str">
        <f t="shared" si="589"/>
        <v>#REF!</v>
      </c>
      <c r="E198" s="20" t="str">
        <f t="shared" si="252"/>
        <v>#REF!</v>
      </c>
      <c r="F198" s="22" t="str">
        <f t="shared" si="2"/>
        <v>#REF!</v>
      </c>
      <c r="G198" s="20" t="str">
        <f t="shared" ref="G198:I198" si="590">#REF!</f>
        <v>#REF!</v>
      </c>
      <c r="H198" s="20" t="str">
        <f t="shared" si="590"/>
        <v>#REF!</v>
      </c>
      <c r="I198" s="20" t="str">
        <f t="shared" si="590"/>
        <v>#REF!</v>
      </c>
      <c r="J198" s="20" t="str">
        <f t="shared" si="254"/>
        <v>#REF!</v>
      </c>
      <c r="K198" s="20" t="str">
        <f t="shared" ref="K198:L198" si="591">#REF!</f>
        <v>#REF!</v>
      </c>
      <c r="L198" s="20" t="str">
        <f t="shared" si="591"/>
        <v>#REF!</v>
      </c>
    </row>
    <row r="199">
      <c r="A199" s="20" t="str">
        <f t="shared" si="249"/>
        <v>#REF!</v>
      </c>
      <c r="B199" s="20" t="str">
        <f t="shared" si="250"/>
        <v>#REF!</v>
      </c>
      <c r="C199" s="20" t="str">
        <f t="shared" ref="C199:D199" si="592">#REF!</f>
        <v>#REF!</v>
      </c>
      <c r="D199" s="20" t="str">
        <f t="shared" si="592"/>
        <v>#REF!</v>
      </c>
      <c r="E199" s="20" t="str">
        <f t="shared" si="252"/>
        <v>#REF!</v>
      </c>
      <c r="F199" s="22" t="str">
        <f t="shared" si="2"/>
        <v>#REF!</v>
      </c>
      <c r="G199" s="20" t="str">
        <f t="shared" ref="G199:I199" si="593">#REF!</f>
        <v>#REF!</v>
      </c>
      <c r="H199" s="20" t="str">
        <f t="shared" si="593"/>
        <v>#REF!</v>
      </c>
      <c r="I199" s="20" t="str">
        <f t="shared" si="593"/>
        <v>#REF!</v>
      </c>
      <c r="J199" s="20" t="str">
        <f t="shared" si="254"/>
        <v>#REF!</v>
      </c>
      <c r="K199" s="20" t="str">
        <f t="shared" ref="K199:L199" si="594">#REF!</f>
        <v>#REF!</v>
      </c>
      <c r="L199" s="20" t="str">
        <f t="shared" si="594"/>
        <v>#REF!</v>
      </c>
    </row>
    <row r="200">
      <c r="A200" s="20" t="str">
        <f t="shared" si="249"/>
        <v>#REF!</v>
      </c>
      <c r="B200" s="20" t="str">
        <f t="shared" si="250"/>
        <v>#REF!</v>
      </c>
      <c r="C200" s="20" t="str">
        <f t="shared" ref="C200:D200" si="595">#REF!</f>
        <v>#REF!</v>
      </c>
      <c r="D200" s="20" t="str">
        <f t="shared" si="595"/>
        <v>#REF!</v>
      </c>
      <c r="E200" s="20" t="str">
        <f t="shared" si="252"/>
        <v>#REF!</v>
      </c>
      <c r="F200" s="22" t="str">
        <f t="shared" si="2"/>
        <v>#REF!</v>
      </c>
      <c r="G200" s="20" t="str">
        <f t="shared" ref="G200:I200" si="596">#REF!</f>
        <v>#REF!</v>
      </c>
      <c r="H200" s="20" t="str">
        <f t="shared" si="596"/>
        <v>#REF!</v>
      </c>
      <c r="I200" s="20" t="str">
        <f t="shared" si="596"/>
        <v>#REF!</v>
      </c>
      <c r="J200" s="20" t="str">
        <f t="shared" si="254"/>
        <v>#REF!</v>
      </c>
      <c r="K200" s="20" t="str">
        <f t="shared" ref="K200:L200" si="597">#REF!</f>
        <v>#REF!</v>
      </c>
      <c r="L200" s="20" t="str">
        <f t="shared" si="597"/>
        <v>#REF!</v>
      </c>
    </row>
    <row r="201">
      <c r="A201" s="20" t="str">
        <f t="shared" si="249"/>
        <v>#REF!</v>
      </c>
      <c r="B201" s="20" t="str">
        <f t="shared" si="250"/>
        <v>#REF!</v>
      </c>
      <c r="C201" s="20" t="str">
        <f t="shared" ref="C201:D201" si="598">#REF!</f>
        <v>#REF!</v>
      </c>
      <c r="D201" s="20" t="str">
        <f t="shared" si="598"/>
        <v>#REF!</v>
      </c>
      <c r="E201" s="20" t="str">
        <f t="shared" si="252"/>
        <v>#REF!</v>
      </c>
      <c r="F201" s="22" t="str">
        <f t="shared" si="2"/>
        <v>#REF!</v>
      </c>
      <c r="G201" s="20" t="str">
        <f t="shared" ref="G201:I201" si="599">#REF!</f>
        <v>#REF!</v>
      </c>
      <c r="H201" s="20" t="str">
        <f t="shared" si="599"/>
        <v>#REF!</v>
      </c>
      <c r="I201" s="20" t="str">
        <f t="shared" si="599"/>
        <v>#REF!</v>
      </c>
      <c r="J201" s="20" t="str">
        <f t="shared" si="254"/>
        <v>#REF!</v>
      </c>
      <c r="K201" s="20" t="str">
        <f t="shared" ref="K201:L201" si="600">#REF!</f>
        <v>#REF!</v>
      </c>
      <c r="L201" s="20" t="str">
        <f t="shared" si="600"/>
        <v>#REF!</v>
      </c>
    </row>
    <row r="202">
      <c r="A202" s="20" t="str">
        <f t="shared" si="249"/>
        <v>#REF!</v>
      </c>
      <c r="B202" s="20" t="str">
        <f t="shared" si="250"/>
        <v>#REF!</v>
      </c>
      <c r="C202" s="20" t="str">
        <f t="shared" ref="C202:D202" si="601">#REF!</f>
        <v>#REF!</v>
      </c>
      <c r="D202" s="20" t="str">
        <f t="shared" si="601"/>
        <v>#REF!</v>
      </c>
      <c r="E202" s="20" t="str">
        <f t="shared" si="252"/>
        <v>#REF!</v>
      </c>
      <c r="F202" s="22" t="str">
        <f t="shared" si="2"/>
        <v>#REF!</v>
      </c>
      <c r="G202" s="20" t="str">
        <f t="shared" ref="G202:I202" si="602">#REF!</f>
        <v>#REF!</v>
      </c>
      <c r="H202" s="20" t="str">
        <f t="shared" si="602"/>
        <v>#REF!</v>
      </c>
      <c r="I202" s="20" t="str">
        <f t="shared" si="602"/>
        <v>#REF!</v>
      </c>
      <c r="J202" s="20" t="str">
        <f t="shared" si="254"/>
        <v>#REF!</v>
      </c>
      <c r="K202" s="20" t="str">
        <f t="shared" ref="K202:L202" si="603">#REF!</f>
        <v>#REF!</v>
      </c>
      <c r="L202" s="20" t="str">
        <f t="shared" si="603"/>
        <v>#REF!</v>
      </c>
    </row>
    <row r="203">
      <c r="A203" s="20" t="str">
        <f t="shared" si="249"/>
        <v>#REF!</v>
      </c>
      <c r="B203" s="20" t="str">
        <f t="shared" si="250"/>
        <v>#REF!</v>
      </c>
      <c r="C203" s="20" t="str">
        <f t="shared" ref="C203:D203" si="604">#REF!</f>
        <v>#REF!</v>
      </c>
      <c r="D203" s="20" t="str">
        <f t="shared" si="604"/>
        <v>#REF!</v>
      </c>
      <c r="E203" s="20" t="str">
        <f t="shared" si="252"/>
        <v>#REF!</v>
      </c>
      <c r="F203" s="22" t="str">
        <f t="shared" si="2"/>
        <v>#REF!</v>
      </c>
      <c r="G203" s="20" t="str">
        <f t="shared" ref="G203:I203" si="605">#REF!</f>
        <v>#REF!</v>
      </c>
      <c r="H203" s="20" t="str">
        <f t="shared" si="605"/>
        <v>#REF!</v>
      </c>
      <c r="I203" s="20" t="str">
        <f t="shared" si="605"/>
        <v>#REF!</v>
      </c>
      <c r="J203" s="20" t="str">
        <f t="shared" si="254"/>
        <v>#REF!</v>
      </c>
      <c r="K203" s="20" t="str">
        <f t="shared" ref="K203:L203" si="606">#REF!</f>
        <v>#REF!</v>
      </c>
      <c r="L203" s="20" t="str">
        <f t="shared" si="606"/>
        <v>#REF!</v>
      </c>
    </row>
    <row r="204">
      <c r="A204" s="20" t="str">
        <f t="shared" si="249"/>
        <v>#REF!</v>
      </c>
      <c r="B204" s="20" t="str">
        <f t="shared" si="250"/>
        <v>#REF!</v>
      </c>
      <c r="C204" s="20" t="str">
        <f t="shared" ref="C204:D204" si="607">#REF!</f>
        <v>#REF!</v>
      </c>
      <c r="D204" s="20" t="str">
        <f t="shared" si="607"/>
        <v>#REF!</v>
      </c>
      <c r="E204" s="20" t="str">
        <f t="shared" si="252"/>
        <v>#REF!</v>
      </c>
      <c r="F204" s="22" t="str">
        <f t="shared" si="2"/>
        <v>#REF!</v>
      </c>
      <c r="G204" s="20" t="str">
        <f t="shared" ref="G204:I204" si="608">#REF!</f>
        <v>#REF!</v>
      </c>
      <c r="H204" s="20" t="str">
        <f t="shared" si="608"/>
        <v>#REF!</v>
      </c>
      <c r="I204" s="20" t="str">
        <f t="shared" si="608"/>
        <v>#REF!</v>
      </c>
      <c r="J204" s="20" t="str">
        <f t="shared" si="254"/>
        <v>#REF!</v>
      </c>
      <c r="K204" s="20" t="str">
        <f t="shared" ref="K204:L204" si="609">#REF!</f>
        <v>#REF!</v>
      </c>
      <c r="L204" s="20" t="str">
        <f t="shared" si="609"/>
        <v>#REF!</v>
      </c>
    </row>
    <row r="205">
      <c r="A205" s="20" t="str">
        <f t="shared" si="249"/>
        <v>#REF!</v>
      </c>
      <c r="B205" s="20" t="str">
        <f t="shared" si="250"/>
        <v>#REF!</v>
      </c>
      <c r="C205" s="20" t="str">
        <f t="shared" ref="C205:D205" si="610">#REF!</f>
        <v>#REF!</v>
      </c>
      <c r="D205" s="20" t="str">
        <f t="shared" si="610"/>
        <v>#REF!</v>
      </c>
      <c r="E205" s="20" t="str">
        <f t="shared" si="252"/>
        <v>#REF!</v>
      </c>
      <c r="F205" s="22" t="str">
        <f t="shared" si="2"/>
        <v>#REF!</v>
      </c>
      <c r="G205" s="20" t="str">
        <f t="shared" ref="G205:I205" si="611">#REF!</f>
        <v>#REF!</v>
      </c>
      <c r="H205" s="20" t="str">
        <f t="shared" si="611"/>
        <v>#REF!</v>
      </c>
      <c r="I205" s="20" t="str">
        <f t="shared" si="611"/>
        <v>#REF!</v>
      </c>
      <c r="J205" s="20" t="str">
        <f t="shared" si="254"/>
        <v>#REF!</v>
      </c>
      <c r="K205" s="20" t="str">
        <f t="shared" ref="K205:L205" si="612">#REF!</f>
        <v>#REF!</v>
      </c>
      <c r="L205" s="20" t="str">
        <f t="shared" si="612"/>
        <v>#REF!</v>
      </c>
    </row>
    <row r="206">
      <c r="A206" s="20" t="str">
        <f t="shared" si="249"/>
        <v>#REF!</v>
      </c>
      <c r="B206" s="20" t="str">
        <f t="shared" si="250"/>
        <v>#REF!</v>
      </c>
      <c r="C206" s="20" t="str">
        <f t="shared" ref="C206:D206" si="613">#REF!</f>
        <v>#REF!</v>
      </c>
      <c r="D206" s="20" t="str">
        <f t="shared" si="613"/>
        <v>#REF!</v>
      </c>
      <c r="E206" s="20" t="str">
        <f t="shared" si="252"/>
        <v>#REF!</v>
      </c>
      <c r="F206" s="22" t="str">
        <f t="shared" si="2"/>
        <v>#REF!</v>
      </c>
      <c r="G206" s="20" t="str">
        <f t="shared" ref="G206:I206" si="614">#REF!</f>
        <v>#REF!</v>
      </c>
      <c r="H206" s="20" t="str">
        <f t="shared" si="614"/>
        <v>#REF!</v>
      </c>
      <c r="I206" s="20" t="str">
        <f t="shared" si="614"/>
        <v>#REF!</v>
      </c>
      <c r="J206" s="20" t="str">
        <f t="shared" si="254"/>
        <v>#REF!</v>
      </c>
      <c r="K206" s="20" t="str">
        <f t="shared" ref="K206:L206" si="615">#REF!</f>
        <v>#REF!</v>
      </c>
      <c r="L206" s="20" t="str">
        <f t="shared" si="615"/>
        <v>#REF!</v>
      </c>
    </row>
    <row r="207">
      <c r="A207" s="20" t="str">
        <f t="shared" si="249"/>
        <v>#REF!</v>
      </c>
      <c r="B207" s="20" t="str">
        <f t="shared" si="250"/>
        <v>#REF!</v>
      </c>
      <c r="C207" s="20" t="str">
        <f t="shared" ref="C207:D207" si="616">#REF!</f>
        <v>#REF!</v>
      </c>
      <c r="D207" s="20" t="str">
        <f t="shared" si="616"/>
        <v>#REF!</v>
      </c>
      <c r="E207" s="20" t="str">
        <f t="shared" si="252"/>
        <v>#REF!</v>
      </c>
      <c r="F207" s="22" t="str">
        <f t="shared" si="2"/>
        <v>#REF!</v>
      </c>
      <c r="G207" s="20" t="str">
        <f t="shared" ref="G207:I207" si="617">#REF!</f>
        <v>#REF!</v>
      </c>
      <c r="H207" s="20" t="str">
        <f t="shared" si="617"/>
        <v>#REF!</v>
      </c>
      <c r="I207" s="20" t="str">
        <f t="shared" si="617"/>
        <v>#REF!</v>
      </c>
      <c r="J207" s="20" t="str">
        <f t="shared" si="254"/>
        <v>#REF!</v>
      </c>
      <c r="K207" s="20" t="str">
        <f t="shared" ref="K207:L207" si="618">#REF!</f>
        <v>#REF!</v>
      </c>
      <c r="L207" s="20" t="str">
        <f t="shared" si="618"/>
        <v>#REF!</v>
      </c>
    </row>
    <row r="208">
      <c r="A208" s="20" t="str">
        <f t="shared" si="249"/>
        <v>#REF!</v>
      </c>
      <c r="B208" s="20" t="str">
        <f t="shared" si="250"/>
        <v>#REF!</v>
      </c>
      <c r="C208" s="20" t="str">
        <f t="shared" ref="C208:D208" si="619">#REF!</f>
        <v>#REF!</v>
      </c>
      <c r="D208" s="20" t="str">
        <f t="shared" si="619"/>
        <v>#REF!</v>
      </c>
      <c r="E208" s="20" t="str">
        <f t="shared" si="252"/>
        <v>#REF!</v>
      </c>
      <c r="F208" s="22" t="str">
        <f t="shared" si="2"/>
        <v>#REF!</v>
      </c>
      <c r="G208" s="20" t="str">
        <f t="shared" ref="G208:I208" si="620">#REF!</f>
        <v>#REF!</v>
      </c>
      <c r="H208" s="20" t="str">
        <f t="shared" si="620"/>
        <v>#REF!</v>
      </c>
      <c r="I208" s="20" t="str">
        <f t="shared" si="620"/>
        <v>#REF!</v>
      </c>
      <c r="J208" s="20" t="str">
        <f t="shared" si="254"/>
        <v>#REF!</v>
      </c>
      <c r="K208" s="20" t="str">
        <f t="shared" ref="K208:L208" si="621">#REF!</f>
        <v>#REF!</v>
      </c>
      <c r="L208" s="20" t="str">
        <f t="shared" si="621"/>
        <v>#REF!</v>
      </c>
    </row>
    <row r="209">
      <c r="A209" s="20" t="str">
        <f t="shared" si="249"/>
        <v>#REF!</v>
      </c>
      <c r="B209" s="20" t="str">
        <f t="shared" si="250"/>
        <v>#REF!</v>
      </c>
      <c r="C209" s="20" t="str">
        <f t="shared" ref="C209:D209" si="622">#REF!</f>
        <v>#REF!</v>
      </c>
      <c r="D209" s="20" t="str">
        <f t="shared" si="622"/>
        <v>#REF!</v>
      </c>
      <c r="E209" s="20" t="str">
        <f t="shared" si="252"/>
        <v>#REF!</v>
      </c>
      <c r="F209" s="22" t="str">
        <f t="shared" si="2"/>
        <v>#REF!</v>
      </c>
      <c r="G209" s="20" t="str">
        <f t="shared" ref="G209:I209" si="623">#REF!</f>
        <v>#REF!</v>
      </c>
      <c r="H209" s="20" t="str">
        <f t="shared" si="623"/>
        <v>#REF!</v>
      </c>
      <c r="I209" s="20" t="str">
        <f t="shared" si="623"/>
        <v>#REF!</v>
      </c>
      <c r="J209" s="20" t="str">
        <f t="shared" si="254"/>
        <v>#REF!</v>
      </c>
      <c r="K209" s="20" t="str">
        <f t="shared" ref="K209:L209" si="624">#REF!</f>
        <v>#REF!</v>
      </c>
      <c r="L209" s="20" t="str">
        <f t="shared" si="624"/>
        <v>#REF!</v>
      </c>
    </row>
    <row r="210">
      <c r="A210" s="20" t="str">
        <f t="shared" si="249"/>
        <v>#REF!</v>
      </c>
      <c r="B210" s="20" t="str">
        <f t="shared" si="250"/>
        <v>#REF!</v>
      </c>
      <c r="C210" s="20" t="str">
        <f t="shared" ref="C210:D210" si="625">#REF!</f>
        <v>#REF!</v>
      </c>
      <c r="D210" s="20" t="str">
        <f t="shared" si="625"/>
        <v>#REF!</v>
      </c>
      <c r="E210" s="20" t="str">
        <f t="shared" si="252"/>
        <v>#REF!</v>
      </c>
      <c r="F210" s="22" t="str">
        <f t="shared" si="2"/>
        <v>#REF!</v>
      </c>
      <c r="G210" s="20" t="str">
        <f t="shared" ref="G210:I210" si="626">#REF!</f>
        <v>#REF!</v>
      </c>
      <c r="H210" s="20" t="str">
        <f t="shared" si="626"/>
        <v>#REF!</v>
      </c>
      <c r="I210" s="20" t="str">
        <f t="shared" si="626"/>
        <v>#REF!</v>
      </c>
      <c r="J210" s="20" t="str">
        <f t="shared" si="254"/>
        <v>#REF!</v>
      </c>
      <c r="K210" s="20" t="str">
        <f t="shared" ref="K210:L210" si="627">#REF!</f>
        <v>#REF!</v>
      </c>
      <c r="L210" s="20" t="str">
        <f t="shared" si="627"/>
        <v>#REF!</v>
      </c>
    </row>
    <row r="211">
      <c r="A211" s="20" t="str">
        <f t="shared" si="249"/>
        <v>#REF!</v>
      </c>
      <c r="B211" s="20" t="str">
        <f t="shared" si="250"/>
        <v>#REF!</v>
      </c>
      <c r="C211" s="20" t="str">
        <f t="shared" ref="C211:D211" si="628">#REF!</f>
        <v>#REF!</v>
      </c>
      <c r="D211" s="20" t="str">
        <f t="shared" si="628"/>
        <v>#REF!</v>
      </c>
      <c r="E211" s="20" t="str">
        <f t="shared" si="252"/>
        <v>#REF!</v>
      </c>
      <c r="F211" s="22" t="str">
        <f t="shared" si="2"/>
        <v>#REF!</v>
      </c>
      <c r="G211" s="20" t="str">
        <f t="shared" ref="G211:I211" si="629">#REF!</f>
        <v>#REF!</v>
      </c>
      <c r="H211" s="20" t="str">
        <f t="shared" si="629"/>
        <v>#REF!</v>
      </c>
      <c r="I211" s="20" t="str">
        <f t="shared" si="629"/>
        <v>#REF!</v>
      </c>
      <c r="J211" s="20" t="str">
        <f t="shared" si="254"/>
        <v>#REF!</v>
      </c>
      <c r="K211" s="20" t="str">
        <f t="shared" ref="K211:L211" si="630">#REF!</f>
        <v>#REF!</v>
      </c>
      <c r="L211" s="20" t="str">
        <f t="shared" si="630"/>
        <v>#REF!</v>
      </c>
    </row>
    <row r="212">
      <c r="A212" s="20" t="str">
        <f t="shared" si="249"/>
        <v>#REF!</v>
      </c>
      <c r="B212" s="20" t="str">
        <f t="shared" si="250"/>
        <v>#REF!</v>
      </c>
      <c r="C212" s="20" t="str">
        <f t="shared" ref="C212:D212" si="631">#REF!</f>
        <v>#REF!</v>
      </c>
      <c r="D212" s="20" t="str">
        <f t="shared" si="631"/>
        <v>#REF!</v>
      </c>
      <c r="E212" s="20" t="str">
        <f t="shared" si="252"/>
        <v>#REF!</v>
      </c>
      <c r="F212" s="22" t="str">
        <f t="shared" si="2"/>
        <v>#REF!</v>
      </c>
      <c r="G212" s="20" t="str">
        <f t="shared" ref="G212:I212" si="632">#REF!</f>
        <v>#REF!</v>
      </c>
      <c r="H212" s="20" t="str">
        <f t="shared" si="632"/>
        <v>#REF!</v>
      </c>
      <c r="I212" s="20" t="str">
        <f t="shared" si="632"/>
        <v>#REF!</v>
      </c>
      <c r="J212" s="20" t="str">
        <f t="shared" si="254"/>
        <v>#REF!</v>
      </c>
      <c r="K212" s="20" t="str">
        <f t="shared" ref="K212:L212" si="633">#REF!</f>
        <v>#REF!</v>
      </c>
      <c r="L212" s="20" t="str">
        <f t="shared" si="633"/>
        <v>#REF!</v>
      </c>
    </row>
    <row r="213">
      <c r="A213" s="20" t="str">
        <f t="shared" si="249"/>
        <v>#REF!</v>
      </c>
      <c r="B213" s="20" t="str">
        <f t="shared" si="250"/>
        <v>#REF!</v>
      </c>
      <c r="C213" s="20" t="str">
        <f t="shared" ref="C213:D213" si="634">#REF!</f>
        <v>#REF!</v>
      </c>
      <c r="D213" s="20" t="str">
        <f t="shared" si="634"/>
        <v>#REF!</v>
      </c>
      <c r="E213" s="20" t="str">
        <f t="shared" si="252"/>
        <v>#REF!</v>
      </c>
      <c r="F213" s="22" t="str">
        <f t="shared" si="2"/>
        <v>#REF!</v>
      </c>
      <c r="G213" s="20" t="str">
        <f t="shared" ref="G213:I213" si="635">#REF!</f>
        <v>#REF!</v>
      </c>
      <c r="H213" s="20" t="str">
        <f t="shared" si="635"/>
        <v>#REF!</v>
      </c>
      <c r="I213" s="20" t="str">
        <f t="shared" si="635"/>
        <v>#REF!</v>
      </c>
      <c r="J213" s="20" t="str">
        <f t="shared" si="254"/>
        <v>#REF!</v>
      </c>
      <c r="K213" s="20" t="str">
        <f t="shared" ref="K213:L213" si="636">#REF!</f>
        <v>#REF!</v>
      </c>
      <c r="L213" s="20" t="str">
        <f t="shared" si="636"/>
        <v>#REF!</v>
      </c>
    </row>
    <row r="214">
      <c r="A214" s="20" t="str">
        <f t="shared" si="249"/>
        <v>#REF!</v>
      </c>
      <c r="B214" s="20" t="str">
        <f t="shared" si="250"/>
        <v>#REF!</v>
      </c>
      <c r="C214" s="20" t="str">
        <f t="shared" ref="C214:D214" si="637">#REF!</f>
        <v>#REF!</v>
      </c>
      <c r="D214" s="20" t="str">
        <f t="shared" si="637"/>
        <v>#REF!</v>
      </c>
      <c r="E214" s="20" t="str">
        <f t="shared" si="252"/>
        <v>#REF!</v>
      </c>
      <c r="F214" s="22" t="str">
        <f t="shared" si="2"/>
        <v>#REF!</v>
      </c>
      <c r="G214" s="20" t="str">
        <f t="shared" ref="G214:I214" si="638">#REF!</f>
        <v>#REF!</v>
      </c>
      <c r="H214" s="20" t="str">
        <f t="shared" si="638"/>
        <v>#REF!</v>
      </c>
      <c r="I214" s="20" t="str">
        <f t="shared" si="638"/>
        <v>#REF!</v>
      </c>
      <c r="J214" s="20" t="str">
        <f t="shared" si="254"/>
        <v>#REF!</v>
      </c>
      <c r="K214" s="20" t="str">
        <f t="shared" ref="K214:L214" si="639">#REF!</f>
        <v>#REF!</v>
      </c>
      <c r="L214" s="20" t="str">
        <f t="shared" si="639"/>
        <v>#REF!</v>
      </c>
    </row>
    <row r="215">
      <c r="A215" s="20" t="str">
        <f t="shared" si="249"/>
        <v>#REF!</v>
      </c>
      <c r="B215" s="20" t="str">
        <f t="shared" si="250"/>
        <v>#REF!</v>
      </c>
      <c r="C215" s="20" t="str">
        <f t="shared" ref="C215:D215" si="640">#REF!</f>
        <v>#REF!</v>
      </c>
      <c r="D215" s="20" t="str">
        <f t="shared" si="640"/>
        <v>#REF!</v>
      </c>
      <c r="E215" s="20" t="str">
        <f t="shared" si="252"/>
        <v>#REF!</v>
      </c>
      <c r="F215" s="22" t="str">
        <f t="shared" si="2"/>
        <v>#REF!</v>
      </c>
      <c r="G215" s="20" t="str">
        <f t="shared" ref="G215:I215" si="641">#REF!</f>
        <v>#REF!</v>
      </c>
      <c r="H215" s="20" t="str">
        <f t="shared" si="641"/>
        <v>#REF!</v>
      </c>
      <c r="I215" s="20" t="str">
        <f t="shared" si="641"/>
        <v>#REF!</v>
      </c>
      <c r="J215" s="20" t="str">
        <f t="shared" si="254"/>
        <v>#REF!</v>
      </c>
      <c r="K215" s="20" t="str">
        <f t="shared" ref="K215:L215" si="642">#REF!</f>
        <v>#REF!</v>
      </c>
      <c r="L215" s="20" t="str">
        <f t="shared" si="642"/>
        <v>#REF!</v>
      </c>
    </row>
    <row r="216">
      <c r="A216" s="20" t="str">
        <f t="shared" si="249"/>
        <v>#REF!</v>
      </c>
      <c r="B216" s="20" t="str">
        <f t="shared" si="250"/>
        <v>#REF!</v>
      </c>
      <c r="C216" s="20" t="str">
        <f t="shared" ref="C216:D216" si="643">#REF!</f>
        <v>#REF!</v>
      </c>
      <c r="D216" s="20" t="str">
        <f t="shared" si="643"/>
        <v>#REF!</v>
      </c>
      <c r="E216" s="20" t="str">
        <f t="shared" si="252"/>
        <v>#REF!</v>
      </c>
      <c r="F216" s="22" t="str">
        <f t="shared" si="2"/>
        <v>#REF!</v>
      </c>
      <c r="G216" s="20" t="str">
        <f t="shared" ref="G216:I216" si="644">#REF!</f>
        <v>#REF!</v>
      </c>
      <c r="H216" s="20" t="str">
        <f t="shared" si="644"/>
        <v>#REF!</v>
      </c>
      <c r="I216" s="20" t="str">
        <f t="shared" si="644"/>
        <v>#REF!</v>
      </c>
      <c r="J216" s="20" t="str">
        <f t="shared" si="254"/>
        <v>#REF!</v>
      </c>
      <c r="K216" s="20" t="str">
        <f t="shared" ref="K216:L216" si="645">#REF!</f>
        <v>#REF!</v>
      </c>
      <c r="L216" s="20" t="str">
        <f t="shared" si="645"/>
        <v>#REF!</v>
      </c>
    </row>
    <row r="217">
      <c r="A217" s="20" t="str">
        <f t="shared" si="249"/>
        <v>#REF!</v>
      </c>
      <c r="B217" s="20" t="str">
        <f t="shared" si="250"/>
        <v>#REF!</v>
      </c>
      <c r="C217" s="20" t="str">
        <f t="shared" ref="C217:D217" si="646">#REF!</f>
        <v>#REF!</v>
      </c>
      <c r="D217" s="20" t="str">
        <f t="shared" si="646"/>
        <v>#REF!</v>
      </c>
      <c r="E217" s="20" t="str">
        <f t="shared" si="252"/>
        <v>#REF!</v>
      </c>
      <c r="F217" s="22" t="str">
        <f t="shared" si="2"/>
        <v>#REF!</v>
      </c>
      <c r="G217" s="20" t="str">
        <f t="shared" ref="G217:I217" si="647">#REF!</f>
        <v>#REF!</v>
      </c>
      <c r="H217" s="20" t="str">
        <f t="shared" si="647"/>
        <v>#REF!</v>
      </c>
      <c r="I217" s="20" t="str">
        <f t="shared" si="647"/>
        <v>#REF!</v>
      </c>
      <c r="J217" s="20" t="str">
        <f t="shared" si="254"/>
        <v>#REF!</v>
      </c>
      <c r="K217" s="20" t="str">
        <f t="shared" ref="K217:L217" si="648">#REF!</f>
        <v>#REF!</v>
      </c>
      <c r="L217" s="20" t="str">
        <f t="shared" si="648"/>
        <v>#REF!</v>
      </c>
    </row>
    <row r="218">
      <c r="A218" s="20" t="str">
        <f t="shared" si="249"/>
        <v>#REF!</v>
      </c>
      <c r="B218" s="20" t="str">
        <f t="shared" si="250"/>
        <v>#REF!</v>
      </c>
      <c r="C218" s="20" t="str">
        <f t="shared" ref="C218:D218" si="649">#REF!</f>
        <v>#REF!</v>
      </c>
      <c r="D218" s="20" t="str">
        <f t="shared" si="649"/>
        <v>#REF!</v>
      </c>
      <c r="E218" s="20" t="str">
        <f t="shared" si="252"/>
        <v>#REF!</v>
      </c>
      <c r="F218" s="22" t="str">
        <f t="shared" si="2"/>
        <v>#REF!</v>
      </c>
      <c r="G218" s="20" t="str">
        <f t="shared" ref="G218:I218" si="650">#REF!</f>
        <v>#REF!</v>
      </c>
      <c r="H218" s="20" t="str">
        <f t="shared" si="650"/>
        <v>#REF!</v>
      </c>
      <c r="I218" s="20" t="str">
        <f t="shared" si="650"/>
        <v>#REF!</v>
      </c>
      <c r="J218" s="20" t="str">
        <f t="shared" si="254"/>
        <v>#REF!</v>
      </c>
      <c r="K218" s="20" t="str">
        <f t="shared" ref="K218:L218" si="651">#REF!</f>
        <v>#REF!</v>
      </c>
      <c r="L218" s="20" t="str">
        <f t="shared" si="651"/>
        <v>#REF!</v>
      </c>
    </row>
    <row r="219">
      <c r="A219" s="20" t="str">
        <f t="shared" si="249"/>
        <v>#REF!</v>
      </c>
      <c r="B219" s="20" t="str">
        <f t="shared" si="250"/>
        <v>#REF!</v>
      </c>
      <c r="C219" s="20" t="str">
        <f t="shared" ref="C219:D219" si="652">#REF!</f>
        <v>#REF!</v>
      </c>
      <c r="D219" s="20" t="str">
        <f t="shared" si="652"/>
        <v>#REF!</v>
      </c>
      <c r="E219" s="20" t="str">
        <f t="shared" si="252"/>
        <v>#REF!</v>
      </c>
      <c r="F219" s="22" t="str">
        <f t="shared" si="2"/>
        <v>#REF!</v>
      </c>
      <c r="G219" s="20" t="str">
        <f t="shared" ref="G219:I219" si="653">#REF!</f>
        <v>#REF!</v>
      </c>
      <c r="H219" s="20" t="str">
        <f t="shared" si="653"/>
        <v>#REF!</v>
      </c>
      <c r="I219" s="20" t="str">
        <f t="shared" si="653"/>
        <v>#REF!</v>
      </c>
      <c r="J219" s="20" t="str">
        <f t="shared" si="254"/>
        <v>#REF!</v>
      </c>
      <c r="K219" s="20" t="str">
        <f t="shared" ref="K219:L219" si="654">#REF!</f>
        <v>#REF!</v>
      </c>
      <c r="L219" s="20" t="str">
        <f t="shared" si="654"/>
        <v>#REF!</v>
      </c>
    </row>
    <row r="220">
      <c r="A220" s="20" t="str">
        <f t="shared" si="249"/>
        <v>#REF!</v>
      </c>
      <c r="B220" s="20" t="str">
        <f t="shared" si="250"/>
        <v>#REF!</v>
      </c>
      <c r="C220" s="20" t="str">
        <f t="shared" ref="C220:D220" si="655">#REF!</f>
        <v>#REF!</v>
      </c>
      <c r="D220" s="20" t="str">
        <f t="shared" si="655"/>
        <v>#REF!</v>
      </c>
      <c r="E220" s="20" t="str">
        <f t="shared" si="252"/>
        <v>#REF!</v>
      </c>
      <c r="F220" s="22" t="str">
        <f t="shared" si="2"/>
        <v>#REF!</v>
      </c>
      <c r="G220" s="20" t="str">
        <f t="shared" ref="G220:I220" si="656">#REF!</f>
        <v>#REF!</v>
      </c>
      <c r="H220" s="20" t="str">
        <f t="shared" si="656"/>
        <v>#REF!</v>
      </c>
      <c r="I220" s="20" t="str">
        <f t="shared" si="656"/>
        <v>#REF!</v>
      </c>
      <c r="J220" s="20" t="str">
        <f t="shared" si="254"/>
        <v>#REF!</v>
      </c>
      <c r="K220" s="20" t="str">
        <f t="shared" ref="K220:L220" si="657">#REF!</f>
        <v>#REF!</v>
      </c>
      <c r="L220" s="20" t="str">
        <f t="shared" si="657"/>
        <v>#REF!</v>
      </c>
    </row>
    <row r="221">
      <c r="A221" s="20" t="str">
        <f t="shared" si="249"/>
        <v>#REF!</v>
      </c>
      <c r="B221" s="20" t="str">
        <f t="shared" si="250"/>
        <v>#REF!</v>
      </c>
      <c r="C221" s="20" t="str">
        <f t="shared" ref="C221:D221" si="658">#REF!</f>
        <v>#REF!</v>
      </c>
      <c r="D221" s="20" t="str">
        <f t="shared" si="658"/>
        <v>#REF!</v>
      </c>
      <c r="E221" s="20" t="str">
        <f t="shared" si="252"/>
        <v>#REF!</v>
      </c>
      <c r="F221" s="22" t="str">
        <f t="shared" si="2"/>
        <v>#REF!</v>
      </c>
      <c r="G221" s="20" t="str">
        <f t="shared" ref="G221:I221" si="659">#REF!</f>
        <v>#REF!</v>
      </c>
      <c r="H221" s="20" t="str">
        <f t="shared" si="659"/>
        <v>#REF!</v>
      </c>
      <c r="I221" s="20" t="str">
        <f t="shared" si="659"/>
        <v>#REF!</v>
      </c>
      <c r="J221" s="20" t="str">
        <f t="shared" si="254"/>
        <v>#REF!</v>
      </c>
      <c r="K221" s="20" t="str">
        <f t="shared" ref="K221:L221" si="660">#REF!</f>
        <v>#REF!</v>
      </c>
      <c r="L221" s="20" t="str">
        <f t="shared" si="660"/>
        <v>#REF!</v>
      </c>
    </row>
    <row r="222">
      <c r="A222" s="20" t="str">
        <f t="shared" si="249"/>
        <v>#REF!</v>
      </c>
      <c r="B222" s="20" t="str">
        <f t="shared" si="250"/>
        <v>#REF!</v>
      </c>
      <c r="C222" s="20" t="str">
        <f t="shared" ref="C222:D222" si="661">#REF!</f>
        <v>#REF!</v>
      </c>
      <c r="D222" s="20" t="str">
        <f t="shared" si="661"/>
        <v>#REF!</v>
      </c>
      <c r="E222" s="20" t="str">
        <f t="shared" si="252"/>
        <v>#REF!</v>
      </c>
      <c r="F222" s="22" t="str">
        <f t="shared" si="2"/>
        <v>#REF!</v>
      </c>
      <c r="G222" s="20" t="str">
        <f t="shared" ref="G222:I222" si="662">#REF!</f>
        <v>#REF!</v>
      </c>
      <c r="H222" s="20" t="str">
        <f t="shared" si="662"/>
        <v>#REF!</v>
      </c>
      <c r="I222" s="20" t="str">
        <f t="shared" si="662"/>
        <v>#REF!</v>
      </c>
      <c r="J222" s="20" t="str">
        <f t="shared" si="254"/>
        <v>#REF!</v>
      </c>
      <c r="K222" s="20" t="str">
        <f t="shared" ref="K222:L222" si="663">#REF!</f>
        <v>#REF!</v>
      </c>
      <c r="L222" s="20" t="str">
        <f t="shared" si="663"/>
        <v>#REF!</v>
      </c>
    </row>
    <row r="223">
      <c r="A223" s="20" t="str">
        <f t="shared" si="249"/>
        <v>#REF!</v>
      </c>
      <c r="B223" s="20" t="str">
        <f t="shared" si="250"/>
        <v>#REF!</v>
      </c>
      <c r="C223" s="20" t="str">
        <f t="shared" ref="C223:D223" si="664">#REF!</f>
        <v>#REF!</v>
      </c>
      <c r="D223" s="20" t="str">
        <f t="shared" si="664"/>
        <v>#REF!</v>
      </c>
      <c r="E223" s="20" t="str">
        <f t="shared" si="252"/>
        <v>#REF!</v>
      </c>
      <c r="F223" s="22" t="str">
        <f t="shared" si="2"/>
        <v>#REF!</v>
      </c>
      <c r="G223" s="20" t="str">
        <f t="shared" ref="G223:I223" si="665">#REF!</f>
        <v>#REF!</v>
      </c>
      <c r="H223" s="20" t="str">
        <f t="shared" si="665"/>
        <v>#REF!</v>
      </c>
      <c r="I223" s="20" t="str">
        <f t="shared" si="665"/>
        <v>#REF!</v>
      </c>
      <c r="J223" s="20" t="str">
        <f t="shared" si="254"/>
        <v>#REF!</v>
      </c>
      <c r="K223" s="20" t="str">
        <f t="shared" ref="K223:L223" si="666">#REF!</f>
        <v>#REF!</v>
      </c>
      <c r="L223" s="20" t="str">
        <f t="shared" si="666"/>
        <v>#REF!</v>
      </c>
    </row>
    <row r="224">
      <c r="A224" s="20" t="str">
        <f t="shared" si="249"/>
        <v>#REF!</v>
      </c>
      <c r="B224" s="20" t="str">
        <f t="shared" si="250"/>
        <v>#REF!</v>
      </c>
      <c r="C224" s="20" t="str">
        <f t="shared" ref="C224:D224" si="667">#REF!</f>
        <v>#REF!</v>
      </c>
      <c r="D224" s="20" t="str">
        <f t="shared" si="667"/>
        <v>#REF!</v>
      </c>
      <c r="E224" s="20" t="str">
        <f t="shared" si="252"/>
        <v>#REF!</v>
      </c>
      <c r="F224" s="22" t="str">
        <f t="shared" si="2"/>
        <v>#REF!</v>
      </c>
      <c r="G224" s="20" t="str">
        <f t="shared" ref="G224:I224" si="668">#REF!</f>
        <v>#REF!</v>
      </c>
      <c r="H224" s="20" t="str">
        <f t="shared" si="668"/>
        <v>#REF!</v>
      </c>
      <c r="I224" s="20" t="str">
        <f t="shared" si="668"/>
        <v>#REF!</v>
      </c>
      <c r="J224" s="20" t="str">
        <f t="shared" si="254"/>
        <v>#REF!</v>
      </c>
      <c r="K224" s="20" t="str">
        <f t="shared" ref="K224:L224" si="669">#REF!</f>
        <v>#REF!</v>
      </c>
      <c r="L224" s="20" t="str">
        <f t="shared" si="669"/>
        <v>#REF!</v>
      </c>
    </row>
    <row r="225">
      <c r="A225" s="20" t="str">
        <f t="shared" si="249"/>
        <v>#REF!</v>
      </c>
      <c r="B225" s="20" t="str">
        <f t="shared" si="250"/>
        <v>#REF!</v>
      </c>
      <c r="C225" s="20" t="str">
        <f t="shared" ref="C225:D225" si="670">#REF!</f>
        <v>#REF!</v>
      </c>
      <c r="D225" s="20" t="str">
        <f t="shared" si="670"/>
        <v>#REF!</v>
      </c>
      <c r="E225" s="20" t="str">
        <f t="shared" si="252"/>
        <v>#REF!</v>
      </c>
      <c r="F225" s="22" t="str">
        <f t="shared" si="2"/>
        <v>#REF!</v>
      </c>
      <c r="G225" s="20" t="str">
        <f t="shared" ref="G225:I225" si="671">#REF!</f>
        <v>#REF!</v>
      </c>
      <c r="H225" s="20" t="str">
        <f t="shared" si="671"/>
        <v>#REF!</v>
      </c>
      <c r="I225" s="20" t="str">
        <f t="shared" si="671"/>
        <v>#REF!</v>
      </c>
      <c r="J225" s="20" t="str">
        <f t="shared" si="254"/>
        <v>#REF!</v>
      </c>
      <c r="K225" s="20" t="str">
        <f t="shared" ref="K225:L225" si="672">#REF!</f>
        <v>#REF!</v>
      </c>
      <c r="L225" s="20" t="str">
        <f t="shared" si="672"/>
        <v>#REF!</v>
      </c>
    </row>
    <row r="226">
      <c r="A226" s="20" t="str">
        <f t="shared" si="249"/>
        <v>#REF!</v>
      </c>
      <c r="B226" s="20" t="str">
        <f t="shared" si="250"/>
        <v>#REF!</v>
      </c>
      <c r="C226" s="20" t="str">
        <f t="shared" ref="C226:D226" si="673">#REF!</f>
        <v>#REF!</v>
      </c>
      <c r="D226" s="20" t="str">
        <f t="shared" si="673"/>
        <v>#REF!</v>
      </c>
      <c r="E226" s="20" t="str">
        <f t="shared" si="252"/>
        <v>#REF!</v>
      </c>
      <c r="F226" s="22" t="str">
        <f t="shared" si="2"/>
        <v>#REF!</v>
      </c>
      <c r="G226" s="20" t="str">
        <f t="shared" ref="G226:I226" si="674">#REF!</f>
        <v>#REF!</v>
      </c>
      <c r="H226" s="20" t="str">
        <f t="shared" si="674"/>
        <v>#REF!</v>
      </c>
      <c r="I226" s="20" t="str">
        <f t="shared" si="674"/>
        <v>#REF!</v>
      </c>
      <c r="J226" s="20" t="str">
        <f t="shared" si="254"/>
        <v>#REF!</v>
      </c>
      <c r="K226" s="20" t="str">
        <f t="shared" ref="K226:L226" si="675">#REF!</f>
        <v>#REF!</v>
      </c>
      <c r="L226" s="20" t="str">
        <f t="shared" si="675"/>
        <v>#REF!</v>
      </c>
    </row>
    <row r="227">
      <c r="A227" s="20" t="str">
        <f t="shared" si="249"/>
        <v>#REF!</v>
      </c>
      <c r="B227" s="20" t="str">
        <f t="shared" si="250"/>
        <v>#REF!</v>
      </c>
      <c r="C227" s="20" t="str">
        <f t="shared" ref="C227:D227" si="676">#REF!</f>
        <v>#REF!</v>
      </c>
      <c r="D227" s="20" t="str">
        <f t="shared" si="676"/>
        <v>#REF!</v>
      </c>
      <c r="E227" s="20" t="str">
        <f t="shared" si="252"/>
        <v>#REF!</v>
      </c>
      <c r="F227" s="22" t="str">
        <f t="shared" si="2"/>
        <v>#REF!</v>
      </c>
      <c r="G227" s="20" t="str">
        <f t="shared" ref="G227:I227" si="677">#REF!</f>
        <v>#REF!</v>
      </c>
      <c r="H227" s="20" t="str">
        <f t="shared" si="677"/>
        <v>#REF!</v>
      </c>
      <c r="I227" s="20" t="str">
        <f t="shared" si="677"/>
        <v>#REF!</v>
      </c>
      <c r="J227" s="20" t="str">
        <f t="shared" si="254"/>
        <v>#REF!</v>
      </c>
      <c r="K227" s="20" t="str">
        <f t="shared" ref="K227:L227" si="678">#REF!</f>
        <v>#REF!</v>
      </c>
      <c r="L227" s="20" t="str">
        <f t="shared" si="678"/>
        <v>#REF!</v>
      </c>
    </row>
    <row r="228">
      <c r="A228" s="20" t="str">
        <f t="shared" si="249"/>
        <v>#REF!</v>
      </c>
      <c r="B228" s="20" t="str">
        <f t="shared" si="250"/>
        <v>#REF!</v>
      </c>
      <c r="C228" s="20" t="str">
        <f t="shared" ref="C228:D228" si="679">#REF!</f>
        <v>#REF!</v>
      </c>
      <c r="D228" s="20" t="str">
        <f t="shared" si="679"/>
        <v>#REF!</v>
      </c>
      <c r="E228" s="20" t="str">
        <f t="shared" si="252"/>
        <v>#REF!</v>
      </c>
      <c r="F228" s="22" t="str">
        <f t="shared" si="2"/>
        <v>#REF!</v>
      </c>
      <c r="G228" s="20" t="str">
        <f t="shared" ref="G228:I228" si="680">#REF!</f>
        <v>#REF!</v>
      </c>
      <c r="H228" s="20" t="str">
        <f t="shared" si="680"/>
        <v>#REF!</v>
      </c>
      <c r="I228" s="20" t="str">
        <f t="shared" si="680"/>
        <v>#REF!</v>
      </c>
      <c r="J228" s="20" t="str">
        <f t="shared" si="254"/>
        <v>#REF!</v>
      </c>
      <c r="K228" s="20" t="str">
        <f t="shared" ref="K228:L228" si="681">#REF!</f>
        <v>#REF!</v>
      </c>
      <c r="L228" s="20" t="str">
        <f t="shared" si="681"/>
        <v>#REF!</v>
      </c>
    </row>
    <row r="229">
      <c r="A229" s="20" t="str">
        <f t="shared" si="249"/>
        <v>#REF!</v>
      </c>
      <c r="B229" s="20" t="str">
        <f t="shared" si="250"/>
        <v>#REF!</v>
      </c>
      <c r="C229" s="20" t="str">
        <f t="shared" ref="C229:D229" si="682">#REF!</f>
        <v>#REF!</v>
      </c>
      <c r="D229" s="20" t="str">
        <f t="shared" si="682"/>
        <v>#REF!</v>
      </c>
      <c r="E229" s="20" t="str">
        <f t="shared" si="252"/>
        <v>#REF!</v>
      </c>
      <c r="F229" s="22" t="str">
        <f t="shared" si="2"/>
        <v>#REF!</v>
      </c>
      <c r="G229" s="20" t="str">
        <f t="shared" ref="G229:I229" si="683">#REF!</f>
        <v>#REF!</v>
      </c>
      <c r="H229" s="20" t="str">
        <f t="shared" si="683"/>
        <v>#REF!</v>
      </c>
      <c r="I229" s="20" t="str">
        <f t="shared" si="683"/>
        <v>#REF!</v>
      </c>
      <c r="J229" s="20" t="str">
        <f t="shared" si="254"/>
        <v>#REF!</v>
      </c>
      <c r="K229" s="20" t="str">
        <f t="shared" ref="K229:L229" si="684">#REF!</f>
        <v>#REF!</v>
      </c>
      <c r="L229" s="20" t="str">
        <f t="shared" si="684"/>
        <v>#REF!</v>
      </c>
    </row>
    <row r="230">
      <c r="A230" s="20" t="str">
        <f t="shared" si="249"/>
        <v>#REF!</v>
      </c>
      <c r="B230" s="20" t="str">
        <f t="shared" si="250"/>
        <v>#REF!</v>
      </c>
      <c r="C230" s="20" t="str">
        <f t="shared" ref="C230:D230" si="685">#REF!</f>
        <v>#REF!</v>
      </c>
      <c r="D230" s="20" t="str">
        <f t="shared" si="685"/>
        <v>#REF!</v>
      </c>
      <c r="E230" s="20" t="str">
        <f t="shared" si="252"/>
        <v>#REF!</v>
      </c>
      <c r="F230" s="22" t="str">
        <f t="shared" si="2"/>
        <v>#REF!</v>
      </c>
      <c r="G230" s="20" t="str">
        <f t="shared" ref="G230:I230" si="686">#REF!</f>
        <v>#REF!</v>
      </c>
      <c r="H230" s="20" t="str">
        <f t="shared" si="686"/>
        <v>#REF!</v>
      </c>
      <c r="I230" s="20" t="str">
        <f t="shared" si="686"/>
        <v>#REF!</v>
      </c>
      <c r="J230" s="20" t="str">
        <f t="shared" si="254"/>
        <v>#REF!</v>
      </c>
      <c r="K230" s="20" t="str">
        <f t="shared" ref="K230:L230" si="687">#REF!</f>
        <v>#REF!</v>
      </c>
      <c r="L230" s="20" t="str">
        <f t="shared" si="687"/>
        <v>#REF!</v>
      </c>
    </row>
    <row r="231">
      <c r="A231" s="20" t="str">
        <f t="shared" si="249"/>
        <v>#REF!</v>
      </c>
      <c r="B231" s="20" t="str">
        <f t="shared" si="250"/>
        <v>#REF!</v>
      </c>
      <c r="C231" s="20" t="str">
        <f t="shared" ref="C231:D231" si="688">#REF!</f>
        <v>#REF!</v>
      </c>
      <c r="D231" s="20" t="str">
        <f t="shared" si="688"/>
        <v>#REF!</v>
      </c>
      <c r="E231" s="20" t="str">
        <f t="shared" si="252"/>
        <v>#REF!</v>
      </c>
      <c r="F231" s="22" t="str">
        <f t="shared" si="2"/>
        <v>#REF!</v>
      </c>
      <c r="G231" s="20" t="str">
        <f t="shared" ref="G231:I231" si="689">#REF!</f>
        <v>#REF!</v>
      </c>
      <c r="H231" s="20" t="str">
        <f t="shared" si="689"/>
        <v>#REF!</v>
      </c>
      <c r="I231" s="20" t="str">
        <f t="shared" si="689"/>
        <v>#REF!</v>
      </c>
      <c r="J231" s="20" t="str">
        <f t="shared" si="254"/>
        <v>#REF!</v>
      </c>
      <c r="K231" s="20" t="str">
        <f t="shared" ref="K231:L231" si="690">#REF!</f>
        <v>#REF!</v>
      </c>
      <c r="L231" s="20" t="str">
        <f t="shared" si="690"/>
        <v>#REF!</v>
      </c>
    </row>
    <row r="232">
      <c r="A232" s="20" t="str">
        <f t="shared" si="249"/>
        <v>#REF!</v>
      </c>
      <c r="B232" s="20" t="str">
        <f t="shared" si="250"/>
        <v>#REF!</v>
      </c>
      <c r="C232" s="20" t="str">
        <f t="shared" ref="C232:D232" si="691">#REF!</f>
        <v>#REF!</v>
      </c>
      <c r="D232" s="20" t="str">
        <f t="shared" si="691"/>
        <v>#REF!</v>
      </c>
      <c r="E232" s="20" t="str">
        <f t="shared" si="252"/>
        <v>#REF!</v>
      </c>
      <c r="F232" s="22" t="str">
        <f t="shared" si="2"/>
        <v>#REF!</v>
      </c>
      <c r="G232" s="20" t="str">
        <f t="shared" ref="G232:I232" si="692">#REF!</f>
        <v>#REF!</v>
      </c>
      <c r="H232" s="20" t="str">
        <f t="shared" si="692"/>
        <v>#REF!</v>
      </c>
      <c r="I232" s="20" t="str">
        <f t="shared" si="692"/>
        <v>#REF!</v>
      </c>
      <c r="J232" s="20" t="str">
        <f t="shared" si="254"/>
        <v>#REF!</v>
      </c>
      <c r="K232" s="20" t="str">
        <f t="shared" ref="K232:L232" si="693">#REF!</f>
        <v>#REF!</v>
      </c>
      <c r="L232" s="20" t="str">
        <f t="shared" si="693"/>
        <v>#REF!</v>
      </c>
    </row>
    <row r="233">
      <c r="A233" s="20" t="str">
        <f t="shared" si="249"/>
        <v>#REF!</v>
      </c>
      <c r="B233" s="20" t="str">
        <f t="shared" si="250"/>
        <v>#REF!</v>
      </c>
      <c r="C233" s="20" t="str">
        <f t="shared" ref="C233:D233" si="694">#REF!</f>
        <v>#REF!</v>
      </c>
      <c r="D233" s="20" t="str">
        <f t="shared" si="694"/>
        <v>#REF!</v>
      </c>
      <c r="E233" s="20" t="str">
        <f t="shared" si="252"/>
        <v>#REF!</v>
      </c>
      <c r="F233" s="22" t="str">
        <f t="shared" si="2"/>
        <v>#REF!</v>
      </c>
      <c r="G233" s="20" t="str">
        <f t="shared" ref="G233:I233" si="695">#REF!</f>
        <v>#REF!</v>
      </c>
      <c r="H233" s="20" t="str">
        <f t="shared" si="695"/>
        <v>#REF!</v>
      </c>
      <c r="I233" s="20" t="str">
        <f t="shared" si="695"/>
        <v>#REF!</v>
      </c>
      <c r="J233" s="20" t="str">
        <f t="shared" si="254"/>
        <v>#REF!</v>
      </c>
      <c r="K233" s="20" t="str">
        <f t="shared" ref="K233:L233" si="696">#REF!</f>
        <v>#REF!</v>
      </c>
      <c r="L233" s="20" t="str">
        <f t="shared" si="696"/>
        <v>#REF!</v>
      </c>
    </row>
    <row r="234">
      <c r="A234" s="20" t="str">
        <f t="shared" si="249"/>
        <v>#REF!</v>
      </c>
      <c r="B234" s="20" t="str">
        <f t="shared" si="250"/>
        <v>#REF!</v>
      </c>
      <c r="C234" s="20" t="str">
        <f t="shared" ref="C234:D234" si="697">#REF!</f>
        <v>#REF!</v>
      </c>
      <c r="D234" s="20" t="str">
        <f t="shared" si="697"/>
        <v>#REF!</v>
      </c>
      <c r="E234" s="20" t="str">
        <f t="shared" si="252"/>
        <v>#REF!</v>
      </c>
      <c r="F234" s="22" t="str">
        <f t="shared" si="2"/>
        <v>#REF!</v>
      </c>
      <c r="G234" s="20" t="str">
        <f t="shared" ref="G234:I234" si="698">#REF!</f>
        <v>#REF!</v>
      </c>
      <c r="H234" s="20" t="str">
        <f t="shared" si="698"/>
        <v>#REF!</v>
      </c>
      <c r="I234" s="20" t="str">
        <f t="shared" si="698"/>
        <v>#REF!</v>
      </c>
      <c r="J234" s="20" t="str">
        <f t="shared" si="254"/>
        <v>#REF!</v>
      </c>
      <c r="K234" s="20" t="str">
        <f t="shared" ref="K234:L234" si="699">#REF!</f>
        <v>#REF!</v>
      </c>
      <c r="L234" s="20" t="str">
        <f t="shared" si="699"/>
        <v>#REF!</v>
      </c>
    </row>
    <row r="235">
      <c r="A235" s="20" t="str">
        <f t="shared" si="249"/>
        <v>#REF!</v>
      </c>
      <c r="B235" s="20" t="str">
        <f t="shared" si="250"/>
        <v>#REF!</v>
      </c>
      <c r="C235" s="20" t="str">
        <f t="shared" ref="C235:D235" si="700">#REF!</f>
        <v>#REF!</v>
      </c>
      <c r="D235" s="20" t="str">
        <f t="shared" si="700"/>
        <v>#REF!</v>
      </c>
      <c r="E235" s="20" t="str">
        <f t="shared" si="252"/>
        <v>#REF!</v>
      </c>
      <c r="F235" s="22" t="str">
        <f t="shared" si="2"/>
        <v>#REF!</v>
      </c>
      <c r="G235" s="20" t="str">
        <f t="shared" ref="G235:I235" si="701">#REF!</f>
        <v>#REF!</v>
      </c>
      <c r="H235" s="20" t="str">
        <f t="shared" si="701"/>
        <v>#REF!</v>
      </c>
      <c r="I235" s="20" t="str">
        <f t="shared" si="701"/>
        <v>#REF!</v>
      </c>
      <c r="J235" s="20" t="str">
        <f t="shared" si="254"/>
        <v>#REF!</v>
      </c>
      <c r="K235" s="20" t="str">
        <f t="shared" ref="K235:L235" si="702">#REF!</f>
        <v>#REF!</v>
      </c>
      <c r="L235" s="20" t="str">
        <f t="shared" si="702"/>
        <v>#REF!</v>
      </c>
    </row>
    <row r="236">
      <c r="A236" s="20" t="str">
        <f t="shared" si="249"/>
        <v>#REF!</v>
      </c>
      <c r="B236" s="20" t="str">
        <f t="shared" si="250"/>
        <v>#REF!</v>
      </c>
      <c r="C236" s="20" t="str">
        <f t="shared" ref="C236:D236" si="703">#REF!</f>
        <v>#REF!</v>
      </c>
      <c r="D236" s="20" t="str">
        <f t="shared" si="703"/>
        <v>#REF!</v>
      </c>
      <c r="E236" s="20" t="str">
        <f t="shared" si="252"/>
        <v>#REF!</v>
      </c>
      <c r="F236" s="22" t="str">
        <f t="shared" si="2"/>
        <v>#REF!</v>
      </c>
      <c r="G236" s="20" t="str">
        <f t="shared" ref="G236:I236" si="704">#REF!</f>
        <v>#REF!</v>
      </c>
      <c r="H236" s="20" t="str">
        <f t="shared" si="704"/>
        <v>#REF!</v>
      </c>
      <c r="I236" s="20" t="str">
        <f t="shared" si="704"/>
        <v>#REF!</v>
      </c>
      <c r="J236" s="20" t="str">
        <f t="shared" si="254"/>
        <v>#REF!</v>
      </c>
      <c r="K236" s="20" t="str">
        <f t="shared" ref="K236:L236" si="705">#REF!</f>
        <v>#REF!</v>
      </c>
      <c r="L236" s="20" t="str">
        <f t="shared" si="705"/>
        <v>#REF!</v>
      </c>
    </row>
    <row r="237">
      <c r="A237" s="20" t="str">
        <f t="shared" si="249"/>
        <v>#REF!</v>
      </c>
      <c r="B237" s="20" t="str">
        <f t="shared" si="250"/>
        <v>#REF!</v>
      </c>
      <c r="C237" s="20" t="str">
        <f t="shared" ref="C237:D237" si="706">#REF!</f>
        <v>#REF!</v>
      </c>
      <c r="D237" s="20" t="str">
        <f t="shared" si="706"/>
        <v>#REF!</v>
      </c>
      <c r="E237" s="20" t="str">
        <f t="shared" si="252"/>
        <v>#REF!</v>
      </c>
      <c r="F237" s="22" t="str">
        <f t="shared" si="2"/>
        <v>#REF!</v>
      </c>
      <c r="G237" s="20" t="str">
        <f t="shared" ref="G237:I237" si="707">#REF!</f>
        <v>#REF!</v>
      </c>
      <c r="H237" s="20" t="str">
        <f t="shared" si="707"/>
        <v>#REF!</v>
      </c>
      <c r="I237" s="20" t="str">
        <f t="shared" si="707"/>
        <v>#REF!</v>
      </c>
      <c r="J237" s="20" t="str">
        <f t="shared" si="254"/>
        <v>#REF!</v>
      </c>
      <c r="K237" s="20" t="str">
        <f t="shared" ref="K237:L237" si="708">#REF!</f>
        <v>#REF!</v>
      </c>
      <c r="L237" s="20" t="str">
        <f t="shared" si="708"/>
        <v>#REF!</v>
      </c>
    </row>
    <row r="238">
      <c r="A238" s="20" t="str">
        <f t="shared" si="249"/>
        <v>#REF!</v>
      </c>
      <c r="B238" s="20" t="str">
        <f t="shared" si="250"/>
        <v>#REF!</v>
      </c>
      <c r="C238" s="20" t="str">
        <f t="shared" ref="C238:D238" si="709">#REF!</f>
        <v>#REF!</v>
      </c>
      <c r="D238" s="20" t="str">
        <f t="shared" si="709"/>
        <v>#REF!</v>
      </c>
      <c r="E238" s="20" t="str">
        <f t="shared" si="252"/>
        <v>#REF!</v>
      </c>
      <c r="F238" s="22" t="str">
        <f t="shared" si="2"/>
        <v>#REF!</v>
      </c>
      <c r="G238" s="20" t="str">
        <f t="shared" ref="G238:I238" si="710">#REF!</f>
        <v>#REF!</v>
      </c>
      <c r="H238" s="20" t="str">
        <f t="shared" si="710"/>
        <v>#REF!</v>
      </c>
      <c r="I238" s="20" t="str">
        <f t="shared" si="710"/>
        <v>#REF!</v>
      </c>
      <c r="J238" s="20" t="str">
        <f t="shared" si="254"/>
        <v>#REF!</v>
      </c>
      <c r="K238" s="20" t="str">
        <f t="shared" ref="K238:L238" si="711">#REF!</f>
        <v>#REF!</v>
      </c>
      <c r="L238" s="20" t="str">
        <f t="shared" si="711"/>
        <v>#REF!</v>
      </c>
    </row>
    <row r="239">
      <c r="A239" s="20" t="str">
        <f t="shared" si="249"/>
        <v>#REF!</v>
      </c>
      <c r="B239" s="20" t="str">
        <f t="shared" si="250"/>
        <v>#REF!</v>
      </c>
      <c r="C239" s="20" t="str">
        <f t="shared" ref="C239:D239" si="712">#REF!</f>
        <v>#REF!</v>
      </c>
      <c r="D239" s="20" t="str">
        <f t="shared" si="712"/>
        <v>#REF!</v>
      </c>
      <c r="E239" s="20" t="str">
        <f t="shared" si="252"/>
        <v>#REF!</v>
      </c>
      <c r="F239" s="22" t="str">
        <f t="shared" si="2"/>
        <v>#REF!</v>
      </c>
      <c r="G239" s="20" t="str">
        <f t="shared" ref="G239:I239" si="713">#REF!</f>
        <v>#REF!</v>
      </c>
      <c r="H239" s="20" t="str">
        <f t="shared" si="713"/>
        <v>#REF!</v>
      </c>
      <c r="I239" s="20" t="str">
        <f t="shared" si="713"/>
        <v>#REF!</v>
      </c>
      <c r="J239" s="20" t="str">
        <f t="shared" si="254"/>
        <v>#REF!</v>
      </c>
      <c r="K239" s="20" t="str">
        <f t="shared" ref="K239:L239" si="714">#REF!</f>
        <v>#REF!</v>
      </c>
      <c r="L239" s="20" t="str">
        <f t="shared" si="714"/>
        <v>#REF!</v>
      </c>
    </row>
    <row r="240">
      <c r="A240" s="20" t="str">
        <f t="shared" si="249"/>
        <v>#REF!</v>
      </c>
      <c r="B240" s="20" t="str">
        <f t="shared" si="250"/>
        <v>#REF!</v>
      </c>
      <c r="C240" s="20" t="str">
        <f t="shared" ref="C240:D240" si="715">#REF!</f>
        <v>#REF!</v>
      </c>
      <c r="D240" s="20" t="str">
        <f t="shared" si="715"/>
        <v>#REF!</v>
      </c>
      <c r="E240" s="20" t="str">
        <f t="shared" si="252"/>
        <v>#REF!</v>
      </c>
      <c r="F240" s="22" t="str">
        <f t="shared" si="2"/>
        <v>#REF!</v>
      </c>
      <c r="G240" s="20" t="str">
        <f t="shared" ref="G240:I240" si="716">#REF!</f>
        <v>#REF!</v>
      </c>
      <c r="H240" s="20" t="str">
        <f t="shared" si="716"/>
        <v>#REF!</v>
      </c>
      <c r="I240" s="20" t="str">
        <f t="shared" si="716"/>
        <v>#REF!</v>
      </c>
      <c r="J240" s="20" t="str">
        <f t="shared" si="254"/>
        <v>#REF!</v>
      </c>
      <c r="K240" s="20" t="str">
        <f t="shared" ref="K240:L240" si="717">#REF!</f>
        <v>#REF!</v>
      </c>
      <c r="L240" s="20" t="str">
        <f t="shared" si="717"/>
        <v>#REF!</v>
      </c>
    </row>
    <row r="241">
      <c r="A241" s="20" t="str">
        <f t="shared" si="249"/>
        <v>#REF!</v>
      </c>
      <c r="B241" s="20" t="str">
        <f t="shared" si="250"/>
        <v>#REF!</v>
      </c>
      <c r="C241" s="20" t="str">
        <f t="shared" ref="C241:D241" si="718">#REF!</f>
        <v>#REF!</v>
      </c>
      <c r="D241" s="20" t="str">
        <f t="shared" si="718"/>
        <v>#REF!</v>
      </c>
      <c r="E241" s="20" t="str">
        <f t="shared" si="252"/>
        <v>#REF!</v>
      </c>
      <c r="F241" s="22" t="str">
        <f t="shared" si="2"/>
        <v>#REF!</v>
      </c>
      <c r="G241" s="20" t="str">
        <f t="shared" ref="G241:I241" si="719">#REF!</f>
        <v>#REF!</v>
      </c>
      <c r="H241" s="20" t="str">
        <f t="shared" si="719"/>
        <v>#REF!</v>
      </c>
      <c r="I241" s="20" t="str">
        <f t="shared" si="719"/>
        <v>#REF!</v>
      </c>
      <c r="J241" s="20" t="str">
        <f t="shared" si="254"/>
        <v>#REF!</v>
      </c>
      <c r="K241" s="20" t="str">
        <f t="shared" ref="K241:L241" si="720">#REF!</f>
        <v>#REF!</v>
      </c>
      <c r="L241" s="20" t="str">
        <f t="shared" si="720"/>
        <v>#REF!</v>
      </c>
    </row>
    <row r="242">
      <c r="A242" s="20" t="str">
        <f t="shared" si="249"/>
        <v>#REF!</v>
      </c>
      <c r="B242" s="20" t="str">
        <f t="shared" si="250"/>
        <v>#REF!</v>
      </c>
      <c r="C242" s="20" t="str">
        <f t="shared" ref="C242:D242" si="721">#REF!</f>
        <v>#REF!</v>
      </c>
      <c r="D242" s="20" t="str">
        <f t="shared" si="721"/>
        <v>#REF!</v>
      </c>
      <c r="E242" s="20" t="str">
        <f t="shared" si="252"/>
        <v>#REF!</v>
      </c>
      <c r="F242" s="22" t="str">
        <f t="shared" si="2"/>
        <v>#REF!</v>
      </c>
      <c r="G242" s="20" t="str">
        <f t="shared" ref="G242:I242" si="722">#REF!</f>
        <v>#REF!</v>
      </c>
      <c r="H242" s="20" t="str">
        <f t="shared" si="722"/>
        <v>#REF!</v>
      </c>
      <c r="I242" s="20" t="str">
        <f t="shared" si="722"/>
        <v>#REF!</v>
      </c>
      <c r="J242" s="20" t="str">
        <f t="shared" si="254"/>
        <v>#REF!</v>
      </c>
      <c r="K242" s="20" t="str">
        <f t="shared" ref="K242:L242" si="723">#REF!</f>
        <v>#REF!</v>
      </c>
      <c r="L242" s="20" t="str">
        <f t="shared" si="723"/>
        <v>#REF!</v>
      </c>
    </row>
    <row r="243">
      <c r="A243" s="20" t="str">
        <f t="shared" si="249"/>
        <v>#REF!</v>
      </c>
      <c r="B243" s="20" t="str">
        <f t="shared" si="250"/>
        <v>#REF!</v>
      </c>
      <c r="C243" s="20" t="str">
        <f t="shared" ref="C243:D243" si="724">#REF!</f>
        <v>#REF!</v>
      </c>
      <c r="D243" s="20" t="str">
        <f t="shared" si="724"/>
        <v>#REF!</v>
      </c>
      <c r="E243" s="20" t="str">
        <f t="shared" si="252"/>
        <v>#REF!</v>
      </c>
      <c r="F243" s="22" t="str">
        <f t="shared" si="2"/>
        <v>#REF!</v>
      </c>
      <c r="G243" s="20" t="str">
        <f t="shared" ref="G243:I243" si="725">#REF!</f>
        <v>#REF!</v>
      </c>
      <c r="H243" s="20" t="str">
        <f t="shared" si="725"/>
        <v>#REF!</v>
      </c>
      <c r="I243" s="20" t="str">
        <f t="shared" si="725"/>
        <v>#REF!</v>
      </c>
      <c r="J243" s="20" t="str">
        <f t="shared" si="254"/>
        <v>#REF!</v>
      </c>
      <c r="K243" s="20" t="str">
        <f t="shared" ref="K243:L243" si="726">#REF!</f>
        <v>#REF!</v>
      </c>
      <c r="L243" s="20" t="str">
        <f t="shared" si="726"/>
        <v>#REF!</v>
      </c>
    </row>
    <row r="244">
      <c r="A244" s="20" t="str">
        <f t="shared" si="249"/>
        <v>#REF!</v>
      </c>
      <c r="B244" s="20" t="str">
        <f t="shared" si="250"/>
        <v>#REF!</v>
      </c>
      <c r="C244" s="20" t="str">
        <f t="shared" ref="C244:D244" si="727">#REF!</f>
        <v>#REF!</v>
      </c>
      <c r="D244" s="20" t="str">
        <f t="shared" si="727"/>
        <v>#REF!</v>
      </c>
      <c r="E244" s="20" t="str">
        <f t="shared" si="252"/>
        <v>#REF!</v>
      </c>
      <c r="F244" s="22" t="str">
        <f t="shared" si="2"/>
        <v>#REF!</v>
      </c>
      <c r="G244" s="20" t="str">
        <f t="shared" ref="G244:I244" si="728">#REF!</f>
        <v>#REF!</v>
      </c>
      <c r="H244" s="20" t="str">
        <f t="shared" si="728"/>
        <v>#REF!</v>
      </c>
      <c r="I244" s="20" t="str">
        <f t="shared" si="728"/>
        <v>#REF!</v>
      </c>
      <c r="J244" s="20" t="str">
        <f t="shared" si="254"/>
        <v>#REF!</v>
      </c>
      <c r="K244" s="20" t="str">
        <f t="shared" ref="K244:L244" si="729">#REF!</f>
        <v>#REF!</v>
      </c>
      <c r="L244" s="20" t="str">
        <f t="shared" si="729"/>
        <v>#REF!</v>
      </c>
    </row>
    <row r="245">
      <c r="A245" s="20" t="str">
        <f t="shared" si="249"/>
        <v>#REF!</v>
      </c>
      <c r="B245" s="20" t="str">
        <f t="shared" si="250"/>
        <v>#REF!</v>
      </c>
      <c r="C245" s="20" t="str">
        <f t="shared" ref="C245:D245" si="730">#REF!</f>
        <v>#REF!</v>
      </c>
      <c r="D245" s="20" t="str">
        <f t="shared" si="730"/>
        <v>#REF!</v>
      </c>
      <c r="E245" s="20" t="str">
        <f t="shared" si="252"/>
        <v>#REF!</v>
      </c>
      <c r="F245" s="22" t="str">
        <f t="shared" si="2"/>
        <v>#REF!</v>
      </c>
      <c r="G245" s="20" t="str">
        <f t="shared" ref="G245:I245" si="731">#REF!</f>
        <v>#REF!</v>
      </c>
      <c r="H245" s="20" t="str">
        <f t="shared" si="731"/>
        <v>#REF!</v>
      </c>
      <c r="I245" s="20" t="str">
        <f t="shared" si="731"/>
        <v>#REF!</v>
      </c>
      <c r="J245" s="20" t="str">
        <f t="shared" si="254"/>
        <v>#REF!</v>
      </c>
      <c r="K245" s="20" t="str">
        <f t="shared" ref="K245:L245" si="732">#REF!</f>
        <v>#REF!</v>
      </c>
      <c r="L245" s="20" t="str">
        <f t="shared" si="732"/>
        <v>#REF!</v>
      </c>
    </row>
    <row r="246">
      <c r="A246" s="20" t="str">
        <f t="shared" si="249"/>
        <v>#REF!</v>
      </c>
      <c r="B246" s="20" t="str">
        <f t="shared" si="250"/>
        <v>#REF!</v>
      </c>
      <c r="C246" s="20" t="str">
        <f t="shared" ref="C246:D246" si="733">#REF!</f>
        <v>#REF!</v>
      </c>
      <c r="D246" s="20" t="str">
        <f t="shared" si="733"/>
        <v>#REF!</v>
      </c>
      <c r="E246" s="20" t="str">
        <f t="shared" si="252"/>
        <v>#REF!</v>
      </c>
      <c r="F246" s="22" t="str">
        <f t="shared" si="2"/>
        <v>#REF!</v>
      </c>
      <c r="G246" s="20" t="str">
        <f t="shared" ref="G246:I246" si="734">#REF!</f>
        <v>#REF!</v>
      </c>
      <c r="H246" s="20" t="str">
        <f t="shared" si="734"/>
        <v>#REF!</v>
      </c>
      <c r="I246" s="20" t="str">
        <f t="shared" si="734"/>
        <v>#REF!</v>
      </c>
      <c r="J246" s="20" t="str">
        <f t="shared" si="254"/>
        <v>#REF!</v>
      </c>
      <c r="K246" s="20" t="str">
        <f t="shared" ref="K246:L246" si="735">#REF!</f>
        <v>#REF!</v>
      </c>
      <c r="L246" s="20" t="str">
        <f t="shared" si="735"/>
        <v>#REF!</v>
      </c>
    </row>
    <row r="247">
      <c r="A247" s="20" t="str">
        <f t="shared" si="249"/>
        <v>#REF!</v>
      </c>
      <c r="B247" s="20" t="str">
        <f t="shared" si="250"/>
        <v>#REF!</v>
      </c>
      <c r="C247" s="20" t="str">
        <f t="shared" ref="C247:D247" si="736">#REF!</f>
        <v>#REF!</v>
      </c>
      <c r="D247" s="20" t="str">
        <f t="shared" si="736"/>
        <v>#REF!</v>
      </c>
      <c r="E247" s="20" t="str">
        <f t="shared" si="252"/>
        <v>#REF!</v>
      </c>
      <c r="F247" s="22" t="str">
        <f t="shared" si="2"/>
        <v>#REF!</v>
      </c>
      <c r="G247" s="20" t="str">
        <f t="shared" ref="G247:I247" si="737">#REF!</f>
        <v>#REF!</v>
      </c>
      <c r="H247" s="20" t="str">
        <f t="shared" si="737"/>
        <v>#REF!</v>
      </c>
      <c r="I247" s="20" t="str">
        <f t="shared" si="737"/>
        <v>#REF!</v>
      </c>
      <c r="J247" s="20" t="str">
        <f t="shared" si="254"/>
        <v>#REF!</v>
      </c>
      <c r="K247" s="20" t="str">
        <f t="shared" ref="K247:L247" si="738">#REF!</f>
        <v>#REF!</v>
      </c>
      <c r="L247" s="20" t="str">
        <f t="shared" si="738"/>
        <v>#REF!</v>
      </c>
    </row>
    <row r="248">
      <c r="A248" s="20" t="str">
        <f t="shared" si="249"/>
        <v>#REF!</v>
      </c>
      <c r="B248" s="20" t="str">
        <f t="shared" si="250"/>
        <v>#REF!</v>
      </c>
      <c r="C248" s="20" t="str">
        <f t="shared" ref="C248:D248" si="739">#REF!</f>
        <v>#REF!</v>
      </c>
      <c r="D248" s="20" t="str">
        <f t="shared" si="739"/>
        <v>#REF!</v>
      </c>
      <c r="E248" s="20" t="str">
        <f t="shared" si="252"/>
        <v>#REF!</v>
      </c>
      <c r="F248" s="22" t="str">
        <f t="shared" si="2"/>
        <v>#REF!</v>
      </c>
      <c r="G248" s="20" t="str">
        <f t="shared" ref="G248:I248" si="740">#REF!</f>
        <v>#REF!</v>
      </c>
      <c r="H248" s="20" t="str">
        <f t="shared" si="740"/>
        <v>#REF!</v>
      </c>
      <c r="I248" s="20" t="str">
        <f t="shared" si="740"/>
        <v>#REF!</v>
      </c>
      <c r="J248" s="20" t="str">
        <f t="shared" si="254"/>
        <v>#REF!</v>
      </c>
      <c r="K248" s="20" t="str">
        <f t="shared" ref="K248:L248" si="741">#REF!</f>
        <v>#REF!</v>
      </c>
      <c r="L248" s="20" t="str">
        <f t="shared" si="741"/>
        <v>#REF!</v>
      </c>
    </row>
    <row r="249">
      <c r="A249" s="20" t="str">
        <f t="shared" si="249"/>
        <v>#REF!</v>
      </c>
      <c r="B249" s="20" t="str">
        <f t="shared" si="250"/>
        <v>#REF!</v>
      </c>
      <c r="C249" s="20" t="str">
        <f t="shared" ref="C249:D249" si="742">#REF!</f>
        <v>#REF!</v>
      </c>
      <c r="D249" s="20" t="str">
        <f t="shared" si="742"/>
        <v>#REF!</v>
      </c>
      <c r="E249" s="20" t="str">
        <f t="shared" si="252"/>
        <v>#REF!</v>
      </c>
      <c r="F249" s="22" t="str">
        <f t="shared" si="2"/>
        <v>#REF!</v>
      </c>
      <c r="G249" s="20" t="str">
        <f t="shared" ref="G249:I249" si="743">#REF!</f>
        <v>#REF!</v>
      </c>
      <c r="H249" s="20" t="str">
        <f t="shared" si="743"/>
        <v>#REF!</v>
      </c>
      <c r="I249" s="20" t="str">
        <f t="shared" si="743"/>
        <v>#REF!</v>
      </c>
      <c r="J249" s="20" t="str">
        <f t="shared" si="254"/>
        <v>#REF!</v>
      </c>
      <c r="K249" s="20" t="str">
        <f t="shared" ref="K249:L249" si="744">#REF!</f>
        <v>#REF!</v>
      </c>
      <c r="L249" s="20" t="str">
        <f t="shared" si="744"/>
        <v>#REF!</v>
      </c>
    </row>
    <row r="250">
      <c r="A250" s="20" t="str">
        <f t="shared" si="249"/>
        <v>#REF!</v>
      </c>
      <c r="B250" s="20" t="str">
        <f t="shared" si="250"/>
        <v>#REF!</v>
      </c>
      <c r="C250" s="20" t="str">
        <f t="shared" ref="C250:D250" si="745">#REF!</f>
        <v>#REF!</v>
      </c>
      <c r="D250" s="20" t="str">
        <f t="shared" si="745"/>
        <v>#REF!</v>
      </c>
      <c r="E250" s="20" t="str">
        <f t="shared" si="252"/>
        <v>#REF!</v>
      </c>
      <c r="F250" s="22" t="str">
        <f t="shared" si="2"/>
        <v>#REF!</v>
      </c>
      <c r="G250" s="20" t="str">
        <f t="shared" ref="G250:I250" si="746">#REF!</f>
        <v>#REF!</v>
      </c>
      <c r="H250" s="20" t="str">
        <f t="shared" si="746"/>
        <v>#REF!</v>
      </c>
      <c r="I250" s="20" t="str">
        <f t="shared" si="746"/>
        <v>#REF!</v>
      </c>
      <c r="J250" s="20" t="str">
        <f t="shared" si="254"/>
        <v>#REF!</v>
      </c>
      <c r="K250" s="20" t="str">
        <f t="shared" ref="K250:L250" si="747">#REF!</f>
        <v>#REF!</v>
      </c>
      <c r="L250" s="20" t="str">
        <f t="shared" si="747"/>
        <v>#REF!</v>
      </c>
    </row>
    <row r="251">
      <c r="A251" s="20" t="str">
        <f t="shared" si="249"/>
        <v>#REF!</v>
      </c>
      <c r="B251" s="20" t="str">
        <f t="shared" si="250"/>
        <v>#REF!</v>
      </c>
      <c r="C251" s="20" t="str">
        <f t="shared" ref="C251:D251" si="748">#REF!</f>
        <v>#REF!</v>
      </c>
      <c r="D251" s="20" t="str">
        <f t="shared" si="748"/>
        <v>#REF!</v>
      </c>
      <c r="E251" s="20" t="str">
        <f t="shared" si="252"/>
        <v>#REF!</v>
      </c>
      <c r="F251" s="22" t="str">
        <f t="shared" si="2"/>
        <v>#REF!</v>
      </c>
      <c r="G251" s="20" t="str">
        <f t="shared" ref="G251:I251" si="749">#REF!</f>
        <v>#REF!</v>
      </c>
      <c r="H251" s="20" t="str">
        <f t="shared" si="749"/>
        <v>#REF!</v>
      </c>
      <c r="I251" s="20" t="str">
        <f t="shared" si="749"/>
        <v>#REF!</v>
      </c>
      <c r="J251" s="20" t="str">
        <f t="shared" si="254"/>
        <v>#REF!</v>
      </c>
      <c r="K251" s="20" t="str">
        <f t="shared" ref="K251:L251" si="750">#REF!</f>
        <v>#REF!</v>
      </c>
      <c r="L251" s="20" t="str">
        <f t="shared" si="750"/>
        <v>#REF!</v>
      </c>
    </row>
    <row r="252">
      <c r="A252" s="20" t="str">
        <f t="shared" si="249"/>
        <v>#REF!</v>
      </c>
      <c r="B252" s="20" t="str">
        <f t="shared" si="250"/>
        <v>#REF!</v>
      </c>
      <c r="C252" s="20" t="str">
        <f t="shared" ref="C252:D252" si="751">#REF!</f>
        <v>#REF!</v>
      </c>
      <c r="D252" s="20" t="str">
        <f t="shared" si="751"/>
        <v>#REF!</v>
      </c>
      <c r="E252" s="20" t="str">
        <f t="shared" si="252"/>
        <v>#REF!</v>
      </c>
      <c r="F252" s="22" t="str">
        <f t="shared" si="2"/>
        <v>#REF!</v>
      </c>
      <c r="G252" s="20" t="str">
        <f t="shared" ref="G252:I252" si="752">#REF!</f>
        <v>#REF!</v>
      </c>
      <c r="H252" s="20" t="str">
        <f t="shared" si="752"/>
        <v>#REF!</v>
      </c>
      <c r="I252" s="20" t="str">
        <f t="shared" si="752"/>
        <v>#REF!</v>
      </c>
      <c r="J252" s="20" t="str">
        <f t="shared" si="254"/>
        <v>#REF!</v>
      </c>
      <c r="K252" s="20" t="str">
        <f t="shared" ref="K252:L252" si="753">#REF!</f>
        <v>#REF!</v>
      </c>
      <c r="L252" s="20" t="str">
        <f t="shared" si="753"/>
        <v>#REF!</v>
      </c>
    </row>
    <row r="253">
      <c r="A253" s="20" t="str">
        <f t="shared" si="249"/>
        <v>#REF!</v>
      </c>
      <c r="B253" s="20" t="str">
        <f t="shared" si="250"/>
        <v>#REF!</v>
      </c>
      <c r="C253" s="20" t="str">
        <f t="shared" ref="C253:D253" si="754">#REF!</f>
        <v>#REF!</v>
      </c>
      <c r="D253" s="20" t="str">
        <f t="shared" si="754"/>
        <v>#REF!</v>
      </c>
      <c r="E253" s="20" t="str">
        <f t="shared" si="252"/>
        <v>#REF!</v>
      </c>
      <c r="F253" s="22" t="str">
        <f t="shared" si="2"/>
        <v>#REF!</v>
      </c>
      <c r="G253" s="20" t="str">
        <f t="shared" ref="G253:I253" si="755">#REF!</f>
        <v>#REF!</v>
      </c>
      <c r="H253" s="20" t="str">
        <f t="shared" si="755"/>
        <v>#REF!</v>
      </c>
      <c r="I253" s="20" t="str">
        <f t="shared" si="755"/>
        <v>#REF!</v>
      </c>
      <c r="J253" s="20" t="str">
        <f t="shared" si="254"/>
        <v>#REF!</v>
      </c>
      <c r="K253" s="20" t="str">
        <f t="shared" ref="K253:L253" si="756">#REF!</f>
        <v>#REF!</v>
      </c>
      <c r="L253" s="20" t="str">
        <f t="shared" si="756"/>
        <v>#REF!</v>
      </c>
    </row>
    <row r="254">
      <c r="A254" s="20" t="str">
        <f t="shared" si="249"/>
        <v>#REF!</v>
      </c>
      <c r="B254" s="20" t="str">
        <f t="shared" si="250"/>
        <v>#REF!</v>
      </c>
      <c r="C254" s="20" t="str">
        <f t="shared" ref="C254:D254" si="757">#REF!</f>
        <v>#REF!</v>
      </c>
      <c r="D254" s="20" t="str">
        <f t="shared" si="757"/>
        <v>#REF!</v>
      </c>
      <c r="E254" s="20" t="str">
        <f t="shared" si="252"/>
        <v>#REF!</v>
      </c>
      <c r="F254" s="22" t="str">
        <f t="shared" si="2"/>
        <v>#REF!</v>
      </c>
      <c r="G254" s="20" t="str">
        <f t="shared" ref="G254:I254" si="758">#REF!</f>
        <v>#REF!</v>
      </c>
      <c r="H254" s="20" t="str">
        <f t="shared" si="758"/>
        <v>#REF!</v>
      </c>
      <c r="I254" s="20" t="str">
        <f t="shared" si="758"/>
        <v>#REF!</v>
      </c>
      <c r="J254" s="20" t="str">
        <f t="shared" si="254"/>
        <v>#REF!</v>
      </c>
      <c r="K254" s="20" t="str">
        <f t="shared" ref="K254:L254" si="759">#REF!</f>
        <v>#REF!</v>
      </c>
      <c r="L254" s="20" t="str">
        <f t="shared" si="759"/>
        <v>#REF!</v>
      </c>
    </row>
    <row r="255">
      <c r="A255" s="20" t="str">
        <f t="shared" si="249"/>
        <v>#REF!</v>
      </c>
      <c r="B255" s="20" t="str">
        <f t="shared" si="250"/>
        <v>#REF!</v>
      </c>
      <c r="C255" s="20" t="str">
        <f t="shared" ref="C255:D255" si="760">#REF!</f>
        <v>#REF!</v>
      </c>
      <c r="D255" s="20" t="str">
        <f t="shared" si="760"/>
        <v>#REF!</v>
      </c>
      <c r="E255" s="20" t="str">
        <f t="shared" si="252"/>
        <v>#REF!</v>
      </c>
      <c r="F255" s="22" t="str">
        <f t="shared" si="2"/>
        <v>#REF!</v>
      </c>
      <c r="G255" s="20" t="str">
        <f t="shared" ref="G255:I255" si="761">#REF!</f>
        <v>#REF!</v>
      </c>
      <c r="H255" s="20" t="str">
        <f t="shared" si="761"/>
        <v>#REF!</v>
      </c>
      <c r="I255" s="20" t="str">
        <f t="shared" si="761"/>
        <v>#REF!</v>
      </c>
      <c r="J255" s="20" t="str">
        <f t="shared" si="254"/>
        <v>#REF!</v>
      </c>
      <c r="K255" s="20" t="str">
        <f t="shared" ref="K255:L255" si="762">#REF!</f>
        <v>#REF!</v>
      </c>
      <c r="L255" s="20" t="str">
        <f t="shared" si="762"/>
        <v>#REF!</v>
      </c>
    </row>
    <row r="256">
      <c r="A256" s="20" t="str">
        <f t="shared" si="249"/>
        <v>#REF!</v>
      </c>
      <c r="B256" s="20" t="str">
        <f t="shared" si="250"/>
        <v>#REF!</v>
      </c>
      <c r="C256" s="20" t="str">
        <f t="shared" ref="C256:D256" si="763">#REF!</f>
        <v>#REF!</v>
      </c>
      <c r="D256" s="20" t="str">
        <f t="shared" si="763"/>
        <v>#REF!</v>
      </c>
      <c r="E256" s="20" t="str">
        <f t="shared" si="252"/>
        <v>#REF!</v>
      </c>
      <c r="F256" s="22" t="str">
        <f t="shared" si="2"/>
        <v>#REF!</v>
      </c>
      <c r="G256" s="20" t="str">
        <f t="shared" ref="G256:I256" si="764">#REF!</f>
        <v>#REF!</v>
      </c>
      <c r="H256" s="20" t="str">
        <f t="shared" si="764"/>
        <v>#REF!</v>
      </c>
      <c r="I256" s="20" t="str">
        <f t="shared" si="764"/>
        <v>#REF!</v>
      </c>
      <c r="J256" s="20" t="str">
        <f t="shared" si="254"/>
        <v>#REF!</v>
      </c>
      <c r="K256" s="20" t="str">
        <f t="shared" ref="K256:L256" si="765">#REF!</f>
        <v>#REF!</v>
      </c>
      <c r="L256" s="20" t="str">
        <f t="shared" si="765"/>
        <v>#REF!</v>
      </c>
    </row>
    <row r="257">
      <c r="A257" s="20" t="str">
        <f t="shared" si="249"/>
        <v>#REF!</v>
      </c>
      <c r="B257" s="20" t="str">
        <f t="shared" si="250"/>
        <v>#REF!</v>
      </c>
      <c r="C257" s="20" t="str">
        <f t="shared" ref="C257:D257" si="766">#REF!</f>
        <v>#REF!</v>
      </c>
      <c r="D257" s="20" t="str">
        <f t="shared" si="766"/>
        <v>#REF!</v>
      </c>
      <c r="E257" s="20" t="str">
        <f t="shared" si="252"/>
        <v>#REF!</v>
      </c>
      <c r="F257" s="22" t="str">
        <f t="shared" si="2"/>
        <v>#REF!</v>
      </c>
      <c r="G257" s="20" t="str">
        <f t="shared" ref="G257:I257" si="767">#REF!</f>
        <v>#REF!</v>
      </c>
      <c r="H257" s="20" t="str">
        <f t="shared" si="767"/>
        <v>#REF!</v>
      </c>
      <c r="I257" s="20" t="str">
        <f t="shared" si="767"/>
        <v>#REF!</v>
      </c>
      <c r="J257" s="20" t="str">
        <f t="shared" si="254"/>
        <v>#REF!</v>
      </c>
      <c r="K257" s="20" t="str">
        <f t="shared" ref="K257:L257" si="768">#REF!</f>
        <v>#REF!</v>
      </c>
      <c r="L257" s="20" t="str">
        <f t="shared" si="768"/>
        <v>#REF!</v>
      </c>
    </row>
    <row r="258">
      <c r="A258" s="20" t="str">
        <f t="shared" si="249"/>
        <v>#REF!</v>
      </c>
      <c r="B258" s="20" t="str">
        <f t="shared" si="250"/>
        <v>#REF!</v>
      </c>
      <c r="C258" s="20" t="str">
        <f t="shared" ref="C258:D258" si="769">#REF!</f>
        <v>#REF!</v>
      </c>
      <c r="D258" s="20" t="str">
        <f t="shared" si="769"/>
        <v>#REF!</v>
      </c>
      <c r="E258" s="20" t="str">
        <f t="shared" si="252"/>
        <v>#REF!</v>
      </c>
      <c r="F258" s="22" t="str">
        <f t="shared" si="2"/>
        <v>#REF!</v>
      </c>
      <c r="G258" s="20" t="str">
        <f t="shared" ref="G258:I258" si="770">#REF!</f>
        <v>#REF!</v>
      </c>
      <c r="H258" s="20" t="str">
        <f t="shared" si="770"/>
        <v>#REF!</v>
      </c>
      <c r="I258" s="20" t="str">
        <f t="shared" si="770"/>
        <v>#REF!</v>
      </c>
      <c r="J258" s="20" t="str">
        <f t="shared" si="254"/>
        <v>#REF!</v>
      </c>
      <c r="K258" s="20" t="str">
        <f t="shared" ref="K258:L258" si="771">#REF!</f>
        <v>#REF!</v>
      </c>
      <c r="L258" s="20" t="str">
        <f t="shared" si="771"/>
        <v>#REF!</v>
      </c>
    </row>
    <row r="259">
      <c r="A259" s="20" t="str">
        <f t="shared" si="249"/>
        <v>#REF!</v>
      </c>
      <c r="B259" s="20" t="str">
        <f t="shared" si="250"/>
        <v>#REF!</v>
      </c>
      <c r="C259" s="20" t="str">
        <f t="shared" ref="C259:D259" si="772">#REF!</f>
        <v>#REF!</v>
      </c>
      <c r="D259" s="20" t="str">
        <f t="shared" si="772"/>
        <v>#REF!</v>
      </c>
      <c r="E259" s="20" t="str">
        <f t="shared" si="252"/>
        <v>#REF!</v>
      </c>
      <c r="F259" s="22" t="str">
        <f t="shared" si="2"/>
        <v>#REF!</v>
      </c>
      <c r="G259" s="20" t="str">
        <f t="shared" ref="G259:I259" si="773">#REF!</f>
        <v>#REF!</v>
      </c>
      <c r="H259" s="20" t="str">
        <f t="shared" si="773"/>
        <v>#REF!</v>
      </c>
      <c r="I259" s="20" t="str">
        <f t="shared" si="773"/>
        <v>#REF!</v>
      </c>
      <c r="J259" s="20" t="str">
        <f t="shared" si="254"/>
        <v>#REF!</v>
      </c>
      <c r="K259" s="20" t="str">
        <f t="shared" ref="K259:L259" si="774">#REF!</f>
        <v>#REF!</v>
      </c>
      <c r="L259" s="20" t="str">
        <f t="shared" si="774"/>
        <v>#REF!</v>
      </c>
    </row>
    <row r="260">
      <c r="A260" s="20" t="str">
        <f t="shared" si="249"/>
        <v>#REF!</v>
      </c>
      <c r="B260" s="20" t="str">
        <f t="shared" si="250"/>
        <v>#REF!</v>
      </c>
      <c r="C260" s="20" t="str">
        <f t="shared" ref="C260:D260" si="775">#REF!</f>
        <v>#REF!</v>
      </c>
      <c r="D260" s="20" t="str">
        <f t="shared" si="775"/>
        <v>#REF!</v>
      </c>
      <c r="E260" s="20" t="str">
        <f t="shared" si="252"/>
        <v>#REF!</v>
      </c>
      <c r="F260" s="22" t="str">
        <f t="shared" si="2"/>
        <v>#REF!</v>
      </c>
      <c r="G260" s="20" t="str">
        <f t="shared" ref="G260:I260" si="776">#REF!</f>
        <v>#REF!</v>
      </c>
      <c r="H260" s="20" t="str">
        <f t="shared" si="776"/>
        <v>#REF!</v>
      </c>
      <c r="I260" s="20" t="str">
        <f t="shared" si="776"/>
        <v>#REF!</v>
      </c>
      <c r="J260" s="20" t="str">
        <f t="shared" si="254"/>
        <v>#REF!</v>
      </c>
      <c r="K260" s="20" t="str">
        <f t="shared" ref="K260:L260" si="777">#REF!</f>
        <v>#REF!</v>
      </c>
      <c r="L260" s="20" t="str">
        <f t="shared" si="777"/>
        <v>#REF!</v>
      </c>
    </row>
    <row r="261">
      <c r="A261" s="20" t="str">
        <f t="shared" si="249"/>
        <v>#REF!</v>
      </c>
      <c r="B261" s="20" t="str">
        <f t="shared" si="250"/>
        <v>#REF!</v>
      </c>
      <c r="C261" s="20" t="str">
        <f t="shared" ref="C261:D261" si="778">#REF!</f>
        <v>#REF!</v>
      </c>
      <c r="D261" s="20" t="str">
        <f t="shared" si="778"/>
        <v>#REF!</v>
      </c>
      <c r="E261" s="20" t="str">
        <f t="shared" si="252"/>
        <v>#REF!</v>
      </c>
      <c r="F261" s="22" t="str">
        <f t="shared" si="2"/>
        <v>#REF!</v>
      </c>
      <c r="G261" s="20" t="str">
        <f t="shared" ref="G261:I261" si="779">#REF!</f>
        <v>#REF!</v>
      </c>
      <c r="H261" s="20" t="str">
        <f t="shared" si="779"/>
        <v>#REF!</v>
      </c>
      <c r="I261" s="20" t="str">
        <f t="shared" si="779"/>
        <v>#REF!</v>
      </c>
      <c r="J261" s="20" t="str">
        <f t="shared" si="254"/>
        <v>#REF!</v>
      </c>
      <c r="K261" s="20" t="str">
        <f t="shared" ref="K261:L261" si="780">#REF!</f>
        <v>#REF!</v>
      </c>
      <c r="L261" s="20" t="str">
        <f t="shared" si="780"/>
        <v>#REF!</v>
      </c>
    </row>
    <row r="262">
      <c r="A262" s="20" t="str">
        <f t="shared" si="249"/>
        <v>#REF!</v>
      </c>
      <c r="B262" s="20" t="str">
        <f t="shared" si="250"/>
        <v>#REF!</v>
      </c>
      <c r="C262" s="20" t="str">
        <f t="shared" ref="C262:D262" si="781">#REF!</f>
        <v>#REF!</v>
      </c>
      <c r="D262" s="20" t="str">
        <f t="shared" si="781"/>
        <v>#REF!</v>
      </c>
      <c r="E262" s="20" t="str">
        <f t="shared" si="252"/>
        <v>#REF!</v>
      </c>
      <c r="F262" s="22" t="str">
        <f t="shared" si="2"/>
        <v>#REF!</v>
      </c>
      <c r="G262" s="20" t="str">
        <f t="shared" ref="G262:I262" si="782">#REF!</f>
        <v>#REF!</v>
      </c>
      <c r="H262" s="20" t="str">
        <f t="shared" si="782"/>
        <v>#REF!</v>
      </c>
      <c r="I262" s="20" t="str">
        <f t="shared" si="782"/>
        <v>#REF!</v>
      </c>
      <c r="J262" s="20" t="str">
        <f t="shared" si="254"/>
        <v>#REF!</v>
      </c>
      <c r="K262" s="20" t="str">
        <f t="shared" ref="K262:L262" si="783">#REF!</f>
        <v>#REF!</v>
      </c>
      <c r="L262" s="20" t="str">
        <f t="shared" si="783"/>
        <v>#REF!</v>
      </c>
    </row>
    <row r="263">
      <c r="A263" s="20" t="str">
        <f t="shared" si="249"/>
        <v>#REF!</v>
      </c>
      <c r="B263" s="20" t="str">
        <f t="shared" si="250"/>
        <v>#REF!</v>
      </c>
      <c r="C263" s="20" t="str">
        <f t="shared" ref="C263:D263" si="784">#REF!</f>
        <v>#REF!</v>
      </c>
      <c r="D263" s="20" t="str">
        <f t="shared" si="784"/>
        <v>#REF!</v>
      </c>
      <c r="E263" s="20" t="str">
        <f t="shared" si="252"/>
        <v>#REF!</v>
      </c>
      <c r="F263" s="22" t="str">
        <f t="shared" si="2"/>
        <v>#REF!</v>
      </c>
      <c r="G263" s="20" t="str">
        <f t="shared" ref="G263:I263" si="785">#REF!</f>
        <v>#REF!</v>
      </c>
      <c r="H263" s="20" t="str">
        <f t="shared" si="785"/>
        <v>#REF!</v>
      </c>
      <c r="I263" s="20" t="str">
        <f t="shared" si="785"/>
        <v>#REF!</v>
      </c>
      <c r="J263" s="20" t="str">
        <f t="shared" si="254"/>
        <v>#REF!</v>
      </c>
      <c r="K263" s="20" t="str">
        <f t="shared" ref="K263:L263" si="786">#REF!</f>
        <v>#REF!</v>
      </c>
      <c r="L263" s="20" t="str">
        <f t="shared" si="786"/>
        <v>#REF!</v>
      </c>
    </row>
    <row r="264">
      <c r="A264" s="20" t="str">
        <f t="shared" si="249"/>
        <v>#REF!</v>
      </c>
      <c r="B264" s="20" t="str">
        <f t="shared" si="250"/>
        <v>#REF!</v>
      </c>
      <c r="C264" s="20" t="str">
        <f t="shared" ref="C264:D264" si="787">#REF!</f>
        <v>#REF!</v>
      </c>
      <c r="D264" s="20" t="str">
        <f t="shared" si="787"/>
        <v>#REF!</v>
      </c>
      <c r="E264" s="20" t="str">
        <f t="shared" si="252"/>
        <v>#REF!</v>
      </c>
      <c r="F264" s="22" t="str">
        <f t="shared" si="2"/>
        <v>#REF!</v>
      </c>
      <c r="G264" s="20" t="str">
        <f t="shared" ref="G264:I264" si="788">#REF!</f>
        <v>#REF!</v>
      </c>
      <c r="H264" s="20" t="str">
        <f t="shared" si="788"/>
        <v>#REF!</v>
      </c>
      <c r="I264" s="20" t="str">
        <f t="shared" si="788"/>
        <v>#REF!</v>
      </c>
      <c r="J264" s="20" t="str">
        <f t="shared" si="254"/>
        <v>#REF!</v>
      </c>
      <c r="K264" s="20" t="str">
        <f t="shared" ref="K264:L264" si="789">#REF!</f>
        <v>#REF!</v>
      </c>
      <c r="L264" s="20" t="str">
        <f t="shared" si="789"/>
        <v>#REF!</v>
      </c>
    </row>
    <row r="265">
      <c r="A265" s="20" t="str">
        <f t="shared" si="249"/>
        <v>#REF!</v>
      </c>
      <c r="B265" s="20" t="str">
        <f t="shared" si="250"/>
        <v>#REF!</v>
      </c>
      <c r="C265" s="20" t="str">
        <f t="shared" ref="C265:D265" si="790">#REF!</f>
        <v>#REF!</v>
      </c>
      <c r="D265" s="20" t="str">
        <f t="shared" si="790"/>
        <v>#REF!</v>
      </c>
      <c r="E265" s="20" t="str">
        <f t="shared" si="252"/>
        <v>#REF!</v>
      </c>
      <c r="F265" s="22" t="str">
        <f t="shared" si="2"/>
        <v>#REF!</v>
      </c>
      <c r="G265" s="20" t="str">
        <f t="shared" ref="G265:I265" si="791">#REF!</f>
        <v>#REF!</v>
      </c>
      <c r="H265" s="20" t="str">
        <f t="shared" si="791"/>
        <v>#REF!</v>
      </c>
      <c r="I265" s="20" t="str">
        <f t="shared" si="791"/>
        <v>#REF!</v>
      </c>
      <c r="J265" s="20" t="str">
        <f t="shared" si="254"/>
        <v>#REF!</v>
      </c>
      <c r="K265" s="20" t="str">
        <f t="shared" ref="K265:L265" si="792">#REF!</f>
        <v>#REF!</v>
      </c>
      <c r="L265" s="20" t="str">
        <f t="shared" si="792"/>
        <v>#REF!</v>
      </c>
    </row>
    <row r="266">
      <c r="A266" s="20" t="str">
        <f t="shared" si="249"/>
        <v>#REF!</v>
      </c>
      <c r="B266" s="20" t="str">
        <f t="shared" si="250"/>
        <v>#REF!</v>
      </c>
      <c r="C266" s="20" t="str">
        <f t="shared" ref="C266:D266" si="793">#REF!</f>
        <v>#REF!</v>
      </c>
      <c r="D266" s="20" t="str">
        <f t="shared" si="793"/>
        <v>#REF!</v>
      </c>
      <c r="E266" s="20" t="str">
        <f t="shared" si="252"/>
        <v>#REF!</v>
      </c>
      <c r="F266" s="22" t="str">
        <f t="shared" si="2"/>
        <v>#REF!</v>
      </c>
      <c r="G266" s="20" t="str">
        <f t="shared" ref="G266:I266" si="794">#REF!</f>
        <v>#REF!</v>
      </c>
      <c r="H266" s="20" t="str">
        <f t="shared" si="794"/>
        <v>#REF!</v>
      </c>
      <c r="I266" s="20" t="str">
        <f t="shared" si="794"/>
        <v>#REF!</v>
      </c>
      <c r="J266" s="20" t="str">
        <f t="shared" si="254"/>
        <v>#REF!</v>
      </c>
      <c r="K266" s="20" t="str">
        <f t="shared" ref="K266:L266" si="795">#REF!</f>
        <v>#REF!</v>
      </c>
      <c r="L266" s="20" t="str">
        <f t="shared" si="795"/>
        <v>#REF!</v>
      </c>
    </row>
    <row r="267">
      <c r="A267" s="20" t="str">
        <f t="shared" si="249"/>
        <v>#REF!</v>
      </c>
      <c r="B267" s="20" t="str">
        <f t="shared" si="250"/>
        <v>#REF!</v>
      </c>
      <c r="C267" s="20" t="str">
        <f t="shared" ref="C267:D267" si="796">#REF!</f>
        <v>#REF!</v>
      </c>
      <c r="D267" s="20" t="str">
        <f t="shared" si="796"/>
        <v>#REF!</v>
      </c>
      <c r="E267" s="20" t="str">
        <f t="shared" si="252"/>
        <v>#REF!</v>
      </c>
      <c r="F267" s="22" t="str">
        <f t="shared" si="2"/>
        <v>#REF!</v>
      </c>
      <c r="G267" s="20" t="str">
        <f t="shared" ref="G267:I267" si="797">#REF!</f>
        <v>#REF!</v>
      </c>
      <c r="H267" s="20" t="str">
        <f t="shared" si="797"/>
        <v>#REF!</v>
      </c>
      <c r="I267" s="20" t="str">
        <f t="shared" si="797"/>
        <v>#REF!</v>
      </c>
      <c r="J267" s="20" t="str">
        <f t="shared" si="254"/>
        <v>#REF!</v>
      </c>
      <c r="K267" s="20" t="str">
        <f t="shared" ref="K267:L267" si="798">#REF!</f>
        <v>#REF!</v>
      </c>
      <c r="L267" s="20" t="str">
        <f t="shared" si="798"/>
        <v>#REF!</v>
      </c>
    </row>
    <row r="268">
      <c r="A268" s="20" t="str">
        <f t="shared" si="249"/>
        <v>#REF!</v>
      </c>
      <c r="B268" s="20" t="str">
        <f t="shared" si="250"/>
        <v>#REF!</v>
      </c>
      <c r="C268" s="20" t="str">
        <f t="shared" ref="C268:D268" si="799">#REF!</f>
        <v>#REF!</v>
      </c>
      <c r="D268" s="20" t="str">
        <f t="shared" si="799"/>
        <v>#REF!</v>
      </c>
      <c r="E268" s="20" t="str">
        <f t="shared" si="252"/>
        <v>#REF!</v>
      </c>
      <c r="F268" s="22" t="str">
        <f t="shared" si="2"/>
        <v>#REF!</v>
      </c>
      <c r="G268" s="20" t="str">
        <f t="shared" ref="G268:I268" si="800">#REF!</f>
        <v>#REF!</v>
      </c>
      <c r="H268" s="20" t="str">
        <f t="shared" si="800"/>
        <v>#REF!</v>
      </c>
      <c r="I268" s="20" t="str">
        <f t="shared" si="800"/>
        <v>#REF!</v>
      </c>
      <c r="J268" s="20" t="str">
        <f t="shared" si="254"/>
        <v>#REF!</v>
      </c>
      <c r="K268" s="20" t="str">
        <f t="shared" ref="K268:L268" si="801">#REF!</f>
        <v>#REF!</v>
      </c>
      <c r="L268" s="20" t="str">
        <f t="shared" si="801"/>
        <v>#REF!</v>
      </c>
    </row>
    <row r="269">
      <c r="A269" s="20" t="str">
        <f t="shared" si="249"/>
        <v>#REF!</v>
      </c>
      <c r="B269" s="20" t="str">
        <f t="shared" si="250"/>
        <v>#REF!</v>
      </c>
      <c r="C269" s="20" t="str">
        <f t="shared" ref="C269:D269" si="802">#REF!</f>
        <v>#REF!</v>
      </c>
      <c r="D269" s="20" t="str">
        <f t="shared" si="802"/>
        <v>#REF!</v>
      </c>
      <c r="E269" s="20" t="str">
        <f t="shared" si="252"/>
        <v>#REF!</v>
      </c>
      <c r="F269" s="22" t="str">
        <f t="shared" si="2"/>
        <v>#REF!</v>
      </c>
      <c r="G269" s="20" t="str">
        <f t="shared" ref="G269:I269" si="803">#REF!</f>
        <v>#REF!</v>
      </c>
      <c r="H269" s="20" t="str">
        <f t="shared" si="803"/>
        <v>#REF!</v>
      </c>
      <c r="I269" s="20" t="str">
        <f t="shared" si="803"/>
        <v>#REF!</v>
      </c>
      <c r="J269" s="20" t="str">
        <f t="shared" si="254"/>
        <v>#REF!</v>
      </c>
      <c r="K269" s="20" t="str">
        <f t="shared" ref="K269:L269" si="804">#REF!</f>
        <v>#REF!</v>
      </c>
      <c r="L269" s="20" t="str">
        <f t="shared" si="804"/>
        <v>#REF!</v>
      </c>
    </row>
    <row r="270">
      <c r="A270" s="20" t="str">
        <f t="shared" si="249"/>
        <v>#REF!</v>
      </c>
      <c r="B270" s="20" t="str">
        <f t="shared" si="250"/>
        <v>#REF!</v>
      </c>
      <c r="C270" s="20" t="str">
        <f t="shared" ref="C270:D270" si="805">#REF!</f>
        <v>#REF!</v>
      </c>
      <c r="D270" s="20" t="str">
        <f t="shared" si="805"/>
        <v>#REF!</v>
      </c>
      <c r="E270" s="20" t="str">
        <f t="shared" si="252"/>
        <v>#REF!</v>
      </c>
      <c r="F270" s="22" t="str">
        <f t="shared" si="2"/>
        <v>#REF!</v>
      </c>
      <c r="G270" s="20" t="str">
        <f t="shared" ref="G270:I270" si="806">#REF!</f>
        <v>#REF!</v>
      </c>
      <c r="H270" s="20" t="str">
        <f t="shared" si="806"/>
        <v>#REF!</v>
      </c>
      <c r="I270" s="20" t="str">
        <f t="shared" si="806"/>
        <v>#REF!</v>
      </c>
      <c r="J270" s="20" t="str">
        <f t="shared" si="254"/>
        <v>#REF!</v>
      </c>
      <c r="K270" s="20" t="str">
        <f t="shared" ref="K270:L270" si="807">#REF!</f>
        <v>#REF!</v>
      </c>
      <c r="L270" s="20" t="str">
        <f t="shared" si="807"/>
        <v>#REF!</v>
      </c>
    </row>
    <row r="271">
      <c r="A271" s="20" t="str">
        <f t="shared" si="249"/>
        <v>#REF!</v>
      </c>
      <c r="B271" s="20" t="str">
        <f t="shared" si="250"/>
        <v>#REF!</v>
      </c>
      <c r="C271" s="20" t="str">
        <f t="shared" ref="C271:D271" si="808">#REF!</f>
        <v>#REF!</v>
      </c>
      <c r="D271" s="20" t="str">
        <f t="shared" si="808"/>
        <v>#REF!</v>
      </c>
      <c r="E271" s="20" t="str">
        <f t="shared" si="252"/>
        <v>#REF!</v>
      </c>
      <c r="F271" s="22" t="str">
        <f t="shared" si="2"/>
        <v>#REF!</v>
      </c>
      <c r="G271" s="20" t="str">
        <f t="shared" ref="G271:I271" si="809">#REF!</f>
        <v>#REF!</v>
      </c>
      <c r="H271" s="20" t="str">
        <f t="shared" si="809"/>
        <v>#REF!</v>
      </c>
      <c r="I271" s="20" t="str">
        <f t="shared" si="809"/>
        <v>#REF!</v>
      </c>
      <c r="J271" s="20" t="str">
        <f t="shared" si="254"/>
        <v>#REF!</v>
      </c>
      <c r="K271" s="20" t="str">
        <f t="shared" ref="K271:L271" si="810">#REF!</f>
        <v>#REF!</v>
      </c>
      <c r="L271" s="20" t="str">
        <f t="shared" si="810"/>
        <v>#REF!</v>
      </c>
    </row>
    <row r="272">
      <c r="A272" s="20" t="str">
        <f t="shared" si="249"/>
        <v>#REF!</v>
      </c>
      <c r="B272" s="20" t="str">
        <f t="shared" si="250"/>
        <v>#REF!</v>
      </c>
      <c r="C272" s="20" t="str">
        <f t="shared" ref="C272:D272" si="811">#REF!</f>
        <v>#REF!</v>
      </c>
      <c r="D272" s="20" t="str">
        <f t="shared" si="811"/>
        <v>#REF!</v>
      </c>
      <c r="E272" s="20" t="str">
        <f t="shared" si="252"/>
        <v>#REF!</v>
      </c>
      <c r="F272" s="22" t="str">
        <f t="shared" si="2"/>
        <v>#REF!</v>
      </c>
      <c r="G272" s="20" t="str">
        <f t="shared" ref="G272:I272" si="812">#REF!</f>
        <v>#REF!</v>
      </c>
      <c r="H272" s="20" t="str">
        <f t="shared" si="812"/>
        <v>#REF!</v>
      </c>
      <c r="I272" s="20" t="str">
        <f t="shared" si="812"/>
        <v>#REF!</v>
      </c>
      <c r="J272" s="20" t="str">
        <f t="shared" si="254"/>
        <v>#REF!</v>
      </c>
      <c r="K272" s="20" t="str">
        <f t="shared" ref="K272:L272" si="813">#REF!</f>
        <v>#REF!</v>
      </c>
      <c r="L272" s="20" t="str">
        <f t="shared" si="813"/>
        <v>#REF!</v>
      </c>
    </row>
    <row r="273">
      <c r="A273" s="20" t="str">
        <f t="shared" si="249"/>
        <v>#REF!</v>
      </c>
      <c r="B273" s="20" t="str">
        <f t="shared" si="250"/>
        <v>#REF!</v>
      </c>
      <c r="C273" s="20" t="str">
        <f t="shared" ref="C273:D273" si="814">#REF!</f>
        <v>#REF!</v>
      </c>
      <c r="D273" s="20" t="str">
        <f t="shared" si="814"/>
        <v>#REF!</v>
      </c>
      <c r="E273" s="20" t="str">
        <f t="shared" si="252"/>
        <v>#REF!</v>
      </c>
      <c r="F273" s="22" t="str">
        <f t="shared" si="2"/>
        <v>#REF!</v>
      </c>
      <c r="G273" s="20" t="str">
        <f t="shared" ref="G273:I273" si="815">#REF!</f>
        <v>#REF!</v>
      </c>
      <c r="H273" s="20" t="str">
        <f t="shared" si="815"/>
        <v>#REF!</v>
      </c>
      <c r="I273" s="20" t="str">
        <f t="shared" si="815"/>
        <v>#REF!</v>
      </c>
      <c r="J273" s="20" t="str">
        <f t="shared" si="254"/>
        <v>#REF!</v>
      </c>
      <c r="K273" s="20" t="str">
        <f t="shared" ref="K273:L273" si="816">#REF!</f>
        <v>#REF!</v>
      </c>
      <c r="L273" s="20" t="str">
        <f t="shared" si="816"/>
        <v>#REF!</v>
      </c>
    </row>
    <row r="274">
      <c r="A274" s="20" t="str">
        <f t="shared" si="249"/>
        <v>#REF!</v>
      </c>
      <c r="B274" s="20" t="str">
        <f t="shared" si="250"/>
        <v>#REF!</v>
      </c>
      <c r="C274" s="20" t="str">
        <f t="shared" ref="C274:D274" si="817">#REF!</f>
        <v>#REF!</v>
      </c>
      <c r="D274" s="20" t="str">
        <f t="shared" si="817"/>
        <v>#REF!</v>
      </c>
      <c r="E274" s="20" t="str">
        <f t="shared" si="252"/>
        <v>#REF!</v>
      </c>
      <c r="F274" s="22" t="str">
        <f t="shared" si="2"/>
        <v>#REF!</v>
      </c>
      <c r="G274" s="20" t="str">
        <f t="shared" ref="G274:I274" si="818">#REF!</f>
        <v>#REF!</v>
      </c>
      <c r="H274" s="20" t="str">
        <f t="shared" si="818"/>
        <v>#REF!</v>
      </c>
      <c r="I274" s="20" t="str">
        <f t="shared" si="818"/>
        <v>#REF!</v>
      </c>
      <c r="J274" s="20" t="str">
        <f t="shared" si="254"/>
        <v>#REF!</v>
      </c>
      <c r="K274" s="20" t="str">
        <f t="shared" ref="K274:L274" si="819">#REF!</f>
        <v>#REF!</v>
      </c>
      <c r="L274" s="20" t="str">
        <f t="shared" si="819"/>
        <v>#REF!</v>
      </c>
    </row>
    <row r="275">
      <c r="A275" s="20" t="str">
        <f t="shared" si="249"/>
        <v>#REF!</v>
      </c>
      <c r="B275" s="20" t="str">
        <f t="shared" si="250"/>
        <v>#REF!</v>
      </c>
      <c r="C275" s="20" t="str">
        <f t="shared" ref="C275:D275" si="820">#REF!</f>
        <v>#REF!</v>
      </c>
      <c r="D275" s="20" t="str">
        <f t="shared" si="820"/>
        <v>#REF!</v>
      </c>
      <c r="E275" s="20" t="str">
        <f t="shared" si="252"/>
        <v>#REF!</v>
      </c>
      <c r="F275" s="22" t="str">
        <f t="shared" si="2"/>
        <v>#REF!</v>
      </c>
      <c r="G275" s="20" t="str">
        <f t="shared" ref="G275:I275" si="821">#REF!</f>
        <v>#REF!</v>
      </c>
      <c r="H275" s="20" t="str">
        <f t="shared" si="821"/>
        <v>#REF!</v>
      </c>
      <c r="I275" s="20" t="str">
        <f t="shared" si="821"/>
        <v>#REF!</v>
      </c>
      <c r="J275" s="20" t="str">
        <f t="shared" si="254"/>
        <v>#REF!</v>
      </c>
      <c r="K275" s="20" t="str">
        <f t="shared" ref="K275:L275" si="822">#REF!</f>
        <v>#REF!</v>
      </c>
      <c r="L275" s="20" t="str">
        <f t="shared" si="822"/>
        <v>#REF!</v>
      </c>
    </row>
    <row r="276">
      <c r="A276" s="20" t="str">
        <f t="shared" si="249"/>
        <v>#REF!</v>
      </c>
      <c r="B276" s="20" t="str">
        <f t="shared" si="250"/>
        <v>#REF!</v>
      </c>
      <c r="C276" s="20" t="str">
        <f t="shared" ref="C276:D276" si="823">#REF!</f>
        <v>#REF!</v>
      </c>
      <c r="D276" s="20" t="str">
        <f t="shared" si="823"/>
        <v>#REF!</v>
      </c>
      <c r="E276" s="20" t="str">
        <f t="shared" si="252"/>
        <v>#REF!</v>
      </c>
      <c r="F276" s="22" t="str">
        <f t="shared" si="2"/>
        <v>#REF!</v>
      </c>
      <c r="G276" s="20" t="str">
        <f t="shared" ref="G276:I276" si="824">#REF!</f>
        <v>#REF!</v>
      </c>
      <c r="H276" s="20" t="str">
        <f t="shared" si="824"/>
        <v>#REF!</v>
      </c>
      <c r="I276" s="20" t="str">
        <f t="shared" si="824"/>
        <v>#REF!</v>
      </c>
      <c r="J276" s="20" t="str">
        <f t="shared" si="254"/>
        <v>#REF!</v>
      </c>
      <c r="K276" s="20" t="str">
        <f t="shared" ref="K276:L276" si="825">#REF!</f>
        <v>#REF!</v>
      </c>
      <c r="L276" s="20" t="str">
        <f t="shared" si="825"/>
        <v>#REF!</v>
      </c>
    </row>
    <row r="277">
      <c r="A277" s="20" t="str">
        <f t="shared" si="249"/>
        <v>#REF!</v>
      </c>
      <c r="B277" s="20" t="str">
        <f t="shared" si="250"/>
        <v>#REF!</v>
      </c>
      <c r="C277" s="20" t="str">
        <f t="shared" ref="C277:D277" si="826">#REF!</f>
        <v>#REF!</v>
      </c>
      <c r="D277" s="20" t="str">
        <f t="shared" si="826"/>
        <v>#REF!</v>
      </c>
      <c r="E277" s="20" t="str">
        <f t="shared" si="252"/>
        <v>#REF!</v>
      </c>
      <c r="F277" s="22" t="str">
        <f t="shared" si="2"/>
        <v>#REF!</v>
      </c>
      <c r="G277" s="20" t="str">
        <f t="shared" ref="G277:I277" si="827">#REF!</f>
        <v>#REF!</v>
      </c>
      <c r="H277" s="20" t="str">
        <f t="shared" si="827"/>
        <v>#REF!</v>
      </c>
      <c r="I277" s="20" t="str">
        <f t="shared" si="827"/>
        <v>#REF!</v>
      </c>
      <c r="J277" s="20" t="str">
        <f t="shared" si="254"/>
        <v>#REF!</v>
      </c>
      <c r="K277" s="20" t="str">
        <f t="shared" ref="K277:L277" si="828">#REF!</f>
        <v>#REF!</v>
      </c>
      <c r="L277" s="20" t="str">
        <f t="shared" si="828"/>
        <v>#REF!</v>
      </c>
    </row>
    <row r="278">
      <c r="A278" s="20" t="str">
        <f t="shared" si="249"/>
        <v>#REF!</v>
      </c>
      <c r="B278" s="20" t="str">
        <f t="shared" si="250"/>
        <v>#REF!</v>
      </c>
      <c r="C278" s="20" t="str">
        <f t="shared" ref="C278:D278" si="829">#REF!</f>
        <v>#REF!</v>
      </c>
      <c r="D278" s="20" t="str">
        <f t="shared" si="829"/>
        <v>#REF!</v>
      </c>
      <c r="E278" s="20" t="str">
        <f t="shared" si="252"/>
        <v>#REF!</v>
      </c>
      <c r="F278" s="22" t="str">
        <f t="shared" si="2"/>
        <v>#REF!</v>
      </c>
      <c r="G278" s="20" t="str">
        <f t="shared" ref="G278:I278" si="830">#REF!</f>
        <v>#REF!</v>
      </c>
      <c r="H278" s="20" t="str">
        <f t="shared" si="830"/>
        <v>#REF!</v>
      </c>
      <c r="I278" s="20" t="str">
        <f t="shared" si="830"/>
        <v>#REF!</v>
      </c>
      <c r="J278" s="20" t="str">
        <f t="shared" si="254"/>
        <v>#REF!</v>
      </c>
      <c r="K278" s="20" t="str">
        <f t="shared" ref="K278:L278" si="831">#REF!</f>
        <v>#REF!</v>
      </c>
      <c r="L278" s="20" t="str">
        <f t="shared" si="831"/>
        <v>#REF!</v>
      </c>
    </row>
    <row r="279">
      <c r="A279" s="20" t="str">
        <f t="shared" si="249"/>
        <v>#REF!</v>
      </c>
      <c r="B279" s="20" t="str">
        <f t="shared" si="250"/>
        <v>#REF!</v>
      </c>
      <c r="C279" s="20" t="str">
        <f t="shared" ref="C279:D279" si="832">#REF!</f>
        <v>#REF!</v>
      </c>
      <c r="D279" s="20" t="str">
        <f t="shared" si="832"/>
        <v>#REF!</v>
      </c>
      <c r="E279" s="20" t="str">
        <f t="shared" si="252"/>
        <v>#REF!</v>
      </c>
      <c r="F279" s="22" t="str">
        <f t="shared" si="2"/>
        <v>#REF!</v>
      </c>
      <c r="G279" s="20" t="str">
        <f t="shared" ref="G279:I279" si="833">#REF!</f>
        <v>#REF!</v>
      </c>
      <c r="H279" s="20" t="str">
        <f t="shared" si="833"/>
        <v>#REF!</v>
      </c>
      <c r="I279" s="20" t="str">
        <f t="shared" si="833"/>
        <v>#REF!</v>
      </c>
      <c r="J279" s="20" t="str">
        <f t="shared" si="254"/>
        <v>#REF!</v>
      </c>
      <c r="K279" s="20" t="str">
        <f t="shared" ref="K279:L279" si="834">#REF!</f>
        <v>#REF!</v>
      </c>
      <c r="L279" s="20" t="str">
        <f t="shared" si="834"/>
        <v>#REF!</v>
      </c>
    </row>
    <row r="280">
      <c r="A280" s="20" t="str">
        <f t="shared" si="249"/>
        <v>#REF!</v>
      </c>
      <c r="B280" s="20" t="str">
        <f t="shared" si="250"/>
        <v>#REF!</v>
      </c>
      <c r="C280" s="20" t="str">
        <f t="shared" ref="C280:D280" si="835">#REF!</f>
        <v>#REF!</v>
      </c>
      <c r="D280" s="20" t="str">
        <f t="shared" si="835"/>
        <v>#REF!</v>
      </c>
      <c r="E280" s="20" t="str">
        <f t="shared" si="252"/>
        <v>#REF!</v>
      </c>
      <c r="F280" s="22" t="str">
        <f t="shared" si="2"/>
        <v>#REF!</v>
      </c>
      <c r="G280" s="20" t="str">
        <f t="shared" ref="G280:I280" si="836">#REF!</f>
        <v>#REF!</v>
      </c>
      <c r="H280" s="20" t="str">
        <f t="shared" si="836"/>
        <v>#REF!</v>
      </c>
      <c r="I280" s="20" t="str">
        <f t="shared" si="836"/>
        <v>#REF!</v>
      </c>
      <c r="J280" s="20" t="str">
        <f t="shared" si="254"/>
        <v>#REF!</v>
      </c>
      <c r="K280" s="20" t="str">
        <f t="shared" ref="K280:L280" si="837">#REF!</f>
        <v>#REF!</v>
      </c>
      <c r="L280" s="20" t="str">
        <f t="shared" si="837"/>
        <v>#REF!</v>
      </c>
    </row>
    <row r="281">
      <c r="A281" s="20" t="str">
        <f t="shared" si="249"/>
        <v>#REF!</v>
      </c>
      <c r="B281" s="20" t="str">
        <f t="shared" si="250"/>
        <v>#REF!</v>
      </c>
      <c r="C281" s="20" t="str">
        <f t="shared" ref="C281:D281" si="838">#REF!</f>
        <v>#REF!</v>
      </c>
      <c r="D281" s="20" t="str">
        <f t="shared" si="838"/>
        <v>#REF!</v>
      </c>
      <c r="E281" s="20" t="str">
        <f t="shared" si="252"/>
        <v>#REF!</v>
      </c>
      <c r="F281" s="22" t="str">
        <f t="shared" si="2"/>
        <v>#REF!</v>
      </c>
      <c r="G281" s="20" t="str">
        <f t="shared" ref="G281:I281" si="839">#REF!</f>
        <v>#REF!</v>
      </c>
      <c r="H281" s="20" t="str">
        <f t="shared" si="839"/>
        <v>#REF!</v>
      </c>
      <c r="I281" s="20" t="str">
        <f t="shared" si="839"/>
        <v>#REF!</v>
      </c>
      <c r="J281" s="20" t="str">
        <f t="shared" si="254"/>
        <v>#REF!</v>
      </c>
      <c r="K281" s="20" t="str">
        <f t="shared" ref="K281:L281" si="840">#REF!</f>
        <v>#REF!</v>
      </c>
      <c r="L281" s="20" t="str">
        <f t="shared" si="840"/>
        <v>#REF!</v>
      </c>
    </row>
    <row r="282">
      <c r="A282" s="20" t="str">
        <f t="shared" si="249"/>
        <v>#REF!</v>
      </c>
      <c r="B282" s="20" t="str">
        <f t="shared" si="250"/>
        <v>#REF!</v>
      </c>
      <c r="C282" s="20" t="str">
        <f t="shared" ref="C282:D282" si="841">#REF!</f>
        <v>#REF!</v>
      </c>
      <c r="D282" s="20" t="str">
        <f t="shared" si="841"/>
        <v>#REF!</v>
      </c>
      <c r="E282" s="20" t="str">
        <f t="shared" si="252"/>
        <v>#REF!</v>
      </c>
      <c r="F282" s="22" t="str">
        <f t="shared" si="2"/>
        <v>#REF!</v>
      </c>
      <c r="G282" s="20" t="str">
        <f t="shared" ref="G282:I282" si="842">#REF!</f>
        <v>#REF!</v>
      </c>
      <c r="H282" s="20" t="str">
        <f t="shared" si="842"/>
        <v>#REF!</v>
      </c>
      <c r="I282" s="20" t="str">
        <f t="shared" si="842"/>
        <v>#REF!</v>
      </c>
      <c r="J282" s="20" t="str">
        <f t="shared" si="254"/>
        <v>#REF!</v>
      </c>
      <c r="K282" s="20" t="str">
        <f t="shared" ref="K282:L282" si="843">#REF!</f>
        <v>#REF!</v>
      </c>
      <c r="L282" s="20" t="str">
        <f t="shared" si="843"/>
        <v>#REF!</v>
      </c>
    </row>
    <row r="283">
      <c r="A283" s="20" t="str">
        <f t="shared" si="249"/>
        <v>#REF!</v>
      </c>
      <c r="B283" s="20" t="str">
        <f t="shared" si="250"/>
        <v>#REF!</v>
      </c>
      <c r="C283" s="20" t="str">
        <f t="shared" ref="C283:D283" si="844">#REF!</f>
        <v>#REF!</v>
      </c>
      <c r="D283" s="20" t="str">
        <f t="shared" si="844"/>
        <v>#REF!</v>
      </c>
      <c r="E283" s="20" t="str">
        <f t="shared" si="252"/>
        <v>#REF!</v>
      </c>
      <c r="F283" s="22" t="str">
        <f t="shared" si="2"/>
        <v>#REF!</v>
      </c>
      <c r="G283" s="20" t="str">
        <f t="shared" ref="G283:I283" si="845">#REF!</f>
        <v>#REF!</v>
      </c>
      <c r="H283" s="20" t="str">
        <f t="shared" si="845"/>
        <v>#REF!</v>
      </c>
      <c r="I283" s="20" t="str">
        <f t="shared" si="845"/>
        <v>#REF!</v>
      </c>
      <c r="J283" s="20" t="str">
        <f t="shared" si="254"/>
        <v>#REF!</v>
      </c>
      <c r="K283" s="20" t="str">
        <f t="shared" ref="K283:L283" si="846">#REF!</f>
        <v>#REF!</v>
      </c>
      <c r="L283" s="20" t="str">
        <f t="shared" si="846"/>
        <v>#REF!</v>
      </c>
    </row>
    <row r="284">
      <c r="A284" s="20" t="str">
        <f t="shared" si="249"/>
        <v>#REF!</v>
      </c>
      <c r="B284" s="20" t="str">
        <f t="shared" si="250"/>
        <v>#REF!</v>
      </c>
      <c r="C284" s="20" t="str">
        <f t="shared" ref="C284:D284" si="847">#REF!</f>
        <v>#REF!</v>
      </c>
      <c r="D284" s="20" t="str">
        <f t="shared" si="847"/>
        <v>#REF!</v>
      </c>
      <c r="E284" s="20" t="str">
        <f t="shared" si="252"/>
        <v>#REF!</v>
      </c>
      <c r="F284" s="22" t="str">
        <f t="shared" si="2"/>
        <v>#REF!</v>
      </c>
      <c r="G284" s="20" t="str">
        <f t="shared" ref="G284:I284" si="848">#REF!</f>
        <v>#REF!</v>
      </c>
      <c r="H284" s="20" t="str">
        <f t="shared" si="848"/>
        <v>#REF!</v>
      </c>
      <c r="I284" s="20" t="str">
        <f t="shared" si="848"/>
        <v>#REF!</v>
      </c>
      <c r="J284" s="20" t="str">
        <f t="shared" si="254"/>
        <v>#REF!</v>
      </c>
      <c r="K284" s="20" t="str">
        <f t="shared" ref="K284:L284" si="849">#REF!</f>
        <v>#REF!</v>
      </c>
      <c r="L284" s="20" t="str">
        <f t="shared" si="849"/>
        <v>#REF!</v>
      </c>
    </row>
    <row r="285">
      <c r="A285" s="20" t="str">
        <f t="shared" si="249"/>
        <v>#REF!</v>
      </c>
      <c r="B285" s="20" t="str">
        <f t="shared" si="250"/>
        <v>#REF!</v>
      </c>
      <c r="C285" s="20" t="str">
        <f t="shared" ref="C285:D285" si="850">#REF!</f>
        <v>#REF!</v>
      </c>
      <c r="D285" s="20" t="str">
        <f t="shared" si="850"/>
        <v>#REF!</v>
      </c>
      <c r="E285" s="20" t="str">
        <f t="shared" si="252"/>
        <v>#REF!</v>
      </c>
      <c r="F285" s="22" t="str">
        <f t="shared" si="2"/>
        <v>#REF!</v>
      </c>
      <c r="G285" s="20" t="str">
        <f t="shared" ref="G285:I285" si="851">#REF!</f>
        <v>#REF!</v>
      </c>
      <c r="H285" s="20" t="str">
        <f t="shared" si="851"/>
        <v>#REF!</v>
      </c>
      <c r="I285" s="20" t="str">
        <f t="shared" si="851"/>
        <v>#REF!</v>
      </c>
      <c r="J285" s="20" t="str">
        <f t="shared" si="254"/>
        <v>#REF!</v>
      </c>
      <c r="K285" s="20" t="str">
        <f t="shared" ref="K285:L285" si="852">#REF!</f>
        <v>#REF!</v>
      </c>
      <c r="L285" s="20" t="str">
        <f t="shared" si="852"/>
        <v>#REF!</v>
      </c>
    </row>
    <row r="286">
      <c r="A286" s="20" t="str">
        <f t="shared" si="249"/>
        <v>#REF!</v>
      </c>
      <c r="B286" s="20" t="str">
        <f t="shared" si="250"/>
        <v>#REF!</v>
      </c>
      <c r="C286" s="20" t="str">
        <f t="shared" ref="C286:D286" si="853">#REF!</f>
        <v>#REF!</v>
      </c>
      <c r="D286" s="20" t="str">
        <f t="shared" si="853"/>
        <v>#REF!</v>
      </c>
      <c r="E286" s="20" t="str">
        <f t="shared" si="252"/>
        <v>#REF!</v>
      </c>
      <c r="F286" s="22" t="str">
        <f t="shared" si="2"/>
        <v>#REF!</v>
      </c>
      <c r="G286" s="20" t="str">
        <f t="shared" ref="G286:I286" si="854">#REF!</f>
        <v>#REF!</v>
      </c>
      <c r="H286" s="20" t="str">
        <f t="shared" si="854"/>
        <v>#REF!</v>
      </c>
      <c r="I286" s="20" t="str">
        <f t="shared" si="854"/>
        <v>#REF!</v>
      </c>
      <c r="J286" s="20" t="str">
        <f t="shared" si="254"/>
        <v>#REF!</v>
      </c>
      <c r="K286" s="20" t="str">
        <f t="shared" ref="K286:L286" si="855">#REF!</f>
        <v>#REF!</v>
      </c>
      <c r="L286" s="20" t="str">
        <f t="shared" si="855"/>
        <v>#REF!</v>
      </c>
    </row>
    <row r="287">
      <c r="A287" s="20" t="str">
        <f t="shared" si="249"/>
        <v>#REF!</v>
      </c>
      <c r="B287" s="20" t="str">
        <f t="shared" si="250"/>
        <v>#REF!</v>
      </c>
      <c r="C287" s="20" t="str">
        <f t="shared" ref="C287:D287" si="856">#REF!</f>
        <v>#REF!</v>
      </c>
      <c r="D287" s="20" t="str">
        <f t="shared" si="856"/>
        <v>#REF!</v>
      </c>
      <c r="E287" s="20" t="str">
        <f t="shared" si="252"/>
        <v>#REF!</v>
      </c>
      <c r="F287" s="22" t="str">
        <f t="shared" si="2"/>
        <v>#REF!</v>
      </c>
      <c r="G287" s="20" t="str">
        <f t="shared" ref="G287:I287" si="857">#REF!</f>
        <v>#REF!</v>
      </c>
      <c r="H287" s="20" t="str">
        <f t="shared" si="857"/>
        <v>#REF!</v>
      </c>
      <c r="I287" s="20" t="str">
        <f t="shared" si="857"/>
        <v>#REF!</v>
      </c>
      <c r="J287" s="20" t="str">
        <f t="shared" si="254"/>
        <v>#REF!</v>
      </c>
      <c r="K287" s="20" t="str">
        <f t="shared" ref="K287:L287" si="858">#REF!</f>
        <v>#REF!</v>
      </c>
      <c r="L287" s="20" t="str">
        <f t="shared" si="858"/>
        <v>#REF!</v>
      </c>
    </row>
    <row r="288">
      <c r="A288" s="20" t="str">
        <f t="shared" si="249"/>
        <v>#REF!</v>
      </c>
      <c r="B288" s="20" t="str">
        <f t="shared" si="250"/>
        <v>#REF!</v>
      </c>
      <c r="C288" s="20" t="str">
        <f t="shared" ref="C288:D288" si="859">#REF!</f>
        <v>#REF!</v>
      </c>
      <c r="D288" s="20" t="str">
        <f t="shared" si="859"/>
        <v>#REF!</v>
      </c>
      <c r="E288" s="20" t="str">
        <f t="shared" si="252"/>
        <v>#REF!</v>
      </c>
      <c r="F288" s="22" t="str">
        <f t="shared" si="2"/>
        <v>#REF!</v>
      </c>
      <c r="G288" s="20" t="str">
        <f t="shared" ref="G288:I288" si="860">#REF!</f>
        <v>#REF!</v>
      </c>
      <c r="H288" s="20" t="str">
        <f t="shared" si="860"/>
        <v>#REF!</v>
      </c>
      <c r="I288" s="20" t="str">
        <f t="shared" si="860"/>
        <v>#REF!</v>
      </c>
      <c r="J288" s="20" t="str">
        <f t="shared" si="254"/>
        <v>#REF!</v>
      </c>
      <c r="K288" s="20" t="str">
        <f t="shared" ref="K288:L288" si="861">#REF!</f>
        <v>#REF!</v>
      </c>
      <c r="L288" s="20" t="str">
        <f t="shared" si="861"/>
        <v>#REF!</v>
      </c>
    </row>
    <row r="289">
      <c r="A289" s="20" t="str">
        <f t="shared" si="249"/>
        <v>#REF!</v>
      </c>
      <c r="B289" s="20" t="str">
        <f t="shared" si="250"/>
        <v>#REF!</v>
      </c>
      <c r="C289" s="20" t="str">
        <f t="shared" ref="C289:D289" si="862">#REF!</f>
        <v>#REF!</v>
      </c>
      <c r="D289" s="20" t="str">
        <f t="shared" si="862"/>
        <v>#REF!</v>
      </c>
      <c r="E289" s="20" t="str">
        <f t="shared" si="252"/>
        <v>#REF!</v>
      </c>
      <c r="F289" s="22" t="str">
        <f t="shared" si="2"/>
        <v>#REF!</v>
      </c>
      <c r="G289" s="20" t="str">
        <f t="shared" ref="G289:I289" si="863">#REF!</f>
        <v>#REF!</v>
      </c>
      <c r="H289" s="20" t="str">
        <f t="shared" si="863"/>
        <v>#REF!</v>
      </c>
      <c r="I289" s="20" t="str">
        <f t="shared" si="863"/>
        <v>#REF!</v>
      </c>
      <c r="J289" s="20" t="str">
        <f t="shared" si="254"/>
        <v>#REF!</v>
      </c>
      <c r="K289" s="20" t="str">
        <f t="shared" ref="K289:L289" si="864">#REF!</f>
        <v>#REF!</v>
      </c>
      <c r="L289" s="20" t="str">
        <f t="shared" si="864"/>
        <v>#REF!</v>
      </c>
    </row>
    <row r="290">
      <c r="A290" s="20" t="str">
        <f t="shared" si="249"/>
        <v>#REF!</v>
      </c>
      <c r="B290" s="20" t="str">
        <f t="shared" si="250"/>
        <v>#REF!</v>
      </c>
      <c r="C290" s="20" t="str">
        <f t="shared" ref="C290:D290" si="865">#REF!</f>
        <v>#REF!</v>
      </c>
      <c r="D290" s="20" t="str">
        <f t="shared" si="865"/>
        <v>#REF!</v>
      </c>
      <c r="E290" s="20" t="str">
        <f t="shared" si="252"/>
        <v>#REF!</v>
      </c>
      <c r="F290" s="22" t="str">
        <f t="shared" si="2"/>
        <v>#REF!</v>
      </c>
      <c r="G290" s="20" t="str">
        <f t="shared" ref="G290:I290" si="866">#REF!</f>
        <v>#REF!</v>
      </c>
      <c r="H290" s="20" t="str">
        <f t="shared" si="866"/>
        <v>#REF!</v>
      </c>
      <c r="I290" s="20" t="str">
        <f t="shared" si="866"/>
        <v>#REF!</v>
      </c>
      <c r="J290" s="20" t="str">
        <f t="shared" si="254"/>
        <v>#REF!</v>
      </c>
      <c r="K290" s="20" t="str">
        <f t="shared" ref="K290:L290" si="867">#REF!</f>
        <v>#REF!</v>
      </c>
      <c r="L290" s="20" t="str">
        <f t="shared" si="867"/>
        <v>#REF!</v>
      </c>
    </row>
    <row r="291">
      <c r="A291" s="20" t="str">
        <f t="shared" si="249"/>
        <v>#REF!</v>
      </c>
      <c r="B291" s="20" t="str">
        <f t="shared" si="250"/>
        <v>#REF!</v>
      </c>
      <c r="C291" s="20" t="str">
        <f t="shared" ref="C291:D291" si="868">#REF!</f>
        <v>#REF!</v>
      </c>
      <c r="D291" s="20" t="str">
        <f t="shared" si="868"/>
        <v>#REF!</v>
      </c>
      <c r="E291" s="20" t="str">
        <f t="shared" si="252"/>
        <v>#REF!</v>
      </c>
      <c r="F291" s="22" t="str">
        <f t="shared" si="2"/>
        <v>#REF!</v>
      </c>
      <c r="G291" s="20" t="str">
        <f t="shared" ref="G291:I291" si="869">#REF!</f>
        <v>#REF!</v>
      </c>
      <c r="H291" s="20" t="str">
        <f t="shared" si="869"/>
        <v>#REF!</v>
      </c>
      <c r="I291" s="20" t="str">
        <f t="shared" si="869"/>
        <v>#REF!</v>
      </c>
      <c r="J291" s="20" t="str">
        <f t="shared" si="254"/>
        <v>#REF!</v>
      </c>
      <c r="K291" s="20" t="str">
        <f t="shared" ref="K291:L291" si="870">#REF!</f>
        <v>#REF!</v>
      </c>
      <c r="L291" s="20" t="str">
        <f t="shared" si="870"/>
        <v>#REF!</v>
      </c>
    </row>
    <row r="292">
      <c r="A292" s="20" t="str">
        <f t="shared" si="249"/>
        <v>#REF!</v>
      </c>
      <c r="B292" s="20" t="str">
        <f t="shared" si="250"/>
        <v>#REF!</v>
      </c>
      <c r="C292" s="20" t="str">
        <f t="shared" ref="C292:D292" si="871">#REF!</f>
        <v>#REF!</v>
      </c>
      <c r="D292" s="20" t="str">
        <f t="shared" si="871"/>
        <v>#REF!</v>
      </c>
      <c r="E292" s="20" t="str">
        <f t="shared" si="252"/>
        <v>#REF!</v>
      </c>
      <c r="F292" s="22" t="str">
        <f t="shared" si="2"/>
        <v>#REF!</v>
      </c>
      <c r="G292" s="20" t="str">
        <f t="shared" ref="G292:I292" si="872">#REF!</f>
        <v>#REF!</v>
      </c>
      <c r="H292" s="20" t="str">
        <f t="shared" si="872"/>
        <v>#REF!</v>
      </c>
      <c r="I292" s="20" t="str">
        <f t="shared" si="872"/>
        <v>#REF!</v>
      </c>
      <c r="J292" s="20" t="str">
        <f t="shared" si="254"/>
        <v>#REF!</v>
      </c>
      <c r="K292" s="20" t="str">
        <f t="shared" ref="K292:L292" si="873">#REF!</f>
        <v>#REF!</v>
      </c>
      <c r="L292" s="20" t="str">
        <f t="shared" si="873"/>
        <v>#REF!</v>
      </c>
    </row>
    <row r="293">
      <c r="A293" s="20" t="str">
        <f t="shared" si="249"/>
        <v>#REF!</v>
      </c>
      <c r="B293" s="20" t="str">
        <f t="shared" si="250"/>
        <v>#REF!</v>
      </c>
      <c r="C293" s="20" t="str">
        <f t="shared" ref="C293:D293" si="874">#REF!</f>
        <v>#REF!</v>
      </c>
      <c r="D293" s="20" t="str">
        <f t="shared" si="874"/>
        <v>#REF!</v>
      </c>
      <c r="E293" s="20" t="str">
        <f t="shared" si="252"/>
        <v>#REF!</v>
      </c>
      <c r="F293" s="22" t="str">
        <f t="shared" si="2"/>
        <v>#REF!</v>
      </c>
      <c r="G293" s="20" t="str">
        <f t="shared" ref="G293:I293" si="875">#REF!</f>
        <v>#REF!</v>
      </c>
      <c r="H293" s="20" t="str">
        <f t="shared" si="875"/>
        <v>#REF!</v>
      </c>
      <c r="I293" s="20" t="str">
        <f t="shared" si="875"/>
        <v>#REF!</v>
      </c>
      <c r="J293" s="20" t="str">
        <f t="shared" si="254"/>
        <v>#REF!</v>
      </c>
      <c r="K293" s="20" t="str">
        <f t="shared" ref="K293:L293" si="876">#REF!</f>
        <v>#REF!</v>
      </c>
      <c r="L293" s="20" t="str">
        <f t="shared" si="876"/>
        <v>#REF!</v>
      </c>
    </row>
    <row r="294">
      <c r="A294" s="20" t="str">
        <f t="shared" si="249"/>
        <v>#REF!</v>
      </c>
      <c r="B294" s="20" t="str">
        <f t="shared" si="250"/>
        <v>#REF!</v>
      </c>
      <c r="C294" s="20" t="str">
        <f t="shared" ref="C294:D294" si="877">#REF!</f>
        <v>#REF!</v>
      </c>
      <c r="D294" s="20" t="str">
        <f t="shared" si="877"/>
        <v>#REF!</v>
      </c>
      <c r="E294" s="20" t="str">
        <f t="shared" si="252"/>
        <v>#REF!</v>
      </c>
      <c r="F294" s="22" t="str">
        <f t="shared" si="2"/>
        <v>#REF!</v>
      </c>
      <c r="G294" s="20" t="str">
        <f t="shared" ref="G294:I294" si="878">#REF!</f>
        <v>#REF!</v>
      </c>
      <c r="H294" s="20" t="str">
        <f t="shared" si="878"/>
        <v>#REF!</v>
      </c>
      <c r="I294" s="20" t="str">
        <f t="shared" si="878"/>
        <v>#REF!</v>
      </c>
      <c r="J294" s="20" t="str">
        <f t="shared" si="254"/>
        <v>#REF!</v>
      </c>
      <c r="K294" s="20" t="str">
        <f t="shared" ref="K294:L294" si="879">#REF!</f>
        <v>#REF!</v>
      </c>
      <c r="L294" s="20" t="str">
        <f t="shared" si="879"/>
        <v>#REF!</v>
      </c>
    </row>
    <row r="295">
      <c r="A295" s="20" t="str">
        <f t="shared" si="249"/>
        <v>#REF!</v>
      </c>
      <c r="B295" s="20" t="str">
        <f t="shared" si="250"/>
        <v>#REF!</v>
      </c>
      <c r="C295" s="20" t="str">
        <f t="shared" ref="C295:D295" si="880">#REF!</f>
        <v>#REF!</v>
      </c>
      <c r="D295" s="20" t="str">
        <f t="shared" si="880"/>
        <v>#REF!</v>
      </c>
      <c r="E295" s="20" t="str">
        <f t="shared" si="252"/>
        <v>#REF!</v>
      </c>
      <c r="F295" s="22" t="str">
        <f t="shared" si="2"/>
        <v>#REF!</v>
      </c>
      <c r="G295" s="20" t="str">
        <f t="shared" ref="G295:I295" si="881">#REF!</f>
        <v>#REF!</v>
      </c>
      <c r="H295" s="20" t="str">
        <f t="shared" si="881"/>
        <v>#REF!</v>
      </c>
      <c r="I295" s="20" t="str">
        <f t="shared" si="881"/>
        <v>#REF!</v>
      </c>
      <c r="J295" s="20" t="str">
        <f t="shared" si="254"/>
        <v>#REF!</v>
      </c>
      <c r="K295" s="20" t="str">
        <f t="shared" ref="K295:L295" si="882">#REF!</f>
        <v>#REF!</v>
      </c>
      <c r="L295" s="20" t="str">
        <f t="shared" si="882"/>
        <v>#REF!</v>
      </c>
    </row>
    <row r="296">
      <c r="A296" s="20" t="str">
        <f t="shared" si="249"/>
        <v>#REF!</v>
      </c>
      <c r="B296" s="20" t="str">
        <f t="shared" si="250"/>
        <v>#REF!</v>
      </c>
      <c r="C296" s="20" t="str">
        <f t="shared" ref="C296:D296" si="883">#REF!</f>
        <v>#REF!</v>
      </c>
      <c r="D296" s="20" t="str">
        <f t="shared" si="883"/>
        <v>#REF!</v>
      </c>
      <c r="E296" s="20" t="str">
        <f t="shared" si="252"/>
        <v>#REF!</v>
      </c>
      <c r="F296" s="22" t="str">
        <f t="shared" si="2"/>
        <v>#REF!</v>
      </c>
      <c r="G296" s="20" t="str">
        <f t="shared" ref="G296:I296" si="884">#REF!</f>
        <v>#REF!</v>
      </c>
      <c r="H296" s="20" t="str">
        <f t="shared" si="884"/>
        <v>#REF!</v>
      </c>
      <c r="I296" s="20" t="str">
        <f t="shared" si="884"/>
        <v>#REF!</v>
      </c>
      <c r="J296" s="20" t="str">
        <f t="shared" si="254"/>
        <v>#REF!</v>
      </c>
      <c r="K296" s="20" t="str">
        <f t="shared" ref="K296:L296" si="885">#REF!</f>
        <v>#REF!</v>
      </c>
      <c r="L296" s="20" t="str">
        <f t="shared" si="885"/>
        <v>#REF!</v>
      </c>
    </row>
    <row r="297">
      <c r="A297" s="20" t="str">
        <f t="shared" si="249"/>
        <v>#REF!</v>
      </c>
      <c r="B297" s="20" t="str">
        <f t="shared" si="250"/>
        <v>#REF!</v>
      </c>
      <c r="C297" s="20" t="str">
        <f t="shared" ref="C297:D297" si="886">#REF!</f>
        <v>#REF!</v>
      </c>
      <c r="D297" s="20" t="str">
        <f t="shared" si="886"/>
        <v>#REF!</v>
      </c>
      <c r="E297" s="20" t="str">
        <f t="shared" si="252"/>
        <v>#REF!</v>
      </c>
      <c r="F297" s="22" t="str">
        <f t="shared" si="2"/>
        <v>#REF!</v>
      </c>
      <c r="G297" s="20" t="str">
        <f t="shared" ref="G297:I297" si="887">#REF!</f>
        <v>#REF!</v>
      </c>
      <c r="H297" s="20" t="str">
        <f t="shared" si="887"/>
        <v>#REF!</v>
      </c>
      <c r="I297" s="20" t="str">
        <f t="shared" si="887"/>
        <v>#REF!</v>
      </c>
      <c r="J297" s="20" t="str">
        <f t="shared" si="254"/>
        <v>#REF!</v>
      </c>
      <c r="K297" s="20" t="str">
        <f t="shared" ref="K297:L297" si="888">#REF!</f>
        <v>#REF!</v>
      </c>
      <c r="L297" s="20" t="str">
        <f t="shared" si="888"/>
        <v>#REF!</v>
      </c>
    </row>
    <row r="298">
      <c r="A298" s="20" t="str">
        <f t="shared" si="249"/>
        <v>#REF!</v>
      </c>
      <c r="B298" s="20" t="str">
        <f t="shared" si="250"/>
        <v>#REF!</v>
      </c>
      <c r="C298" s="20" t="str">
        <f t="shared" ref="C298:D298" si="889">#REF!</f>
        <v>#REF!</v>
      </c>
      <c r="D298" s="20" t="str">
        <f t="shared" si="889"/>
        <v>#REF!</v>
      </c>
      <c r="E298" s="20" t="str">
        <f t="shared" si="252"/>
        <v>#REF!</v>
      </c>
      <c r="F298" s="22" t="str">
        <f t="shared" si="2"/>
        <v>#REF!</v>
      </c>
      <c r="G298" s="20" t="str">
        <f t="shared" ref="G298:I298" si="890">#REF!</f>
        <v>#REF!</v>
      </c>
      <c r="H298" s="20" t="str">
        <f t="shared" si="890"/>
        <v>#REF!</v>
      </c>
      <c r="I298" s="20" t="str">
        <f t="shared" si="890"/>
        <v>#REF!</v>
      </c>
      <c r="J298" s="20" t="str">
        <f t="shared" si="254"/>
        <v>#REF!</v>
      </c>
      <c r="K298" s="20" t="str">
        <f t="shared" ref="K298:L298" si="891">#REF!</f>
        <v>#REF!</v>
      </c>
      <c r="L298" s="20" t="str">
        <f t="shared" si="891"/>
        <v>#REF!</v>
      </c>
    </row>
    <row r="299">
      <c r="A299" s="20" t="str">
        <f t="shared" si="249"/>
        <v>#REF!</v>
      </c>
      <c r="B299" s="20" t="str">
        <f t="shared" si="250"/>
        <v>#REF!</v>
      </c>
      <c r="C299" s="20" t="str">
        <f t="shared" ref="C299:D299" si="892">#REF!</f>
        <v>#REF!</v>
      </c>
      <c r="D299" s="20" t="str">
        <f t="shared" si="892"/>
        <v>#REF!</v>
      </c>
      <c r="E299" s="20" t="str">
        <f t="shared" si="252"/>
        <v>#REF!</v>
      </c>
      <c r="F299" s="22" t="str">
        <f t="shared" si="2"/>
        <v>#REF!</v>
      </c>
      <c r="G299" s="20" t="str">
        <f t="shared" ref="G299:I299" si="893">#REF!</f>
        <v>#REF!</v>
      </c>
      <c r="H299" s="20" t="str">
        <f t="shared" si="893"/>
        <v>#REF!</v>
      </c>
      <c r="I299" s="20" t="str">
        <f t="shared" si="893"/>
        <v>#REF!</v>
      </c>
      <c r="J299" s="20" t="str">
        <f t="shared" si="254"/>
        <v>#REF!</v>
      </c>
      <c r="K299" s="20" t="str">
        <f t="shared" ref="K299:L299" si="894">#REF!</f>
        <v>#REF!</v>
      </c>
      <c r="L299" s="20" t="str">
        <f t="shared" si="894"/>
        <v>#REF!</v>
      </c>
    </row>
    <row r="300">
      <c r="A300" s="20" t="str">
        <f t="shared" si="249"/>
        <v>#REF!</v>
      </c>
      <c r="B300" s="20" t="str">
        <f t="shared" si="250"/>
        <v>#REF!</v>
      </c>
      <c r="C300" s="20" t="str">
        <f t="shared" ref="C300:D300" si="895">#REF!</f>
        <v>#REF!</v>
      </c>
      <c r="D300" s="20" t="str">
        <f t="shared" si="895"/>
        <v>#REF!</v>
      </c>
      <c r="E300" s="20" t="str">
        <f t="shared" si="252"/>
        <v>#REF!</v>
      </c>
      <c r="F300" s="22" t="str">
        <f t="shared" si="2"/>
        <v>#REF!</v>
      </c>
      <c r="G300" s="20" t="str">
        <f t="shared" ref="G300:I300" si="896">#REF!</f>
        <v>#REF!</v>
      </c>
      <c r="H300" s="20" t="str">
        <f t="shared" si="896"/>
        <v>#REF!</v>
      </c>
      <c r="I300" s="20" t="str">
        <f t="shared" si="896"/>
        <v>#REF!</v>
      </c>
      <c r="J300" s="20" t="str">
        <f t="shared" si="254"/>
        <v>#REF!</v>
      </c>
      <c r="K300" s="20" t="str">
        <f t="shared" ref="K300:L300" si="897">#REF!</f>
        <v>#REF!</v>
      </c>
      <c r="L300" s="20" t="str">
        <f t="shared" si="897"/>
        <v>#REF!</v>
      </c>
    </row>
    <row r="301">
      <c r="A301" s="20" t="str">
        <f t="shared" si="249"/>
        <v>#REF!</v>
      </c>
      <c r="B301" s="20" t="str">
        <f t="shared" si="250"/>
        <v>#REF!</v>
      </c>
      <c r="C301" s="20" t="str">
        <f t="shared" ref="C301:D301" si="898">#REF!</f>
        <v>#REF!</v>
      </c>
      <c r="D301" s="20" t="str">
        <f t="shared" si="898"/>
        <v>#REF!</v>
      </c>
      <c r="E301" s="20" t="str">
        <f t="shared" si="252"/>
        <v>#REF!</v>
      </c>
      <c r="F301" s="22" t="str">
        <f t="shared" si="2"/>
        <v>#REF!</v>
      </c>
      <c r="G301" s="20" t="str">
        <f t="shared" ref="G301:I301" si="899">#REF!</f>
        <v>#REF!</v>
      </c>
      <c r="H301" s="20" t="str">
        <f t="shared" si="899"/>
        <v>#REF!</v>
      </c>
      <c r="I301" s="20" t="str">
        <f t="shared" si="899"/>
        <v>#REF!</v>
      </c>
      <c r="J301" s="20" t="str">
        <f t="shared" si="254"/>
        <v>#REF!</v>
      </c>
      <c r="K301" s="20" t="str">
        <f t="shared" ref="K301:L301" si="900">#REF!</f>
        <v>#REF!</v>
      </c>
      <c r="L301" s="20" t="str">
        <f t="shared" si="900"/>
        <v>#REF!</v>
      </c>
    </row>
    <row r="302">
      <c r="A302" s="20" t="str">
        <f t="shared" si="249"/>
        <v>#REF!</v>
      </c>
      <c r="B302" s="20" t="str">
        <f t="shared" si="250"/>
        <v>#REF!</v>
      </c>
      <c r="C302" s="20" t="str">
        <f t="shared" ref="C302:D302" si="901">#REF!</f>
        <v>#REF!</v>
      </c>
      <c r="D302" s="20" t="str">
        <f t="shared" si="901"/>
        <v>#REF!</v>
      </c>
      <c r="E302" s="20" t="str">
        <f t="shared" si="252"/>
        <v>#REF!</v>
      </c>
      <c r="F302" s="22" t="str">
        <f t="shared" si="2"/>
        <v>#REF!</v>
      </c>
      <c r="G302" s="20" t="str">
        <f t="shared" ref="G302:I302" si="902">#REF!</f>
        <v>#REF!</v>
      </c>
      <c r="H302" s="20" t="str">
        <f t="shared" si="902"/>
        <v>#REF!</v>
      </c>
      <c r="I302" s="20" t="str">
        <f t="shared" si="902"/>
        <v>#REF!</v>
      </c>
      <c r="J302" s="20" t="str">
        <f t="shared" si="254"/>
        <v>#REF!</v>
      </c>
      <c r="K302" s="20" t="str">
        <f t="shared" ref="K302:L302" si="903">#REF!</f>
        <v>#REF!</v>
      </c>
      <c r="L302" s="20" t="str">
        <f t="shared" si="903"/>
        <v>#REF!</v>
      </c>
    </row>
    <row r="303">
      <c r="A303" s="20" t="str">
        <f t="shared" si="249"/>
        <v>#REF!</v>
      </c>
      <c r="B303" s="20" t="str">
        <f t="shared" si="250"/>
        <v>#REF!</v>
      </c>
      <c r="C303" s="20" t="str">
        <f t="shared" ref="C303:D303" si="904">#REF!</f>
        <v>#REF!</v>
      </c>
      <c r="D303" s="20" t="str">
        <f t="shared" si="904"/>
        <v>#REF!</v>
      </c>
      <c r="E303" s="20" t="str">
        <f t="shared" si="252"/>
        <v>#REF!</v>
      </c>
      <c r="F303" s="22" t="str">
        <f t="shared" si="2"/>
        <v>#REF!</v>
      </c>
      <c r="G303" s="20" t="str">
        <f t="shared" ref="G303:I303" si="905">#REF!</f>
        <v>#REF!</v>
      </c>
      <c r="H303" s="20" t="str">
        <f t="shared" si="905"/>
        <v>#REF!</v>
      </c>
      <c r="I303" s="20" t="str">
        <f t="shared" si="905"/>
        <v>#REF!</v>
      </c>
      <c r="J303" s="20" t="str">
        <f t="shared" si="254"/>
        <v>#REF!</v>
      </c>
      <c r="K303" s="20" t="str">
        <f t="shared" ref="K303:L303" si="906">#REF!</f>
        <v>#REF!</v>
      </c>
      <c r="L303" s="20" t="str">
        <f t="shared" si="906"/>
        <v>#REF!</v>
      </c>
    </row>
    <row r="304">
      <c r="A304" s="20" t="str">
        <f t="shared" si="249"/>
        <v>#REF!</v>
      </c>
      <c r="B304" s="20" t="str">
        <f t="shared" si="250"/>
        <v>#REF!</v>
      </c>
      <c r="C304" s="20" t="str">
        <f t="shared" ref="C304:D304" si="907">#REF!</f>
        <v>#REF!</v>
      </c>
      <c r="D304" s="20" t="str">
        <f t="shared" si="907"/>
        <v>#REF!</v>
      </c>
      <c r="E304" s="20" t="str">
        <f t="shared" si="252"/>
        <v>#REF!</v>
      </c>
      <c r="F304" s="22" t="str">
        <f t="shared" si="2"/>
        <v>#REF!</v>
      </c>
      <c r="G304" s="20" t="str">
        <f t="shared" ref="G304:I304" si="908">#REF!</f>
        <v>#REF!</v>
      </c>
      <c r="H304" s="20" t="str">
        <f t="shared" si="908"/>
        <v>#REF!</v>
      </c>
      <c r="I304" s="20" t="str">
        <f t="shared" si="908"/>
        <v>#REF!</v>
      </c>
      <c r="J304" s="20" t="str">
        <f t="shared" si="254"/>
        <v>#REF!</v>
      </c>
      <c r="K304" s="20" t="str">
        <f t="shared" ref="K304:L304" si="909">#REF!</f>
        <v>#REF!</v>
      </c>
      <c r="L304" s="20" t="str">
        <f t="shared" si="909"/>
        <v>#REF!</v>
      </c>
    </row>
    <row r="305">
      <c r="A305" s="20" t="str">
        <f t="shared" si="249"/>
        <v>#REF!</v>
      </c>
      <c r="B305" s="20" t="str">
        <f t="shared" si="250"/>
        <v>#REF!</v>
      </c>
      <c r="C305" s="20" t="str">
        <f t="shared" ref="C305:D305" si="910">#REF!</f>
        <v>#REF!</v>
      </c>
      <c r="D305" s="20" t="str">
        <f t="shared" si="910"/>
        <v>#REF!</v>
      </c>
      <c r="E305" s="20" t="str">
        <f t="shared" si="252"/>
        <v>#REF!</v>
      </c>
      <c r="F305" s="22" t="str">
        <f t="shared" si="2"/>
        <v>#REF!</v>
      </c>
      <c r="G305" s="20" t="str">
        <f t="shared" ref="G305:I305" si="911">#REF!</f>
        <v>#REF!</v>
      </c>
      <c r="H305" s="20" t="str">
        <f t="shared" si="911"/>
        <v>#REF!</v>
      </c>
      <c r="I305" s="20" t="str">
        <f t="shared" si="911"/>
        <v>#REF!</v>
      </c>
      <c r="J305" s="20" t="str">
        <f t="shared" si="254"/>
        <v>#REF!</v>
      </c>
      <c r="K305" s="20" t="str">
        <f t="shared" ref="K305:L305" si="912">#REF!</f>
        <v>#REF!</v>
      </c>
      <c r="L305" s="20" t="str">
        <f t="shared" si="912"/>
        <v>#REF!</v>
      </c>
    </row>
    <row r="306">
      <c r="A306" s="20" t="str">
        <f t="shared" si="249"/>
        <v>#REF!</v>
      </c>
      <c r="B306" s="20" t="str">
        <f t="shared" si="250"/>
        <v>#REF!</v>
      </c>
      <c r="C306" s="20" t="str">
        <f t="shared" ref="C306:D306" si="913">#REF!</f>
        <v>#REF!</v>
      </c>
      <c r="D306" s="20" t="str">
        <f t="shared" si="913"/>
        <v>#REF!</v>
      </c>
      <c r="E306" s="20" t="str">
        <f t="shared" si="252"/>
        <v>#REF!</v>
      </c>
      <c r="F306" s="22" t="str">
        <f t="shared" si="2"/>
        <v>#REF!</v>
      </c>
      <c r="G306" s="20" t="str">
        <f t="shared" ref="G306:I306" si="914">#REF!</f>
        <v>#REF!</v>
      </c>
      <c r="H306" s="20" t="str">
        <f t="shared" si="914"/>
        <v>#REF!</v>
      </c>
      <c r="I306" s="20" t="str">
        <f t="shared" si="914"/>
        <v>#REF!</v>
      </c>
      <c r="J306" s="20" t="str">
        <f t="shared" si="254"/>
        <v>#REF!</v>
      </c>
      <c r="K306" s="20" t="str">
        <f t="shared" ref="K306:L306" si="915">#REF!</f>
        <v>#REF!</v>
      </c>
      <c r="L306" s="20" t="str">
        <f t="shared" si="915"/>
        <v>#REF!</v>
      </c>
    </row>
    <row r="307">
      <c r="A307" s="20" t="str">
        <f t="shared" si="249"/>
        <v>#REF!</v>
      </c>
      <c r="B307" s="20" t="str">
        <f t="shared" si="250"/>
        <v>#REF!</v>
      </c>
      <c r="C307" s="20" t="str">
        <f t="shared" ref="C307:D307" si="916">#REF!</f>
        <v>#REF!</v>
      </c>
      <c r="D307" s="20" t="str">
        <f t="shared" si="916"/>
        <v>#REF!</v>
      </c>
      <c r="E307" s="20" t="str">
        <f t="shared" si="252"/>
        <v>#REF!</v>
      </c>
      <c r="F307" s="22" t="str">
        <f t="shared" si="2"/>
        <v>#REF!</v>
      </c>
      <c r="G307" s="20" t="str">
        <f t="shared" ref="G307:I307" si="917">#REF!</f>
        <v>#REF!</v>
      </c>
      <c r="H307" s="20" t="str">
        <f t="shared" si="917"/>
        <v>#REF!</v>
      </c>
      <c r="I307" s="20" t="str">
        <f t="shared" si="917"/>
        <v>#REF!</v>
      </c>
      <c r="J307" s="20" t="str">
        <f t="shared" si="254"/>
        <v>#REF!</v>
      </c>
      <c r="K307" s="20" t="str">
        <f t="shared" ref="K307:L307" si="918">#REF!</f>
        <v>#REF!</v>
      </c>
      <c r="L307" s="20" t="str">
        <f t="shared" si="918"/>
        <v>#REF!</v>
      </c>
    </row>
    <row r="308">
      <c r="A308" s="20" t="str">
        <f t="shared" si="249"/>
        <v>#REF!</v>
      </c>
      <c r="B308" s="20" t="str">
        <f t="shared" si="250"/>
        <v>#REF!</v>
      </c>
      <c r="C308" s="20" t="str">
        <f t="shared" ref="C308:D308" si="919">#REF!</f>
        <v>#REF!</v>
      </c>
      <c r="D308" s="20" t="str">
        <f t="shared" si="919"/>
        <v>#REF!</v>
      </c>
      <c r="E308" s="20" t="str">
        <f t="shared" si="252"/>
        <v>#REF!</v>
      </c>
      <c r="F308" s="22" t="str">
        <f t="shared" si="2"/>
        <v>#REF!</v>
      </c>
      <c r="G308" s="20" t="str">
        <f t="shared" ref="G308:I308" si="920">#REF!</f>
        <v>#REF!</v>
      </c>
      <c r="H308" s="20" t="str">
        <f t="shared" si="920"/>
        <v>#REF!</v>
      </c>
      <c r="I308" s="20" t="str">
        <f t="shared" si="920"/>
        <v>#REF!</v>
      </c>
      <c r="J308" s="20" t="str">
        <f t="shared" si="254"/>
        <v>#REF!</v>
      </c>
      <c r="K308" s="20" t="str">
        <f t="shared" ref="K308:L308" si="921">#REF!</f>
        <v>#REF!</v>
      </c>
      <c r="L308" s="20" t="str">
        <f t="shared" si="921"/>
        <v>#REF!</v>
      </c>
    </row>
    <row r="309">
      <c r="A309" s="20" t="str">
        <f t="shared" si="249"/>
        <v>#REF!</v>
      </c>
      <c r="B309" s="20" t="str">
        <f t="shared" si="250"/>
        <v>#REF!</v>
      </c>
      <c r="C309" s="20" t="str">
        <f t="shared" ref="C309:D309" si="922">#REF!</f>
        <v>#REF!</v>
      </c>
      <c r="D309" s="20" t="str">
        <f t="shared" si="922"/>
        <v>#REF!</v>
      </c>
      <c r="E309" s="20" t="str">
        <f t="shared" si="252"/>
        <v>#REF!</v>
      </c>
      <c r="F309" s="22" t="str">
        <f t="shared" si="2"/>
        <v>#REF!</v>
      </c>
      <c r="G309" s="20" t="str">
        <f t="shared" ref="G309:I309" si="923">#REF!</f>
        <v>#REF!</v>
      </c>
      <c r="H309" s="20" t="str">
        <f t="shared" si="923"/>
        <v>#REF!</v>
      </c>
      <c r="I309" s="20" t="str">
        <f t="shared" si="923"/>
        <v>#REF!</v>
      </c>
      <c r="J309" s="20" t="str">
        <f t="shared" si="254"/>
        <v>#REF!</v>
      </c>
      <c r="K309" s="20" t="str">
        <f t="shared" ref="K309:L309" si="924">#REF!</f>
        <v>#REF!</v>
      </c>
      <c r="L309" s="20" t="str">
        <f t="shared" si="924"/>
        <v>#REF!</v>
      </c>
    </row>
    <row r="310">
      <c r="A310" s="20" t="str">
        <f t="shared" si="249"/>
        <v>#REF!</v>
      </c>
      <c r="B310" s="20" t="str">
        <f t="shared" si="250"/>
        <v>#REF!</v>
      </c>
      <c r="C310" s="20" t="str">
        <f t="shared" ref="C310:D310" si="925">#REF!</f>
        <v>#REF!</v>
      </c>
      <c r="D310" s="20" t="str">
        <f t="shared" si="925"/>
        <v>#REF!</v>
      </c>
      <c r="E310" s="20" t="str">
        <f t="shared" si="252"/>
        <v>#REF!</v>
      </c>
      <c r="F310" s="22" t="str">
        <f t="shared" si="2"/>
        <v>#REF!</v>
      </c>
      <c r="G310" s="20" t="str">
        <f t="shared" ref="G310:I310" si="926">#REF!</f>
        <v>#REF!</v>
      </c>
      <c r="H310" s="20" t="str">
        <f t="shared" si="926"/>
        <v>#REF!</v>
      </c>
      <c r="I310" s="20" t="str">
        <f t="shared" si="926"/>
        <v>#REF!</v>
      </c>
      <c r="J310" s="20" t="str">
        <f t="shared" si="254"/>
        <v>#REF!</v>
      </c>
      <c r="K310" s="20" t="str">
        <f t="shared" ref="K310:L310" si="927">#REF!</f>
        <v>#REF!</v>
      </c>
      <c r="L310" s="20" t="str">
        <f t="shared" si="927"/>
        <v>#REF!</v>
      </c>
    </row>
    <row r="311">
      <c r="A311" s="20" t="str">
        <f t="shared" si="249"/>
        <v>#REF!</v>
      </c>
      <c r="B311" s="20" t="str">
        <f t="shared" si="250"/>
        <v>#REF!</v>
      </c>
      <c r="C311" s="20" t="str">
        <f t="shared" ref="C311:D311" si="928">#REF!</f>
        <v>#REF!</v>
      </c>
      <c r="D311" s="20" t="str">
        <f t="shared" si="928"/>
        <v>#REF!</v>
      </c>
      <c r="E311" s="20" t="str">
        <f t="shared" si="252"/>
        <v>#REF!</v>
      </c>
      <c r="F311" s="22" t="str">
        <f t="shared" si="2"/>
        <v>#REF!</v>
      </c>
      <c r="G311" s="20" t="str">
        <f t="shared" ref="G311:I311" si="929">#REF!</f>
        <v>#REF!</v>
      </c>
      <c r="H311" s="20" t="str">
        <f t="shared" si="929"/>
        <v>#REF!</v>
      </c>
      <c r="I311" s="20" t="str">
        <f t="shared" si="929"/>
        <v>#REF!</v>
      </c>
      <c r="J311" s="20" t="str">
        <f t="shared" si="254"/>
        <v>#REF!</v>
      </c>
      <c r="K311" s="20" t="str">
        <f t="shared" ref="K311:L311" si="930">#REF!</f>
        <v>#REF!</v>
      </c>
      <c r="L311" s="20" t="str">
        <f t="shared" si="930"/>
        <v>#REF!</v>
      </c>
    </row>
    <row r="312">
      <c r="A312" s="20" t="str">
        <f t="shared" si="249"/>
        <v>#REF!</v>
      </c>
      <c r="B312" s="20" t="str">
        <f t="shared" si="250"/>
        <v>#REF!</v>
      </c>
      <c r="C312" s="20" t="str">
        <f t="shared" ref="C312:D312" si="931">#REF!</f>
        <v>#REF!</v>
      </c>
      <c r="D312" s="20" t="str">
        <f t="shared" si="931"/>
        <v>#REF!</v>
      </c>
      <c r="E312" s="20" t="str">
        <f t="shared" si="252"/>
        <v>#REF!</v>
      </c>
      <c r="F312" s="22" t="str">
        <f t="shared" si="2"/>
        <v>#REF!</v>
      </c>
      <c r="G312" s="20" t="str">
        <f t="shared" ref="G312:I312" si="932">#REF!</f>
        <v>#REF!</v>
      </c>
      <c r="H312" s="20" t="str">
        <f t="shared" si="932"/>
        <v>#REF!</v>
      </c>
      <c r="I312" s="20" t="str">
        <f t="shared" si="932"/>
        <v>#REF!</v>
      </c>
      <c r="J312" s="20" t="str">
        <f t="shared" si="254"/>
        <v>#REF!</v>
      </c>
      <c r="K312" s="20" t="str">
        <f t="shared" ref="K312:L312" si="933">#REF!</f>
        <v>#REF!</v>
      </c>
      <c r="L312" s="20" t="str">
        <f t="shared" si="933"/>
        <v>#REF!</v>
      </c>
    </row>
    <row r="313">
      <c r="A313" s="20" t="str">
        <f t="shared" si="249"/>
        <v>#REF!</v>
      </c>
      <c r="B313" s="20" t="str">
        <f t="shared" si="250"/>
        <v>#REF!</v>
      </c>
      <c r="C313" s="20" t="str">
        <f t="shared" ref="C313:D313" si="934">#REF!</f>
        <v>#REF!</v>
      </c>
      <c r="D313" s="20" t="str">
        <f t="shared" si="934"/>
        <v>#REF!</v>
      </c>
      <c r="E313" s="20" t="str">
        <f t="shared" si="252"/>
        <v>#REF!</v>
      </c>
      <c r="F313" s="22" t="str">
        <f t="shared" si="2"/>
        <v>#REF!</v>
      </c>
      <c r="G313" s="20" t="str">
        <f t="shared" ref="G313:I313" si="935">#REF!</f>
        <v>#REF!</v>
      </c>
      <c r="H313" s="20" t="str">
        <f t="shared" si="935"/>
        <v>#REF!</v>
      </c>
      <c r="I313" s="20" t="str">
        <f t="shared" si="935"/>
        <v>#REF!</v>
      </c>
      <c r="J313" s="20" t="str">
        <f t="shared" si="254"/>
        <v>#REF!</v>
      </c>
      <c r="K313" s="20" t="str">
        <f t="shared" ref="K313:L313" si="936">#REF!</f>
        <v>#REF!</v>
      </c>
      <c r="L313" s="20" t="str">
        <f t="shared" si="936"/>
        <v>#REF!</v>
      </c>
    </row>
    <row r="314">
      <c r="A314" s="20" t="str">
        <f t="shared" si="249"/>
        <v>#REF!</v>
      </c>
      <c r="B314" s="20" t="str">
        <f t="shared" si="250"/>
        <v>#REF!</v>
      </c>
      <c r="C314" s="20" t="str">
        <f t="shared" ref="C314:D314" si="937">#REF!</f>
        <v>#REF!</v>
      </c>
      <c r="D314" s="20" t="str">
        <f t="shared" si="937"/>
        <v>#REF!</v>
      </c>
      <c r="E314" s="20" t="str">
        <f t="shared" si="252"/>
        <v>#REF!</v>
      </c>
      <c r="F314" s="22" t="str">
        <f t="shared" si="2"/>
        <v>#REF!</v>
      </c>
      <c r="G314" s="20" t="str">
        <f t="shared" ref="G314:I314" si="938">#REF!</f>
        <v>#REF!</v>
      </c>
      <c r="H314" s="20" t="str">
        <f t="shared" si="938"/>
        <v>#REF!</v>
      </c>
      <c r="I314" s="20" t="str">
        <f t="shared" si="938"/>
        <v>#REF!</v>
      </c>
      <c r="J314" s="20" t="str">
        <f t="shared" si="254"/>
        <v>#REF!</v>
      </c>
      <c r="K314" s="20" t="str">
        <f t="shared" ref="K314:L314" si="939">#REF!</f>
        <v>#REF!</v>
      </c>
      <c r="L314" s="20" t="str">
        <f t="shared" si="939"/>
        <v>#REF!</v>
      </c>
    </row>
    <row r="315">
      <c r="A315" s="20" t="str">
        <f t="shared" si="249"/>
        <v>#REF!</v>
      </c>
      <c r="B315" s="20" t="str">
        <f t="shared" si="250"/>
        <v>#REF!</v>
      </c>
      <c r="C315" s="20" t="str">
        <f t="shared" ref="C315:D315" si="940">#REF!</f>
        <v>#REF!</v>
      </c>
      <c r="D315" s="20" t="str">
        <f t="shared" si="940"/>
        <v>#REF!</v>
      </c>
      <c r="E315" s="20" t="str">
        <f t="shared" si="252"/>
        <v>#REF!</v>
      </c>
      <c r="F315" s="22" t="str">
        <f t="shared" si="2"/>
        <v>#REF!</v>
      </c>
      <c r="G315" s="20" t="str">
        <f t="shared" ref="G315:I315" si="941">#REF!</f>
        <v>#REF!</v>
      </c>
      <c r="H315" s="20" t="str">
        <f t="shared" si="941"/>
        <v>#REF!</v>
      </c>
      <c r="I315" s="20" t="str">
        <f t="shared" si="941"/>
        <v>#REF!</v>
      </c>
      <c r="J315" s="20" t="str">
        <f t="shared" si="254"/>
        <v>#REF!</v>
      </c>
      <c r="K315" s="20" t="str">
        <f t="shared" ref="K315:L315" si="942">#REF!</f>
        <v>#REF!</v>
      </c>
      <c r="L315" s="20" t="str">
        <f t="shared" si="942"/>
        <v>#REF!</v>
      </c>
    </row>
    <row r="316">
      <c r="A316" s="20" t="str">
        <f t="shared" si="249"/>
        <v>#REF!</v>
      </c>
      <c r="B316" s="20" t="str">
        <f t="shared" si="250"/>
        <v>#REF!</v>
      </c>
      <c r="C316" s="20" t="str">
        <f t="shared" ref="C316:D316" si="943">#REF!</f>
        <v>#REF!</v>
      </c>
      <c r="D316" s="20" t="str">
        <f t="shared" si="943"/>
        <v>#REF!</v>
      </c>
      <c r="E316" s="20" t="str">
        <f t="shared" si="252"/>
        <v>#REF!</v>
      </c>
      <c r="F316" s="22" t="str">
        <f t="shared" si="2"/>
        <v>#REF!</v>
      </c>
      <c r="G316" s="20" t="str">
        <f t="shared" ref="G316:I316" si="944">#REF!</f>
        <v>#REF!</v>
      </c>
      <c r="H316" s="20" t="str">
        <f t="shared" si="944"/>
        <v>#REF!</v>
      </c>
      <c r="I316" s="20" t="str">
        <f t="shared" si="944"/>
        <v>#REF!</v>
      </c>
      <c r="J316" s="20" t="str">
        <f t="shared" si="254"/>
        <v>#REF!</v>
      </c>
      <c r="K316" s="20" t="str">
        <f t="shared" ref="K316:L316" si="945">#REF!</f>
        <v>#REF!</v>
      </c>
      <c r="L316" s="20" t="str">
        <f t="shared" si="945"/>
        <v>#REF!</v>
      </c>
    </row>
    <row r="317">
      <c r="A317" s="20" t="str">
        <f t="shared" si="249"/>
        <v>#REF!</v>
      </c>
      <c r="B317" s="20" t="str">
        <f t="shared" si="250"/>
        <v>#REF!</v>
      </c>
      <c r="C317" s="20" t="str">
        <f t="shared" ref="C317:D317" si="946">#REF!</f>
        <v>#REF!</v>
      </c>
      <c r="D317" s="20" t="str">
        <f t="shared" si="946"/>
        <v>#REF!</v>
      </c>
      <c r="E317" s="20" t="str">
        <f t="shared" si="252"/>
        <v>#REF!</v>
      </c>
      <c r="F317" s="22" t="str">
        <f t="shared" si="2"/>
        <v>#REF!</v>
      </c>
      <c r="G317" s="20" t="str">
        <f t="shared" ref="G317:I317" si="947">#REF!</f>
        <v>#REF!</v>
      </c>
      <c r="H317" s="20" t="str">
        <f t="shared" si="947"/>
        <v>#REF!</v>
      </c>
      <c r="I317" s="20" t="str">
        <f t="shared" si="947"/>
        <v>#REF!</v>
      </c>
      <c r="J317" s="20" t="str">
        <f t="shared" si="254"/>
        <v>#REF!</v>
      </c>
      <c r="K317" s="20" t="str">
        <f t="shared" ref="K317:L317" si="948">#REF!</f>
        <v>#REF!</v>
      </c>
      <c r="L317" s="20" t="str">
        <f t="shared" si="948"/>
        <v>#REF!</v>
      </c>
    </row>
    <row r="318">
      <c r="A318" s="20" t="str">
        <f t="shared" si="249"/>
        <v>#REF!</v>
      </c>
      <c r="B318" s="20" t="str">
        <f t="shared" si="250"/>
        <v>#REF!</v>
      </c>
      <c r="C318" s="20" t="str">
        <f t="shared" ref="C318:D318" si="949">#REF!</f>
        <v>#REF!</v>
      </c>
      <c r="D318" s="20" t="str">
        <f t="shared" si="949"/>
        <v>#REF!</v>
      </c>
      <c r="E318" s="20" t="str">
        <f t="shared" si="252"/>
        <v>#REF!</v>
      </c>
      <c r="F318" s="22" t="str">
        <f t="shared" si="2"/>
        <v>#REF!</v>
      </c>
      <c r="G318" s="20" t="str">
        <f t="shared" ref="G318:I318" si="950">#REF!</f>
        <v>#REF!</v>
      </c>
      <c r="H318" s="20" t="str">
        <f t="shared" si="950"/>
        <v>#REF!</v>
      </c>
      <c r="I318" s="20" t="str">
        <f t="shared" si="950"/>
        <v>#REF!</v>
      </c>
      <c r="J318" s="20" t="str">
        <f t="shared" si="254"/>
        <v>#REF!</v>
      </c>
      <c r="K318" s="20" t="str">
        <f t="shared" ref="K318:L318" si="951">#REF!</f>
        <v>#REF!</v>
      </c>
      <c r="L318" s="20" t="str">
        <f t="shared" si="951"/>
        <v>#REF!</v>
      </c>
    </row>
    <row r="319">
      <c r="A319" s="20" t="str">
        <f t="shared" si="249"/>
        <v>#REF!</v>
      </c>
      <c r="B319" s="20" t="str">
        <f t="shared" si="250"/>
        <v>#REF!</v>
      </c>
      <c r="C319" s="20" t="str">
        <f t="shared" ref="C319:D319" si="952">#REF!</f>
        <v>#REF!</v>
      </c>
      <c r="D319" s="20" t="str">
        <f t="shared" si="952"/>
        <v>#REF!</v>
      </c>
      <c r="E319" s="20" t="str">
        <f t="shared" si="252"/>
        <v>#REF!</v>
      </c>
      <c r="F319" s="22" t="str">
        <f t="shared" si="2"/>
        <v>#REF!</v>
      </c>
      <c r="G319" s="20" t="str">
        <f t="shared" ref="G319:I319" si="953">#REF!</f>
        <v>#REF!</v>
      </c>
      <c r="H319" s="20" t="str">
        <f t="shared" si="953"/>
        <v>#REF!</v>
      </c>
      <c r="I319" s="20" t="str">
        <f t="shared" si="953"/>
        <v>#REF!</v>
      </c>
      <c r="J319" s="20" t="str">
        <f t="shared" si="254"/>
        <v>#REF!</v>
      </c>
      <c r="K319" s="20" t="str">
        <f t="shared" ref="K319:L319" si="954">#REF!</f>
        <v>#REF!</v>
      </c>
      <c r="L319" s="20" t="str">
        <f t="shared" si="954"/>
        <v>#REF!</v>
      </c>
    </row>
    <row r="320">
      <c r="A320" s="20" t="str">
        <f t="shared" si="249"/>
        <v>#REF!</v>
      </c>
      <c r="B320" s="20" t="str">
        <f t="shared" si="250"/>
        <v>#REF!</v>
      </c>
      <c r="C320" s="20" t="str">
        <f t="shared" ref="C320:D320" si="955">#REF!</f>
        <v>#REF!</v>
      </c>
      <c r="D320" s="20" t="str">
        <f t="shared" si="955"/>
        <v>#REF!</v>
      </c>
      <c r="E320" s="20" t="str">
        <f t="shared" si="252"/>
        <v>#REF!</v>
      </c>
      <c r="F320" s="22" t="str">
        <f t="shared" si="2"/>
        <v>#REF!</v>
      </c>
      <c r="G320" s="20" t="str">
        <f t="shared" ref="G320:I320" si="956">#REF!</f>
        <v>#REF!</v>
      </c>
      <c r="H320" s="20" t="str">
        <f t="shared" si="956"/>
        <v>#REF!</v>
      </c>
      <c r="I320" s="20" t="str">
        <f t="shared" si="956"/>
        <v>#REF!</v>
      </c>
      <c r="J320" s="20" t="str">
        <f t="shared" si="254"/>
        <v>#REF!</v>
      </c>
      <c r="K320" s="20" t="str">
        <f t="shared" ref="K320:L320" si="957">#REF!</f>
        <v>#REF!</v>
      </c>
      <c r="L320" s="20" t="str">
        <f t="shared" si="957"/>
        <v>#REF!</v>
      </c>
    </row>
    <row r="321">
      <c r="A321" s="20" t="str">
        <f t="shared" si="249"/>
        <v>#REF!</v>
      </c>
      <c r="B321" s="20" t="str">
        <f t="shared" si="250"/>
        <v>#REF!</v>
      </c>
      <c r="C321" s="20" t="str">
        <f t="shared" ref="C321:D321" si="958">#REF!</f>
        <v>#REF!</v>
      </c>
      <c r="D321" s="20" t="str">
        <f t="shared" si="958"/>
        <v>#REF!</v>
      </c>
      <c r="E321" s="20" t="str">
        <f t="shared" si="252"/>
        <v>#REF!</v>
      </c>
      <c r="F321" s="22" t="str">
        <f t="shared" si="2"/>
        <v>#REF!</v>
      </c>
      <c r="G321" s="20" t="str">
        <f t="shared" ref="G321:I321" si="959">#REF!</f>
        <v>#REF!</v>
      </c>
      <c r="H321" s="20" t="str">
        <f t="shared" si="959"/>
        <v>#REF!</v>
      </c>
      <c r="I321" s="20" t="str">
        <f t="shared" si="959"/>
        <v>#REF!</v>
      </c>
      <c r="J321" s="20" t="str">
        <f t="shared" si="254"/>
        <v>#REF!</v>
      </c>
      <c r="K321" s="20" t="str">
        <f t="shared" ref="K321:L321" si="960">#REF!</f>
        <v>#REF!</v>
      </c>
      <c r="L321" s="20" t="str">
        <f t="shared" si="960"/>
        <v>#REF!</v>
      </c>
    </row>
    <row r="322">
      <c r="A322" s="20" t="str">
        <f t="shared" si="249"/>
        <v>#REF!</v>
      </c>
      <c r="B322" s="20" t="str">
        <f t="shared" si="250"/>
        <v>#REF!</v>
      </c>
      <c r="C322" s="20" t="str">
        <f t="shared" ref="C322:D322" si="961">#REF!</f>
        <v>#REF!</v>
      </c>
      <c r="D322" s="20" t="str">
        <f t="shared" si="961"/>
        <v>#REF!</v>
      </c>
      <c r="E322" s="20" t="str">
        <f t="shared" si="252"/>
        <v>#REF!</v>
      </c>
      <c r="F322" s="22" t="str">
        <f t="shared" si="2"/>
        <v>#REF!</v>
      </c>
      <c r="G322" s="20" t="str">
        <f t="shared" ref="G322:I322" si="962">#REF!</f>
        <v>#REF!</v>
      </c>
      <c r="H322" s="20" t="str">
        <f t="shared" si="962"/>
        <v>#REF!</v>
      </c>
      <c r="I322" s="20" t="str">
        <f t="shared" si="962"/>
        <v>#REF!</v>
      </c>
      <c r="J322" s="20" t="str">
        <f t="shared" si="254"/>
        <v>#REF!</v>
      </c>
      <c r="K322" s="20" t="str">
        <f t="shared" ref="K322:L322" si="963">#REF!</f>
        <v>#REF!</v>
      </c>
      <c r="L322" s="20" t="str">
        <f t="shared" si="963"/>
        <v>#REF!</v>
      </c>
    </row>
    <row r="323">
      <c r="A323" s="20" t="str">
        <f t="shared" si="249"/>
        <v>#REF!</v>
      </c>
      <c r="B323" s="20" t="str">
        <f t="shared" si="250"/>
        <v>#REF!</v>
      </c>
      <c r="C323" s="20" t="str">
        <f t="shared" ref="C323:D323" si="964">#REF!</f>
        <v>#REF!</v>
      </c>
      <c r="D323" s="20" t="str">
        <f t="shared" si="964"/>
        <v>#REF!</v>
      </c>
      <c r="E323" s="20" t="str">
        <f t="shared" si="252"/>
        <v>#REF!</v>
      </c>
      <c r="F323" s="22" t="str">
        <f t="shared" si="2"/>
        <v>#REF!</v>
      </c>
      <c r="G323" s="20" t="str">
        <f t="shared" ref="G323:I323" si="965">#REF!</f>
        <v>#REF!</v>
      </c>
      <c r="H323" s="20" t="str">
        <f t="shared" si="965"/>
        <v>#REF!</v>
      </c>
      <c r="I323" s="20" t="str">
        <f t="shared" si="965"/>
        <v>#REF!</v>
      </c>
      <c r="J323" s="20" t="str">
        <f t="shared" si="254"/>
        <v>#REF!</v>
      </c>
      <c r="K323" s="20" t="str">
        <f t="shared" ref="K323:L323" si="966">#REF!</f>
        <v>#REF!</v>
      </c>
      <c r="L323" s="20" t="str">
        <f t="shared" si="966"/>
        <v>#REF!</v>
      </c>
    </row>
    <row r="324">
      <c r="A324" s="20" t="str">
        <f t="shared" si="249"/>
        <v>#REF!</v>
      </c>
      <c r="B324" s="20" t="str">
        <f t="shared" si="250"/>
        <v>#REF!</v>
      </c>
      <c r="C324" s="20" t="str">
        <f t="shared" ref="C324:D324" si="967">#REF!</f>
        <v>#REF!</v>
      </c>
      <c r="D324" s="20" t="str">
        <f t="shared" si="967"/>
        <v>#REF!</v>
      </c>
      <c r="E324" s="20" t="str">
        <f t="shared" si="252"/>
        <v>#REF!</v>
      </c>
      <c r="F324" s="22" t="str">
        <f t="shared" si="2"/>
        <v>#REF!</v>
      </c>
      <c r="G324" s="20" t="str">
        <f t="shared" ref="G324:I324" si="968">#REF!</f>
        <v>#REF!</v>
      </c>
      <c r="H324" s="20" t="str">
        <f t="shared" si="968"/>
        <v>#REF!</v>
      </c>
      <c r="I324" s="20" t="str">
        <f t="shared" si="968"/>
        <v>#REF!</v>
      </c>
      <c r="J324" s="20" t="str">
        <f t="shared" si="254"/>
        <v>#REF!</v>
      </c>
      <c r="K324" s="20" t="str">
        <f t="shared" ref="K324:L324" si="969">#REF!</f>
        <v>#REF!</v>
      </c>
      <c r="L324" s="20" t="str">
        <f t="shared" si="969"/>
        <v>#REF!</v>
      </c>
    </row>
    <row r="325">
      <c r="A325" s="20" t="str">
        <f t="shared" si="249"/>
        <v>#REF!</v>
      </c>
      <c r="B325" s="20" t="str">
        <f t="shared" si="250"/>
        <v>#REF!</v>
      </c>
      <c r="C325" s="20" t="str">
        <f t="shared" ref="C325:D325" si="970">#REF!</f>
        <v>#REF!</v>
      </c>
      <c r="D325" s="20" t="str">
        <f t="shared" si="970"/>
        <v>#REF!</v>
      </c>
      <c r="E325" s="20" t="str">
        <f t="shared" si="252"/>
        <v>#REF!</v>
      </c>
      <c r="F325" s="22" t="str">
        <f t="shared" si="2"/>
        <v>#REF!</v>
      </c>
      <c r="G325" s="20" t="str">
        <f t="shared" ref="G325:I325" si="971">#REF!</f>
        <v>#REF!</v>
      </c>
      <c r="H325" s="20" t="str">
        <f t="shared" si="971"/>
        <v>#REF!</v>
      </c>
      <c r="I325" s="20" t="str">
        <f t="shared" si="971"/>
        <v>#REF!</v>
      </c>
      <c r="J325" s="20" t="str">
        <f t="shared" si="254"/>
        <v>#REF!</v>
      </c>
      <c r="K325" s="20" t="str">
        <f t="shared" ref="K325:L325" si="972">#REF!</f>
        <v>#REF!</v>
      </c>
      <c r="L325" s="20" t="str">
        <f t="shared" si="972"/>
        <v>#REF!</v>
      </c>
    </row>
    <row r="326">
      <c r="A326" s="20" t="str">
        <f t="shared" si="249"/>
        <v>#REF!</v>
      </c>
      <c r="B326" s="20" t="str">
        <f t="shared" si="250"/>
        <v>#REF!</v>
      </c>
      <c r="C326" s="20" t="str">
        <f t="shared" ref="C326:D326" si="973">#REF!</f>
        <v>#REF!</v>
      </c>
      <c r="D326" s="20" t="str">
        <f t="shared" si="973"/>
        <v>#REF!</v>
      </c>
      <c r="E326" s="20" t="str">
        <f t="shared" si="252"/>
        <v>#REF!</v>
      </c>
      <c r="F326" s="22" t="str">
        <f t="shared" si="2"/>
        <v>#REF!</v>
      </c>
      <c r="G326" s="20" t="str">
        <f t="shared" ref="G326:I326" si="974">#REF!</f>
        <v>#REF!</v>
      </c>
      <c r="H326" s="20" t="str">
        <f t="shared" si="974"/>
        <v>#REF!</v>
      </c>
      <c r="I326" s="20" t="str">
        <f t="shared" si="974"/>
        <v>#REF!</v>
      </c>
      <c r="J326" s="20" t="str">
        <f t="shared" si="254"/>
        <v>#REF!</v>
      </c>
      <c r="K326" s="20" t="str">
        <f t="shared" ref="K326:L326" si="975">#REF!</f>
        <v>#REF!</v>
      </c>
      <c r="L326" s="20" t="str">
        <f t="shared" si="975"/>
        <v>#REF!</v>
      </c>
    </row>
    <row r="327">
      <c r="A327" s="20" t="str">
        <f t="shared" si="249"/>
        <v>#REF!</v>
      </c>
      <c r="B327" s="20" t="str">
        <f t="shared" si="250"/>
        <v>#REF!</v>
      </c>
      <c r="C327" s="20" t="str">
        <f t="shared" ref="C327:D327" si="976">#REF!</f>
        <v>#REF!</v>
      </c>
      <c r="D327" s="20" t="str">
        <f t="shared" si="976"/>
        <v>#REF!</v>
      </c>
      <c r="E327" s="20" t="str">
        <f t="shared" si="252"/>
        <v>#REF!</v>
      </c>
      <c r="F327" s="22" t="str">
        <f t="shared" si="2"/>
        <v>#REF!</v>
      </c>
      <c r="G327" s="20" t="str">
        <f t="shared" ref="G327:I327" si="977">#REF!</f>
        <v>#REF!</v>
      </c>
      <c r="H327" s="20" t="str">
        <f t="shared" si="977"/>
        <v>#REF!</v>
      </c>
      <c r="I327" s="20" t="str">
        <f t="shared" si="977"/>
        <v>#REF!</v>
      </c>
      <c r="J327" s="20" t="str">
        <f t="shared" si="254"/>
        <v>#REF!</v>
      </c>
      <c r="K327" s="20" t="str">
        <f t="shared" ref="K327:L327" si="978">#REF!</f>
        <v>#REF!</v>
      </c>
      <c r="L327" s="20" t="str">
        <f t="shared" si="978"/>
        <v>#REF!</v>
      </c>
    </row>
    <row r="328">
      <c r="A328" s="20" t="str">
        <f t="shared" si="249"/>
        <v>#REF!</v>
      </c>
      <c r="B328" s="20" t="str">
        <f t="shared" si="250"/>
        <v>#REF!</v>
      </c>
      <c r="C328" s="20" t="str">
        <f t="shared" ref="C328:D328" si="979">#REF!</f>
        <v>#REF!</v>
      </c>
      <c r="D328" s="20" t="str">
        <f t="shared" si="979"/>
        <v>#REF!</v>
      </c>
      <c r="E328" s="20" t="str">
        <f t="shared" si="252"/>
        <v>#REF!</v>
      </c>
      <c r="F328" s="22" t="str">
        <f t="shared" si="2"/>
        <v>#REF!</v>
      </c>
      <c r="G328" s="20" t="str">
        <f t="shared" ref="G328:I328" si="980">#REF!</f>
        <v>#REF!</v>
      </c>
      <c r="H328" s="20" t="str">
        <f t="shared" si="980"/>
        <v>#REF!</v>
      </c>
      <c r="I328" s="20" t="str">
        <f t="shared" si="980"/>
        <v>#REF!</v>
      </c>
      <c r="J328" s="20" t="str">
        <f t="shared" si="254"/>
        <v>#REF!</v>
      </c>
      <c r="K328" s="20" t="str">
        <f t="shared" ref="K328:L328" si="981">#REF!</f>
        <v>#REF!</v>
      </c>
      <c r="L328" s="20" t="str">
        <f t="shared" si="981"/>
        <v>#REF!</v>
      </c>
    </row>
    <row r="329">
      <c r="A329" s="20" t="str">
        <f t="shared" si="249"/>
        <v>#REF!</v>
      </c>
      <c r="B329" s="20" t="str">
        <f t="shared" si="250"/>
        <v>#REF!</v>
      </c>
      <c r="C329" s="20" t="str">
        <f t="shared" ref="C329:D329" si="982">#REF!</f>
        <v>#REF!</v>
      </c>
      <c r="D329" s="20" t="str">
        <f t="shared" si="982"/>
        <v>#REF!</v>
      </c>
      <c r="E329" s="20" t="str">
        <f t="shared" si="252"/>
        <v>#REF!</v>
      </c>
      <c r="F329" s="22" t="str">
        <f t="shared" si="2"/>
        <v>#REF!</v>
      </c>
      <c r="G329" s="20" t="str">
        <f t="shared" ref="G329:I329" si="983">#REF!</f>
        <v>#REF!</v>
      </c>
      <c r="H329" s="20" t="str">
        <f t="shared" si="983"/>
        <v>#REF!</v>
      </c>
      <c r="I329" s="20" t="str">
        <f t="shared" si="983"/>
        <v>#REF!</v>
      </c>
      <c r="J329" s="20" t="str">
        <f t="shared" si="254"/>
        <v>#REF!</v>
      </c>
      <c r="K329" s="20" t="str">
        <f t="shared" ref="K329:L329" si="984">#REF!</f>
        <v>#REF!</v>
      </c>
      <c r="L329" s="20" t="str">
        <f t="shared" si="984"/>
        <v>#REF!</v>
      </c>
    </row>
    <row r="330">
      <c r="A330" s="20" t="str">
        <f t="shared" si="249"/>
        <v>#REF!</v>
      </c>
      <c r="B330" s="20" t="str">
        <f t="shared" si="250"/>
        <v>#REF!</v>
      </c>
      <c r="C330" s="20" t="str">
        <f t="shared" ref="C330:D330" si="985">#REF!</f>
        <v>#REF!</v>
      </c>
      <c r="D330" s="20" t="str">
        <f t="shared" si="985"/>
        <v>#REF!</v>
      </c>
      <c r="E330" s="20" t="str">
        <f t="shared" si="252"/>
        <v>#REF!</v>
      </c>
      <c r="F330" s="22" t="str">
        <f t="shared" si="2"/>
        <v>#REF!</v>
      </c>
      <c r="G330" s="20" t="str">
        <f t="shared" ref="G330:I330" si="986">#REF!</f>
        <v>#REF!</v>
      </c>
      <c r="H330" s="20" t="str">
        <f t="shared" si="986"/>
        <v>#REF!</v>
      </c>
      <c r="I330" s="20" t="str">
        <f t="shared" si="986"/>
        <v>#REF!</v>
      </c>
      <c r="J330" s="20" t="str">
        <f t="shared" si="254"/>
        <v>#REF!</v>
      </c>
      <c r="K330" s="20" t="str">
        <f t="shared" ref="K330:L330" si="987">#REF!</f>
        <v>#REF!</v>
      </c>
      <c r="L330" s="20" t="str">
        <f t="shared" si="987"/>
        <v>#REF!</v>
      </c>
    </row>
    <row r="331">
      <c r="A331" s="20" t="str">
        <f t="shared" si="249"/>
        <v>#REF!</v>
      </c>
      <c r="B331" s="20" t="str">
        <f t="shared" si="250"/>
        <v>#REF!</v>
      </c>
      <c r="C331" s="20" t="str">
        <f t="shared" ref="C331:D331" si="988">#REF!</f>
        <v>#REF!</v>
      </c>
      <c r="D331" s="20" t="str">
        <f t="shared" si="988"/>
        <v>#REF!</v>
      </c>
      <c r="E331" s="20" t="str">
        <f t="shared" si="252"/>
        <v>#REF!</v>
      </c>
      <c r="F331" s="22" t="str">
        <f t="shared" si="2"/>
        <v>#REF!</v>
      </c>
      <c r="G331" s="20" t="str">
        <f t="shared" ref="G331:I331" si="989">#REF!</f>
        <v>#REF!</v>
      </c>
      <c r="H331" s="20" t="str">
        <f t="shared" si="989"/>
        <v>#REF!</v>
      </c>
      <c r="I331" s="20" t="str">
        <f t="shared" si="989"/>
        <v>#REF!</v>
      </c>
      <c r="J331" s="20" t="str">
        <f t="shared" si="254"/>
        <v>#REF!</v>
      </c>
      <c r="K331" s="20" t="str">
        <f t="shared" ref="K331:L331" si="990">#REF!</f>
        <v>#REF!</v>
      </c>
      <c r="L331" s="20" t="str">
        <f t="shared" si="990"/>
        <v>#REF!</v>
      </c>
    </row>
    <row r="332">
      <c r="A332" s="20" t="str">
        <f t="shared" si="249"/>
        <v>#REF!</v>
      </c>
      <c r="B332" s="20" t="str">
        <f t="shared" si="250"/>
        <v>#REF!</v>
      </c>
      <c r="C332" s="20" t="str">
        <f t="shared" ref="C332:D332" si="991">#REF!</f>
        <v>#REF!</v>
      </c>
      <c r="D332" s="20" t="str">
        <f t="shared" si="991"/>
        <v>#REF!</v>
      </c>
      <c r="E332" s="20" t="str">
        <f t="shared" si="252"/>
        <v>#REF!</v>
      </c>
      <c r="F332" s="22" t="str">
        <f t="shared" si="2"/>
        <v>#REF!</v>
      </c>
      <c r="G332" s="20" t="str">
        <f t="shared" ref="G332:I332" si="992">#REF!</f>
        <v>#REF!</v>
      </c>
      <c r="H332" s="20" t="str">
        <f t="shared" si="992"/>
        <v>#REF!</v>
      </c>
      <c r="I332" s="20" t="str">
        <f t="shared" si="992"/>
        <v>#REF!</v>
      </c>
      <c r="J332" s="20" t="str">
        <f t="shared" si="254"/>
        <v>#REF!</v>
      </c>
      <c r="K332" s="20" t="str">
        <f t="shared" ref="K332:L332" si="993">#REF!</f>
        <v>#REF!</v>
      </c>
      <c r="L332" s="20" t="str">
        <f t="shared" si="993"/>
        <v>#REF!</v>
      </c>
    </row>
    <row r="333">
      <c r="A333" s="20" t="str">
        <f t="shared" si="249"/>
        <v>#REF!</v>
      </c>
      <c r="B333" s="20" t="str">
        <f t="shared" si="250"/>
        <v>#REF!</v>
      </c>
      <c r="C333" s="20" t="str">
        <f t="shared" ref="C333:D333" si="994">#REF!</f>
        <v>#REF!</v>
      </c>
      <c r="D333" s="20" t="str">
        <f t="shared" si="994"/>
        <v>#REF!</v>
      </c>
      <c r="E333" s="20" t="str">
        <f t="shared" si="252"/>
        <v>#REF!</v>
      </c>
      <c r="F333" s="22" t="str">
        <f t="shared" si="2"/>
        <v>#REF!</v>
      </c>
      <c r="G333" s="20" t="str">
        <f t="shared" ref="G333:I333" si="995">#REF!</f>
        <v>#REF!</v>
      </c>
      <c r="H333" s="20" t="str">
        <f t="shared" si="995"/>
        <v>#REF!</v>
      </c>
      <c r="I333" s="20" t="str">
        <f t="shared" si="995"/>
        <v>#REF!</v>
      </c>
      <c r="J333" s="20" t="str">
        <f t="shared" si="254"/>
        <v>#REF!</v>
      </c>
      <c r="K333" s="20" t="str">
        <f t="shared" ref="K333:L333" si="996">#REF!</f>
        <v>#REF!</v>
      </c>
      <c r="L333" s="20" t="str">
        <f t="shared" si="996"/>
        <v>#REF!</v>
      </c>
    </row>
    <row r="334">
      <c r="A334" s="20" t="str">
        <f t="shared" si="249"/>
        <v>#REF!</v>
      </c>
      <c r="B334" s="20" t="str">
        <f t="shared" si="250"/>
        <v>#REF!</v>
      </c>
      <c r="C334" s="20" t="str">
        <f t="shared" ref="C334:D334" si="997">#REF!</f>
        <v>#REF!</v>
      </c>
      <c r="D334" s="20" t="str">
        <f t="shared" si="997"/>
        <v>#REF!</v>
      </c>
      <c r="E334" s="20" t="str">
        <f t="shared" si="252"/>
        <v>#REF!</v>
      </c>
      <c r="F334" s="22" t="str">
        <f t="shared" si="2"/>
        <v>#REF!</v>
      </c>
      <c r="G334" s="20" t="str">
        <f t="shared" ref="G334:I334" si="998">#REF!</f>
        <v>#REF!</v>
      </c>
      <c r="H334" s="20" t="str">
        <f t="shared" si="998"/>
        <v>#REF!</v>
      </c>
      <c r="I334" s="20" t="str">
        <f t="shared" si="998"/>
        <v>#REF!</v>
      </c>
      <c r="J334" s="20" t="str">
        <f t="shared" si="254"/>
        <v>#REF!</v>
      </c>
      <c r="K334" s="20" t="str">
        <f t="shared" ref="K334:L334" si="999">#REF!</f>
        <v>#REF!</v>
      </c>
      <c r="L334" s="20" t="str">
        <f t="shared" si="999"/>
        <v>#REF!</v>
      </c>
    </row>
    <row r="335">
      <c r="A335" s="20" t="str">
        <f t="shared" si="249"/>
        <v>#REF!</v>
      </c>
      <c r="B335" s="20" t="str">
        <f t="shared" si="250"/>
        <v>#REF!</v>
      </c>
      <c r="C335" s="20" t="str">
        <f t="shared" ref="C335:D335" si="1000">#REF!</f>
        <v>#REF!</v>
      </c>
      <c r="D335" s="20" t="str">
        <f t="shared" si="1000"/>
        <v>#REF!</v>
      </c>
      <c r="E335" s="20" t="str">
        <f t="shared" si="252"/>
        <v>#REF!</v>
      </c>
      <c r="F335" s="22" t="str">
        <f t="shared" si="2"/>
        <v>#REF!</v>
      </c>
      <c r="G335" s="20" t="str">
        <f t="shared" ref="G335:I335" si="1001">#REF!</f>
        <v>#REF!</v>
      </c>
      <c r="H335" s="20" t="str">
        <f t="shared" si="1001"/>
        <v>#REF!</v>
      </c>
      <c r="I335" s="20" t="str">
        <f t="shared" si="1001"/>
        <v>#REF!</v>
      </c>
      <c r="J335" s="20" t="str">
        <f t="shared" si="254"/>
        <v>#REF!</v>
      </c>
      <c r="K335" s="20" t="str">
        <f t="shared" ref="K335:L335" si="1002">#REF!</f>
        <v>#REF!</v>
      </c>
      <c r="L335" s="20" t="str">
        <f t="shared" si="1002"/>
        <v>#REF!</v>
      </c>
    </row>
    <row r="336">
      <c r="A336" s="20" t="str">
        <f t="shared" si="249"/>
        <v>#REF!</v>
      </c>
      <c r="B336" s="20" t="str">
        <f t="shared" si="250"/>
        <v>#REF!</v>
      </c>
      <c r="C336" s="20" t="str">
        <f t="shared" ref="C336:D336" si="1003">#REF!</f>
        <v>#REF!</v>
      </c>
      <c r="D336" s="20" t="str">
        <f t="shared" si="1003"/>
        <v>#REF!</v>
      </c>
      <c r="E336" s="20" t="str">
        <f t="shared" si="252"/>
        <v>#REF!</v>
      </c>
      <c r="F336" s="22" t="str">
        <f t="shared" si="2"/>
        <v>#REF!</v>
      </c>
      <c r="G336" s="20" t="str">
        <f t="shared" ref="G336:I336" si="1004">#REF!</f>
        <v>#REF!</v>
      </c>
      <c r="H336" s="20" t="str">
        <f t="shared" si="1004"/>
        <v>#REF!</v>
      </c>
      <c r="I336" s="20" t="str">
        <f t="shared" si="1004"/>
        <v>#REF!</v>
      </c>
      <c r="J336" s="20" t="str">
        <f t="shared" si="254"/>
        <v>#REF!</v>
      </c>
      <c r="K336" s="20" t="str">
        <f t="shared" ref="K336:L336" si="1005">#REF!</f>
        <v>#REF!</v>
      </c>
      <c r="L336" s="20" t="str">
        <f t="shared" si="1005"/>
        <v>#REF!</v>
      </c>
    </row>
    <row r="337">
      <c r="A337" s="20" t="str">
        <f t="shared" si="249"/>
        <v>#REF!</v>
      </c>
      <c r="B337" s="20" t="str">
        <f t="shared" si="250"/>
        <v>#REF!</v>
      </c>
      <c r="C337" s="20" t="str">
        <f t="shared" ref="C337:D337" si="1006">#REF!</f>
        <v>#REF!</v>
      </c>
      <c r="D337" s="20" t="str">
        <f t="shared" si="1006"/>
        <v>#REF!</v>
      </c>
      <c r="E337" s="20" t="str">
        <f t="shared" si="252"/>
        <v>#REF!</v>
      </c>
      <c r="F337" s="22" t="str">
        <f t="shared" si="2"/>
        <v>#REF!</v>
      </c>
      <c r="G337" s="20" t="str">
        <f t="shared" ref="G337:I337" si="1007">#REF!</f>
        <v>#REF!</v>
      </c>
      <c r="H337" s="20" t="str">
        <f t="shared" si="1007"/>
        <v>#REF!</v>
      </c>
      <c r="I337" s="20" t="str">
        <f t="shared" si="1007"/>
        <v>#REF!</v>
      </c>
      <c r="J337" s="20" t="str">
        <f t="shared" si="254"/>
        <v>#REF!</v>
      </c>
      <c r="K337" s="20" t="str">
        <f t="shared" ref="K337:L337" si="1008">#REF!</f>
        <v>#REF!</v>
      </c>
      <c r="L337" s="20" t="str">
        <f t="shared" si="1008"/>
        <v>#REF!</v>
      </c>
    </row>
    <row r="338">
      <c r="A338" s="20" t="str">
        <f t="shared" si="249"/>
        <v>#REF!</v>
      </c>
      <c r="B338" s="20" t="str">
        <f t="shared" si="250"/>
        <v>#REF!</v>
      </c>
      <c r="C338" s="20" t="str">
        <f t="shared" ref="C338:D338" si="1009">#REF!</f>
        <v>#REF!</v>
      </c>
      <c r="D338" s="20" t="str">
        <f t="shared" si="1009"/>
        <v>#REF!</v>
      </c>
      <c r="E338" s="20" t="str">
        <f t="shared" si="252"/>
        <v>#REF!</v>
      </c>
      <c r="F338" s="22" t="str">
        <f t="shared" si="2"/>
        <v>#REF!</v>
      </c>
      <c r="G338" s="20" t="str">
        <f t="shared" ref="G338:I338" si="1010">#REF!</f>
        <v>#REF!</v>
      </c>
      <c r="H338" s="20" t="str">
        <f t="shared" si="1010"/>
        <v>#REF!</v>
      </c>
      <c r="I338" s="20" t="str">
        <f t="shared" si="1010"/>
        <v>#REF!</v>
      </c>
      <c r="J338" s="20" t="str">
        <f t="shared" si="254"/>
        <v>#REF!</v>
      </c>
      <c r="K338" s="20" t="str">
        <f t="shared" ref="K338:L338" si="1011">#REF!</f>
        <v>#REF!</v>
      </c>
      <c r="L338" s="20" t="str">
        <f t="shared" si="1011"/>
        <v>#REF!</v>
      </c>
    </row>
    <row r="339">
      <c r="A339" s="20" t="str">
        <f t="shared" si="249"/>
        <v>#REF!</v>
      </c>
      <c r="B339" s="20" t="str">
        <f t="shared" si="250"/>
        <v>#REF!</v>
      </c>
      <c r="C339" s="20" t="str">
        <f t="shared" ref="C339:D339" si="1012">#REF!</f>
        <v>#REF!</v>
      </c>
      <c r="D339" s="20" t="str">
        <f t="shared" si="1012"/>
        <v>#REF!</v>
      </c>
      <c r="E339" s="20" t="str">
        <f t="shared" si="252"/>
        <v>#REF!</v>
      </c>
      <c r="F339" s="22" t="str">
        <f t="shared" si="2"/>
        <v>#REF!</v>
      </c>
      <c r="G339" s="20" t="str">
        <f t="shared" ref="G339:I339" si="1013">#REF!</f>
        <v>#REF!</v>
      </c>
      <c r="H339" s="20" t="str">
        <f t="shared" si="1013"/>
        <v>#REF!</v>
      </c>
      <c r="I339" s="20" t="str">
        <f t="shared" si="1013"/>
        <v>#REF!</v>
      </c>
      <c r="J339" s="20" t="str">
        <f t="shared" si="254"/>
        <v>#REF!</v>
      </c>
      <c r="K339" s="20" t="str">
        <f t="shared" ref="K339:L339" si="1014">#REF!</f>
        <v>#REF!</v>
      </c>
      <c r="L339" s="20" t="str">
        <f t="shared" si="1014"/>
        <v>#REF!</v>
      </c>
    </row>
    <row r="340">
      <c r="A340" s="20" t="str">
        <f t="shared" si="249"/>
        <v>#REF!</v>
      </c>
      <c r="B340" s="20" t="str">
        <f t="shared" si="250"/>
        <v>#REF!</v>
      </c>
      <c r="C340" s="20" t="str">
        <f t="shared" ref="C340:D340" si="1015">#REF!</f>
        <v>#REF!</v>
      </c>
      <c r="D340" s="20" t="str">
        <f t="shared" si="1015"/>
        <v>#REF!</v>
      </c>
      <c r="E340" s="20" t="str">
        <f t="shared" si="252"/>
        <v>#REF!</v>
      </c>
      <c r="F340" s="22" t="str">
        <f t="shared" si="2"/>
        <v>#REF!</v>
      </c>
      <c r="G340" s="20" t="str">
        <f t="shared" ref="G340:I340" si="1016">#REF!</f>
        <v>#REF!</v>
      </c>
      <c r="H340" s="20" t="str">
        <f t="shared" si="1016"/>
        <v>#REF!</v>
      </c>
      <c r="I340" s="20" t="str">
        <f t="shared" si="1016"/>
        <v>#REF!</v>
      </c>
      <c r="J340" s="20" t="str">
        <f t="shared" si="254"/>
        <v>#REF!</v>
      </c>
      <c r="K340" s="20" t="str">
        <f t="shared" ref="K340:L340" si="1017">#REF!</f>
        <v>#REF!</v>
      </c>
      <c r="L340" s="20" t="str">
        <f t="shared" si="1017"/>
        <v>#REF!</v>
      </c>
    </row>
    <row r="341">
      <c r="A341" s="20" t="str">
        <f t="shared" si="249"/>
        <v>#REF!</v>
      </c>
      <c r="B341" s="20" t="str">
        <f t="shared" si="250"/>
        <v>#REF!</v>
      </c>
      <c r="C341" s="20" t="str">
        <f t="shared" ref="C341:D341" si="1018">#REF!</f>
        <v>#REF!</v>
      </c>
      <c r="D341" s="20" t="str">
        <f t="shared" si="1018"/>
        <v>#REF!</v>
      </c>
      <c r="E341" s="20" t="str">
        <f t="shared" si="252"/>
        <v>#REF!</v>
      </c>
      <c r="F341" s="22" t="str">
        <f t="shared" si="2"/>
        <v>#REF!</v>
      </c>
      <c r="G341" s="20" t="str">
        <f t="shared" ref="G341:I341" si="1019">#REF!</f>
        <v>#REF!</v>
      </c>
      <c r="H341" s="20" t="str">
        <f t="shared" si="1019"/>
        <v>#REF!</v>
      </c>
      <c r="I341" s="20" t="str">
        <f t="shared" si="1019"/>
        <v>#REF!</v>
      </c>
      <c r="J341" s="20" t="str">
        <f t="shared" si="254"/>
        <v>#REF!</v>
      </c>
      <c r="K341" s="20" t="str">
        <f t="shared" ref="K341:L341" si="1020">#REF!</f>
        <v>#REF!</v>
      </c>
      <c r="L341" s="20" t="str">
        <f t="shared" si="1020"/>
        <v>#REF!</v>
      </c>
    </row>
    <row r="342">
      <c r="A342" s="20" t="str">
        <f t="shared" si="249"/>
        <v>#REF!</v>
      </c>
      <c r="B342" s="20" t="str">
        <f t="shared" si="250"/>
        <v>#REF!</v>
      </c>
      <c r="C342" s="20" t="str">
        <f t="shared" ref="C342:D342" si="1021">#REF!</f>
        <v>#REF!</v>
      </c>
      <c r="D342" s="20" t="str">
        <f t="shared" si="1021"/>
        <v>#REF!</v>
      </c>
      <c r="E342" s="20" t="str">
        <f t="shared" si="252"/>
        <v>#REF!</v>
      </c>
      <c r="F342" s="22" t="str">
        <f t="shared" si="2"/>
        <v>#REF!</v>
      </c>
      <c r="G342" s="20" t="str">
        <f t="shared" ref="G342:I342" si="1022">#REF!</f>
        <v>#REF!</v>
      </c>
      <c r="H342" s="20" t="str">
        <f t="shared" si="1022"/>
        <v>#REF!</v>
      </c>
      <c r="I342" s="20" t="str">
        <f t="shared" si="1022"/>
        <v>#REF!</v>
      </c>
      <c r="J342" s="20" t="str">
        <f t="shared" si="254"/>
        <v>#REF!</v>
      </c>
      <c r="K342" s="20" t="str">
        <f t="shared" ref="K342:L342" si="1023">#REF!</f>
        <v>#REF!</v>
      </c>
      <c r="L342" s="20" t="str">
        <f t="shared" si="1023"/>
        <v>#REF!</v>
      </c>
    </row>
    <row r="343">
      <c r="A343" s="20" t="str">
        <f t="shared" si="249"/>
        <v>#REF!</v>
      </c>
      <c r="B343" s="20" t="str">
        <f t="shared" si="250"/>
        <v>#REF!</v>
      </c>
      <c r="C343" s="20" t="str">
        <f t="shared" ref="C343:D343" si="1024">#REF!</f>
        <v>#REF!</v>
      </c>
      <c r="D343" s="20" t="str">
        <f t="shared" si="1024"/>
        <v>#REF!</v>
      </c>
      <c r="E343" s="20" t="str">
        <f t="shared" si="252"/>
        <v>#REF!</v>
      </c>
      <c r="F343" s="22" t="str">
        <f t="shared" si="2"/>
        <v>#REF!</v>
      </c>
      <c r="G343" s="20" t="str">
        <f t="shared" ref="G343:I343" si="1025">#REF!</f>
        <v>#REF!</v>
      </c>
      <c r="H343" s="20" t="str">
        <f t="shared" si="1025"/>
        <v>#REF!</v>
      </c>
      <c r="I343" s="20" t="str">
        <f t="shared" si="1025"/>
        <v>#REF!</v>
      </c>
      <c r="J343" s="20" t="str">
        <f t="shared" si="254"/>
        <v>#REF!</v>
      </c>
      <c r="K343" s="20" t="str">
        <f t="shared" ref="K343:L343" si="1026">#REF!</f>
        <v>#REF!</v>
      </c>
      <c r="L343" s="20" t="str">
        <f t="shared" si="1026"/>
        <v>#REF!</v>
      </c>
    </row>
    <row r="344">
      <c r="A344" s="20" t="str">
        <f t="shared" si="249"/>
        <v>#REF!</v>
      </c>
      <c r="B344" s="20" t="str">
        <f t="shared" si="250"/>
        <v>#REF!</v>
      </c>
      <c r="C344" s="20" t="str">
        <f t="shared" ref="C344:D344" si="1027">#REF!</f>
        <v>#REF!</v>
      </c>
      <c r="D344" s="20" t="str">
        <f t="shared" si="1027"/>
        <v>#REF!</v>
      </c>
      <c r="E344" s="20" t="str">
        <f t="shared" si="252"/>
        <v>#REF!</v>
      </c>
      <c r="F344" s="22" t="str">
        <f t="shared" si="2"/>
        <v>#REF!</v>
      </c>
      <c r="G344" s="20" t="str">
        <f t="shared" ref="G344:I344" si="1028">#REF!</f>
        <v>#REF!</v>
      </c>
      <c r="H344" s="20" t="str">
        <f t="shared" si="1028"/>
        <v>#REF!</v>
      </c>
      <c r="I344" s="20" t="str">
        <f t="shared" si="1028"/>
        <v>#REF!</v>
      </c>
      <c r="J344" s="20" t="str">
        <f t="shared" si="254"/>
        <v>#REF!</v>
      </c>
      <c r="K344" s="20" t="str">
        <f t="shared" ref="K344:L344" si="1029">#REF!</f>
        <v>#REF!</v>
      </c>
      <c r="L344" s="20" t="str">
        <f t="shared" si="1029"/>
        <v>#REF!</v>
      </c>
    </row>
    <row r="345">
      <c r="A345" s="20" t="str">
        <f t="shared" si="249"/>
        <v>#REF!</v>
      </c>
      <c r="B345" s="20" t="str">
        <f t="shared" si="250"/>
        <v>#REF!</v>
      </c>
      <c r="C345" s="20" t="str">
        <f t="shared" ref="C345:D345" si="1030">#REF!</f>
        <v>#REF!</v>
      </c>
      <c r="D345" s="20" t="str">
        <f t="shared" si="1030"/>
        <v>#REF!</v>
      </c>
      <c r="E345" s="20" t="str">
        <f t="shared" si="252"/>
        <v>#REF!</v>
      </c>
      <c r="F345" s="22" t="str">
        <f t="shared" si="2"/>
        <v>#REF!</v>
      </c>
      <c r="G345" s="20" t="str">
        <f t="shared" ref="G345:I345" si="1031">#REF!</f>
        <v>#REF!</v>
      </c>
      <c r="H345" s="20" t="str">
        <f t="shared" si="1031"/>
        <v>#REF!</v>
      </c>
      <c r="I345" s="20" t="str">
        <f t="shared" si="1031"/>
        <v>#REF!</v>
      </c>
      <c r="J345" s="20" t="str">
        <f t="shared" si="254"/>
        <v>#REF!</v>
      </c>
      <c r="K345" s="20" t="str">
        <f t="shared" ref="K345:L345" si="1032">#REF!</f>
        <v>#REF!</v>
      </c>
      <c r="L345" s="20" t="str">
        <f t="shared" si="1032"/>
        <v>#REF!</v>
      </c>
    </row>
    <row r="346">
      <c r="A346" s="20" t="str">
        <f t="shared" si="249"/>
        <v>#REF!</v>
      </c>
      <c r="B346" s="20" t="str">
        <f t="shared" si="250"/>
        <v>#REF!</v>
      </c>
      <c r="C346" s="20" t="str">
        <f t="shared" ref="C346:D346" si="1033">#REF!</f>
        <v>#REF!</v>
      </c>
      <c r="D346" s="20" t="str">
        <f t="shared" si="1033"/>
        <v>#REF!</v>
      </c>
      <c r="E346" s="20" t="str">
        <f t="shared" si="252"/>
        <v>#REF!</v>
      </c>
      <c r="F346" s="22" t="str">
        <f t="shared" si="2"/>
        <v>#REF!</v>
      </c>
      <c r="G346" s="20" t="str">
        <f t="shared" ref="G346:I346" si="1034">#REF!</f>
        <v>#REF!</v>
      </c>
      <c r="H346" s="20" t="str">
        <f t="shared" si="1034"/>
        <v>#REF!</v>
      </c>
      <c r="I346" s="20" t="str">
        <f t="shared" si="1034"/>
        <v>#REF!</v>
      </c>
      <c r="J346" s="20" t="str">
        <f t="shared" si="254"/>
        <v>#REF!</v>
      </c>
      <c r="K346" s="20" t="str">
        <f t="shared" ref="K346:L346" si="1035">#REF!</f>
        <v>#REF!</v>
      </c>
      <c r="L346" s="20" t="str">
        <f t="shared" si="1035"/>
        <v>#REF!</v>
      </c>
    </row>
    <row r="347">
      <c r="A347" s="20" t="str">
        <f t="shared" si="249"/>
        <v>#REF!</v>
      </c>
      <c r="B347" s="20" t="str">
        <f t="shared" si="250"/>
        <v>#REF!</v>
      </c>
      <c r="C347" s="20" t="str">
        <f t="shared" ref="C347:D347" si="1036">#REF!</f>
        <v>#REF!</v>
      </c>
      <c r="D347" s="20" t="str">
        <f t="shared" si="1036"/>
        <v>#REF!</v>
      </c>
      <c r="E347" s="20" t="str">
        <f t="shared" si="252"/>
        <v>#REF!</v>
      </c>
      <c r="F347" s="22" t="str">
        <f t="shared" si="2"/>
        <v>#REF!</v>
      </c>
      <c r="G347" s="20" t="str">
        <f t="shared" ref="G347:I347" si="1037">#REF!</f>
        <v>#REF!</v>
      </c>
      <c r="H347" s="20" t="str">
        <f t="shared" si="1037"/>
        <v>#REF!</v>
      </c>
      <c r="I347" s="20" t="str">
        <f t="shared" si="1037"/>
        <v>#REF!</v>
      </c>
      <c r="J347" s="20" t="str">
        <f t="shared" si="254"/>
        <v>#REF!</v>
      </c>
      <c r="K347" s="20" t="str">
        <f t="shared" ref="K347:L347" si="1038">#REF!</f>
        <v>#REF!</v>
      </c>
      <c r="L347" s="20" t="str">
        <f t="shared" si="1038"/>
        <v>#REF!</v>
      </c>
    </row>
    <row r="348">
      <c r="A348" s="20" t="str">
        <f t="shared" si="249"/>
        <v>#REF!</v>
      </c>
      <c r="B348" s="20" t="str">
        <f t="shared" si="250"/>
        <v>#REF!</v>
      </c>
      <c r="C348" s="20" t="str">
        <f t="shared" ref="C348:D348" si="1039">#REF!</f>
        <v>#REF!</v>
      </c>
      <c r="D348" s="20" t="str">
        <f t="shared" si="1039"/>
        <v>#REF!</v>
      </c>
      <c r="E348" s="20" t="str">
        <f t="shared" si="252"/>
        <v>#REF!</v>
      </c>
      <c r="F348" s="22" t="str">
        <f t="shared" si="2"/>
        <v>#REF!</v>
      </c>
      <c r="G348" s="20" t="str">
        <f t="shared" ref="G348:I348" si="1040">#REF!</f>
        <v>#REF!</v>
      </c>
      <c r="H348" s="20" t="str">
        <f t="shared" si="1040"/>
        <v>#REF!</v>
      </c>
      <c r="I348" s="20" t="str">
        <f t="shared" si="1040"/>
        <v>#REF!</v>
      </c>
      <c r="J348" s="20" t="str">
        <f t="shared" si="254"/>
        <v>#REF!</v>
      </c>
      <c r="K348" s="20" t="str">
        <f t="shared" ref="K348:L348" si="1041">#REF!</f>
        <v>#REF!</v>
      </c>
      <c r="L348" s="20" t="str">
        <f t="shared" si="1041"/>
        <v>#REF!</v>
      </c>
    </row>
    <row r="349">
      <c r="A349" s="20" t="str">
        <f t="shared" si="249"/>
        <v>#REF!</v>
      </c>
      <c r="B349" s="20" t="str">
        <f t="shared" si="250"/>
        <v>#REF!</v>
      </c>
      <c r="C349" s="20" t="str">
        <f t="shared" ref="C349:D349" si="1042">#REF!</f>
        <v>#REF!</v>
      </c>
      <c r="D349" s="20" t="str">
        <f t="shared" si="1042"/>
        <v>#REF!</v>
      </c>
      <c r="E349" s="20" t="str">
        <f t="shared" si="252"/>
        <v>#REF!</v>
      </c>
      <c r="F349" s="22" t="str">
        <f t="shared" si="2"/>
        <v>#REF!</v>
      </c>
      <c r="G349" s="20" t="str">
        <f t="shared" ref="G349:I349" si="1043">#REF!</f>
        <v>#REF!</v>
      </c>
      <c r="H349" s="20" t="str">
        <f t="shared" si="1043"/>
        <v>#REF!</v>
      </c>
      <c r="I349" s="20" t="str">
        <f t="shared" si="1043"/>
        <v>#REF!</v>
      </c>
      <c r="J349" s="20" t="str">
        <f t="shared" si="254"/>
        <v>#REF!</v>
      </c>
      <c r="K349" s="20" t="str">
        <f t="shared" ref="K349:L349" si="1044">#REF!</f>
        <v>#REF!</v>
      </c>
      <c r="L349" s="20" t="str">
        <f t="shared" si="1044"/>
        <v>#REF!</v>
      </c>
    </row>
    <row r="350">
      <c r="A350" s="20" t="str">
        <f t="shared" si="249"/>
        <v>#REF!</v>
      </c>
      <c r="B350" s="20" t="str">
        <f t="shared" si="250"/>
        <v>#REF!</v>
      </c>
      <c r="C350" s="20" t="str">
        <f t="shared" ref="C350:D350" si="1045">#REF!</f>
        <v>#REF!</v>
      </c>
      <c r="D350" s="20" t="str">
        <f t="shared" si="1045"/>
        <v>#REF!</v>
      </c>
      <c r="E350" s="20" t="str">
        <f t="shared" si="252"/>
        <v>#REF!</v>
      </c>
      <c r="F350" s="22" t="str">
        <f t="shared" si="2"/>
        <v>#REF!</v>
      </c>
      <c r="G350" s="20" t="str">
        <f t="shared" ref="G350:I350" si="1046">#REF!</f>
        <v>#REF!</v>
      </c>
      <c r="H350" s="20" t="str">
        <f t="shared" si="1046"/>
        <v>#REF!</v>
      </c>
      <c r="I350" s="20" t="str">
        <f t="shared" si="1046"/>
        <v>#REF!</v>
      </c>
      <c r="J350" s="20" t="str">
        <f t="shared" si="254"/>
        <v>#REF!</v>
      </c>
      <c r="K350" s="20" t="str">
        <f t="shared" ref="K350:L350" si="1047">#REF!</f>
        <v>#REF!</v>
      </c>
      <c r="L350" s="20" t="str">
        <f t="shared" si="1047"/>
        <v>#REF!</v>
      </c>
    </row>
    <row r="351">
      <c r="A351" s="20" t="str">
        <f t="shared" si="249"/>
        <v>#REF!</v>
      </c>
      <c r="B351" s="20" t="str">
        <f t="shared" si="250"/>
        <v>#REF!</v>
      </c>
      <c r="C351" s="20" t="str">
        <f t="shared" ref="C351:D351" si="1048">#REF!</f>
        <v>#REF!</v>
      </c>
      <c r="D351" s="20" t="str">
        <f t="shared" si="1048"/>
        <v>#REF!</v>
      </c>
      <c r="E351" s="20" t="str">
        <f t="shared" si="252"/>
        <v>#REF!</v>
      </c>
      <c r="F351" s="22" t="str">
        <f t="shared" si="2"/>
        <v>#REF!</v>
      </c>
      <c r="G351" s="20" t="str">
        <f t="shared" ref="G351:I351" si="1049">#REF!</f>
        <v>#REF!</v>
      </c>
      <c r="H351" s="20" t="str">
        <f t="shared" si="1049"/>
        <v>#REF!</v>
      </c>
      <c r="I351" s="20" t="str">
        <f t="shared" si="1049"/>
        <v>#REF!</v>
      </c>
      <c r="J351" s="20" t="str">
        <f t="shared" si="254"/>
        <v>#REF!</v>
      </c>
      <c r="K351" s="20" t="str">
        <f t="shared" ref="K351:L351" si="1050">#REF!</f>
        <v>#REF!</v>
      </c>
      <c r="L351" s="20" t="str">
        <f t="shared" si="1050"/>
        <v>#REF!</v>
      </c>
    </row>
    <row r="352">
      <c r="A352" s="20" t="str">
        <f t="shared" si="249"/>
        <v>#REF!</v>
      </c>
      <c r="B352" s="20" t="str">
        <f t="shared" si="250"/>
        <v>#REF!</v>
      </c>
      <c r="C352" s="20" t="str">
        <f t="shared" ref="C352:D352" si="1051">#REF!</f>
        <v>#REF!</v>
      </c>
      <c r="D352" s="20" t="str">
        <f t="shared" si="1051"/>
        <v>#REF!</v>
      </c>
      <c r="E352" s="20" t="str">
        <f t="shared" si="252"/>
        <v>#REF!</v>
      </c>
      <c r="F352" s="22" t="str">
        <f t="shared" si="2"/>
        <v>#REF!</v>
      </c>
      <c r="G352" s="20" t="str">
        <f t="shared" ref="G352:I352" si="1052">#REF!</f>
        <v>#REF!</v>
      </c>
      <c r="H352" s="20" t="str">
        <f t="shared" si="1052"/>
        <v>#REF!</v>
      </c>
      <c r="I352" s="20" t="str">
        <f t="shared" si="1052"/>
        <v>#REF!</v>
      </c>
      <c r="J352" s="20" t="str">
        <f t="shared" si="254"/>
        <v>#REF!</v>
      </c>
      <c r="K352" s="20" t="str">
        <f t="shared" ref="K352:L352" si="1053">#REF!</f>
        <v>#REF!</v>
      </c>
      <c r="L352" s="20" t="str">
        <f t="shared" si="1053"/>
        <v>#REF!</v>
      </c>
    </row>
    <row r="353">
      <c r="A353" s="20" t="str">
        <f t="shared" si="249"/>
        <v>#REF!</v>
      </c>
      <c r="B353" s="20" t="str">
        <f t="shared" si="250"/>
        <v>#REF!</v>
      </c>
      <c r="C353" s="20" t="str">
        <f t="shared" ref="C353:D353" si="1054">#REF!</f>
        <v>#REF!</v>
      </c>
      <c r="D353" s="20" t="str">
        <f t="shared" si="1054"/>
        <v>#REF!</v>
      </c>
      <c r="E353" s="20" t="str">
        <f t="shared" si="252"/>
        <v>#REF!</v>
      </c>
      <c r="F353" s="22" t="str">
        <f t="shared" si="2"/>
        <v>#REF!</v>
      </c>
      <c r="G353" s="20" t="str">
        <f t="shared" ref="G353:I353" si="1055">#REF!</f>
        <v>#REF!</v>
      </c>
      <c r="H353" s="20" t="str">
        <f t="shared" si="1055"/>
        <v>#REF!</v>
      </c>
      <c r="I353" s="20" t="str">
        <f t="shared" si="1055"/>
        <v>#REF!</v>
      </c>
      <c r="J353" s="20" t="str">
        <f t="shared" si="254"/>
        <v>#REF!</v>
      </c>
      <c r="K353" s="20" t="str">
        <f t="shared" ref="K353:L353" si="1056">#REF!</f>
        <v>#REF!</v>
      </c>
      <c r="L353" s="20" t="str">
        <f t="shared" si="1056"/>
        <v>#REF!</v>
      </c>
    </row>
    <row r="354">
      <c r="A354" s="20" t="str">
        <f t="shared" si="249"/>
        <v>#REF!</v>
      </c>
      <c r="B354" s="20" t="str">
        <f t="shared" si="250"/>
        <v>#REF!</v>
      </c>
      <c r="C354" s="20" t="str">
        <f t="shared" ref="C354:D354" si="1057">#REF!</f>
        <v>#REF!</v>
      </c>
      <c r="D354" s="20" t="str">
        <f t="shared" si="1057"/>
        <v>#REF!</v>
      </c>
      <c r="E354" s="20" t="str">
        <f t="shared" si="252"/>
        <v>#REF!</v>
      </c>
      <c r="F354" s="22" t="str">
        <f t="shared" si="2"/>
        <v>#REF!</v>
      </c>
      <c r="G354" s="20" t="str">
        <f t="shared" ref="G354:I354" si="1058">#REF!</f>
        <v>#REF!</v>
      </c>
      <c r="H354" s="20" t="str">
        <f t="shared" si="1058"/>
        <v>#REF!</v>
      </c>
      <c r="I354" s="20" t="str">
        <f t="shared" si="1058"/>
        <v>#REF!</v>
      </c>
      <c r="J354" s="20" t="str">
        <f t="shared" si="254"/>
        <v>#REF!</v>
      </c>
      <c r="K354" s="20" t="str">
        <f t="shared" ref="K354:L354" si="1059">#REF!</f>
        <v>#REF!</v>
      </c>
      <c r="L354" s="20" t="str">
        <f t="shared" si="1059"/>
        <v>#REF!</v>
      </c>
    </row>
    <row r="355">
      <c r="A355" s="20" t="str">
        <f t="shared" si="249"/>
        <v>#REF!</v>
      </c>
      <c r="B355" s="20" t="str">
        <f t="shared" si="250"/>
        <v>#REF!</v>
      </c>
      <c r="C355" s="20" t="str">
        <f t="shared" ref="C355:D355" si="1060">#REF!</f>
        <v>#REF!</v>
      </c>
      <c r="D355" s="20" t="str">
        <f t="shared" si="1060"/>
        <v>#REF!</v>
      </c>
      <c r="E355" s="20" t="str">
        <f t="shared" si="252"/>
        <v>#REF!</v>
      </c>
      <c r="F355" s="22" t="str">
        <f t="shared" si="2"/>
        <v>#REF!</v>
      </c>
      <c r="G355" s="20" t="str">
        <f t="shared" ref="G355:I355" si="1061">#REF!</f>
        <v>#REF!</v>
      </c>
      <c r="H355" s="20" t="str">
        <f t="shared" si="1061"/>
        <v>#REF!</v>
      </c>
      <c r="I355" s="20" t="str">
        <f t="shared" si="1061"/>
        <v>#REF!</v>
      </c>
      <c r="J355" s="20" t="str">
        <f t="shared" si="254"/>
        <v>#REF!</v>
      </c>
      <c r="K355" s="20" t="str">
        <f t="shared" ref="K355:L355" si="1062">#REF!</f>
        <v>#REF!</v>
      </c>
      <c r="L355" s="20" t="str">
        <f t="shared" si="1062"/>
        <v>#REF!</v>
      </c>
    </row>
    <row r="356">
      <c r="A356" s="20" t="str">
        <f t="shared" si="249"/>
        <v>#REF!</v>
      </c>
      <c r="B356" s="20" t="str">
        <f t="shared" si="250"/>
        <v>#REF!</v>
      </c>
      <c r="C356" s="20" t="str">
        <f t="shared" ref="C356:D356" si="1063">#REF!</f>
        <v>#REF!</v>
      </c>
      <c r="D356" s="20" t="str">
        <f t="shared" si="1063"/>
        <v>#REF!</v>
      </c>
      <c r="E356" s="20" t="str">
        <f t="shared" si="252"/>
        <v>#REF!</v>
      </c>
      <c r="F356" s="22" t="str">
        <f t="shared" si="2"/>
        <v>#REF!</v>
      </c>
      <c r="G356" s="20" t="str">
        <f t="shared" ref="G356:I356" si="1064">#REF!</f>
        <v>#REF!</v>
      </c>
      <c r="H356" s="20" t="str">
        <f t="shared" si="1064"/>
        <v>#REF!</v>
      </c>
      <c r="I356" s="20" t="str">
        <f t="shared" si="1064"/>
        <v>#REF!</v>
      </c>
      <c r="J356" s="20" t="str">
        <f t="shared" si="254"/>
        <v>#REF!</v>
      </c>
      <c r="K356" s="20" t="str">
        <f t="shared" ref="K356:L356" si="1065">#REF!</f>
        <v>#REF!</v>
      </c>
      <c r="L356" s="20" t="str">
        <f t="shared" si="1065"/>
        <v>#REF!</v>
      </c>
    </row>
    <row r="357">
      <c r="A357" s="20" t="str">
        <f t="shared" si="249"/>
        <v>#REF!</v>
      </c>
      <c r="B357" s="20" t="str">
        <f t="shared" si="250"/>
        <v>#REF!</v>
      </c>
      <c r="C357" s="20" t="str">
        <f t="shared" ref="C357:D357" si="1066">#REF!</f>
        <v>#REF!</v>
      </c>
      <c r="D357" s="20" t="str">
        <f t="shared" si="1066"/>
        <v>#REF!</v>
      </c>
      <c r="E357" s="20" t="str">
        <f t="shared" si="252"/>
        <v>#REF!</v>
      </c>
      <c r="F357" s="22" t="str">
        <f t="shared" si="2"/>
        <v>#REF!</v>
      </c>
      <c r="G357" s="20" t="str">
        <f t="shared" ref="G357:I357" si="1067">#REF!</f>
        <v>#REF!</v>
      </c>
      <c r="H357" s="20" t="str">
        <f t="shared" si="1067"/>
        <v>#REF!</v>
      </c>
      <c r="I357" s="20" t="str">
        <f t="shared" si="1067"/>
        <v>#REF!</v>
      </c>
      <c r="J357" s="20" t="str">
        <f t="shared" si="254"/>
        <v>#REF!</v>
      </c>
      <c r="K357" s="20" t="str">
        <f t="shared" ref="K357:L357" si="1068">#REF!</f>
        <v>#REF!</v>
      </c>
      <c r="L357" s="20" t="str">
        <f t="shared" si="1068"/>
        <v>#REF!</v>
      </c>
    </row>
    <row r="358">
      <c r="A358" s="20" t="str">
        <f t="shared" si="249"/>
        <v>#REF!</v>
      </c>
      <c r="B358" s="20" t="str">
        <f t="shared" si="250"/>
        <v>#REF!</v>
      </c>
      <c r="C358" s="20" t="str">
        <f t="shared" ref="C358:D358" si="1069">#REF!</f>
        <v>#REF!</v>
      </c>
      <c r="D358" s="20" t="str">
        <f t="shared" si="1069"/>
        <v>#REF!</v>
      </c>
      <c r="E358" s="20" t="str">
        <f t="shared" si="252"/>
        <v>#REF!</v>
      </c>
      <c r="F358" s="22" t="str">
        <f t="shared" si="2"/>
        <v>#REF!</v>
      </c>
      <c r="G358" s="20" t="str">
        <f t="shared" ref="G358:I358" si="1070">#REF!</f>
        <v>#REF!</v>
      </c>
      <c r="H358" s="20" t="str">
        <f t="shared" si="1070"/>
        <v>#REF!</v>
      </c>
      <c r="I358" s="20" t="str">
        <f t="shared" si="1070"/>
        <v>#REF!</v>
      </c>
      <c r="J358" s="20" t="str">
        <f t="shared" si="254"/>
        <v>#REF!</v>
      </c>
      <c r="K358" s="20" t="str">
        <f t="shared" ref="K358:L358" si="1071">#REF!</f>
        <v>#REF!</v>
      </c>
      <c r="L358" s="20" t="str">
        <f t="shared" si="1071"/>
        <v>#REF!</v>
      </c>
    </row>
    <row r="359">
      <c r="A359" s="20" t="str">
        <f t="shared" si="249"/>
        <v>#REF!</v>
      </c>
      <c r="B359" s="20" t="str">
        <f t="shared" si="250"/>
        <v>#REF!</v>
      </c>
      <c r="C359" s="20" t="str">
        <f t="shared" ref="C359:D359" si="1072">#REF!</f>
        <v>#REF!</v>
      </c>
      <c r="D359" s="20" t="str">
        <f t="shared" si="1072"/>
        <v>#REF!</v>
      </c>
      <c r="E359" s="20" t="str">
        <f t="shared" si="252"/>
        <v>#REF!</v>
      </c>
      <c r="F359" s="22" t="str">
        <f t="shared" si="2"/>
        <v>#REF!</v>
      </c>
      <c r="G359" s="20" t="str">
        <f t="shared" ref="G359:I359" si="1073">#REF!</f>
        <v>#REF!</v>
      </c>
      <c r="H359" s="20" t="str">
        <f t="shared" si="1073"/>
        <v>#REF!</v>
      </c>
      <c r="I359" s="20" t="str">
        <f t="shared" si="1073"/>
        <v>#REF!</v>
      </c>
      <c r="J359" s="20" t="str">
        <f t="shared" si="254"/>
        <v>#REF!</v>
      </c>
      <c r="K359" s="20" t="str">
        <f t="shared" ref="K359:L359" si="1074">#REF!</f>
        <v>#REF!</v>
      </c>
      <c r="L359" s="20" t="str">
        <f t="shared" si="1074"/>
        <v>#REF!</v>
      </c>
    </row>
    <row r="360">
      <c r="A360" s="20" t="str">
        <f t="shared" si="249"/>
        <v>#REF!</v>
      </c>
      <c r="B360" s="20" t="str">
        <f t="shared" si="250"/>
        <v>#REF!</v>
      </c>
      <c r="C360" s="20" t="str">
        <f t="shared" ref="C360:D360" si="1075">#REF!</f>
        <v>#REF!</v>
      </c>
      <c r="D360" s="20" t="str">
        <f t="shared" si="1075"/>
        <v>#REF!</v>
      </c>
      <c r="E360" s="20" t="str">
        <f t="shared" si="252"/>
        <v>#REF!</v>
      </c>
      <c r="F360" s="22" t="str">
        <f t="shared" si="2"/>
        <v>#REF!</v>
      </c>
      <c r="G360" s="20" t="str">
        <f t="shared" ref="G360:I360" si="1076">#REF!</f>
        <v>#REF!</v>
      </c>
      <c r="H360" s="20" t="str">
        <f t="shared" si="1076"/>
        <v>#REF!</v>
      </c>
      <c r="I360" s="20" t="str">
        <f t="shared" si="1076"/>
        <v>#REF!</v>
      </c>
      <c r="J360" s="20" t="str">
        <f t="shared" si="254"/>
        <v>#REF!</v>
      </c>
      <c r="K360" s="20" t="str">
        <f t="shared" ref="K360:L360" si="1077">#REF!</f>
        <v>#REF!</v>
      </c>
      <c r="L360" s="20" t="str">
        <f t="shared" si="1077"/>
        <v>#REF!</v>
      </c>
    </row>
    <row r="361">
      <c r="A361" s="20" t="str">
        <f t="shared" si="249"/>
        <v>#REF!</v>
      </c>
      <c r="B361" s="20" t="str">
        <f t="shared" si="250"/>
        <v>#REF!</v>
      </c>
      <c r="C361" s="20" t="str">
        <f t="shared" ref="C361:D361" si="1078">#REF!</f>
        <v>#REF!</v>
      </c>
      <c r="D361" s="20" t="str">
        <f t="shared" si="1078"/>
        <v>#REF!</v>
      </c>
      <c r="E361" s="20" t="str">
        <f t="shared" si="252"/>
        <v>#REF!</v>
      </c>
      <c r="F361" s="22" t="str">
        <f t="shared" si="2"/>
        <v>#REF!</v>
      </c>
      <c r="G361" s="20" t="str">
        <f t="shared" ref="G361:I361" si="1079">#REF!</f>
        <v>#REF!</v>
      </c>
      <c r="H361" s="20" t="str">
        <f t="shared" si="1079"/>
        <v>#REF!</v>
      </c>
      <c r="I361" s="20" t="str">
        <f t="shared" si="1079"/>
        <v>#REF!</v>
      </c>
      <c r="J361" s="20" t="str">
        <f t="shared" si="254"/>
        <v>#REF!</v>
      </c>
      <c r="K361" s="20" t="str">
        <f t="shared" ref="K361:L361" si="1080">#REF!</f>
        <v>#REF!</v>
      </c>
      <c r="L361" s="20" t="str">
        <f t="shared" si="1080"/>
        <v>#REF!</v>
      </c>
    </row>
    <row r="362">
      <c r="A362" s="20" t="str">
        <f t="shared" si="249"/>
        <v>#REF!</v>
      </c>
      <c r="B362" s="20" t="str">
        <f t="shared" si="250"/>
        <v>#REF!</v>
      </c>
      <c r="C362" s="20" t="str">
        <f t="shared" ref="C362:D362" si="1081">#REF!</f>
        <v>#REF!</v>
      </c>
      <c r="D362" s="20" t="str">
        <f t="shared" si="1081"/>
        <v>#REF!</v>
      </c>
      <c r="E362" s="20" t="str">
        <f t="shared" si="252"/>
        <v>#REF!</v>
      </c>
      <c r="F362" s="22" t="str">
        <f t="shared" si="2"/>
        <v>#REF!</v>
      </c>
      <c r="G362" s="20" t="str">
        <f t="shared" ref="G362:I362" si="1082">#REF!</f>
        <v>#REF!</v>
      </c>
      <c r="H362" s="20" t="str">
        <f t="shared" si="1082"/>
        <v>#REF!</v>
      </c>
      <c r="I362" s="20" t="str">
        <f t="shared" si="1082"/>
        <v>#REF!</v>
      </c>
      <c r="J362" s="20" t="str">
        <f t="shared" si="254"/>
        <v>#REF!</v>
      </c>
      <c r="K362" s="20" t="str">
        <f t="shared" ref="K362:L362" si="1083">#REF!</f>
        <v>#REF!</v>
      </c>
      <c r="L362" s="20" t="str">
        <f t="shared" si="1083"/>
        <v>#REF!</v>
      </c>
    </row>
    <row r="363">
      <c r="A363" s="20" t="str">
        <f t="shared" si="249"/>
        <v>#REF!</v>
      </c>
      <c r="B363" s="20" t="str">
        <f t="shared" si="250"/>
        <v>#REF!</v>
      </c>
      <c r="C363" s="20" t="str">
        <f t="shared" ref="C363:D363" si="1084">#REF!</f>
        <v>#REF!</v>
      </c>
      <c r="D363" s="20" t="str">
        <f t="shared" si="1084"/>
        <v>#REF!</v>
      </c>
      <c r="E363" s="20" t="str">
        <f t="shared" si="252"/>
        <v>#REF!</v>
      </c>
      <c r="F363" s="22" t="str">
        <f t="shared" si="2"/>
        <v>#REF!</v>
      </c>
      <c r="G363" s="20" t="str">
        <f t="shared" ref="G363:I363" si="1085">#REF!</f>
        <v>#REF!</v>
      </c>
      <c r="H363" s="20" t="str">
        <f t="shared" si="1085"/>
        <v>#REF!</v>
      </c>
      <c r="I363" s="20" t="str">
        <f t="shared" si="1085"/>
        <v>#REF!</v>
      </c>
      <c r="J363" s="20" t="str">
        <f t="shared" si="254"/>
        <v>#REF!</v>
      </c>
      <c r="K363" s="20" t="str">
        <f t="shared" ref="K363:L363" si="1086">#REF!</f>
        <v>#REF!</v>
      </c>
      <c r="L363" s="20" t="str">
        <f t="shared" si="1086"/>
        <v>#REF!</v>
      </c>
    </row>
    <row r="364">
      <c r="A364" s="20" t="str">
        <f t="shared" si="249"/>
        <v>#REF!</v>
      </c>
      <c r="B364" s="20" t="str">
        <f t="shared" si="250"/>
        <v>#REF!</v>
      </c>
      <c r="C364" s="20" t="str">
        <f t="shared" ref="C364:D364" si="1087">#REF!</f>
        <v>#REF!</v>
      </c>
      <c r="D364" s="20" t="str">
        <f t="shared" si="1087"/>
        <v>#REF!</v>
      </c>
      <c r="E364" s="20" t="str">
        <f t="shared" si="252"/>
        <v>#REF!</v>
      </c>
      <c r="F364" s="22" t="str">
        <f t="shared" si="2"/>
        <v>#REF!</v>
      </c>
      <c r="G364" s="20" t="str">
        <f t="shared" ref="G364:I364" si="1088">#REF!</f>
        <v>#REF!</v>
      </c>
      <c r="H364" s="20" t="str">
        <f t="shared" si="1088"/>
        <v>#REF!</v>
      </c>
      <c r="I364" s="20" t="str">
        <f t="shared" si="1088"/>
        <v>#REF!</v>
      </c>
      <c r="J364" s="20" t="str">
        <f t="shared" si="254"/>
        <v>#REF!</v>
      </c>
      <c r="K364" s="20" t="str">
        <f t="shared" ref="K364:L364" si="1089">#REF!</f>
        <v>#REF!</v>
      </c>
      <c r="L364" s="20" t="str">
        <f t="shared" si="1089"/>
        <v>#REF!</v>
      </c>
    </row>
    <row r="365">
      <c r="A365" s="20" t="str">
        <f t="shared" si="249"/>
        <v>#REF!</v>
      </c>
      <c r="B365" s="20" t="str">
        <f t="shared" si="250"/>
        <v>#REF!</v>
      </c>
      <c r="C365" s="20" t="str">
        <f t="shared" ref="C365:D365" si="1090">#REF!</f>
        <v>#REF!</v>
      </c>
      <c r="D365" s="20" t="str">
        <f t="shared" si="1090"/>
        <v>#REF!</v>
      </c>
      <c r="E365" s="20" t="str">
        <f t="shared" si="252"/>
        <v>#REF!</v>
      </c>
      <c r="F365" s="22" t="str">
        <f t="shared" si="2"/>
        <v>#REF!</v>
      </c>
      <c r="G365" s="20" t="str">
        <f t="shared" ref="G365:I365" si="1091">#REF!</f>
        <v>#REF!</v>
      </c>
      <c r="H365" s="20" t="str">
        <f t="shared" si="1091"/>
        <v>#REF!</v>
      </c>
      <c r="I365" s="20" t="str">
        <f t="shared" si="1091"/>
        <v>#REF!</v>
      </c>
      <c r="J365" s="20" t="str">
        <f t="shared" si="254"/>
        <v>#REF!</v>
      </c>
      <c r="K365" s="20" t="str">
        <f t="shared" ref="K365:L365" si="1092">#REF!</f>
        <v>#REF!</v>
      </c>
      <c r="L365" s="20" t="str">
        <f t="shared" si="1092"/>
        <v>#REF!</v>
      </c>
    </row>
    <row r="366">
      <c r="A366" s="20" t="str">
        <f t="shared" si="249"/>
        <v>#REF!</v>
      </c>
      <c r="B366" s="20" t="str">
        <f t="shared" si="250"/>
        <v>#REF!</v>
      </c>
      <c r="C366" s="20" t="str">
        <f t="shared" ref="C366:D366" si="1093">#REF!</f>
        <v>#REF!</v>
      </c>
      <c r="D366" s="20" t="str">
        <f t="shared" si="1093"/>
        <v>#REF!</v>
      </c>
      <c r="E366" s="20" t="str">
        <f t="shared" si="252"/>
        <v>#REF!</v>
      </c>
      <c r="F366" s="22" t="str">
        <f t="shared" si="2"/>
        <v>#REF!</v>
      </c>
      <c r="G366" s="20" t="str">
        <f t="shared" ref="G366:I366" si="1094">#REF!</f>
        <v>#REF!</v>
      </c>
      <c r="H366" s="20" t="str">
        <f t="shared" si="1094"/>
        <v>#REF!</v>
      </c>
      <c r="I366" s="20" t="str">
        <f t="shared" si="1094"/>
        <v>#REF!</v>
      </c>
      <c r="J366" s="20" t="str">
        <f t="shared" si="254"/>
        <v>#REF!</v>
      </c>
      <c r="K366" s="20" t="str">
        <f t="shared" ref="K366:L366" si="1095">#REF!</f>
        <v>#REF!</v>
      </c>
      <c r="L366" s="20" t="str">
        <f t="shared" si="1095"/>
        <v>#REF!</v>
      </c>
    </row>
    <row r="367">
      <c r="A367" s="20" t="str">
        <f t="shared" si="249"/>
        <v>#REF!</v>
      </c>
      <c r="B367" s="20" t="str">
        <f t="shared" si="250"/>
        <v>#REF!</v>
      </c>
      <c r="C367" s="20" t="str">
        <f t="shared" ref="C367:D367" si="1096">#REF!</f>
        <v>#REF!</v>
      </c>
      <c r="D367" s="20" t="str">
        <f t="shared" si="1096"/>
        <v>#REF!</v>
      </c>
      <c r="E367" s="20" t="str">
        <f t="shared" si="252"/>
        <v>#REF!</v>
      </c>
      <c r="F367" s="22" t="str">
        <f t="shared" si="2"/>
        <v>#REF!</v>
      </c>
      <c r="G367" s="20" t="str">
        <f t="shared" ref="G367:I367" si="1097">#REF!</f>
        <v>#REF!</v>
      </c>
      <c r="H367" s="20" t="str">
        <f t="shared" si="1097"/>
        <v>#REF!</v>
      </c>
      <c r="I367" s="20" t="str">
        <f t="shared" si="1097"/>
        <v>#REF!</v>
      </c>
      <c r="J367" s="20" t="str">
        <f t="shared" si="254"/>
        <v>#REF!</v>
      </c>
      <c r="K367" s="20" t="str">
        <f t="shared" ref="K367:L367" si="1098">#REF!</f>
        <v>#REF!</v>
      </c>
      <c r="L367" s="20" t="str">
        <f t="shared" si="1098"/>
        <v>#REF!</v>
      </c>
    </row>
    <row r="368">
      <c r="A368" s="20" t="str">
        <f t="shared" si="249"/>
        <v>#REF!</v>
      </c>
      <c r="B368" s="20" t="str">
        <f t="shared" si="250"/>
        <v>#REF!</v>
      </c>
      <c r="C368" s="20" t="str">
        <f t="shared" ref="C368:D368" si="1099">#REF!</f>
        <v>#REF!</v>
      </c>
      <c r="D368" s="20" t="str">
        <f t="shared" si="1099"/>
        <v>#REF!</v>
      </c>
      <c r="E368" s="20" t="str">
        <f t="shared" si="252"/>
        <v>#REF!</v>
      </c>
      <c r="F368" s="22" t="str">
        <f t="shared" si="2"/>
        <v>#REF!</v>
      </c>
      <c r="G368" s="20" t="str">
        <f t="shared" ref="G368:I368" si="1100">#REF!</f>
        <v>#REF!</v>
      </c>
      <c r="H368" s="20" t="str">
        <f t="shared" si="1100"/>
        <v>#REF!</v>
      </c>
      <c r="I368" s="20" t="str">
        <f t="shared" si="1100"/>
        <v>#REF!</v>
      </c>
      <c r="J368" s="20" t="str">
        <f t="shared" si="254"/>
        <v>#REF!</v>
      </c>
      <c r="K368" s="20" t="str">
        <f t="shared" ref="K368:L368" si="1101">#REF!</f>
        <v>#REF!</v>
      </c>
      <c r="L368" s="20" t="str">
        <f t="shared" si="1101"/>
        <v>#REF!</v>
      </c>
    </row>
    <row r="369">
      <c r="A369" s="20" t="str">
        <f t="shared" si="249"/>
        <v>#REF!</v>
      </c>
      <c r="B369" s="20" t="str">
        <f t="shared" si="250"/>
        <v>#REF!</v>
      </c>
      <c r="C369" s="20" t="str">
        <f t="shared" ref="C369:D369" si="1102">#REF!</f>
        <v>#REF!</v>
      </c>
      <c r="D369" s="20" t="str">
        <f t="shared" si="1102"/>
        <v>#REF!</v>
      </c>
      <c r="E369" s="20" t="str">
        <f t="shared" si="252"/>
        <v>#REF!</v>
      </c>
      <c r="F369" s="22" t="str">
        <f t="shared" si="2"/>
        <v>#REF!</v>
      </c>
      <c r="G369" s="20" t="str">
        <f t="shared" ref="G369:I369" si="1103">#REF!</f>
        <v>#REF!</v>
      </c>
      <c r="H369" s="20" t="str">
        <f t="shared" si="1103"/>
        <v>#REF!</v>
      </c>
      <c r="I369" s="20" t="str">
        <f t="shared" si="1103"/>
        <v>#REF!</v>
      </c>
      <c r="J369" s="20" t="str">
        <f t="shared" si="254"/>
        <v>#REF!</v>
      </c>
      <c r="K369" s="20" t="str">
        <f t="shared" ref="K369:L369" si="1104">#REF!</f>
        <v>#REF!</v>
      </c>
      <c r="L369" s="20" t="str">
        <f t="shared" si="1104"/>
        <v>#REF!</v>
      </c>
    </row>
    <row r="370">
      <c r="A370" s="20" t="str">
        <f t="shared" si="249"/>
        <v>#REF!</v>
      </c>
      <c r="B370" s="20" t="str">
        <f t="shared" si="250"/>
        <v>#REF!</v>
      </c>
      <c r="C370" s="20" t="str">
        <f t="shared" ref="C370:D370" si="1105">#REF!</f>
        <v>#REF!</v>
      </c>
      <c r="D370" s="20" t="str">
        <f t="shared" si="1105"/>
        <v>#REF!</v>
      </c>
      <c r="E370" s="20" t="str">
        <f t="shared" si="252"/>
        <v>#REF!</v>
      </c>
      <c r="F370" s="22" t="str">
        <f t="shared" si="2"/>
        <v>#REF!</v>
      </c>
      <c r="G370" s="20" t="str">
        <f t="shared" ref="G370:I370" si="1106">#REF!</f>
        <v>#REF!</v>
      </c>
      <c r="H370" s="20" t="str">
        <f t="shared" si="1106"/>
        <v>#REF!</v>
      </c>
      <c r="I370" s="20" t="str">
        <f t="shared" si="1106"/>
        <v>#REF!</v>
      </c>
      <c r="J370" s="20" t="str">
        <f t="shared" si="254"/>
        <v>#REF!</v>
      </c>
      <c r="K370" s="20" t="str">
        <f t="shared" ref="K370:L370" si="1107">#REF!</f>
        <v>#REF!</v>
      </c>
      <c r="L370" s="20" t="str">
        <f t="shared" si="1107"/>
        <v>#REF!</v>
      </c>
    </row>
    <row r="371">
      <c r="A371" s="20" t="str">
        <f t="shared" si="249"/>
        <v>#REF!</v>
      </c>
      <c r="B371" s="20" t="str">
        <f t="shared" si="250"/>
        <v>#REF!</v>
      </c>
      <c r="C371" s="20" t="str">
        <f t="shared" ref="C371:D371" si="1108">#REF!</f>
        <v>#REF!</v>
      </c>
      <c r="D371" s="20" t="str">
        <f t="shared" si="1108"/>
        <v>#REF!</v>
      </c>
      <c r="E371" s="20" t="str">
        <f t="shared" si="252"/>
        <v>#REF!</v>
      </c>
      <c r="F371" s="22" t="str">
        <f t="shared" si="2"/>
        <v>#REF!</v>
      </c>
      <c r="G371" s="20" t="str">
        <f t="shared" ref="G371:I371" si="1109">#REF!</f>
        <v>#REF!</v>
      </c>
      <c r="H371" s="20" t="str">
        <f t="shared" si="1109"/>
        <v>#REF!</v>
      </c>
      <c r="I371" s="20" t="str">
        <f t="shared" si="1109"/>
        <v>#REF!</v>
      </c>
      <c r="J371" s="20" t="str">
        <f t="shared" si="254"/>
        <v>#REF!</v>
      </c>
      <c r="K371" s="20" t="str">
        <f t="shared" ref="K371:L371" si="1110">#REF!</f>
        <v>#REF!</v>
      </c>
      <c r="L371" s="20" t="str">
        <f t="shared" si="1110"/>
        <v>#REF!</v>
      </c>
    </row>
    <row r="372">
      <c r="A372" s="20" t="str">
        <f t="shared" si="249"/>
        <v>#REF!</v>
      </c>
      <c r="B372" s="20" t="str">
        <f t="shared" si="250"/>
        <v>#REF!</v>
      </c>
      <c r="C372" s="20" t="str">
        <f t="shared" ref="C372:D372" si="1111">#REF!</f>
        <v>#REF!</v>
      </c>
      <c r="D372" s="20" t="str">
        <f t="shared" si="1111"/>
        <v>#REF!</v>
      </c>
      <c r="E372" s="20" t="str">
        <f t="shared" si="252"/>
        <v>#REF!</v>
      </c>
      <c r="F372" s="22" t="str">
        <f t="shared" si="2"/>
        <v>#REF!</v>
      </c>
      <c r="G372" s="20" t="str">
        <f t="shared" ref="G372:I372" si="1112">#REF!</f>
        <v>#REF!</v>
      </c>
      <c r="H372" s="20" t="str">
        <f t="shared" si="1112"/>
        <v>#REF!</v>
      </c>
      <c r="I372" s="20" t="str">
        <f t="shared" si="1112"/>
        <v>#REF!</v>
      </c>
      <c r="J372" s="20" t="str">
        <f t="shared" si="254"/>
        <v>#REF!</v>
      </c>
      <c r="K372" s="20" t="str">
        <f t="shared" ref="K372:L372" si="1113">#REF!</f>
        <v>#REF!</v>
      </c>
      <c r="L372" s="20" t="str">
        <f t="shared" si="1113"/>
        <v>#REF!</v>
      </c>
    </row>
    <row r="373">
      <c r="A373" s="20" t="str">
        <f t="shared" si="249"/>
        <v>#REF!</v>
      </c>
      <c r="B373" s="20" t="str">
        <f t="shared" si="250"/>
        <v>#REF!</v>
      </c>
      <c r="C373" s="20" t="str">
        <f t="shared" ref="C373:D373" si="1114">#REF!</f>
        <v>#REF!</v>
      </c>
      <c r="D373" s="20" t="str">
        <f t="shared" si="1114"/>
        <v>#REF!</v>
      </c>
      <c r="E373" s="20" t="str">
        <f t="shared" si="252"/>
        <v>#REF!</v>
      </c>
      <c r="F373" s="22" t="str">
        <f t="shared" si="2"/>
        <v>#REF!</v>
      </c>
      <c r="G373" s="20" t="str">
        <f t="shared" ref="G373:I373" si="1115">#REF!</f>
        <v>#REF!</v>
      </c>
      <c r="H373" s="20" t="str">
        <f t="shared" si="1115"/>
        <v>#REF!</v>
      </c>
      <c r="I373" s="20" t="str">
        <f t="shared" si="1115"/>
        <v>#REF!</v>
      </c>
      <c r="J373" s="20" t="str">
        <f t="shared" si="254"/>
        <v>#REF!</v>
      </c>
      <c r="K373" s="20" t="str">
        <f t="shared" ref="K373:L373" si="1116">#REF!</f>
        <v>#REF!</v>
      </c>
      <c r="L373" s="20" t="str">
        <f t="shared" si="1116"/>
        <v>#REF!</v>
      </c>
    </row>
    <row r="374">
      <c r="A374" s="20" t="str">
        <f t="shared" si="249"/>
        <v>#REF!</v>
      </c>
      <c r="B374" s="20" t="str">
        <f t="shared" si="250"/>
        <v>#REF!</v>
      </c>
      <c r="C374" s="20" t="str">
        <f t="shared" ref="C374:D374" si="1117">#REF!</f>
        <v>#REF!</v>
      </c>
      <c r="D374" s="20" t="str">
        <f t="shared" si="1117"/>
        <v>#REF!</v>
      </c>
      <c r="E374" s="20" t="str">
        <f t="shared" si="252"/>
        <v>#REF!</v>
      </c>
      <c r="F374" s="22" t="str">
        <f t="shared" si="2"/>
        <v>#REF!</v>
      </c>
      <c r="G374" s="20" t="str">
        <f t="shared" ref="G374:I374" si="1118">#REF!</f>
        <v>#REF!</v>
      </c>
      <c r="H374" s="20" t="str">
        <f t="shared" si="1118"/>
        <v>#REF!</v>
      </c>
      <c r="I374" s="20" t="str">
        <f t="shared" si="1118"/>
        <v>#REF!</v>
      </c>
      <c r="J374" s="20" t="str">
        <f t="shared" si="254"/>
        <v>#REF!</v>
      </c>
      <c r="K374" s="20" t="str">
        <f t="shared" ref="K374:L374" si="1119">#REF!</f>
        <v>#REF!</v>
      </c>
      <c r="L374" s="20" t="str">
        <f t="shared" si="1119"/>
        <v>#REF!</v>
      </c>
    </row>
    <row r="375">
      <c r="A375" s="20" t="str">
        <f t="shared" si="249"/>
        <v>#REF!</v>
      </c>
      <c r="B375" s="20" t="str">
        <f t="shared" si="250"/>
        <v>#REF!</v>
      </c>
      <c r="C375" s="20" t="str">
        <f t="shared" ref="C375:D375" si="1120">#REF!</f>
        <v>#REF!</v>
      </c>
      <c r="D375" s="20" t="str">
        <f t="shared" si="1120"/>
        <v>#REF!</v>
      </c>
      <c r="E375" s="20" t="str">
        <f t="shared" si="252"/>
        <v>#REF!</v>
      </c>
      <c r="F375" s="22" t="str">
        <f t="shared" si="2"/>
        <v>#REF!</v>
      </c>
      <c r="G375" s="20" t="str">
        <f t="shared" ref="G375:I375" si="1121">#REF!</f>
        <v>#REF!</v>
      </c>
      <c r="H375" s="20" t="str">
        <f t="shared" si="1121"/>
        <v>#REF!</v>
      </c>
      <c r="I375" s="20" t="str">
        <f t="shared" si="1121"/>
        <v>#REF!</v>
      </c>
      <c r="J375" s="20" t="str">
        <f t="shared" si="254"/>
        <v>#REF!</v>
      </c>
      <c r="K375" s="20" t="str">
        <f t="shared" ref="K375:L375" si="1122">#REF!</f>
        <v>#REF!</v>
      </c>
      <c r="L375" s="20" t="str">
        <f t="shared" si="1122"/>
        <v>#REF!</v>
      </c>
    </row>
    <row r="376">
      <c r="A376" s="20" t="str">
        <f t="shared" si="249"/>
        <v>#REF!</v>
      </c>
      <c r="B376" s="20" t="str">
        <f t="shared" si="250"/>
        <v>#REF!</v>
      </c>
      <c r="C376" s="20" t="str">
        <f t="shared" ref="C376:D376" si="1123">#REF!</f>
        <v>#REF!</v>
      </c>
      <c r="D376" s="20" t="str">
        <f t="shared" si="1123"/>
        <v>#REF!</v>
      </c>
      <c r="E376" s="20" t="str">
        <f t="shared" si="252"/>
        <v>#REF!</v>
      </c>
      <c r="F376" s="22" t="str">
        <f t="shared" si="2"/>
        <v>#REF!</v>
      </c>
      <c r="G376" s="20" t="str">
        <f t="shared" ref="G376:I376" si="1124">#REF!</f>
        <v>#REF!</v>
      </c>
      <c r="H376" s="20" t="str">
        <f t="shared" si="1124"/>
        <v>#REF!</v>
      </c>
      <c r="I376" s="20" t="str">
        <f t="shared" si="1124"/>
        <v>#REF!</v>
      </c>
      <c r="J376" s="20" t="str">
        <f t="shared" si="254"/>
        <v>#REF!</v>
      </c>
      <c r="K376" s="20" t="str">
        <f t="shared" ref="K376:L376" si="1125">#REF!</f>
        <v>#REF!</v>
      </c>
      <c r="L376" s="20" t="str">
        <f t="shared" si="1125"/>
        <v>#REF!</v>
      </c>
    </row>
    <row r="377">
      <c r="A377" s="20" t="str">
        <f t="shared" si="249"/>
        <v>#REF!</v>
      </c>
      <c r="B377" s="20" t="str">
        <f t="shared" si="250"/>
        <v>#REF!</v>
      </c>
      <c r="C377" s="20" t="str">
        <f t="shared" ref="C377:D377" si="1126">#REF!</f>
        <v>#REF!</v>
      </c>
      <c r="D377" s="20" t="str">
        <f t="shared" si="1126"/>
        <v>#REF!</v>
      </c>
      <c r="E377" s="20" t="str">
        <f t="shared" si="252"/>
        <v>#REF!</v>
      </c>
      <c r="F377" s="22" t="str">
        <f t="shared" si="2"/>
        <v>#REF!</v>
      </c>
      <c r="G377" s="20" t="str">
        <f t="shared" ref="G377:I377" si="1127">#REF!</f>
        <v>#REF!</v>
      </c>
      <c r="H377" s="20" t="str">
        <f t="shared" si="1127"/>
        <v>#REF!</v>
      </c>
      <c r="I377" s="20" t="str">
        <f t="shared" si="1127"/>
        <v>#REF!</v>
      </c>
      <c r="J377" s="20" t="str">
        <f t="shared" si="254"/>
        <v>#REF!</v>
      </c>
      <c r="K377" s="20" t="str">
        <f t="shared" ref="K377:L377" si="1128">#REF!</f>
        <v>#REF!</v>
      </c>
      <c r="L377" s="20" t="str">
        <f t="shared" si="1128"/>
        <v>#REF!</v>
      </c>
    </row>
    <row r="378">
      <c r="A378" s="20" t="str">
        <f t="shared" si="249"/>
        <v>#REF!</v>
      </c>
      <c r="B378" s="20" t="str">
        <f t="shared" si="250"/>
        <v>#REF!</v>
      </c>
      <c r="C378" s="20" t="str">
        <f t="shared" ref="C378:D378" si="1129">#REF!</f>
        <v>#REF!</v>
      </c>
      <c r="D378" s="20" t="str">
        <f t="shared" si="1129"/>
        <v>#REF!</v>
      </c>
      <c r="E378" s="20" t="str">
        <f t="shared" si="252"/>
        <v>#REF!</v>
      </c>
      <c r="F378" s="22" t="str">
        <f t="shared" si="2"/>
        <v>#REF!</v>
      </c>
      <c r="G378" s="20" t="str">
        <f t="shared" ref="G378:I378" si="1130">#REF!</f>
        <v>#REF!</v>
      </c>
      <c r="H378" s="20" t="str">
        <f t="shared" si="1130"/>
        <v>#REF!</v>
      </c>
      <c r="I378" s="20" t="str">
        <f t="shared" si="1130"/>
        <v>#REF!</v>
      </c>
      <c r="J378" s="20" t="str">
        <f t="shared" si="254"/>
        <v>#REF!</v>
      </c>
      <c r="K378" s="20" t="str">
        <f t="shared" ref="K378:L378" si="1131">#REF!</f>
        <v>#REF!</v>
      </c>
      <c r="L378" s="20" t="str">
        <f t="shared" si="1131"/>
        <v>#REF!</v>
      </c>
    </row>
    <row r="379">
      <c r="A379" s="20" t="str">
        <f t="shared" si="249"/>
        <v>#REF!</v>
      </c>
      <c r="B379" s="20" t="str">
        <f t="shared" si="250"/>
        <v>#REF!</v>
      </c>
      <c r="C379" s="20" t="str">
        <f t="shared" ref="C379:D379" si="1132">#REF!</f>
        <v>#REF!</v>
      </c>
      <c r="D379" s="20" t="str">
        <f t="shared" si="1132"/>
        <v>#REF!</v>
      </c>
      <c r="E379" s="20" t="str">
        <f t="shared" si="252"/>
        <v>#REF!</v>
      </c>
      <c r="F379" s="22" t="str">
        <f t="shared" si="2"/>
        <v>#REF!</v>
      </c>
      <c r="G379" s="20" t="str">
        <f t="shared" ref="G379:I379" si="1133">#REF!</f>
        <v>#REF!</v>
      </c>
      <c r="H379" s="20" t="str">
        <f t="shared" si="1133"/>
        <v>#REF!</v>
      </c>
      <c r="I379" s="20" t="str">
        <f t="shared" si="1133"/>
        <v>#REF!</v>
      </c>
      <c r="J379" s="20" t="str">
        <f t="shared" si="254"/>
        <v>#REF!</v>
      </c>
      <c r="K379" s="20" t="str">
        <f t="shared" ref="K379:L379" si="1134">#REF!</f>
        <v>#REF!</v>
      </c>
      <c r="L379" s="20" t="str">
        <f t="shared" si="1134"/>
        <v>#REF!</v>
      </c>
    </row>
    <row r="380">
      <c r="A380" s="20" t="str">
        <f t="shared" si="249"/>
        <v>#REF!</v>
      </c>
      <c r="B380" s="20" t="str">
        <f t="shared" si="250"/>
        <v>#REF!</v>
      </c>
      <c r="C380" s="20" t="str">
        <f t="shared" ref="C380:D380" si="1135">#REF!</f>
        <v>#REF!</v>
      </c>
      <c r="D380" s="20" t="str">
        <f t="shared" si="1135"/>
        <v>#REF!</v>
      </c>
      <c r="E380" s="20" t="str">
        <f t="shared" si="252"/>
        <v>#REF!</v>
      </c>
      <c r="F380" s="22" t="str">
        <f t="shared" si="2"/>
        <v>#REF!</v>
      </c>
      <c r="G380" s="20" t="str">
        <f t="shared" ref="G380:I380" si="1136">#REF!</f>
        <v>#REF!</v>
      </c>
      <c r="H380" s="20" t="str">
        <f t="shared" si="1136"/>
        <v>#REF!</v>
      </c>
      <c r="I380" s="20" t="str">
        <f t="shared" si="1136"/>
        <v>#REF!</v>
      </c>
      <c r="J380" s="20" t="str">
        <f t="shared" si="254"/>
        <v>#REF!</v>
      </c>
      <c r="K380" s="20" t="str">
        <f t="shared" ref="K380:L380" si="1137">#REF!</f>
        <v>#REF!</v>
      </c>
      <c r="L380" s="20" t="str">
        <f t="shared" si="1137"/>
        <v>#REF!</v>
      </c>
    </row>
    <row r="381">
      <c r="A381" s="20" t="str">
        <f t="shared" si="249"/>
        <v>#REF!</v>
      </c>
      <c r="B381" s="20" t="str">
        <f t="shared" si="250"/>
        <v>#REF!</v>
      </c>
      <c r="C381" s="20" t="str">
        <f t="shared" ref="C381:D381" si="1138">#REF!</f>
        <v>#REF!</v>
      </c>
      <c r="D381" s="20" t="str">
        <f t="shared" si="1138"/>
        <v>#REF!</v>
      </c>
      <c r="E381" s="20" t="str">
        <f t="shared" si="252"/>
        <v>#REF!</v>
      </c>
      <c r="F381" s="22" t="str">
        <f t="shared" si="2"/>
        <v>#REF!</v>
      </c>
      <c r="G381" s="20" t="str">
        <f t="shared" ref="G381:I381" si="1139">#REF!</f>
        <v>#REF!</v>
      </c>
      <c r="H381" s="20" t="str">
        <f t="shared" si="1139"/>
        <v>#REF!</v>
      </c>
      <c r="I381" s="20" t="str">
        <f t="shared" si="1139"/>
        <v>#REF!</v>
      </c>
      <c r="J381" s="20" t="str">
        <f t="shared" si="254"/>
        <v>#REF!</v>
      </c>
      <c r="K381" s="20" t="str">
        <f t="shared" ref="K381:L381" si="1140">#REF!</f>
        <v>#REF!</v>
      </c>
      <c r="L381" s="20" t="str">
        <f t="shared" si="1140"/>
        <v>#REF!</v>
      </c>
    </row>
    <row r="382">
      <c r="A382" s="20" t="str">
        <f t="shared" si="249"/>
        <v>#REF!</v>
      </c>
      <c r="B382" s="20" t="str">
        <f t="shared" si="250"/>
        <v>#REF!</v>
      </c>
      <c r="C382" s="20" t="str">
        <f t="shared" ref="C382:D382" si="1141">#REF!</f>
        <v>#REF!</v>
      </c>
      <c r="D382" s="20" t="str">
        <f t="shared" si="1141"/>
        <v>#REF!</v>
      </c>
      <c r="E382" s="20" t="str">
        <f t="shared" si="252"/>
        <v>#REF!</v>
      </c>
      <c r="F382" s="22" t="str">
        <f t="shared" si="2"/>
        <v>#REF!</v>
      </c>
      <c r="G382" s="20" t="str">
        <f t="shared" ref="G382:I382" si="1142">#REF!</f>
        <v>#REF!</v>
      </c>
      <c r="H382" s="20" t="str">
        <f t="shared" si="1142"/>
        <v>#REF!</v>
      </c>
      <c r="I382" s="20" t="str">
        <f t="shared" si="1142"/>
        <v>#REF!</v>
      </c>
      <c r="J382" s="20" t="str">
        <f t="shared" si="254"/>
        <v>#REF!</v>
      </c>
      <c r="K382" s="20" t="str">
        <f t="shared" ref="K382:L382" si="1143">#REF!</f>
        <v>#REF!</v>
      </c>
      <c r="L382" s="20" t="str">
        <f t="shared" si="1143"/>
        <v>#REF!</v>
      </c>
    </row>
    <row r="383">
      <c r="A383" s="20" t="str">
        <f t="shared" si="249"/>
        <v>#REF!</v>
      </c>
      <c r="B383" s="20" t="str">
        <f t="shared" si="250"/>
        <v>#REF!</v>
      </c>
      <c r="C383" s="20" t="str">
        <f t="shared" ref="C383:D383" si="1144">#REF!</f>
        <v>#REF!</v>
      </c>
      <c r="D383" s="20" t="str">
        <f t="shared" si="1144"/>
        <v>#REF!</v>
      </c>
      <c r="E383" s="20" t="str">
        <f t="shared" si="252"/>
        <v>#REF!</v>
      </c>
      <c r="F383" s="22" t="str">
        <f t="shared" si="2"/>
        <v>#REF!</v>
      </c>
      <c r="G383" s="20" t="str">
        <f t="shared" ref="G383:I383" si="1145">#REF!</f>
        <v>#REF!</v>
      </c>
      <c r="H383" s="20" t="str">
        <f t="shared" si="1145"/>
        <v>#REF!</v>
      </c>
      <c r="I383" s="20" t="str">
        <f t="shared" si="1145"/>
        <v>#REF!</v>
      </c>
      <c r="J383" s="20" t="str">
        <f t="shared" si="254"/>
        <v>#REF!</v>
      </c>
      <c r="K383" s="20" t="str">
        <f t="shared" ref="K383:L383" si="1146">#REF!</f>
        <v>#REF!</v>
      </c>
      <c r="L383" s="20" t="str">
        <f t="shared" si="1146"/>
        <v>#REF!</v>
      </c>
    </row>
    <row r="384">
      <c r="A384" s="20" t="str">
        <f t="shared" si="249"/>
        <v>#REF!</v>
      </c>
      <c r="B384" s="20" t="str">
        <f t="shared" si="250"/>
        <v>#REF!</v>
      </c>
      <c r="C384" s="20" t="str">
        <f t="shared" ref="C384:D384" si="1147">#REF!</f>
        <v>#REF!</v>
      </c>
      <c r="D384" s="20" t="str">
        <f t="shared" si="1147"/>
        <v>#REF!</v>
      </c>
      <c r="E384" s="20" t="str">
        <f t="shared" si="252"/>
        <v>#REF!</v>
      </c>
      <c r="F384" s="22" t="str">
        <f t="shared" si="2"/>
        <v>#REF!</v>
      </c>
      <c r="G384" s="20" t="str">
        <f t="shared" ref="G384:I384" si="1148">#REF!</f>
        <v>#REF!</v>
      </c>
      <c r="H384" s="20" t="str">
        <f t="shared" si="1148"/>
        <v>#REF!</v>
      </c>
      <c r="I384" s="20" t="str">
        <f t="shared" si="1148"/>
        <v>#REF!</v>
      </c>
      <c r="J384" s="20" t="str">
        <f t="shared" si="254"/>
        <v>#REF!</v>
      </c>
      <c r="K384" s="20" t="str">
        <f t="shared" ref="K384:L384" si="1149">#REF!</f>
        <v>#REF!</v>
      </c>
      <c r="L384" s="20" t="str">
        <f t="shared" si="1149"/>
        <v>#REF!</v>
      </c>
    </row>
    <row r="385">
      <c r="A385" s="20" t="str">
        <f t="shared" si="249"/>
        <v>#REF!</v>
      </c>
      <c r="B385" s="20" t="str">
        <f t="shared" si="250"/>
        <v>#REF!</v>
      </c>
      <c r="C385" s="20" t="str">
        <f t="shared" ref="C385:D385" si="1150">#REF!</f>
        <v>#REF!</v>
      </c>
      <c r="D385" s="20" t="str">
        <f t="shared" si="1150"/>
        <v>#REF!</v>
      </c>
      <c r="E385" s="20" t="str">
        <f t="shared" si="252"/>
        <v>#REF!</v>
      </c>
      <c r="F385" s="22" t="str">
        <f t="shared" si="2"/>
        <v>#REF!</v>
      </c>
      <c r="G385" s="20" t="str">
        <f t="shared" ref="G385:I385" si="1151">#REF!</f>
        <v>#REF!</v>
      </c>
      <c r="H385" s="20" t="str">
        <f t="shared" si="1151"/>
        <v>#REF!</v>
      </c>
      <c r="I385" s="20" t="str">
        <f t="shared" si="1151"/>
        <v>#REF!</v>
      </c>
      <c r="J385" s="20" t="str">
        <f t="shared" si="254"/>
        <v>#REF!</v>
      </c>
      <c r="K385" s="20" t="str">
        <f t="shared" ref="K385:L385" si="1152">#REF!</f>
        <v>#REF!</v>
      </c>
      <c r="L385" s="20" t="str">
        <f t="shared" si="1152"/>
        <v>#REF!</v>
      </c>
    </row>
    <row r="386">
      <c r="A386" s="20" t="str">
        <f t="shared" si="249"/>
        <v>#REF!</v>
      </c>
      <c r="B386" s="20" t="str">
        <f t="shared" si="250"/>
        <v>#REF!</v>
      </c>
      <c r="C386" s="20" t="str">
        <f t="shared" ref="C386:D386" si="1153">#REF!</f>
        <v>#REF!</v>
      </c>
      <c r="D386" s="20" t="str">
        <f t="shared" si="1153"/>
        <v>#REF!</v>
      </c>
      <c r="E386" s="20" t="str">
        <f t="shared" si="252"/>
        <v>#REF!</v>
      </c>
      <c r="F386" s="22" t="str">
        <f t="shared" si="2"/>
        <v>#REF!</v>
      </c>
      <c r="G386" s="20" t="str">
        <f t="shared" ref="G386:I386" si="1154">#REF!</f>
        <v>#REF!</v>
      </c>
      <c r="H386" s="20" t="str">
        <f t="shared" si="1154"/>
        <v>#REF!</v>
      </c>
      <c r="I386" s="20" t="str">
        <f t="shared" si="1154"/>
        <v>#REF!</v>
      </c>
      <c r="J386" s="20" t="str">
        <f t="shared" si="254"/>
        <v>#REF!</v>
      </c>
      <c r="K386" s="20" t="str">
        <f t="shared" ref="K386:L386" si="1155">#REF!</f>
        <v>#REF!</v>
      </c>
      <c r="L386" s="20" t="str">
        <f t="shared" si="1155"/>
        <v>#REF!</v>
      </c>
    </row>
    <row r="387">
      <c r="A387" s="20" t="str">
        <f t="shared" si="249"/>
        <v>#REF!</v>
      </c>
      <c r="B387" s="20" t="str">
        <f t="shared" si="250"/>
        <v>#REF!</v>
      </c>
      <c r="C387" s="20" t="str">
        <f t="shared" ref="C387:D387" si="1156">#REF!</f>
        <v>#REF!</v>
      </c>
      <c r="D387" s="20" t="str">
        <f t="shared" si="1156"/>
        <v>#REF!</v>
      </c>
      <c r="E387" s="20" t="str">
        <f t="shared" si="252"/>
        <v>#REF!</v>
      </c>
      <c r="F387" s="22" t="str">
        <f t="shared" si="2"/>
        <v>#REF!</v>
      </c>
      <c r="G387" s="20" t="str">
        <f t="shared" ref="G387:I387" si="1157">#REF!</f>
        <v>#REF!</v>
      </c>
      <c r="H387" s="20" t="str">
        <f t="shared" si="1157"/>
        <v>#REF!</v>
      </c>
      <c r="I387" s="20" t="str">
        <f t="shared" si="1157"/>
        <v>#REF!</v>
      </c>
      <c r="J387" s="20" t="str">
        <f t="shared" si="254"/>
        <v>#REF!</v>
      </c>
      <c r="K387" s="20" t="str">
        <f t="shared" ref="K387:L387" si="1158">#REF!</f>
        <v>#REF!</v>
      </c>
      <c r="L387" s="20" t="str">
        <f t="shared" si="1158"/>
        <v>#REF!</v>
      </c>
    </row>
    <row r="388">
      <c r="A388" s="20" t="str">
        <f t="shared" si="249"/>
        <v>#REF!</v>
      </c>
      <c r="B388" s="20" t="str">
        <f t="shared" si="250"/>
        <v>#REF!</v>
      </c>
      <c r="C388" s="20" t="str">
        <f t="shared" ref="C388:D388" si="1159">#REF!</f>
        <v>#REF!</v>
      </c>
      <c r="D388" s="20" t="str">
        <f t="shared" si="1159"/>
        <v>#REF!</v>
      </c>
      <c r="E388" s="20" t="str">
        <f t="shared" si="252"/>
        <v>#REF!</v>
      </c>
      <c r="F388" s="22" t="str">
        <f t="shared" si="2"/>
        <v>#REF!</v>
      </c>
      <c r="G388" s="20" t="str">
        <f t="shared" ref="G388:I388" si="1160">#REF!</f>
        <v>#REF!</v>
      </c>
      <c r="H388" s="20" t="str">
        <f t="shared" si="1160"/>
        <v>#REF!</v>
      </c>
      <c r="I388" s="20" t="str">
        <f t="shared" si="1160"/>
        <v>#REF!</v>
      </c>
      <c r="J388" s="20" t="str">
        <f t="shared" si="254"/>
        <v>#REF!</v>
      </c>
      <c r="K388" s="20" t="str">
        <f t="shared" ref="K388:L388" si="1161">#REF!</f>
        <v>#REF!</v>
      </c>
      <c r="L388" s="20" t="str">
        <f t="shared" si="1161"/>
        <v>#REF!</v>
      </c>
    </row>
    <row r="389">
      <c r="A389" s="20" t="str">
        <f t="shared" si="249"/>
        <v>#REF!</v>
      </c>
      <c r="B389" s="20" t="str">
        <f t="shared" si="250"/>
        <v>#REF!</v>
      </c>
      <c r="C389" s="20" t="str">
        <f t="shared" ref="C389:D389" si="1162">#REF!</f>
        <v>#REF!</v>
      </c>
      <c r="D389" s="20" t="str">
        <f t="shared" si="1162"/>
        <v>#REF!</v>
      </c>
      <c r="E389" s="20" t="str">
        <f t="shared" si="252"/>
        <v>#REF!</v>
      </c>
      <c r="F389" s="22" t="str">
        <f t="shared" si="2"/>
        <v>#REF!</v>
      </c>
      <c r="G389" s="20" t="str">
        <f t="shared" ref="G389:I389" si="1163">#REF!</f>
        <v>#REF!</v>
      </c>
      <c r="H389" s="20" t="str">
        <f t="shared" si="1163"/>
        <v>#REF!</v>
      </c>
      <c r="I389" s="20" t="str">
        <f t="shared" si="1163"/>
        <v>#REF!</v>
      </c>
      <c r="J389" s="20" t="str">
        <f t="shared" si="254"/>
        <v>#REF!</v>
      </c>
      <c r="K389" s="20" t="str">
        <f t="shared" ref="K389:L389" si="1164">#REF!</f>
        <v>#REF!</v>
      </c>
      <c r="L389" s="20" t="str">
        <f t="shared" si="1164"/>
        <v>#REF!</v>
      </c>
    </row>
    <row r="390">
      <c r="A390" s="20" t="str">
        <f t="shared" si="249"/>
        <v>#REF!</v>
      </c>
      <c r="B390" s="20" t="str">
        <f t="shared" si="250"/>
        <v>#REF!</v>
      </c>
      <c r="C390" s="20" t="str">
        <f t="shared" ref="C390:D390" si="1165">#REF!</f>
        <v>#REF!</v>
      </c>
      <c r="D390" s="20" t="str">
        <f t="shared" si="1165"/>
        <v>#REF!</v>
      </c>
      <c r="E390" s="20" t="str">
        <f t="shared" si="252"/>
        <v>#REF!</v>
      </c>
      <c r="F390" s="22" t="str">
        <f t="shared" si="2"/>
        <v>#REF!</v>
      </c>
      <c r="G390" s="20" t="str">
        <f t="shared" ref="G390:I390" si="1166">#REF!</f>
        <v>#REF!</v>
      </c>
      <c r="H390" s="20" t="str">
        <f t="shared" si="1166"/>
        <v>#REF!</v>
      </c>
      <c r="I390" s="20" t="str">
        <f t="shared" si="1166"/>
        <v>#REF!</v>
      </c>
      <c r="J390" s="20" t="str">
        <f t="shared" si="254"/>
        <v>#REF!</v>
      </c>
      <c r="K390" s="20" t="str">
        <f t="shared" ref="K390:L390" si="1167">#REF!</f>
        <v>#REF!</v>
      </c>
      <c r="L390" s="20" t="str">
        <f t="shared" si="1167"/>
        <v>#REF!</v>
      </c>
    </row>
    <row r="391">
      <c r="A391" s="20" t="str">
        <f t="shared" si="249"/>
        <v>#REF!</v>
      </c>
      <c r="B391" s="20" t="str">
        <f t="shared" si="250"/>
        <v>#REF!</v>
      </c>
      <c r="C391" s="20" t="str">
        <f t="shared" ref="C391:D391" si="1168">#REF!</f>
        <v>#REF!</v>
      </c>
      <c r="D391" s="20" t="str">
        <f t="shared" si="1168"/>
        <v>#REF!</v>
      </c>
      <c r="E391" s="20" t="str">
        <f t="shared" si="252"/>
        <v>#REF!</v>
      </c>
      <c r="F391" s="22" t="str">
        <f t="shared" si="2"/>
        <v>#REF!</v>
      </c>
      <c r="G391" s="20" t="str">
        <f t="shared" ref="G391:I391" si="1169">#REF!</f>
        <v>#REF!</v>
      </c>
      <c r="H391" s="20" t="str">
        <f t="shared" si="1169"/>
        <v>#REF!</v>
      </c>
      <c r="I391" s="20" t="str">
        <f t="shared" si="1169"/>
        <v>#REF!</v>
      </c>
      <c r="J391" s="20" t="str">
        <f t="shared" si="254"/>
        <v>#REF!</v>
      </c>
      <c r="K391" s="20" t="str">
        <f t="shared" ref="K391:L391" si="1170">#REF!</f>
        <v>#REF!</v>
      </c>
      <c r="L391" s="20" t="str">
        <f t="shared" si="1170"/>
        <v>#REF!</v>
      </c>
    </row>
    <row r="392">
      <c r="A392" s="20" t="str">
        <f t="shared" si="249"/>
        <v>#REF!</v>
      </c>
      <c r="B392" s="20" t="str">
        <f t="shared" si="250"/>
        <v>#REF!</v>
      </c>
      <c r="C392" s="20" t="str">
        <f t="shared" ref="C392:D392" si="1171">#REF!</f>
        <v>#REF!</v>
      </c>
      <c r="D392" s="20" t="str">
        <f t="shared" si="1171"/>
        <v>#REF!</v>
      </c>
      <c r="E392" s="20" t="str">
        <f t="shared" si="252"/>
        <v>#REF!</v>
      </c>
      <c r="F392" s="22" t="str">
        <f t="shared" si="2"/>
        <v>#REF!</v>
      </c>
      <c r="G392" s="20" t="str">
        <f t="shared" ref="G392:I392" si="1172">#REF!</f>
        <v>#REF!</v>
      </c>
      <c r="H392" s="20" t="str">
        <f t="shared" si="1172"/>
        <v>#REF!</v>
      </c>
      <c r="I392" s="20" t="str">
        <f t="shared" si="1172"/>
        <v>#REF!</v>
      </c>
      <c r="J392" s="20" t="str">
        <f t="shared" si="254"/>
        <v>#REF!</v>
      </c>
      <c r="K392" s="20" t="str">
        <f t="shared" ref="K392:L392" si="1173">#REF!</f>
        <v>#REF!</v>
      </c>
      <c r="L392" s="20" t="str">
        <f t="shared" si="1173"/>
        <v>#REF!</v>
      </c>
    </row>
    <row r="393">
      <c r="A393" s="20" t="str">
        <f t="shared" si="249"/>
        <v>#REF!</v>
      </c>
      <c r="B393" s="20" t="str">
        <f t="shared" si="250"/>
        <v>#REF!</v>
      </c>
      <c r="C393" s="20" t="str">
        <f t="shared" ref="C393:D393" si="1174">#REF!</f>
        <v>#REF!</v>
      </c>
      <c r="D393" s="20" t="str">
        <f t="shared" si="1174"/>
        <v>#REF!</v>
      </c>
      <c r="E393" s="20" t="str">
        <f t="shared" si="252"/>
        <v>#REF!</v>
      </c>
      <c r="F393" s="22" t="str">
        <f t="shared" si="2"/>
        <v>#REF!</v>
      </c>
      <c r="G393" s="20" t="str">
        <f t="shared" ref="G393:I393" si="1175">#REF!</f>
        <v>#REF!</v>
      </c>
      <c r="H393" s="20" t="str">
        <f t="shared" si="1175"/>
        <v>#REF!</v>
      </c>
      <c r="I393" s="20" t="str">
        <f t="shared" si="1175"/>
        <v>#REF!</v>
      </c>
      <c r="J393" s="20" t="str">
        <f t="shared" si="254"/>
        <v>#REF!</v>
      </c>
      <c r="K393" s="20" t="str">
        <f t="shared" ref="K393:L393" si="1176">#REF!</f>
        <v>#REF!</v>
      </c>
      <c r="L393" s="20" t="str">
        <f t="shared" si="1176"/>
        <v>#REF!</v>
      </c>
    </row>
    <row r="394">
      <c r="A394" s="20" t="str">
        <f t="shared" si="249"/>
        <v>#REF!</v>
      </c>
      <c r="B394" s="20" t="str">
        <f t="shared" si="250"/>
        <v>#REF!</v>
      </c>
      <c r="C394" s="20" t="str">
        <f t="shared" ref="C394:D394" si="1177">#REF!</f>
        <v>#REF!</v>
      </c>
      <c r="D394" s="20" t="str">
        <f t="shared" si="1177"/>
        <v>#REF!</v>
      </c>
      <c r="E394" s="20" t="str">
        <f t="shared" si="252"/>
        <v>#REF!</v>
      </c>
      <c r="F394" s="22" t="str">
        <f t="shared" si="2"/>
        <v>#REF!</v>
      </c>
      <c r="G394" s="20" t="str">
        <f t="shared" ref="G394:I394" si="1178">#REF!</f>
        <v>#REF!</v>
      </c>
      <c r="H394" s="20" t="str">
        <f t="shared" si="1178"/>
        <v>#REF!</v>
      </c>
      <c r="I394" s="20" t="str">
        <f t="shared" si="1178"/>
        <v>#REF!</v>
      </c>
      <c r="J394" s="20" t="str">
        <f t="shared" si="254"/>
        <v>#REF!</v>
      </c>
      <c r="K394" s="20" t="str">
        <f t="shared" ref="K394:L394" si="1179">#REF!</f>
        <v>#REF!</v>
      </c>
      <c r="L394" s="20" t="str">
        <f t="shared" si="1179"/>
        <v>#REF!</v>
      </c>
    </row>
    <row r="395">
      <c r="A395" s="20" t="str">
        <f t="shared" si="249"/>
        <v>#REF!</v>
      </c>
      <c r="B395" s="20" t="str">
        <f t="shared" si="250"/>
        <v>#REF!</v>
      </c>
      <c r="C395" s="20" t="str">
        <f t="shared" ref="C395:D395" si="1180">#REF!</f>
        <v>#REF!</v>
      </c>
      <c r="D395" s="20" t="str">
        <f t="shared" si="1180"/>
        <v>#REF!</v>
      </c>
      <c r="E395" s="20" t="str">
        <f t="shared" si="252"/>
        <v>#REF!</v>
      </c>
      <c r="F395" s="22" t="str">
        <f t="shared" si="2"/>
        <v>#REF!</v>
      </c>
      <c r="G395" s="20" t="str">
        <f t="shared" ref="G395:I395" si="1181">#REF!</f>
        <v>#REF!</v>
      </c>
      <c r="H395" s="20" t="str">
        <f t="shared" si="1181"/>
        <v>#REF!</v>
      </c>
      <c r="I395" s="20" t="str">
        <f t="shared" si="1181"/>
        <v>#REF!</v>
      </c>
      <c r="J395" s="20" t="str">
        <f t="shared" si="254"/>
        <v>#REF!</v>
      </c>
      <c r="K395" s="20" t="str">
        <f t="shared" ref="K395:L395" si="1182">#REF!</f>
        <v>#REF!</v>
      </c>
      <c r="L395" s="20" t="str">
        <f t="shared" si="1182"/>
        <v>#REF!</v>
      </c>
    </row>
    <row r="396">
      <c r="A396" s="20" t="str">
        <f t="shared" si="249"/>
        <v>#REF!</v>
      </c>
      <c r="B396" s="20" t="str">
        <f t="shared" si="250"/>
        <v>#REF!</v>
      </c>
      <c r="C396" s="20" t="str">
        <f t="shared" ref="C396:D396" si="1183">#REF!</f>
        <v>#REF!</v>
      </c>
      <c r="D396" s="20" t="str">
        <f t="shared" si="1183"/>
        <v>#REF!</v>
      </c>
      <c r="E396" s="20" t="str">
        <f t="shared" si="252"/>
        <v>#REF!</v>
      </c>
      <c r="F396" s="22" t="str">
        <f t="shared" si="2"/>
        <v>#REF!</v>
      </c>
      <c r="G396" s="20" t="str">
        <f t="shared" ref="G396:I396" si="1184">#REF!</f>
        <v>#REF!</v>
      </c>
      <c r="H396" s="20" t="str">
        <f t="shared" si="1184"/>
        <v>#REF!</v>
      </c>
      <c r="I396" s="20" t="str">
        <f t="shared" si="1184"/>
        <v>#REF!</v>
      </c>
      <c r="J396" s="20" t="str">
        <f t="shared" si="254"/>
        <v>#REF!</v>
      </c>
      <c r="K396" s="20" t="str">
        <f t="shared" ref="K396:L396" si="1185">#REF!</f>
        <v>#REF!</v>
      </c>
      <c r="L396" s="20" t="str">
        <f t="shared" si="1185"/>
        <v>#REF!</v>
      </c>
    </row>
    <row r="397">
      <c r="A397" s="20" t="str">
        <f t="shared" si="249"/>
        <v>#REF!</v>
      </c>
      <c r="B397" s="20" t="str">
        <f t="shared" si="250"/>
        <v>#REF!</v>
      </c>
      <c r="C397" s="20" t="str">
        <f t="shared" ref="C397:D397" si="1186">#REF!</f>
        <v>#REF!</v>
      </c>
      <c r="D397" s="20" t="str">
        <f t="shared" si="1186"/>
        <v>#REF!</v>
      </c>
      <c r="E397" s="20" t="str">
        <f t="shared" si="252"/>
        <v>#REF!</v>
      </c>
      <c r="F397" s="22" t="str">
        <f t="shared" si="2"/>
        <v>#REF!</v>
      </c>
      <c r="G397" s="20" t="str">
        <f t="shared" ref="G397:I397" si="1187">#REF!</f>
        <v>#REF!</v>
      </c>
      <c r="H397" s="20" t="str">
        <f t="shared" si="1187"/>
        <v>#REF!</v>
      </c>
      <c r="I397" s="20" t="str">
        <f t="shared" si="1187"/>
        <v>#REF!</v>
      </c>
      <c r="J397" s="20" t="str">
        <f t="shared" si="254"/>
        <v>#REF!</v>
      </c>
      <c r="K397" s="20" t="str">
        <f t="shared" ref="K397:L397" si="1188">#REF!</f>
        <v>#REF!</v>
      </c>
      <c r="L397" s="20" t="str">
        <f t="shared" si="1188"/>
        <v>#REF!</v>
      </c>
    </row>
    <row r="398">
      <c r="A398" s="20" t="str">
        <f t="shared" si="249"/>
        <v>#REF!</v>
      </c>
      <c r="B398" s="20" t="str">
        <f t="shared" si="250"/>
        <v>#REF!</v>
      </c>
      <c r="C398" s="20" t="str">
        <f t="shared" ref="C398:D398" si="1189">#REF!</f>
        <v>#REF!</v>
      </c>
      <c r="D398" s="20" t="str">
        <f t="shared" si="1189"/>
        <v>#REF!</v>
      </c>
      <c r="E398" s="20" t="str">
        <f t="shared" si="252"/>
        <v>#REF!</v>
      </c>
      <c r="F398" s="22" t="str">
        <f t="shared" si="2"/>
        <v>#REF!</v>
      </c>
      <c r="G398" s="20" t="str">
        <f t="shared" ref="G398:I398" si="1190">#REF!</f>
        <v>#REF!</v>
      </c>
      <c r="H398" s="20" t="str">
        <f t="shared" si="1190"/>
        <v>#REF!</v>
      </c>
      <c r="I398" s="20" t="str">
        <f t="shared" si="1190"/>
        <v>#REF!</v>
      </c>
      <c r="J398" s="20" t="str">
        <f t="shared" si="254"/>
        <v>#REF!</v>
      </c>
      <c r="K398" s="20" t="str">
        <f t="shared" ref="K398:L398" si="1191">#REF!</f>
        <v>#REF!</v>
      </c>
      <c r="L398" s="20" t="str">
        <f t="shared" si="1191"/>
        <v>#REF!</v>
      </c>
    </row>
    <row r="399">
      <c r="A399" s="20" t="str">
        <f t="shared" si="249"/>
        <v>#REF!</v>
      </c>
      <c r="B399" s="20" t="str">
        <f t="shared" si="250"/>
        <v>#REF!</v>
      </c>
      <c r="C399" s="20" t="str">
        <f t="shared" ref="C399:D399" si="1192">#REF!</f>
        <v>#REF!</v>
      </c>
      <c r="D399" s="20" t="str">
        <f t="shared" si="1192"/>
        <v>#REF!</v>
      </c>
      <c r="E399" s="20" t="str">
        <f t="shared" si="252"/>
        <v>#REF!</v>
      </c>
      <c r="F399" s="22" t="str">
        <f t="shared" si="2"/>
        <v>#REF!</v>
      </c>
      <c r="G399" s="20" t="str">
        <f t="shared" ref="G399:I399" si="1193">#REF!</f>
        <v>#REF!</v>
      </c>
      <c r="H399" s="20" t="str">
        <f t="shared" si="1193"/>
        <v>#REF!</v>
      </c>
      <c r="I399" s="20" t="str">
        <f t="shared" si="1193"/>
        <v>#REF!</v>
      </c>
      <c r="J399" s="20" t="str">
        <f t="shared" si="254"/>
        <v>#REF!</v>
      </c>
      <c r="K399" s="20" t="str">
        <f t="shared" ref="K399:L399" si="1194">#REF!</f>
        <v>#REF!</v>
      </c>
      <c r="L399" s="20" t="str">
        <f t="shared" si="1194"/>
        <v>#REF!</v>
      </c>
    </row>
    <row r="400">
      <c r="A400" s="20" t="str">
        <f t="shared" si="249"/>
        <v>#REF!</v>
      </c>
      <c r="B400" s="20" t="str">
        <f t="shared" si="250"/>
        <v>#REF!</v>
      </c>
      <c r="C400" s="20" t="str">
        <f t="shared" ref="C400:D400" si="1195">#REF!</f>
        <v>#REF!</v>
      </c>
      <c r="D400" s="20" t="str">
        <f t="shared" si="1195"/>
        <v>#REF!</v>
      </c>
      <c r="E400" s="20" t="str">
        <f t="shared" si="252"/>
        <v>#REF!</v>
      </c>
      <c r="F400" s="22" t="str">
        <f t="shared" si="2"/>
        <v>#REF!</v>
      </c>
      <c r="G400" s="20" t="str">
        <f t="shared" ref="G400:I400" si="1196">#REF!</f>
        <v>#REF!</v>
      </c>
      <c r="H400" s="20" t="str">
        <f t="shared" si="1196"/>
        <v>#REF!</v>
      </c>
      <c r="I400" s="20" t="str">
        <f t="shared" si="1196"/>
        <v>#REF!</v>
      </c>
      <c r="J400" s="20" t="str">
        <f t="shared" si="254"/>
        <v>#REF!</v>
      </c>
      <c r="K400" s="20" t="str">
        <f t="shared" ref="K400:L400" si="1197">#REF!</f>
        <v>#REF!</v>
      </c>
      <c r="L400" s="20" t="str">
        <f t="shared" si="1197"/>
        <v>#REF!</v>
      </c>
    </row>
    <row r="401">
      <c r="A401" s="20" t="str">
        <f t="shared" si="249"/>
        <v>#REF!</v>
      </c>
      <c r="B401" s="20" t="str">
        <f t="shared" si="250"/>
        <v>#REF!</v>
      </c>
      <c r="C401" s="20" t="str">
        <f t="shared" ref="C401:D401" si="1198">#REF!</f>
        <v>#REF!</v>
      </c>
      <c r="D401" s="20" t="str">
        <f t="shared" si="1198"/>
        <v>#REF!</v>
      </c>
      <c r="E401" s="20" t="str">
        <f t="shared" si="252"/>
        <v>#REF!</v>
      </c>
      <c r="F401" s="22" t="str">
        <f t="shared" si="2"/>
        <v>#REF!</v>
      </c>
      <c r="G401" s="20" t="str">
        <f t="shared" ref="G401:I401" si="1199">#REF!</f>
        <v>#REF!</v>
      </c>
      <c r="H401" s="20" t="str">
        <f t="shared" si="1199"/>
        <v>#REF!</v>
      </c>
      <c r="I401" s="20" t="str">
        <f t="shared" si="1199"/>
        <v>#REF!</v>
      </c>
      <c r="J401" s="20" t="str">
        <f t="shared" si="254"/>
        <v>#REF!</v>
      </c>
      <c r="K401" s="20" t="str">
        <f t="shared" ref="K401:L401" si="1200">#REF!</f>
        <v>#REF!</v>
      </c>
      <c r="L401" s="20" t="str">
        <f t="shared" si="1200"/>
        <v>#REF!</v>
      </c>
    </row>
    <row r="402">
      <c r="A402" s="20" t="str">
        <f t="shared" si="249"/>
        <v>#REF!</v>
      </c>
      <c r="B402" s="20" t="str">
        <f t="shared" si="250"/>
        <v>#REF!</v>
      </c>
      <c r="C402" s="20" t="str">
        <f t="shared" ref="C402:D402" si="1201">#REF!</f>
        <v>#REF!</v>
      </c>
      <c r="D402" s="20" t="str">
        <f t="shared" si="1201"/>
        <v>#REF!</v>
      </c>
      <c r="E402" s="20" t="str">
        <f t="shared" si="252"/>
        <v>#REF!</v>
      </c>
      <c r="F402" s="22" t="str">
        <f t="shared" si="2"/>
        <v>#REF!</v>
      </c>
      <c r="G402" s="20" t="str">
        <f t="shared" ref="G402:I402" si="1202">#REF!</f>
        <v>#REF!</v>
      </c>
      <c r="H402" s="20" t="str">
        <f t="shared" si="1202"/>
        <v>#REF!</v>
      </c>
      <c r="I402" s="20" t="str">
        <f t="shared" si="1202"/>
        <v>#REF!</v>
      </c>
      <c r="J402" s="20" t="str">
        <f t="shared" si="254"/>
        <v>#REF!</v>
      </c>
      <c r="K402" s="20" t="str">
        <f t="shared" ref="K402:L402" si="1203">#REF!</f>
        <v>#REF!</v>
      </c>
      <c r="L402" s="20" t="str">
        <f t="shared" si="1203"/>
        <v>#REF!</v>
      </c>
    </row>
    <row r="403">
      <c r="A403" s="20" t="str">
        <f t="shared" si="249"/>
        <v>#REF!</v>
      </c>
      <c r="B403" s="20" t="str">
        <f t="shared" si="250"/>
        <v>#REF!</v>
      </c>
      <c r="C403" s="20" t="str">
        <f t="shared" ref="C403:D403" si="1204">#REF!</f>
        <v>#REF!</v>
      </c>
      <c r="D403" s="20" t="str">
        <f t="shared" si="1204"/>
        <v>#REF!</v>
      </c>
      <c r="E403" s="20" t="str">
        <f t="shared" si="252"/>
        <v>#REF!</v>
      </c>
      <c r="F403" s="22" t="str">
        <f t="shared" si="2"/>
        <v>#REF!</v>
      </c>
      <c r="G403" s="20" t="str">
        <f t="shared" ref="G403:I403" si="1205">#REF!</f>
        <v>#REF!</v>
      </c>
      <c r="H403" s="20" t="str">
        <f t="shared" si="1205"/>
        <v>#REF!</v>
      </c>
      <c r="I403" s="20" t="str">
        <f t="shared" si="1205"/>
        <v>#REF!</v>
      </c>
      <c r="J403" s="20" t="str">
        <f t="shared" si="254"/>
        <v>#REF!</v>
      </c>
      <c r="K403" s="20" t="str">
        <f t="shared" ref="K403:L403" si="1206">#REF!</f>
        <v>#REF!</v>
      </c>
      <c r="L403" s="20" t="str">
        <f t="shared" si="1206"/>
        <v>#REF!</v>
      </c>
    </row>
    <row r="404">
      <c r="A404" s="20" t="str">
        <f t="shared" si="249"/>
        <v>#REF!</v>
      </c>
      <c r="B404" s="20" t="str">
        <f t="shared" si="250"/>
        <v>#REF!</v>
      </c>
      <c r="C404" s="20" t="str">
        <f t="shared" ref="C404:D404" si="1207">#REF!</f>
        <v>#REF!</v>
      </c>
      <c r="D404" s="20" t="str">
        <f t="shared" si="1207"/>
        <v>#REF!</v>
      </c>
      <c r="E404" s="20" t="str">
        <f t="shared" si="252"/>
        <v>#REF!</v>
      </c>
      <c r="F404" s="22" t="str">
        <f t="shared" si="2"/>
        <v>#REF!</v>
      </c>
      <c r="G404" s="20" t="str">
        <f t="shared" ref="G404:I404" si="1208">#REF!</f>
        <v>#REF!</v>
      </c>
      <c r="H404" s="20" t="str">
        <f t="shared" si="1208"/>
        <v>#REF!</v>
      </c>
      <c r="I404" s="20" t="str">
        <f t="shared" si="1208"/>
        <v>#REF!</v>
      </c>
      <c r="J404" s="20" t="str">
        <f t="shared" si="254"/>
        <v>#REF!</v>
      </c>
      <c r="K404" s="20" t="str">
        <f t="shared" ref="K404:L404" si="1209">#REF!</f>
        <v>#REF!</v>
      </c>
      <c r="L404" s="20" t="str">
        <f t="shared" si="1209"/>
        <v>#REF!</v>
      </c>
    </row>
    <row r="405">
      <c r="A405" s="20" t="str">
        <f t="shared" si="249"/>
        <v>#REF!</v>
      </c>
      <c r="B405" s="20" t="str">
        <f t="shared" si="250"/>
        <v>#REF!</v>
      </c>
      <c r="C405" s="20" t="str">
        <f t="shared" ref="C405:D405" si="1210">#REF!</f>
        <v>#REF!</v>
      </c>
      <c r="D405" s="20" t="str">
        <f t="shared" si="1210"/>
        <v>#REF!</v>
      </c>
      <c r="E405" s="20" t="str">
        <f t="shared" si="252"/>
        <v>#REF!</v>
      </c>
      <c r="F405" s="22" t="str">
        <f t="shared" si="2"/>
        <v>#REF!</v>
      </c>
      <c r="G405" s="20" t="str">
        <f t="shared" ref="G405:I405" si="1211">#REF!</f>
        <v>#REF!</v>
      </c>
      <c r="H405" s="20" t="str">
        <f t="shared" si="1211"/>
        <v>#REF!</v>
      </c>
      <c r="I405" s="20" t="str">
        <f t="shared" si="1211"/>
        <v>#REF!</v>
      </c>
      <c r="J405" s="20" t="str">
        <f t="shared" si="254"/>
        <v>#REF!</v>
      </c>
      <c r="K405" s="20" t="str">
        <f t="shared" ref="K405:L405" si="1212">#REF!</f>
        <v>#REF!</v>
      </c>
      <c r="L405" s="20" t="str">
        <f t="shared" si="1212"/>
        <v>#REF!</v>
      </c>
    </row>
    <row r="406">
      <c r="A406" s="20" t="str">
        <f t="shared" si="249"/>
        <v>#REF!</v>
      </c>
      <c r="B406" s="20" t="str">
        <f t="shared" si="250"/>
        <v>#REF!</v>
      </c>
      <c r="C406" s="20" t="str">
        <f t="shared" ref="C406:D406" si="1213">#REF!</f>
        <v>#REF!</v>
      </c>
      <c r="D406" s="20" t="str">
        <f t="shared" si="1213"/>
        <v>#REF!</v>
      </c>
      <c r="E406" s="20" t="str">
        <f t="shared" si="252"/>
        <v>#REF!</v>
      </c>
      <c r="F406" s="22" t="str">
        <f t="shared" si="2"/>
        <v>#REF!</v>
      </c>
      <c r="G406" s="20" t="str">
        <f t="shared" ref="G406:I406" si="1214">#REF!</f>
        <v>#REF!</v>
      </c>
      <c r="H406" s="20" t="str">
        <f t="shared" si="1214"/>
        <v>#REF!</v>
      </c>
      <c r="I406" s="20" t="str">
        <f t="shared" si="1214"/>
        <v>#REF!</v>
      </c>
      <c r="J406" s="20" t="str">
        <f t="shared" si="254"/>
        <v>#REF!</v>
      </c>
      <c r="K406" s="20" t="str">
        <f t="shared" ref="K406:L406" si="1215">#REF!</f>
        <v>#REF!</v>
      </c>
      <c r="L406" s="20" t="str">
        <f t="shared" si="1215"/>
        <v>#REF!</v>
      </c>
    </row>
    <row r="407">
      <c r="A407" s="20" t="str">
        <f t="shared" si="249"/>
        <v>#REF!</v>
      </c>
      <c r="B407" s="20" t="str">
        <f t="shared" si="250"/>
        <v>#REF!</v>
      </c>
      <c r="C407" s="20" t="str">
        <f t="shared" ref="C407:D407" si="1216">#REF!</f>
        <v>#REF!</v>
      </c>
      <c r="D407" s="20" t="str">
        <f t="shared" si="1216"/>
        <v>#REF!</v>
      </c>
      <c r="E407" s="20" t="str">
        <f t="shared" si="252"/>
        <v>#REF!</v>
      </c>
      <c r="F407" s="22" t="str">
        <f t="shared" si="2"/>
        <v>#REF!</v>
      </c>
      <c r="G407" s="20" t="str">
        <f t="shared" ref="G407:I407" si="1217">#REF!</f>
        <v>#REF!</v>
      </c>
      <c r="H407" s="20" t="str">
        <f t="shared" si="1217"/>
        <v>#REF!</v>
      </c>
      <c r="I407" s="20" t="str">
        <f t="shared" si="1217"/>
        <v>#REF!</v>
      </c>
      <c r="J407" s="20" t="str">
        <f t="shared" si="254"/>
        <v>#REF!</v>
      </c>
      <c r="K407" s="20" t="str">
        <f t="shared" ref="K407:L407" si="1218">#REF!</f>
        <v>#REF!</v>
      </c>
      <c r="L407" s="20" t="str">
        <f t="shared" si="1218"/>
        <v>#REF!</v>
      </c>
    </row>
    <row r="408">
      <c r="A408" s="20" t="str">
        <f t="shared" si="249"/>
        <v>#REF!</v>
      </c>
      <c r="B408" s="20" t="str">
        <f t="shared" si="250"/>
        <v>#REF!</v>
      </c>
      <c r="C408" s="20" t="str">
        <f t="shared" ref="C408:D408" si="1219">#REF!</f>
        <v>#REF!</v>
      </c>
      <c r="D408" s="20" t="str">
        <f t="shared" si="1219"/>
        <v>#REF!</v>
      </c>
      <c r="E408" s="20" t="str">
        <f t="shared" si="252"/>
        <v>#REF!</v>
      </c>
      <c r="F408" s="22" t="str">
        <f t="shared" si="2"/>
        <v>#REF!</v>
      </c>
      <c r="G408" s="20" t="str">
        <f t="shared" ref="G408:I408" si="1220">#REF!</f>
        <v>#REF!</v>
      </c>
      <c r="H408" s="20" t="str">
        <f t="shared" si="1220"/>
        <v>#REF!</v>
      </c>
      <c r="I408" s="20" t="str">
        <f t="shared" si="1220"/>
        <v>#REF!</v>
      </c>
      <c r="J408" s="20" t="str">
        <f t="shared" si="254"/>
        <v>#REF!</v>
      </c>
      <c r="K408" s="20" t="str">
        <f t="shared" ref="K408:L408" si="1221">#REF!</f>
        <v>#REF!</v>
      </c>
      <c r="L408" s="20" t="str">
        <f t="shared" si="1221"/>
        <v>#REF!</v>
      </c>
    </row>
    <row r="409">
      <c r="A409" s="20" t="str">
        <f t="shared" si="249"/>
        <v>#REF!</v>
      </c>
      <c r="B409" s="20" t="str">
        <f t="shared" si="250"/>
        <v>#REF!</v>
      </c>
      <c r="C409" s="20" t="str">
        <f t="shared" ref="C409:D409" si="1222">#REF!</f>
        <v>#REF!</v>
      </c>
      <c r="D409" s="20" t="str">
        <f t="shared" si="1222"/>
        <v>#REF!</v>
      </c>
      <c r="E409" s="20" t="str">
        <f t="shared" si="252"/>
        <v>#REF!</v>
      </c>
      <c r="F409" s="22" t="str">
        <f t="shared" si="2"/>
        <v>#REF!</v>
      </c>
      <c r="G409" s="20" t="str">
        <f t="shared" ref="G409:I409" si="1223">#REF!</f>
        <v>#REF!</v>
      </c>
      <c r="H409" s="20" t="str">
        <f t="shared" si="1223"/>
        <v>#REF!</v>
      </c>
      <c r="I409" s="20" t="str">
        <f t="shared" si="1223"/>
        <v>#REF!</v>
      </c>
      <c r="J409" s="20" t="str">
        <f t="shared" si="254"/>
        <v>#REF!</v>
      </c>
      <c r="K409" s="20" t="str">
        <f t="shared" ref="K409:L409" si="1224">#REF!</f>
        <v>#REF!</v>
      </c>
      <c r="L409" s="20" t="str">
        <f t="shared" si="1224"/>
        <v>#REF!</v>
      </c>
    </row>
    <row r="410">
      <c r="A410" s="20" t="str">
        <f t="shared" si="249"/>
        <v>#REF!</v>
      </c>
      <c r="B410" s="20" t="str">
        <f t="shared" si="250"/>
        <v>#REF!</v>
      </c>
      <c r="C410" s="20" t="str">
        <f t="shared" ref="C410:D410" si="1225">#REF!</f>
        <v>#REF!</v>
      </c>
      <c r="D410" s="20" t="str">
        <f t="shared" si="1225"/>
        <v>#REF!</v>
      </c>
      <c r="E410" s="20" t="str">
        <f t="shared" si="252"/>
        <v>#REF!</v>
      </c>
      <c r="F410" s="22" t="str">
        <f t="shared" si="2"/>
        <v>#REF!</v>
      </c>
      <c r="G410" s="20" t="str">
        <f t="shared" ref="G410:I410" si="1226">#REF!</f>
        <v>#REF!</v>
      </c>
      <c r="H410" s="20" t="str">
        <f t="shared" si="1226"/>
        <v>#REF!</v>
      </c>
      <c r="I410" s="20" t="str">
        <f t="shared" si="1226"/>
        <v>#REF!</v>
      </c>
      <c r="J410" s="20" t="str">
        <f t="shared" si="254"/>
        <v>#REF!</v>
      </c>
      <c r="K410" s="20" t="str">
        <f t="shared" ref="K410:L410" si="1227">#REF!</f>
        <v>#REF!</v>
      </c>
      <c r="L410" s="20" t="str">
        <f t="shared" si="1227"/>
        <v>#REF!</v>
      </c>
    </row>
    <row r="411">
      <c r="A411" s="20" t="str">
        <f t="shared" si="249"/>
        <v>#REF!</v>
      </c>
      <c r="B411" s="20" t="str">
        <f t="shared" si="250"/>
        <v>#REF!</v>
      </c>
      <c r="C411" s="20" t="str">
        <f t="shared" ref="C411:D411" si="1228">#REF!</f>
        <v>#REF!</v>
      </c>
      <c r="D411" s="20" t="str">
        <f t="shared" si="1228"/>
        <v>#REF!</v>
      </c>
      <c r="E411" s="20" t="str">
        <f t="shared" si="252"/>
        <v>#REF!</v>
      </c>
      <c r="F411" s="22" t="str">
        <f t="shared" si="2"/>
        <v>#REF!</v>
      </c>
      <c r="G411" s="20" t="str">
        <f t="shared" ref="G411:I411" si="1229">#REF!</f>
        <v>#REF!</v>
      </c>
      <c r="H411" s="20" t="str">
        <f t="shared" si="1229"/>
        <v>#REF!</v>
      </c>
      <c r="I411" s="20" t="str">
        <f t="shared" si="1229"/>
        <v>#REF!</v>
      </c>
      <c r="J411" s="20" t="str">
        <f t="shared" si="254"/>
        <v>#REF!</v>
      </c>
      <c r="K411" s="20" t="str">
        <f t="shared" ref="K411:L411" si="1230">#REF!</f>
        <v>#REF!</v>
      </c>
      <c r="L411" s="20" t="str">
        <f t="shared" si="1230"/>
        <v>#REF!</v>
      </c>
    </row>
    <row r="412">
      <c r="A412" s="20" t="str">
        <f t="shared" si="249"/>
        <v>#REF!</v>
      </c>
      <c r="B412" s="20" t="str">
        <f t="shared" si="250"/>
        <v>#REF!</v>
      </c>
      <c r="C412" s="20" t="str">
        <f t="shared" ref="C412:D412" si="1231">#REF!</f>
        <v>#REF!</v>
      </c>
      <c r="D412" s="20" t="str">
        <f t="shared" si="1231"/>
        <v>#REF!</v>
      </c>
      <c r="E412" s="20" t="str">
        <f t="shared" si="252"/>
        <v>#REF!</v>
      </c>
      <c r="F412" s="22" t="str">
        <f t="shared" si="2"/>
        <v>#REF!</v>
      </c>
      <c r="G412" s="20" t="str">
        <f t="shared" ref="G412:I412" si="1232">#REF!</f>
        <v>#REF!</v>
      </c>
      <c r="H412" s="20" t="str">
        <f t="shared" si="1232"/>
        <v>#REF!</v>
      </c>
      <c r="I412" s="20" t="str">
        <f t="shared" si="1232"/>
        <v>#REF!</v>
      </c>
      <c r="J412" s="20" t="str">
        <f t="shared" si="254"/>
        <v>#REF!</v>
      </c>
      <c r="K412" s="20" t="str">
        <f t="shared" ref="K412:L412" si="1233">#REF!</f>
        <v>#REF!</v>
      </c>
      <c r="L412" s="20" t="str">
        <f t="shared" si="1233"/>
        <v>#REF!</v>
      </c>
    </row>
    <row r="413">
      <c r="A413" s="20" t="str">
        <f t="shared" si="249"/>
        <v>#REF!</v>
      </c>
      <c r="B413" s="20" t="str">
        <f t="shared" si="250"/>
        <v>#REF!</v>
      </c>
      <c r="C413" s="20" t="str">
        <f t="shared" ref="C413:D413" si="1234">#REF!</f>
        <v>#REF!</v>
      </c>
      <c r="D413" s="20" t="str">
        <f t="shared" si="1234"/>
        <v>#REF!</v>
      </c>
      <c r="E413" s="20" t="str">
        <f t="shared" si="252"/>
        <v>#REF!</v>
      </c>
      <c r="F413" s="22" t="str">
        <f t="shared" si="2"/>
        <v>#REF!</v>
      </c>
      <c r="G413" s="20" t="str">
        <f t="shared" ref="G413:I413" si="1235">#REF!</f>
        <v>#REF!</v>
      </c>
      <c r="H413" s="20" t="str">
        <f t="shared" si="1235"/>
        <v>#REF!</v>
      </c>
      <c r="I413" s="20" t="str">
        <f t="shared" si="1235"/>
        <v>#REF!</v>
      </c>
      <c r="J413" s="20" t="str">
        <f t="shared" si="254"/>
        <v>#REF!</v>
      </c>
      <c r="K413" s="20" t="str">
        <f t="shared" ref="K413:L413" si="1236">#REF!</f>
        <v>#REF!</v>
      </c>
      <c r="L413" s="20" t="str">
        <f t="shared" si="1236"/>
        <v>#REF!</v>
      </c>
    </row>
    <row r="414">
      <c r="A414" s="20" t="str">
        <f t="shared" si="249"/>
        <v>#REF!</v>
      </c>
      <c r="B414" s="20" t="str">
        <f t="shared" si="250"/>
        <v>#REF!</v>
      </c>
      <c r="C414" s="20" t="str">
        <f t="shared" ref="C414:D414" si="1237">#REF!</f>
        <v>#REF!</v>
      </c>
      <c r="D414" s="20" t="str">
        <f t="shared" si="1237"/>
        <v>#REF!</v>
      </c>
      <c r="E414" s="20" t="str">
        <f t="shared" si="252"/>
        <v>#REF!</v>
      </c>
      <c r="F414" s="22" t="str">
        <f t="shared" si="2"/>
        <v>#REF!</v>
      </c>
      <c r="G414" s="20" t="str">
        <f t="shared" ref="G414:I414" si="1238">#REF!</f>
        <v>#REF!</v>
      </c>
      <c r="H414" s="20" t="str">
        <f t="shared" si="1238"/>
        <v>#REF!</v>
      </c>
      <c r="I414" s="20" t="str">
        <f t="shared" si="1238"/>
        <v>#REF!</v>
      </c>
      <c r="J414" s="20" t="str">
        <f t="shared" si="254"/>
        <v>#REF!</v>
      </c>
      <c r="K414" s="20" t="str">
        <f t="shared" ref="K414:L414" si="1239">#REF!</f>
        <v>#REF!</v>
      </c>
      <c r="L414" s="20" t="str">
        <f t="shared" si="1239"/>
        <v>#REF!</v>
      </c>
    </row>
    <row r="415">
      <c r="A415" s="20" t="str">
        <f t="shared" si="249"/>
        <v>#REF!</v>
      </c>
      <c r="B415" s="20" t="str">
        <f t="shared" si="250"/>
        <v>#REF!</v>
      </c>
      <c r="C415" s="20" t="str">
        <f t="shared" ref="C415:D415" si="1240">#REF!</f>
        <v>#REF!</v>
      </c>
      <c r="D415" s="20" t="str">
        <f t="shared" si="1240"/>
        <v>#REF!</v>
      </c>
      <c r="E415" s="20" t="str">
        <f t="shared" si="252"/>
        <v>#REF!</v>
      </c>
      <c r="F415" s="22" t="str">
        <f t="shared" si="2"/>
        <v>#REF!</v>
      </c>
      <c r="G415" s="20" t="str">
        <f t="shared" ref="G415:I415" si="1241">#REF!</f>
        <v>#REF!</v>
      </c>
      <c r="H415" s="20" t="str">
        <f t="shared" si="1241"/>
        <v>#REF!</v>
      </c>
      <c r="I415" s="20" t="str">
        <f t="shared" si="1241"/>
        <v>#REF!</v>
      </c>
      <c r="J415" s="20" t="str">
        <f t="shared" si="254"/>
        <v>#REF!</v>
      </c>
      <c r="K415" s="20" t="str">
        <f t="shared" ref="K415:L415" si="1242">#REF!</f>
        <v>#REF!</v>
      </c>
      <c r="L415" s="20" t="str">
        <f t="shared" si="1242"/>
        <v>#REF!</v>
      </c>
    </row>
    <row r="416">
      <c r="A416" s="20" t="str">
        <f t="shared" si="249"/>
        <v>#REF!</v>
      </c>
      <c r="B416" s="20" t="str">
        <f t="shared" si="250"/>
        <v>#REF!</v>
      </c>
      <c r="C416" s="20" t="str">
        <f t="shared" ref="C416:D416" si="1243">#REF!</f>
        <v>#REF!</v>
      </c>
      <c r="D416" s="20" t="str">
        <f t="shared" si="1243"/>
        <v>#REF!</v>
      </c>
      <c r="E416" s="20" t="str">
        <f t="shared" si="252"/>
        <v>#REF!</v>
      </c>
      <c r="F416" s="22" t="str">
        <f t="shared" si="2"/>
        <v>#REF!</v>
      </c>
      <c r="G416" s="20" t="str">
        <f t="shared" ref="G416:I416" si="1244">#REF!</f>
        <v>#REF!</v>
      </c>
      <c r="H416" s="20" t="str">
        <f t="shared" si="1244"/>
        <v>#REF!</v>
      </c>
      <c r="I416" s="20" t="str">
        <f t="shared" si="1244"/>
        <v>#REF!</v>
      </c>
      <c r="J416" s="20" t="str">
        <f t="shared" si="254"/>
        <v>#REF!</v>
      </c>
      <c r="K416" s="20" t="str">
        <f t="shared" ref="K416:L416" si="1245">#REF!</f>
        <v>#REF!</v>
      </c>
      <c r="L416" s="20" t="str">
        <f t="shared" si="1245"/>
        <v>#REF!</v>
      </c>
    </row>
    <row r="417">
      <c r="A417" s="20" t="str">
        <f t="shared" si="249"/>
        <v>#REF!</v>
      </c>
      <c r="B417" s="20" t="str">
        <f t="shared" si="250"/>
        <v>#REF!</v>
      </c>
      <c r="C417" s="20" t="str">
        <f t="shared" ref="C417:D417" si="1246">#REF!</f>
        <v>#REF!</v>
      </c>
      <c r="D417" s="20" t="str">
        <f t="shared" si="1246"/>
        <v>#REF!</v>
      </c>
      <c r="E417" s="20" t="str">
        <f t="shared" si="252"/>
        <v>#REF!</v>
      </c>
      <c r="F417" s="22" t="str">
        <f t="shared" si="2"/>
        <v>#REF!</v>
      </c>
      <c r="G417" s="20" t="str">
        <f t="shared" ref="G417:I417" si="1247">#REF!</f>
        <v>#REF!</v>
      </c>
      <c r="H417" s="20" t="str">
        <f t="shared" si="1247"/>
        <v>#REF!</v>
      </c>
      <c r="I417" s="20" t="str">
        <f t="shared" si="1247"/>
        <v>#REF!</v>
      </c>
      <c r="J417" s="20" t="str">
        <f t="shared" si="254"/>
        <v>#REF!</v>
      </c>
      <c r="K417" s="20" t="str">
        <f t="shared" ref="K417:L417" si="1248">#REF!</f>
        <v>#REF!</v>
      </c>
      <c r="L417" s="20" t="str">
        <f t="shared" si="1248"/>
        <v>#REF!</v>
      </c>
    </row>
    <row r="418">
      <c r="A418" s="20" t="str">
        <f t="shared" si="249"/>
        <v>#REF!</v>
      </c>
      <c r="B418" s="20" t="str">
        <f t="shared" si="250"/>
        <v>#REF!</v>
      </c>
      <c r="C418" s="20" t="str">
        <f t="shared" ref="C418:D418" si="1249">#REF!</f>
        <v>#REF!</v>
      </c>
      <c r="D418" s="20" t="str">
        <f t="shared" si="1249"/>
        <v>#REF!</v>
      </c>
      <c r="E418" s="20" t="str">
        <f t="shared" si="252"/>
        <v>#REF!</v>
      </c>
      <c r="F418" s="22" t="str">
        <f t="shared" si="2"/>
        <v>#REF!</v>
      </c>
      <c r="G418" s="20" t="str">
        <f t="shared" ref="G418:I418" si="1250">#REF!</f>
        <v>#REF!</v>
      </c>
      <c r="H418" s="20" t="str">
        <f t="shared" si="1250"/>
        <v>#REF!</v>
      </c>
      <c r="I418" s="20" t="str">
        <f t="shared" si="1250"/>
        <v>#REF!</v>
      </c>
      <c r="J418" s="20" t="str">
        <f t="shared" si="254"/>
        <v>#REF!</v>
      </c>
      <c r="K418" s="20" t="str">
        <f t="shared" ref="K418:L418" si="1251">#REF!</f>
        <v>#REF!</v>
      </c>
      <c r="L418" s="20" t="str">
        <f t="shared" si="1251"/>
        <v>#REF!</v>
      </c>
    </row>
    <row r="419">
      <c r="A419" s="20" t="str">
        <f t="shared" si="249"/>
        <v>#REF!</v>
      </c>
      <c r="B419" s="20" t="str">
        <f t="shared" si="250"/>
        <v>#REF!</v>
      </c>
      <c r="C419" s="20" t="str">
        <f t="shared" ref="C419:D419" si="1252">#REF!</f>
        <v>#REF!</v>
      </c>
      <c r="D419" s="20" t="str">
        <f t="shared" si="1252"/>
        <v>#REF!</v>
      </c>
      <c r="E419" s="20" t="str">
        <f t="shared" si="252"/>
        <v>#REF!</v>
      </c>
      <c r="F419" s="22" t="str">
        <f t="shared" si="2"/>
        <v>#REF!</v>
      </c>
      <c r="G419" s="20" t="str">
        <f t="shared" ref="G419:I419" si="1253">#REF!</f>
        <v>#REF!</v>
      </c>
      <c r="H419" s="20" t="str">
        <f t="shared" si="1253"/>
        <v>#REF!</v>
      </c>
      <c r="I419" s="20" t="str">
        <f t="shared" si="1253"/>
        <v>#REF!</v>
      </c>
      <c r="J419" s="20" t="str">
        <f t="shared" si="254"/>
        <v>#REF!</v>
      </c>
      <c r="K419" s="20" t="str">
        <f t="shared" ref="K419:L419" si="1254">#REF!</f>
        <v>#REF!</v>
      </c>
      <c r="L419" s="20" t="str">
        <f t="shared" si="1254"/>
        <v>#REF!</v>
      </c>
    </row>
    <row r="420">
      <c r="A420" s="20" t="str">
        <f t="shared" si="249"/>
        <v>#REF!</v>
      </c>
      <c r="B420" s="20" t="str">
        <f t="shared" si="250"/>
        <v>#REF!</v>
      </c>
      <c r="C420" s="20" t="str">
        <f t="shared" ref="C420:D420" si="1255">#REF!</f>
        <v>#REF!</v>
      </c>
      <c r="D420" s="20" t="str">
        <f t="shared" si="1255"/>
        <v>#REF!</v>
      </c>
      <c r="E420" s="20" t="str">
        <f t="shared" si="252"/>
        <v>#REF!</v>
      </c>
      <c r="F420" s="22" t="str">
        <f t="shared" si="2"/>
        <v>#REF!</v>
      </c>
      <c r="G420" s="20" t="str">
        <f t="shared" ref="G420:I420" si="1256">#REF!</f>
        <v>#REF!</v>
      </c>
      <c r="H420" s="20" t="str">
        <f t="shared" si="1256"/>
        <v>#REF!</v>
      </c>
      <c r="I420" s="20" t="str">
        <f t="shared" si="1256"/>
        <v>#REF!</v>
      </c>
      <c r="J420" s="20" t="str">
        <f t="shared" si="254"/>
        <v>#REF!</v>
      </c>
      <c r="K420" s="20" t="str">
        <f t="shared" ref="K420:L420" si="1257">#REF!</f>
        <v>#REF!</v>
      </c>
      <c r="L420" s="20" t="str">
        <f t="shared" si="1257"/>
        <v>#REF!</v>
      </c>
    </row>
    <row r="421">
      <c r="A421" s="20" t="str">
        <f t="shared" si="249"/>
        <v>#REF!</v>
      </c>
      <c r="B421" s="20" t="str">
        <f t="shared" si="250"/>
        <v>#REF!</v>
      </c>
      <c r="C421" s="20" t="str">
        <f t="shared" ref="C421:D421" si="1258">#REF!</f>
        <v>#REF!</v>
      </c>
      <c r="D421" s="20" t="str">
        <f t="shared" si="1258"/>
        <v>#REF!</v>
      </c>
      <c r="E421" s="20" t="str">
        <f t="shared" si="252"/>
        <v>#REF!</v>
      </c>
      <c r="F421" s="22" t="str">
        <f t="shared" si="2"/>
        <v>#REF!</v>
      </c>
      <c r="G421" s="20" t="str">
        <f t="shared" ref="G421:I421" si="1259">#REF!</f>
        <v>#REF!</v>
      </c>
      <c r="H421" s="20" t="str">
        <f t="shared" si="1259"/>
        <v>#REF!</v>
      </c>
      <c r="I421" s="20" t="str">
        <f t="shared" si="1259"/>
        <v>#REF!</v>
      </c>
      <c r="J421" s="20" t="str">
        <f t="shared" si="254"/>
        <v>#REF!</v>
      </c>
      <c r="K421" s="20" t="str">
        <f t="shared" ref="K421:L421" si="1260">#REF!</f>
        <v>#REF!</v>
      </c>
      <c r="L421" s="20" t="str">
        <f t="shared" si="1260"/>
        <v>#REF!</v>
      </c>
    </row>
    <row r="422">
      <c r="A422" s="20" t="str">
        <f t="shared" si="249"/>
        <v>#REF!</v>
      </c>
      <c r="B422" s="20" t="str">
        <f t="shared" si="250"/>
        <v>#REF!</v>
      </c>
      <c r="C422" s="20" t="str">
        <f t="shared" ref="C422:D422" si="1261">#REF!</f>
        <v>#REF!</v>
      </c>
      <c r="D422" s="20" t="str">
        <f t="shared" si="1261"/>
        <v>#REF!</v>
      </c>
      <c r="E422" s="20" t="str">
        <f t="shared" si="252"/>
        <v>#REF!</v>
      </c>
      <c r="F422" s="22" t="str">
        <f t="shared" si="2"/>
        <v>#REF!</v>
      </c>
      <c r="G422" s="20" t="str">
        <f t="shared" ref="G422:I422" si="1262">#REF!</f>
        <v>#REF!</v>
      </c>
      <c r="H422" s="20" t="str">
        <f t="shared" si="1262"/>
        <v>#REF!</v>
      </c>
      <c r="I422" s="20" t="str">
        <f t="shared" si="1262"/>
        <v>#REF!</v>
      </c>
      <c r="J422" s="20" t="str">
        <f t="shared" si="254"/>
        <v>#REF!</v>
      </c>
      <c r="K422" s="20" t="str">
        <f t="shared" ref="K422:L422" si="1263">#REF!</f>
        <v>#REF!</v>
      </c>
      <c r="L422" s="20" t="str">
        <f t="shared" si="1263"/>
        <v>#REF!</v>
      </c>
    </row>
    <row r="423">
      <c r="A423" s="20" t="str">
        <f>Github2!J$4</f>
        <v/>
      </c>
      <c r="B423" s="21" t="str">
        <f>HYPERLINK(CONCAT("http://leetcode.com/problems/",Github2!C$4), Github2!B$4)</f>
        <v>http://leetcode.com/problems/</v>
      </c>
      <c r="C423" s="20" t="str">
        <f>Github2!F$4</f>
        <v/>
      </c>
      <c r="D423" s="20" t="str">
        <f>Github2!G$4</f>
        <v/>
      </c>
      <c r="E423" s="20">
        <f>Github2!F$4+Github2!G$4</f>
        <v>0</v>
      </c>
      <c r="F423" s="22" t="str">
        <f t="shared" si="2"/>
        <v>#DIV/0!</v>
      </c>
      <c r="G423" s="20" t="str">
        <f>Github2!H$4</f>
        <v/>
      </c>
      <c r="H423" s="20" t="str">
        <f>Github2!D$4</f>
        <v/>
      </c>
      <c r="I423" s="20" t="str">
        <f>Github2!E$4</f>
        <v/>
      </c>
      <c r="J423" s="20" t="str">
        <f>ROUND(Github2!N$4, 2)&amp;"%"</f>
        <v>0%</v>
      </c>
      <c r="K423" s="20" t="str">
        <f>Github2!O$4</f>
        <v/>
      </c>
      <c r="L423" s="20" t="str">
        <f>Github2!P$4</f>
        <v/>
      </c>
    </row>
    <row r="424">
      <c r="A424" s="20" t="str">
        <f>Github2!J$5</f>
        <v/>
      </c>
      <c r="B424" s="21" t="str">
        <f>HYPERLINK(CONCAT("http://leetcode.com/problems/",Github2!C$5), Github2!B$5)</f>
        <v>http://leetcode.com/problems/</v>
      </c>
      <c r="C424" s="20" t="str">
        <f>Github2!F$5</f>
        <v/>
      </c>
      <c r="D424" s="20" t="str">
        <f>Github2!G$5</f>
        <v/>
      </c>
      <c r="E424" s="20">
        <f>Github2!F$5+Github2!G$5</f>
        <v>0</v>
      </c>
      <c r="F424" s="22" t="str">
        <f t="shared" si="2"/>
        <v>#DIV/0!</v>
      </c>
      <c r="G424" s="20" t="str">
        <f>Github2!H$5</f>
        <v/>
      </c>
      <c r="H424" s="20" t="str">
        <f>Github2!D$5</f>
        <v/>
      </c>
      <c r="I424" s="20" t="str">
        <f>Github2!E$5</f>
        <v/>
      </c>
      <c r="J424" s="20" t="str">
        <f>ROUND(Github2!N$5, 2)&amp;"%"</f>
        <v>0%</v>
      </c>
      <c r="K424" s="20" t="str">
        <f>Github2!O$5</f>
        <v/>
      </c>
      <c r="L424" s="20" t="str">
        <f>Github2!P$5</f>
        <v/>
      </c>
    </row>
    <row r="425">
      <c r="A425" s="20" t="str">
        <f t="shared" ref="A425:A2199" si="1267">#REF!</f>
        <v>#REF!</v>
      </c>
      <c r="B425" s="20" t="str">
        <f t="shared" ref="B425:B2199" si="1268">HYPERLINK(CONCAT("http://leetcode.com/problems/",#REF!), #REF!)</f>
        <v>#REF!</v>
      </c>
      <c r="C425" s="20" t="str">
        <f t="shared" ref="C425:D425" si="1264">#REF!</f>
        <v>#REF!</v>
      </c>
      <c r="D425" s="20" t="str">
        <f t="shared" si="1264"/>
        <v>#REF!</v>
      </c>
      <c r="E425" s="20" t="str">
        <f t="shared" ref="E425:E2199" si="1270">#REF!+#REF!</f>
        <v>#REF!</v>
      </c>
      <c r="F425" s="22" t="str">
        <f t="shared" si="2"/>
        <v>#REF!</v>
      </c>
      <c r="G425" s="20" t="str">
        <f t="shared" ref="G425:I425" si="1265">#REF!</f>
        <v>#REF!</v>
      </c>
      <c r="H425" s="20" t="str">
        <f t="shared" si="1265"/>
        <v>#REF!</v>
      </c>
      <c r="I425" s="20" t="str">
        <f t="shared" si="1265"/>
        <v>#REF!</v>
      </c>
      <c r="J425" s="20" t="str">
        <f t="shared" ref="J425:J2199" si="1272">ROUND(#REF!, 2)&amp;"%"</f>
        <v>#REF!</v>
      </c>
      <c r="K425" s="20" t="str">
        <f t="shared" ref="K425:L425" si="1266">#REF!</f>
        <v>#REF!</v>
      </c>
      <c r="L425" s="20" t="str">
        <f t="shared" si="1266"/>
        <v>#REF!</v>
      </c>
    </row>
    <row r="426">
      <c r="A426" s="20" t="str">
        <f t="shared" si="1267"/>
        <v>#REF!</v>
      </c>
      <c r="B426" s="20" t="str">
        <f t="shared" si="1268"/>
        <v>#REF!</v>
      </c>
      <c r="C426" s="20" t="str">
        <f t="shared" ref="C426:D426" si="1269">#REF!</f>
        <v>#REF!</v>
      </c>
      <c r="D426" s="20" t="str">
        <f t="shared" si="1269"/>
        <v>#REF!</v>
      </c>
      <c r="E426" s="20" t="str">
        <f t="shared" si="1270"/>
        <v>#REF!</v>
      </c>
      <c r="F426" s="22" t="str">
        <f t="shared" si="2"/>
        <v>#REF!</v>
      </c>
      <c r="G426" s="20" t="str">
        <f t="shared" ref="G426:I426" si="1271">#REF!</f>
        <v>#REF!</v>
      </c>
      <c r="H426" s="20" t="str">
        <f t="shared" si="1271"/>
        <v>#REF!</v>
      </c>
      <c r="I426" s="20" t="str">
        <f t="shared" si="1271"/>
        <v>#REF!</v>
      </c>
      <c r="J426" s="20" t="str">
        <f t="shared" si="1272"/>
        <v>#REF!</v>
      </c>
      <c r="K426" s="20" t="str">
        <f t="shared" ref="K426:L426" si="1273">#REF!</f>
        <v>#REF!</v>
      </c>
      <c r="L426" s="20" t="str">
        <f t="shared" si="1273"/>
        <v>#REF!</v>
      </c>
    </row>
    <row r="427">
      <c r="A427" s="20" t="str">
        <f t="shared" si="1267"/>
        <v>#REF!</v>
      </c>
      <c r="B427" s="20" t="str">
        <f t="shared" si="1268"/>
        <v>#REF!</v>
      </c>
      <c r="C427" s="20" t="str">
        <f t="shared" ref="C427:D427" si="1274">#REF!</f>
        <v>#REF!</v>
      </c>
      <c r="D427" s="20" t="str">
        <f t="shared" si="1274"/>
        <v>#REF!</v>
      </c>
      <c r="E427" s="20" t="str">
        <f t="shared" si="1270"/>
        <v>#REF!</v>
      </c>
      <c r="F427" s="22" t="str">
        <f t="shared" si="2"/>
        <v>#REF!</v>
      </c>
      <c r="G427" s="20" t="str">
        <f t="shared" ref="G427:I427" si="1275">#REF!</f>
        <v>#REF!</v>
      </c>
      <c r="H427" s="20" t="str">
        <f t="shared" si="1275"/>
        <v>#REF!</v>
      </c>
      <c r="I427" s="20" t="str">
        <f t="shared" si="1275"/>
        <v>#REF!</v>
      </c>
      <c r="J427" s="20" t="str">
        <f t="shared" si="1272"/>
        <v>#REF!</v>
      </c>
      <c r="K427" s="20" t="str">
        <f t="shared" ref="K427:L427" si="1276">#REF!</f>
        <v>#REF!</v>
      </c>
      <c r="L427" s="20" t="str">
        <f t="shared" si="1276"/>
        <v>#REF!</v>
      </c>
    </row>
    <row r="428">
      <c r="A428" s="20" t="str">
        <f t="shared" si="1267"/>
        <v>#REF!</v>
      </c>
      <c r="B428" s="20" t="str">
        <f t="shared" si="1268"/>
        <v>#REF!</v>
      </c>
      <c r="C428" s="20" t="str">
        <f t="shared" ref="C428:D428" si="1277">#REF!</f>
        <v>#REF!</v>
      </c>
      <c r="D428" s="20" t="str">
        <f t="shared" si="1277"/>
        <v>#REF!</v>
      </c>
      <c r="E428" s="20" t="str">
        <f t="shared" si="1270"/>
        <v>#REF!</v>
      </c>
      <c r="F428" s="22" t="str">
        <f t="shared" si="2"/>
        <v>#REF!</v>
      </c>
      <c r="G428" s="20" t="str">
        <f t="shared" ref="G428:I428" si="1278">#REF!</f>
        <v>#REF!</v>
      </c>
      <c r="H428" s="20" t="str">
        <f t="shared" si="1278"/>
        <v>#REF!</v>
      </c>
      <c r="I428" s="20" t="str">
        <f t="shared" si="1278"/>
        <v>#REF!</v>
      </c>
      <c r="J428" s="20" t="str">
        <f t="shared" si="1272"/>
        <v>#REF!</v>
      </c>
      <c r="K428" s="20" t="str">
        <f t="shared" ref="K428:L428" si="1279">#REF!</f>
        <v>#REF!</v>
      </c>
      <c r="L428" s="20" t="str">
        <f t="shared" si="1279"/>
        <v>#REF!</v>
      </c>
    </row>
    <row r="429">
      <c r="A429" s="20" t="str">
        <f t="shared" si="1267"/>
        <v>#REF!</v>
      </c>
      <c r="B429" s="20" t="str">
        <f t="shared" si="1268"/>
        <v>#REF!</v>
      </c>
      <c r="C429" s="20" t="str">
        <f t="shared" ref="C429:D429" si="1280">#REF!</f>
        <v>#REF!</v>
      </c>
      <c r="D429" s="20" t="str">
        <f t="shared" si="1280"/>
        <v>#REF!</v>
      </c>
      <c r="E429" s="20" t="str">
        <f t="shared" si="1270"/>
        <v>#REF!</v>
      </c>
      <c r="F429" s="22" t="str">
        <f t="shared" si="2"/>
        <v>#REF!</v>
      </c>
      <c r="G429" s="20" t="str">
        <f t="shared" ref="G429:I429" si="1281">#REF!</f>
        <v>#REF!</v>
      </c>
      <c r="H429" s="20" t="str">
        <f t="shared" si="1281"/>
        <v>#REF!</v>
      </c>
      <c r="I429" s="20" t="str">
        <f t="shared" si="1281"/>
        <v>#REF!</v>
      </c>
      <c r="J429" s="20" t="str">
        <f t="shared" si="1272"/>
        <v>#REF!</v>
      </c>
      <c r="K429" s="20" t="str">
        <f t="shared" ref="K429:L429" si="1282">#REF!</f>
        <v>#REF!</v>
      </c>
      <c r="L429" s="20" t="str">
        <f t="shared" si="1282"/>
        <v>#REF!</v>
      </c>
    </row>
    <row r="430">
      <c r="A430" s="20" t="str">
        <f t="shared" si="1267"/>
        <v>#REF!</v>
      </c>
      <c r="B430" s="20" t="str">
        <f t="shared" si="1268"/>
        <v>#REF!</v>
      </c>
      <c r="C430" s="20" t="str">
        <f t="shared" ref="C430:D430" si="1283">#REF!</f>
        <v>#REF!</v>
      </c>
      <c r="D430" s="20" t="str">
        <f t="shared" si="1283"/>
        <v>#REF!</v>
      </c>
      <c r="E430" s="20" t="str">
        <f t="shared" si="1270"/>
        <v>#REF!</v>
      </c>
      <c r="F430" s="22" t="str">
        <f t="shared" si="2"/>
        <v>#REF!</v>
      </c>
      <c r="G430" s="20" t="str">
        <f t="shared" ref="G430:I430" si="1284">#REF!</f>
        <v>#REF!</v>
      </c>
      <c r="H430" s="20" t="str">
        <f t="shared" si="1284"/>
        <v>#REF!</v>
      </c>
      <c r="I430" s="20" t="str">
        <f t="shared" si="1284"/>
        <v>#REF!</v>
      </c>
      <c r="J430" s="20" t="str">
        <f t="shared" si="1272"/>
        <v>#REF!</v>
      </c>
      <c r="K430" s="20" t="str">
        <f t="shared" ref="K430:L430" si="1285">#REF!</f>
        <v>#REF!</v>
      </c>
      <c r="L430" s="20" t="str">
        <f t="shared" si="1285"/>
        <v>#REF!</v>
      </c>
    </row>
    <row r="431">
      <c r="A431" s="20" t="str">
        <f t="shared" si="1267"/>
        <v>#REF!</v>
      </c>
      <c r="B431" s="20" t="str">
        <f t="shared" si="1268"/>
        <v>#REF!</v>
      </c>
      <c r="C431" s="20" t="str">
        <f t="shared" ref="C431:D431" si="1286">#REF!</f>
        <v>#REF!</v>
      </c>
      <c r="D431" s="20" t="str">
        <f t="shared" si="1286"/>
        <v>#REF!</v>
      </c>
      <c r="E431" s="20" t="str">
        <f t="shared" si="1270"/>
        <v>#REF!</v>
      </c>
      <c r="F431" s="22" t="str">
        <f t="shared" si="2"/>
        <v>#REF!</v>
      </c>
      <c r="G431" s="20" t="str">
        <f t="shared" ref="G431:I431" si="1287">#REF!</f>
        <v>#REF!</v>
      </c>
      <c r="H431" s="20" t="str">
        <f t="shared" si="1287"/>
        <v>#REF!</v>
      </c>
      <c r="I431" s="20" t="str">
        <f t="shared" si="1287"/>
        <v>#REF!</v>
      </c>
      <c r="J431" s="20" t="str">
        <f t="shared" si="1272"/>
        <v>#REF!</v>
      </c>
      <c r="K431" s="20" t="str">
        <f t="shared" ref="K431:L431" si="1288">#REF!</f>
        <v>#REF!</v>
      </c>
      <c r="L431" s="20" t="str">
        <f t="shared" si="1288"/>
        <v>#REF!</v>
      </c>
    </row>
    <row r="432">
      <c r="A432" s="20" t="str">
        <f t="shared" si="1267"/>
        <v>#REF!</v>
      </c>
      <c r="B432" s="20" t="str">
        <f t="shared" si="1268"/>
        <v>#REF!</v>
      </c>
      <c r="C432" s="20" t="str">
        <f t="shared" ref="C432:D432" si="1289">#REF!</f>
        <v>#REF!</v>
      </c>
      <c r="D432" s="20" t="str">
        <f t="shared" si="1289"/>
        <v>#REF!</v>
      </c>
      <c r="E432" s="20" t="str">
        <f t="shared" si="1270"/>
        <v>#REF!</v>
      </c>
      <c r="F432" s="22" t="str">
        <f t="shared" si="2"/>
        <v>#REF!</v>
      </c>
      <c r="G432" s="20" t="str">
        <f t="shared" ref="G432:I432" si="1290">#REF!</f>
        <v>#REF!</v>
      </c>
      <c r="H432" s="20" t="str">
        <f t="shared" si="1290"/>
        <v>#REF!</v>
      </c>
      <c r="I432" s="20" t="str">
        <f t="shared" si="1290"/>
        <v>#REF!</v>
      </c>
      <c r="J432" s="20" t="str">
        <f t="shared" si="1272"/>
        <v>#REF!</v>
      </c>
      <c r="K432" s="20" t="str">
        <f t="shared" ref="K432:L432" si="1291">#REF!</f>
        <v>#REF!</v>
      </c>
      <c r="L432" s="20" t="str">
        <f t="shared" si="1291"/>
        <v>#REF!</v>
      </c>
    </row>
    <row r="433">
      <c r="A433" s="20" t="str">
        <f t="shared" si="1267"/>
        <v>#REF!</v>
      </c>
      <c r="B433" s="20" t="str">
        <f t="shared" si="1268"/>
        <v>#REF!</v>
      </c>
      <c r="C433" s="20" t="str">
        <f t="shared" ref="C433:D433" si="1292">#REF!</f>
        <v>#REF!</v>
      </c>
      <c r="D433" s="20" t="str">
        <f t="shared" si="1292"/>
        <v>#REF!</v>
      </c>
      <c r="E433" s="20" t="str">
        <f t="shared" si="1270"/>
        <v>#REF!</v>
      </c>
      <c r="F433" s="22" t="str">
        <f t="shared" si="2"/>
        <v>#REF!</v>
      </c>
      <c r="G433" s="20" t="str">
        <f t="shared" ref="G433:I433" si="1293">#REF!</f>
        <v>#REF!</v>
      </c>
      <c r="H433" s="20" t="str">
        <f t="shared" si="1293"/>
        <v>#REF!</v>
      </c>
      <c r="I433" s="20" t="str">
        <f t="shared" si="1293"/>
        <v>#REF!</v>
      </c>
      <c r="J433" s="20" t="str">
        <f t="shared" si="1272"/>
        <v>#REF!</v>
      </c>
      <c r="K433" s="20" t="str">
        <f t="shared" ref="K433:L433" si="1294">#REF!</f>
        <v>#REF!</v>
      </c>
      <c r="L433" s="20" t="str">
        <f t="shared" si="1294"/>
        <v>#REF!</v>
      </c>
    </row>
    <row r="434">
      <c r="A434" s="20" t="str">
        <f t="shared" si="1267"/>
        <v>#REF!</v>
      </c>
      <c r="B434" s="20" t="str">
        <f t="shared" si="1268"/>
        <v>#REF!</v>
      </c>
      <c r="C434" s="20" t="str">
        <f t="shared" ref="C434:D434" si="1295">#REF!</f>
        <v>#REF!</v>
      </c>
      <c r="D434" s="20" t="str">
        <f t="shared" si="1295"/>
        <v>#REF!</v>
      </c>
      <c r="E434" s="20" t="str">
        <f t="shared" si="1270"/>
        <v>#REF!</v>
      </c>
      <c r="F434" s="22" t="str">
        <f t="shared" si="2"/>
        <v>#REF!</v>
      </c>
      <c r="G434" s="20" t="str">
        <f t="shared" ref="G434:I434" si="1296">#REF!</f>
        <v>#REF!</v>
      </c>
      <c r="H434" s="20" t="str">
        <f t="shared" si="1296"/>
        <v>#REF!</v>
      </c>
      <c r="I434" s="20" t="str">
        <f t="shared" si="1296"/>
        <v>#REF!</v>
      </c>
      <c r="J434" s="20" t="str">
        <f t="shared" si="1272"/>
        <v>#REF!</v>
      </c>
      <c r="K434" s="20" t="str">
        <f t="shared" ref="K434:L434" si="1297">#REF!</f>
        <v>#REF!</v>
      </c>
      <c r="L434" s="20" t="str">
        <f t="shared" si="1297"/>
        <v>#REF!</v>
      </c>
    </row>
    <row r="435">
      <c r="A435" s="20" t="str">
        <f t="shared" si="1267"/>
        <v>#REF!</v>
      </c>
      <c r="B435" s="20" t="str">
        <f t="shared" si="1268"/>
        <v>#REF!</v>
      </c>
      <c r="C435" s="20" t="str">
        <f t="shared" ref="C435:D435" si="1298">#REF!</f>
        <v>#REF!</v>
      </c>
      <c r="D435" s="20" t="str">
        <f t="shared" si="1298"/>
        <v>#REF!</v>
      </c>
      <c r="E435" s="20" t="str">
        <f t="shared" si="1270"/>
        <v>#REF!</v>
      </c>
      <c r="F435" s="22" t="str">
        <f t="shared" si="2"/>
        <v>#REF!</v>
      </c>
      <c r="G435" s="20" t="str">
        <f t="shared" ref="G435:I435" si="1299">#REF!</f>
        <v>#REF!</v>
      </c>
      <c r="H435" s="20" t="str">
        <f t="shared" si="1299"/>
        <v>#REF!</v>
      </c>
      <c r="I435" s="20" t="str">
        <f t="shared" si="1299"/>
        <v>#REF!</v>
      </c>
      <c r="J435" s="20" t="str">
        <f t="shared" si="1272"/>
        <v>#REF!</v>
      </c>
      <c r="K435" s="20" t="str">
        <f t="shared" ref="K435:L435" si="1300">#REF!</f>
        <v>#REF!</v>
      </c>
      <c r="L435" s="20" t="str">
        <f t="shared" si="1300"/>
        <v>#REF!</v>
      </c>
    </row>
    <row r="436">
      <c r="A436" s="20" t="str">
        <f t="shared" si="1267"/>
        <v>#REF!</v>
      </c>
      <c r="B436" s="20" t="str">
        <f t="shared" si="1268"/>
        <v>#REF!</v>
      </c>
      <c r="C436" s="20" t="str">
        <f t="shared" ref="C436:D436" si="1301">#REF!</f>
        <v>#REF!</v>
      </c>
      <c r="D436" s="20" t="str">
        <f t="shared" si="1301"/>
        <v>#REF!</v>
      </c>
      <c r="E436" s="20" t="str">
        <f t="shared" si="1270"/>
        <v>#REF!</v>
      </c>
      <c r="F436" s="22" t="str">
        <f t="shared" si="2"/>
        <v>#REF!</v>
      </c>
      <c r="G436" s="20" t="str">
        <f t="shared" ref="G436:I436" si="1302">#REF!</f>
        <v>#REF!</v>
      </c>
      <c r="H436" s="20" t="str">
        <f t="shared" si="1302"/>
        <v>#REF!</v>
      </c>
      <c r="I436" s="20" t="str">
        <f t="shared" si="1302"/>
        <v>#REF!</v>
      </c>
      <c r="J436" s="20" t="str">
        <f t="shared" si="1272"/>
        <v>#REF!</v>
      </c>
      <c r="K436" s="20" t="str">
        <f t="shared" ref="K436:L436" si="1303">#REF!</f>
        <v>#REF!</v>
      </c>
      <c r="L436" s="20" t="str">
        <f t="shared" si="1303"/>
        <v>#REF!</v>
      </c>
    </row>
    <row r="437">
      <c r="A437" s="20" t="str">
        <f t="shared" si="1267"/>
        <v>#REF!</v>
      </c>
      <c r="B437" s="20" t="str">
        <f t="shared" si="1268"/>
        <v>#REF!</v>
      </c>
      <c r="C437" s="20" t="str">
        <f t="shared" ref="C437:D437" si="1304">#REF!</f>
        <v>#REF!</v>
      </c>
      <c r="D437" s="20" t="str">
        <f t="shared" si="1304"/>
        <v>#REF!</v>
      </c>
      <c r="E437" s="20" t="str">
        <f t="shared" si="1270"/>
        <v>#REF!</v>
      </c>
      <c r="F437" s="22" t="str">
        <f t="shared" si="2"/>
        <v>#REF!</v>
      </c>
      <c r="G437" s="20" t="str">
        <f t="shared" ref="G437:I437" si="1305">#REF!</f>
        <v>#REF!</v>
      </c>
      <c r="H437" s="20" t="str">
        <f t="shared" si="1305"/>
        <v>#REF!</v>
      </c>
      <c r="I437" s="20" t="str">
        <f t="shared" si="1305"/>
        <v>#REF!</v>
      </c>
      <c r="J437" s="20" t="str">
        <f t="shared" si="1272"/>
        <v>#REF!</v>
      </c>
      <c r="K437" s="20" t="str">
        <f t="shared" ref="K437:L437" si="1306">#REF!</f>
        <v>#REF!</v>
      </c>
      <c r="L437" s="20" t="str">
        <f t="shared" si="1306"/>
        <v>#REF!</v>
      </c>
    </row>
    <row r="438">
      <c r="A438" s="20" t="str">
        <f t="shared" si="1267"/>
        <v>#REF!</v>
      </c>
      <c r="B438" s="20" t="str">
        <f t="shared" si="1268"/>
        <v>#REF!</v>
      </c>
      <c r="C438" s="20" t="str">
        <f t="shared" ref="C438:D438" si="1307">#REF!</f>
        <v>#REF!</v>
      </c>
      <c r="D438" s="20" t="str">
        <f t="shared" si="1307"/>
        <v>#REF!</v>
      </c>
      <c r="E438" s="20" t="str">
        <f t="shared" si="1270"/>
        <v>#REF!</v>
      </c>
      <c r="F438" s="22" t="str">
        <f t="shared" si="2"/>
        <v>#REF!</v>
      </c>
      <c r="G438" s="20" t="str">
        <f t="shared" ref="G438:I438" si="1308">#REF!</f>
        <v>#REF!</v>
      </c>
      <c r="H438" s="20" t="str">
        <f t="shared" si="1308"/>
        <v>#REF!</v>
      </c>
      <c r="I438" s="20" t="str">
        <f t="shared" si="1308"/>
        <v>#REF!</v>
      </c>
      <c r="J438" s="20" t="str">
        <f t="shared" si="1272"/>
        <v>#REF!</v>
      </c>
      <c r="K438" s="20" t="str">
        <f t="shared" ref="K438:L438" si="1309">#REF!</f>
        <v>#REF!</v>
      </c>
      <c r="L438" s="20" t="str">
        <f t="shared" si="1309"/>
        <v>#REF!</v>
      </c>
    </row>
    <row r="439">
      <c r="A439" s="20" t="str">
        <f t="shared" si="1267"/>
        <v>#REF!</v>
      </c>
      <c r="B439" s="20" t="str">
        <f t="shared" si="1268"/>
        <v>#REF!</v>
      </c>
      <c r="C439" s="20" t="str">
        <f t="shared" ref="C439:D439" si="1310">#REF!</f>
        <v>#REF!</v>
      </c>
      <c r="D439" s="20" t="str">
        <f t="shared" si="1310"/>
        <v>#REF!</v>
      </c>
      <c r="E439" s="20" t="str">
        <f t="shared" si="1270"/>
        <v>#REF!</v>
      </c>
      <c r="F439" s="22" t="str">
        <f t="shared" si="2"/>
        <v>#REF!</v>
      </c>
      <c r="G439" s="20" t="str">
        <f t="shared" ref="G439:I439" si="1311">#REF!</f>
        <v>#REF!</v>
      </c>
      <c r="H439" s="20" t="str">
        <f t="shared" si="1311"/>
        <v>#REF!</v>
      </c>
      <c r="I439" s="20" t="str">
        <f t="shared" si="1311"/>
        <v>#REF!</v>
      </c>
      <c r="J439" s="20" t="str">
        <f t="shared" si="1272"/>
        <v>#REF!</v>
      </c>
      <c r="K439" s="20" t="str">
        <f t="shared" ref="K439:L439" si="1312">#REF!</f>
        <v>#REF!</v>
      </c>
      <c r="L439" s="20" t="str">
        <f t="shared" si="1312"/>
        <v>#REF!</v>
      </c>
    </row>
    <row r="440">
      <c r="A440" s="20" t="str">
        <f t="shared" si="1267"/>
        <v>#REF!</v>
      </c>
      <c r="B440" s="20" t="str">
        <f t="shared" si="1268"/>
        <v>#REF!</v>
      </c>
      <c r="C440" s="20" t="str">
        <f t="shared" ref="C440:D440" si="1313">#REF!</f>
        <v>#REF!</v>
      </c>
      <c r="D440" s="20" t="str">
        <f t="shared" si="1313"/>
        <v>#REF!</v>
      </c>
      <c r="E440" s="20" t="str">
        <f t="shared" si="1270"/>
        <v>#REF!</v>
      </c>
      <c r="F440" s="22" t="str">
        <f t="shared" si="2"/>
        <v>#REF!</v>
      </c>
      <c r="G440" s="20" t="str">
        <f t="shared" ref="G440:I440" si="1314">#REF!</f>
        <v>#REF!</v>
      </c>
      <c r="H440" s="20" t="str">
        <f t="shared" si="1314"/>
        <v>#REF!</v>
      </c>
      <c r="I440" s="20" t="str">
        <f t="shared" si="1314"/>
        <v>#REF!</v>
      </c>
      <c r="J440" s="20" t="str">
        <f t="shared" si="1272"/>
        <v>#REF!</v>
      </c>
      <c r="K440" s="20" t="str">
        <f t="shared" ref="K440:L440" si="1315">#REF!</f>
        <v>#REF!</v>
      </c>
      <c r="L440" s="20" t="str">
        <f t="shared" si="1315"/>
        <v>#REF!</v>
      </c>
    </row>
    <row r="441">
      <c r="A441" s="20" t="str">
        <f t="shared" si="1267"/>
        <v>#REF!</v>
      </c>
      <c r="B441" s="20" t="str">
        <f t="shared" si="1268"/>
        <v>#REF!</v>
      </c>
      <c r="C441" s="20" t="str">
        <f t="shared" ref="C441:D441" si="1316">#REF!</f>
        <v>#REF!</v>
      </c>
      <c r="D441" s="20" t="str">
        <f t="shared" si="1316"/>
        <v>#REF!</v>
      </c>
      <c r="E441" s="20" t="str">
        <f t="shared" si="1270"/>
        <v>#REF!</v>
      </c>
      <c r="F441" s="22" t="str">
        <f t="shared" si="2"/>
        <v>#REF!</v>
      </c>
      <c r="G441" s="20" t="str">
        <f t="shared" ref="G441:I441" si="1317">#REF!</f>
        <v>#REF!</v>
      </c>
      <c r="H441" s="20" t="str">
        <f t="shared" si="1317"/>
        <v>#REF!</v>
      </c>
      <c r="I441" s="20" t="str">
        <f t="shared" si="1317"/>
        <v>#REF!</v>
      </c>
      <c r="J441" s="20" t="str">
        <f t="shared" si="1272"/>
        <v>#REF!</v>
      </c>
      <c r="K441" s="20" t="str">
        <f t="shared" ref="K441:L441" si="1318">#REF!</f>
        <v>#REF!</v>
      </c>
      <c r="L441" s="20" t="str">
        <f t="shared" si="1318"/>
        <v>#REF!</v>
      </c>
    </row>
    <row r="442">
      <c r="A442" s="20" t="str">
        <f t="shared" si="1267"/>
        <v>#REF!</v>
      </c>
      <c r="B442" s="20" t="str">
        <f t="shared" si="1268"/>
        <v>#REF!</v>
      </c>
      <c r="C442" s="20" t="str">
        <f t="shared" ref="C442:D442" si="1319">#REF!</f>
        <v>#REF!</v>
      </c>
      <c r="D442" s="20" t="str">
        <f t="shared" si="1319"/>
        <v>#REF!</v>
      </c>
      <c r="E442" s="20" t="str">
        <f t="shared" si="1270"/>
        <v>#REF!</v>
      </c>
      <c r="F442" s="22" t="str">
        <f t="shared" si="2"/>
        <v>#REF!</v>
      </c>
      <c r="G442" s="20" t="str">
        <f t="shared" ref="G442:I442" si="1320">#REF!</f>
        <v>#REF!</v>
      </c>
      <c r="H442" s="20" t="str">
        <f t="shared" si="1320"/>
        <v>#REF!</v>
      </c>
      <c r="I442" s="20" t="str">
        <f t="shared" si="1320"/>
        <v>#REF!</v>
      </c>
      <c r="J442" s="20" t="str">
        <f t="shared" si="1272"/>
        <v>#REF!</v>
      </c>
      <c r="K442" s="20" t="str">
        <f t="shared" ref="K442:L442" si="1321">#REF!</f>
        <v>#REF!</v>
      </c>
      <c r="L442" s="20" t="str">
        <f t="shared" si="1321"/>
        <v>#REF!</v>
      </c>
    </row>
    <row r="443">
      <c r="A443" s="20" t="str">
        <f t="shared" si="1267"/>
        <v>#REF!</v>
      </c>
      <c r="B443" s="20" t="str">
        <f t="shared" si="1268"/>
        <v>#REF!</v>
      </c>
      <c r="C443" s="20" t="str">
        <f t="shared" ref="C443:D443" si="1322">#REF!</f>
        <v>#REF!</v>
      </c>
      <c r="D443" s="20" t="str">
        <f t="shared" si="1322"/>
        <v>#REF!</v>
      </c>
      <c r="E443" s="20" t="str">
        <f t="shared" si="1270"/>
        <v>#REF!</v>
      </c>
      <c r="F443" s="22" t="str">
        <f t="shared" si="2"/>
        <v>#REF!</v>
      </c>
      <c r="G443" s="20" t="str">
        <f t="shared" ref="G443:I443" si="1323">#REF!</f>
        <v>#REF!</v>
      </c>
      <c r="H443" s="20" t="str">
        <f t="shared" si="1323"/>
        <v>#REF!</v>
      </c>
      <c r="I443" s="20" t="str">
        <f t="shared" si="1323"/>
        <v>#REF!</v>
      </c>
      <c r="J443" s="20" t="str">
        <f t="shared" si="1272"/>
        <v>#REF!</v>
      </c>
      <c r="K443" s="20" t="str">
        <f t="shared" ref="K443:L443" si="1324">#REF!</f>
        <v>#REF!</v>
      </c>
      <c r="L443" s="20" t="str">
        <f t="shared" si="1324"/>
        <v>#REF!</v>
      </c>
    </row>
    <row r="444">
      <c r="A444" s="20" t="str">
        <f t="shared" si="1267"/>
        <v>#REF!</v>
      </c>
      <c r="B444" s="20" t="str">
        <f t="shared" si="1268"/>
        <v>#REF!</v>
      </c>
      <c r="C444" s="20" t="str">
        <f t="shared" ref="C444:D444" si="1325">#REF!</f>
        <v>#REF!</v>
      </c>
      <c r="D444" s="20" t="str">
        <f t="shared" si="1325"/>
        <v>#REF!</v>
      </c>
      <c r="E444" s="20" t="str">
        <f t="shared" si="1270"/>
        <v>#REF!</v>
      </c>
      <c r="F444" s="22" t="str">
        <f t="shared" si="2"/>
        <v>#REF!</v>
      </c>
      <c r="G444" s="20" t="str">
        <f t="shared" ref="G444:I444" si="1326">#REF!</f>
        <v>#REF!</v>
      </c>
      <c r="H444" s="20" t="str">
        <f t="shared" si="1326"/>
        <v>#REF!</v>
      </c>
      <c r="I444" s="20" t="str">
        <f t="shared" si="1326"/>
        <v>#REF!</v>
      </c>
      <c r="J444" s="20" t="str">
        <f t="shared" si="1272"/>
        <v>#REF!</v>
      </c>
      <c r="K444" s="20" t="str">
        <f t="shared" ref="K444:L444" si="1327">#REF!</f>
        <v>#REF!</v>
      </c>
      <c r="L444" s="20" t="str">
        <f t="shared" si="1327"/>
        <v>#REF!</v>
      </c>
    </row>
    <row r="445">
      <c r="A445" s="20" t="str">
        <f t="shared" si="1267"/>
        <v>#REF!</v>
      </c>
      <c r="B445" s="20" t="str">
        <f t="shared" si="1268"/>
        <v>#REF!</v>
      </c>
      <c r="C445" s="20" t="str">
        <f t="shared" ref="C445:D445" si="1328">#REF!</f>
        <v>#REF!</v>
      </c>
      <c r="D445" s="20" t="str">
        <f t="shared" si="1328"/>
        <v>#REF!</v>
      </c>
      <c r="E445" s="20" t="str">
        <f t="shared" si="1270"/>
        <v>#REF!</v>
      </c>
      <c r="F445" s="22" t="str">
        <f t="shared" si="2"/>
        <v>#REF!</v>
      </c>
      <c r="G445" s="20" t="str">
        <f t="shared" ref="G445:I445" si="1329">#REF!</f>
        <v>#REF!</v>
      </c>
      <c r="H445" s="20" t="str">
        <f t="shared" si="1329"/>
        <v>#REF!</v>
      </c>
      <c r="I445" s="20" t="str">
        <f t="shared" si="1329"/>
        <v>#REF!</v>
      </c>
      <c r="J445" s="20" t="str">
        <f t="shared" si="1272"/>
        <v>#REF!</v>
      </c>
      <c r="K445" s="20" t="str">
        <f t="shared" ref="K445:L445" si="1330">#REF!</f>
        <v>#REF!</v>
      </c>
      <c r="L445" s="20" t="str">
        <f t="shared" si="1330"/>
        <v>#REF!</v>
      </c>
    </row>
    <row r="446">
      <c r="A446" s="20" t="str">
        <f t="shared" si="1267"/>
        <v>#REF!</v>
      </c>
      <c r="B446" s="20" t="str">
        <f t="shared" si="1268"/>
        <v>#REF!</v>
      </c>
      <c r="C446" s="20" t="str">
        <f t="shared" ref="C446:D446" si="1331">#REF!</f>
        <v>#REF!</v>
      </c>
      <c r="D446" s="20" t="str">
        <f t="shared" si="1331"/>
        <v>#REF!</v>
      </c>
      <c r="E446" s="20" t="str">
        <f t="shared" si="1270"/>
        <v>#REF!</v>
      </c>
      <c r="F446" s="22" t="str">
        <f t="shared" si="2"/>
        <v>#REF!</v>
      </c>
      <c r="G446" s="20" t="str">
        <f t="shared" ref="G446:I446" si="1332">#REF!</f>
        <v>#REF!</v>
      </c>
      <c r="H446" s="20" t="str">
        <f t="shared" si="1332"/>
        <v>#REF!</v>
      </c>
      <c r="I446" s="20" t="str">
        <f t="shared" si="1332"/>
        <v>#REF!</v>
      </c>
      <c r="J446" s="20" t="str">
        <f t="shared" si="1272"/>
        <v>#REF!</v>
      </c>
      <c r="K446" s="20" t="str">
        <f t="shared" ref="K446:L446" si="1333">#REF!</f>
        <v>#REF!</v>
      </c>
      <c r="L446" s="20" t="str">
        <f t="shared" si="1333"/>
        <v>#REF!</v>
      </c>
    </row>
    <row r="447">
      <c r="A447" s="20" t="str">
        <f t="shared" si="1267"/>
        <v>#REF!</v>
      </c>
      <c r="B447" s="20" t="str">
        <f t="shared" si="1268"/>
        <v>#REF!</v>
      </c>
      <c r="C447" s="20" t="str">
        <f t="shared" ref="C447:D447" si="1334">#REF!</f>
        <v>#REF!</v>
      </c>
      <c r="D447" s="20" t="str">
        <f t="shared" si="1334"/>
        <v>#REF!</v>
      </c>
      <c r="E447" s="20" t="str">
        <f t="shared" si="1270"/>
        <v>#REF!</v>
      </c>
      <c r="F447" s="22" t="str">
        <f t="shared" si="2"/>
        <v>#REF!</v>
      </c>
      <c r="G447" s="20" t="str">
        <f t="shared" ref="G447:I447" si="1335">#REF!</f>
        <v>#REF!</v>
      </c>
      <c r="H447" s="20" t="str">
        <f t="shared" si="1335"/>
        <v>#REF!</v>
      </c>
      <c r="I447" s="20" t="str">
        <f t="shared" si="1335"/>
        <v>#REF!</v>
      </c>
      <c r="J447" s="20" t="str">
        <f t="shared" si="1272"/>
        <v>#REF!</v>
      </c>
      <c r="K447" s="20" t="str">
        <f t="shared" ref="K447:L447" si="1336">#REF!</f>
        <v>#REF!</v>
      </c>
      <c r="L447" s="20" t="str">
        <f t="shared" si="1336"/>
        <v>#REF!</v>
      </c>
    </row>
    <row r="448">
      <c r="A448" s="20" t="str">
        <f t="shared" si="1267"/>
        <v>#REF!</v>
      </c>
      <c r="B448" s="20" t="str">
        <f t="shared" si="1268"/>
        <v>#REF!</v>
      </c>
      <c r="C448" s="20" t="str">
        <f t="shared" ref="C448:D448" si="1337">#REF!</f>
        <v>#REF!</v>
      </c>
      <c r="D448" s="20" t="str">
        <f t="shared" si="1337"/>
        <v>#REF!</v>
      </c>
      <c r="E448" s="20" t="str">
        <f t="shared" si="1270"/>
        <v>#REF!</v>
      </c>
      <c r="F448" s="22" t="str">
        <f t="shared" si="2"/>
        <v>#REF!</v>
      </c>
      <c r="G448" s="20" t="str">
        <f t="shared" ref="G448:I448" si="1338">#REF!</f>
        <v>#REF!</v>
      </c>
      <c r="H448" s="20" t="str">
        <f t="shared" si="1338"/>
        <v>#REF!</v>
      </c>
      <c r="I448" s="20" t="str">
        <f t="shared" si="1338"/>
        <v>#REF!</v>
      </c>
      <c r="J448" s="20" t="str">
        <f t="shared" si="1272"/>
        <v>#REF!</v>
      </c>
      <c r="K448" s="20" t="str">
        <f t="shared" ref="K448:L448" si="1339">#REF!</f>
        <v>#REF!</v>
      </c>
      <c r="L448" s="20" t="str">
        <f t="shared" si="1339"/>
        <v>#REF!</v>
      </c>
    </row>
    <row r="449">
      <c r="A449" s="20" t="str">
        <f t="shared" si="1267"/>
        <v>#REF!</v>
      </c>
      <c r="B449" s="20" t="str">
        <f t="shared" si="1268"/>
        <v>#REF!</v>
      </c>
      <c r="C449" s="20" t="str">
        <f t="shared" ref="C449:D449" si="1340">#REF!</f>
        <v>#REF!</v>
      </c>
      <c r="D449" s="20" t="str">
        <f t="shared" si="1340"/>
        <v>#REF!</v>
      </c>
      <c r="E449" s="20" t="str">
        <f t="shared" si="1270"/>
        <v>#REF!</v>
      </c>
      <c r="F449" s="22" t="str">
        <f t="shared" si="2"/>
        <v>#REF!</v>
      </c>
      <c r="G449" s="20" t="str">
        <f t="shared" ref="G449:I449" si="1341">#REF!</f>
        <v>#REF!</v>
      </c>
      <c r="H449" s="20" t="str">
        <f t="shared" si="1341"/>
        <v>#REF!</v>
      </c>
      <c r="I449" s="20" t="str">
        <f t="shared" si="1341"/>
        <v>#REF!</v>
      </c>
      <c r="J449" s="20" t="str">
        <f t="shared" si="1272"/>
        <v>#REF!</v>
      </c>
      <c r="K449" s="20" t="str">
        <f t="shared" ref="K449:L449" si="1342">#REF!</f>
        <v>#REF!</v>
      </c>
      <c r="L449" s="20" t="str">
        <f t="shared" si="1342"/>
        <v>#REF!</v>
      </c>
    </row>
    <row r="450">
      <c r="A450" s="20" t="str">
        <f t="shared" si="1267"/>
        <v>#REF!</v>
      </c>
      <c r="B450" s="20" t="str">
        <f t="shared" si="1268"/>
        <v>#REF!</v>
      </c>
      <c r="C450" s="20" t="str">
        <f t="shared" ref="C450:D450" si="1343">#REF!</f>
        <v>#REF!</v>
      </c>
      <c r="D450" s="20" t="str">
        <f t="shared" si="1343"/>
        <v>#REF!</v>
      </c>
      <c r="E450" s="20" t="str">
        <f t="shared" si="1270"/>
        <v>#REF!</v>
      </c>
      <c r="F450" s="22" t="str">
        <f t="shared" si="2"/>
        <v>#REF!</v>
      </c>
      <c r="G450" s="20" t="str">
        <f t="shared" ref="G450:I450" si="1344">#REF!</f>
        <v>#REF!</v>
      </c>
      <c r="H450" s="20" t="str">
        <f t="shared" si="1344"/>
        <v>#REF!</v>
      </c>
      <c r="I450" s="20" t="str">
        <f t="shared" si="1344"/>
        <v>#REF!</v>
      </c>
      <c r="J450" s="20" t="str">
        <f t="shared" si="1272"/>
        <v>#REF!</v>
      </c>
      <c r="K450" s="20" t="str">
        <f t="shared" ref="K450:L450" si="1345">#REF!</f>
        <v>#REF!</v>
      </c>
      <c r="L450" s="20" t="str">
        <f t="shared" si="1345"/>
        <v>#REF!</v>
      </c>
    </row>
    <row r="451">
      <c r="A451" s="20" t="str">
        <f t="shared" si="1267"/>
        <v>#REF!</v>
      </c>
      <c r="B451" s="20" t="str">
        <f t="shared" si="1268"/>
        <v>#REF!</v>
      </c>
      <c r="C451" s="20" t="str">
        <f t="shared" ref="C451:D451" si="1346">#REF!</f>
        <v>#REF!</v>
      </c>
      <c r="D451" s="20" t="str">
        <f t="shared" si="1346"/>
        <v>#REF!</v>
      </c>
      <c r="E451" s="20" t="str">
        <f t="shared" si="1270"/>
        <v>#REF!</v>
      </c>
      <c r="F451" s="22" t="str">
        <f t="shared" si="2"/>
        <v>#REF!</v>
      </c>
      <c r="G451" s="20" t="str">
        <f t="shared" ref="G451:I451" si="1347">#REF!</f>
        <v>#REF!</v>
      </c>
      <c r="H451" s="20" t="str">
        <f t="shared" si="1347"/>
        <v>#REF!</v>
      </c>
      <c r="I451" s="20" t="str">
        <f t="shared" si="1347"/>
        <v>#REF!</v>
      </c>
      <c r="J451" s="20" t="str">
        <f t="shared" si="1272"/>
        <v>#REF!</v>
      </c>
      <c r="K451" s="20" t="str">
        <f t="shared" ref="K451:L451" si="1348">#REF!</f>
        <v>#REF!</v>
      </c>
      <c r="L451" s="20" t="str">
        <f t="shared" si="1348"/>
        <v>#REF!</v>
      </c>
    </row>
    <row r="452">
      <c r="A452" s="20" t="str">
        <f t="shared" si="1267"/>
        <v>#REF!</v>
      </c>
      <c r="B452" s="20" t="str">
        <f t="shared" si="1268"/>
        <v>#REF!</v>
      </c>
      <c r="C452" s="20" t="str">
        <f t="shared" ref="C452:D452" si="1349">#REF!</f>
        <v>#REF!</v>
      </c>
      <c r="D452" s="20" t="str">
        <f t="shared" si="1349"/>
        <v>#REF!</v>
      </c>
      <c r="E452" s="20" t="str">
        <f t="shared" si="1270"/>
        <v>#REF!</v>
      </c>
      <c r="F452" s="22" t="str">
        <f t="shared" si="2"/>
        <v>#REF!</v>
      </c>
      <c r="G452" s="20" t="str">
        <f t="shared" ref="G452:I452" si="1350">#REF!</f>
        <v>#REF!</v>
      </c>
      <c r="H452" s="20" t="str">
        <f t="shared" si="1350"/>
        <v>#REF!</v>
      </c>
      <c r="I452" s="20" t="str">
        <f t="shared" si="1350"/>
        <v>#REF!</v>
      </c>
      <c r="J452" s="20" t="str">
        <f t="shared" si="1272"/>
        <v>#REF!</v>
      </c>
      <c r="K452" s="20" t="str">
        <f t="shared" ref="K452:L452" si="1351">#REF!</f>
        <v>#REF!</v>
      </c>
      <c r="L452" s="20" t="str">
        <f t="shared" si="1351"/>
        <v>#REF!</v>
      </c>
    </row>
    <row r="453">
      <c r="A453" s="20" t="str">
        <f t="shared" si="1267"/>
        <v>#REF!</v>
      </c>
      <c r="B453" s="20" t="str">
        <f t="shared" si="1268"/>
        <v>#REF!</v>
      </c>
      <c r="C453" s="20" t="str">
        <f t="shared" ref="C453:D453" si="1352">#REF!</f>
        <v>#REF!</v>
      </c>
      <c r="D453" s="20" t="str">
        <f t="shared" si="1352"/>
        <v>#REF!</v>
      </c>
      <c r="E453" s="20" t="str">
        <f t="shared" si="1270"/>
        <v>#REF!</v>
      </c>
      <c r="F453" s="22" t="str">
        <f t="shared" si="2"/>
        <v>#REF!</v>
      </c>
      <c r="G453" s="20" t="str">
        <f t="shared" ref="G453:I453" si="1353">#REF!</f>
        <v>#REF!</v>
      </c>
      <c r="H453" s="20" t="str">
        <f t="shared" si="1353"/>
        <v>#REF!</v>
      </c>
      <c r="I453" s="20" t="str">
        <f t="shared" si="1353"/>
        <v>#REF!</v>
      </c>
      <c r="J453" s="20" t="str">
        <f t="shared" si="1272"/>
        <v>#REF!</v>
      </c>
      <c r="K453" s="20" t="str">
        <f t="shared" ref="K453:L453" si="1354">#REF!</f>
        <v>#REF!</v>
      </c>
      <c r="L453" s="20" t="str">
        <f t="shared" si="1354"/>
        <v>#REF!</v>
      </c>
    </row>
    <row r="454">
      <c r="A454" s="20" t="str">
        <f t="shared" si="1267"/>
        <v>#REF!</v>
      </c>
      <c r="B454" s="20" t="str">
        <f t="shared" si="1268"/>
        <v>#REF!</v>
      </c>
      <c r="C454" s="20" t="str">
        <f t="shared" ref="C454:D454" si="1355">#REF!</f>
        <v>#REF!</v>
      </c>
      <c r="D454" s="20" t="str">
        <f t="shared" si="1355"/>
        <v>#REF!</v>
      </c>
      <c r="E454" s="20" t="str">
        <f t="shared" si="1270"/>
        <v>#REF!</v>
      </c>
      <c r="F454" s="22" t="str">
        <f t="shared" si="2"/>
        <v>#REF!</v>
      </c>
      <c r="G454" s="20" t="str">
        <f t="shared" ref="G454:I454" si="1356">#REF!</f>
        <v>#REF!</v>
      </c>
      <c r="H454" s="20" t="str">
        <f t="shared" si="1356"/>
        <v>#REF!</v>
      </c>
      <c r="I454" s="20" t="str">
        <f t="shared" si="1356"/>
        <v>#REF!</v>
      </c>
      <c r="J454" s="20" t="str">
        <f t="shared" si="1272"/>
        <v>#REF!</v>
      </c>
      <c r="K454" s="20" t="str">
        <f t="shared" ref="K454:L454" si="1357">#REF!</f>
        <v>#REF!</v>
      </c>
      <c r="L454" s="20" t="str">
        <f t="shared" si="1357"/>
        <v>#REF!</v>
      </c>
    </row>
    <row r="455">
      <c r="A455" s="20" t="str">
        <f t="shared" si="1267"/>
        <v>#REF!</v>
      </c>
      <c r="B455" s="20" t="str">
        <f t="shared" si="1268"/>
        <v>#REF!</v>
      </c>
      <c r="C455" s="20" t="str">
        <f t="shared" ref="C455:D455" si="1358">#REF!</f>
        <v>#REF!</v>
      </c>
      <c r="D455" s="20" t="str">
        <f t="shared" si="1358"/>
        <v>#REF!</v>
      </c>
      <c r="E455" s="20" t="str">
        <f t="shared" si="1270"/>
        <v>#REF!</v>
      </c>
      <c r="F455" s="22" t="str">
        <f t="shared" si="2"/>
        <v>#REF!</v>
      </c>
      <c r="G455" s="20" t="str">
        <f t="shared" ref="G455:I455" si="1359">#REF!</f>
        <v>#REF!</v>
      </c>
      <c r="H455" s="20" t="str">
        <f t="shared" si="1359"/>
        <v>#REF!</v>
      </c>
      <c r="I455" s="20" t="str">
        <f t="shared" si="1359"/>
        <v>#REF!</v>
      </c>
      <c r="J455" s="20" t="str">
        <f t="shared" si="1272"/>
        <v>#REF!</v>
      </c>
      <c r="K455" s="20" t="str">
        <f t="shared" ref="K455:L455" si="1360">#REF!</f>
        <v>#REF!</v>
      </c>
      <c r="L455" s="20" t="str">
        <f t="shared" si="1360"/>
        <v>#REF!</v>
      </c>
    </row>
    <row r="456">
      <c r="A456" s="20" t="str">
        <f t="shared" si="1267"/>
        <v>#REF!</v>
      </c>
      <c r="B456" s="20" t="str">
        <f t="shared" si="1268"/>
        <v>#REF!</v>
      </c>
      <c r="C456" s="20" t="str">
        <f t="shared" ref="C456:D456" si="1361">#REF!</f>
        <v>#REF!</v>
      </c>
      <c r="D456" s="20" t="str">
        <f t="shared" si="1361"/>
        <v>#REF!</v>
      </c>
      <c r="E456" s="20" t="str">
        <f t="shared" si="1270"/>
        <v>#REF!</v>
      </c>
      <c r="F456" s="22" t="str">
        <f t="shared" si="2"/>
        <v>#REF!</v>
      </c>
      <c r="G456" s="20" t="str">
        <f t="shared" ref="G456:I456" si="1362">#REF!</f>
        <v>#REF!</v>
      </c>
      <c r="H456" s="20" t="str">
        <f t="shared" si="1362"/>
        <v>#REF!</v>
      </c>
      <c r="I456" s="20" t="str">
        <f t="shared" si="1362"/>
        <v>#REF!</v>
      </c>
      <c r="J456" s="20" t="str">
        <f t="shared" si="1272"/>
        <v>#REF!</v>
      </c>
      <c r="K456" s="20" t="str">
        <f t="shared" ref="K456:L456" si="1363">#REF!</f>
        <v>#REF!</v>
      </c>
      <c r="L456" s="20" t="str">
        <f t="shared" si="1363"/>
        <v>#REF!</v>
      </c>
    </row>
    <row r="457">
      <c r="A457" s="20" t="str">
        <f t="shared" si="1267"/>
        <v>#REF!</v>
      </c>
      <c r="B457" s="20" t="str">
        <f t="shared" si="1268"/>
        <v>#REF!</v>
      </c>
      <c r="C457" s="20" t="str">
        <f t="shared" ref="C457:D457" si="1364">#REF!</f>
        <v>#REF!</v>
      </c>
      <c r="D457" s="20" t="str">
        <f t="shared" si="1364"/>
        <v>#REF!</v>
      </c>
      <c r="E457" s="20" t="str">
        <f t="shared" si="1270"/>
        <v>#REF!</v>
      </c>
      <c r="F457" s="22" t="str">
        <f t="shared" si="2"/>
        <v>#REF!</v>
      </c>
      <c r="G457" s="20" t="str">
        <f t="shared" ref="G457:I457" si="1365">#REF!</f>
        <v>#REF!</v>
      </c>
      <c r="H457" s="20" t="str">
        <f t="shared" si="1365"/>
        <v>#REF!</v>
      </c>
      <c r="I457" s="20" t="str">
        <f t="shared" si="1365"/>
        <v>#REF!</v>
      </c>
      <c r="J457" s="20" t="str">
        <f t="shared" si="1272"/>
        <v>#REF!</v>
      </c>
      <c r="K457" s="20" t="str">
        <f t="shared" ref="K457:L457" si="1366">#REF!</f>
        <v>#REF!</v>
      </c>
      <c r="L457" s="20" t="str">
        <f t="shared" si="1366"/>
        <v>#REF!</v>
      </c>
    </row>
    <row r="458">
      <c r="A458" s="20" t="str">
        <f t="shared" si="1267"/>
        <v>#REF!</v>
      </c>
      <c r="B458" s="20" t="str">
        <f t="shared" si="1268"/>
        <v>#REF!</v>
      </c>
      <c r="C458" s="20" t="str">
        <f t="shared" ref="C458:D458" si="1367">#REF!</f>
        <v>#REF!</v>
      </c>
      <c r="D458" s="20" t="str">
        <f t="shared" si="1367"/>
        <v>#REF!</v>
      </c>
      <c r="E458" s="20" t="str">
        <f t="shared" si="1270"/>
        <v>#REF!</v>
      </c>
      <c r="F458" s="22" t="str">
        <f t="shared" si="2"/>
        <v>#REF!</v>
      </c>
      <c r="G458" s="20" t="str">
        <f t="shared" ref="G458:I458" si="1368">#REF!</f>
        <v>#REF!</v>
      </c>
      <c r="H458" s="20" t="str">
        <f t="shared" si="1368"/>
        <v>#REF!</v>
      </c>
      <c r="I458" s="20" t="str">
        <f t="shared" si="1368"/>
        <v>#REF!</v>
      </c>
      <c r="J458" s="20" t="str">
        <f t="shared" si="1272"/>
        <v>#REF!</v>
      </c>
      <c r="K458" s="20" t="str">
        <f t="shared" ref="K458:L458" si="1369">#REF!</f>
        <v>#REF!</v>
      </c>
      <c r="L458" s="20" t="str">
        <f t="shared" si="1369"/>
        <v>#REF!</v>
      </c>
    </row>
    <row r="459">
      <c r="A459" s="20" t="str">
        <f t="shared" si="1267"/>
        <v>#REF!</v>
      </c>
      <c r="B459" s="20" t="str">
        <f t="shared" si="1268"/>
        <v>#REF!</v>
      </c>
      <c r="C459" s="20" t="str">
        <f t="shared" ref="C459:D459" si="1370">#REF!</f>
        <v>#REF!</v>
      </c>
      <c r="D459" s="20" t="str">
        <f t="shared" si="1370"/>
        <v>#REF!</v>
      </c>
      <c r="E459" s="20" t="str">
        <f t="shared" si="1270"/>
        <v>#REF!</v>
      </c>
      <c r="F459" s="22" t="str">
        <f t="shared" si="2"/>
        <v>#REF!</v>
      </c>
      <c r="G459" s="20" t="str">
        <f t="shared" ref="G459:I459" si="1371">#REF!</f>
        <v>#REF!</v>
      </c>
      <c r="H459" s="20" t="str">
        <f t="shared" si="1371"/>
        <v>#REF!</v>
      </c>
      <c r="I459" s="20" t="str">
        <f t="shared" si="1371"/>
        <v>#REF!</v>
      </c>
      <c r="J459" s="20" t="str">
        <f t="shared" si="1272"/>
        <v>#REF!</v>
      </c>
      <c r="K459" s="20" t="str">
        <f t="shared" ref="K459:L459" si="1372">#REF!</f>
        <v>#REF!</v>
      </c>
      <c r="L459" s="20" t="str">
        <f t="shared" si="1372"/>
        <v>#REF!</v>
      </c>
    </row>
    <row r="460">
      <c r="A460" s="20" t="str">
        <f t="shared" si="1267"/>
        <v>#REF!</v>
      </c>
      <c r="B460" s="20" t="str">
        <f t="shared" si="1268"/>
        <v>#REF!</v>
      </c>
      <c r="C460" s="20" t="str">
        <f t="shared" ref="C460:D460" si="1373">#REF!</f>
        <v>#REF!</v>
      </c>
      <c r="D460" s="20" t="str">
        <f t="shared" si="1373"/>
        <v>#REF!</v>
      </c>
      <c r="E460" s="20" t="str">
        <f t="shared" si="1270"/>
        <v>#REF!</v>
      </c>
      <c r="F460" s="22" t="str">
        <f t="shared" si="2"/>
        <v>#REF!</v>
      </c>
      <c r="G460" s="20" t="str">
        <f t="shared" ref="G460:I460" si="1374">#REF!</f>
        <v>#REF!</v>
      </c>
      <c r="H460" s="20" t="str">
        <f t="shared" si="1374"/>
        <v>#REF!</v>
      </c>
      <c r="I460" s="20" t="str">
        <f t="shared" si="1374"/>
        <v>#REF!</v>
      </c>
      <c r="J460" s="20" t="str">
        <f t="shared" si="1272"/>
        <v>#REF!</v>
      </c>
      <c r="K460" s="20" t="str">
        <f t="shared" ref="K460:L460" si="1375">#REF!</f>
        <v>#REF!</v>
      </c>
      <c r="L460" s="20" t="str">
        <f t="shared" si="1375"/>
        <v>#REF!</v>
      </c>
    </row>
    <row r="461">
      <c r="A461" s="20" t="str">
        <f t="shared" si="1267"/>
        <v>#REF!</v>
      </c>
      <c r="B461" s="20" t="str">
        <f t="shared" si="1268"/>
        <v>#REF!</v>
      </c>
      <c r="C461" s="20" t="str">
        <f t="shared" ref="C461:D461" si="1376">#REF!</f>
        <v>#REF!</v>
      </c>
      <c r="D461" s="20" t="str">
        <f t="shared" si="1376"/>
        <v>#REF!</v>
      </c>
      <c r="E461" s="20" t="str">
        <f t="shared" si="1270"/>
        <v>#REF!</v>
      </c>
      <c r="F461" s="22" t="str">
        <f t="shared" si="2"/>
        <v>#REF!</v>
      </c>
      <c r="G461" s="20" t="str">
        <f t="shared" ref="G461:I461" si="1377">#REF!</f>
        <v>#REF!</v>
      </c>
      <c r="H461" s="20" t="str">
        <f t="shared" si="1377"/>
        <v>#REF!</v>
      </c>
      <c r="I461" s="20" t="str">
        <f t="shared" si="1377"/>
        <v>#REF!</v>
      </c>
      <c r="J461" s="20" t="str">
        <f t="shared" si="1272"/>
        <v>#REF!</v>
      </c>
      <c r="K461" s="20" t="str">
        <f t="shared" ref="K461:L461" si="1378">#REF!</f>
        <v>#REF!</v>
      </c>
      <c r="L461" s="20" t="str">
        <f t="shared" si="1378"/>
        <v>#REF!</v>
      </c>
    </row>
    <row r="462">
      <c r="A462" s="20" t="str">
        <f t="shared" si="1267"/>
        <v>#REF!</v>
      </c>
      <c r="B462" s="20" t="str">
        <f t="shared" si="1268"/>
        <v>#REF!</v>
      </c>
      <c r="C462" s="20" t="str">
        <f t="shared" ref="C462:D462" si="1379">#REF!</f>
        <v>#REF!</v>
      </c>
      <c r="D462" s="20" t="str">
        <f t="shared" si="1379"/>
        <v>#REF!</v>
      </c>
      <c r="E462" s="20" t="str">
        <f t="shared" si="1270"/>
        <v>#REF!</v>
      </c>
      <c r="F462" s="22" t="str">
        <f t="shared" si="2"/>
        <v>#REF!</v>
      </c>
      <c r="G462" s="20" t="str">
        <f t="shared" ref="G462:I462" si="1380">#REF!</f>
        <v>#REF!</v>
      </c>
      <c r="H462" s="20" t="str">
        <f t="shared" si="1380"/>
        <v>#REF!</v>
      </c>
      <c r="I462" s="20" t="str">
        <f t="shared" si="1380"/>
        <v>#REF!</v>
      </c>
      <c r="J462" s="20" t="str">
        <f t="shared" si="1272"/>
        <v>#REF!</v>
      </c>
      <c r="K462" s="20" t="str">
        <f t="shared" ref="K462:L462" si="1381">#REF!</f>
        <v>#REF!</v>
      </c>
      <c r="L462" s="20" t="str">
        <f t="shared" si="1381"/>
        <v>#REF!</v>
      </c>
    </row>
    <row r="463">
      <c r="A463" s="20" t="str">
        <f t="shared" si="1267"/>
        <v>#REF!</v>
      </c>
      <c r="B463" s="20" t="str">
        <f t="shared" si="1268"/>
        <v>#REF!</v>
      </c>
      <c r="C463" s="20" t="str">
        <f t="shared" ref="C463:D463" si="1382">#REF!</f>
        <v>#REF!</v>
      </c>
      <c r="D463" s="20" t="str">
        <f t="shared" si="1382"/>
        <v>#REF!</v>
      </c>
      <c r="E463" s="20" t="str">
        <f t="shared" si="1270"/>
        <v>#REF!</v>
      </c>
      <c r="F463" s="22" t="str">
        <f t="shared" si="2"/>
        <v>#REF!</v>
      </c>
      <c r="G463" s="20" t="str">
        <f t="shared" ref="G463:I463" si="1383">#REF!</f>
        <v>#REF!</v>
      </c>
      <c r="H463" s="20" t="str">
        <f t="shared" si="1383"/>
        <v>#REF!</v>
      </c>
      <c r="I463" s="20" t="str">
        <f t="shared" si="1383"/>
        <v>#REF!</v>
      </c>
      <c r="J463" s="20" t="str">
        <f t="shared" si="1272"/>
        <v>#REF!</v>
      </c>
      <c r="K463" s="20" t="str">
        <f t="shared" ref="K463:L463" si="1384">#REF!</f>
        <v>#REF!</v>
      </c>
      <c r="L463" s="20" t="str">
        <f t="shared" si="1384"/>
        <v>#REF!</v>
      </c>
    </row>
    <row r="464">
      <c r="A464" s="20" t="str">
        <f t="shared" si="1267"/>
        <v>#REF!</v>
      </c>
      <c r="B464" s="20" t="str">
        <f t="shared" si="1268"/>
        <v>#REF!</v>
      </c>
      <c r="C464" s="20" t="str">
        <f t="shared" ref="C464:D464" si="1385">#REF!</f>
        <v>#REF!</v>
      </c>
      <c r="D464" s="20" t="str">
        <f t="shared" si="1385"/>
        <v>#REF!</v>
      </c>
      <c r="E464" s="20" t="str">
        <f t="shared" si="1270"/>
        <v>#REF!</v>
      </c>
      <c r="F464" s="22" t="str">
        <f t="shared" si="2"/>
        <v>#REF!</v>
      </c>
      <c r="G464" s="20" t="str">
        <f t="shared" ref="G464:I464" si="1386">#REF!</f>
        <v>#REF!</v>
      </c>
      <c r="H464" s="20" t="str">
        <f t="shared" si="1386"/>
        <v>#REF!</v>
      </c>
      <c r="I464" s="20" t="str">
        <f t="shared" si="1386"/>
        <v>#REF!</v>
      </c>
      <c r="J464" s="20" t="str">
        <f t="shared" si="1272"/>
        <v>#REF!</v>
      </c>
      <c r="K464" s="20" t="str">
        <f t="shared" ref="K464:L464" si="1387">#REF!</f>
        <v>#REF!</v>
      </c>
      <c r="L464" s="20" t="str">
        <f t="shared" si="1387"/>
        <v>#REF!</v>
      </c>
    </row>
    <row r="465">
      <c r="A465" s="20" t="str">
        <f t="shared" si="1267"/>
        <v>#REF!</v>
      </c>
      <c r="B465" s="20" t="str">
        <f t="shared" si="1268"/>
        <v>#REF!</v>
      </c>
      <c r="C465" s="20" t="str">
        <f t="shared" ref="C465:D465" si="1388">#REF!</f>
        <v>#REF!</v>
      </c>
      <c r="D465" s="20" t="str">
        <f t="shared" si="1388"/>
        <v>#REF!</v>
      </c>
      <c r="E465" s="20" t="str">
        <f t="shared" si="1270"/>
        <v>#REF!</v>
      </c>
      <c r="F465" s="22" t="str">
        <f t="shared" si="2"/>
        <v>#REF!</v>
      </c>
      <c r="G465" s="20" t="str">
        <f t="shared" ref="G465:I465" si="1389">#REF!</f>
        <v>#REF!</v>
      </c>
      <c r="H465" s="20" t="str">
        <f t="shared" si="1389"/>
        <v>#REF!</v>
      </c>
      <c r="I465" s="20" t="str">
        <f t="shared" si="1389"/>
        <v>#REF!</v>
      </c>
      <c r="J465" s="20" t="str">
        <f t="shared" si="1272"/>
        <v>#REF!</v>
      </c>
      <c r="K465" s="20" t="str">
        <f t="shared" ref="K465:L465" si="1390">#REF!</f>
        <v>#REF!</v>
      </c>
      <c r="L465" s="20" t="str">
        <f t="shared" si="1390"/>
        <v>#REF!</v>
      </c>
    </row>
    <row r="466">
      <c r="A466" s="20" t="str">
        <f t="shared" si="1267"/>
        <v>#REF!</v>
      </c>
      <c r="B466" s="20" t="str">
        <f t="shared" si="1268"/>
        <v>#REF!</v>
      </c>
      <c r="C466" s="20" t="str">
        <f t="shared" ref="C466:D466" si="1391">#REF!</f>
        <v>#REF!</v>
      </c>
      <c r="D466" s="20" t="str">
        <f t="shared" si="1391"/>
        <v>#REF!</v>
      </c>
      <c r="E466" s="20" t="str">
        <f t="shared" si="1270"/>
        <v>#REF!</v>
      </c>
      <c r="F466" s="22" t="str">
        <f t="shared" si="2"/>
        <v>#REF!</v>
      </c>
      <c r="G466" s="20" t="str">
        <f t="shared" ref="G466:I466" si="1392">#REF!</f>
        <v>#REF!</v>
      </c>
      <c r="H466" s="20" t="str">
        <f t="shared" si="1392"/>
        <v>#REF!</v>
      </c>
      <c r="I466" s="20" t="str">
        <f t="shared" si="1392"/>
        <v>#REF!</v>
      </c>
      <c r="J466" s="20" t="str">
        <f t="shared" si="1272"/>
        <v>#REF!</v>
      </c>
      <c r="K466" s="20" t="str">
        <f t="shared" ref="K466:L466" si="1393">#REF!</f>
        <v>#REF!</v>
      </c>
      <c r="L466" s="20" t="str">
        <f t="shared" si="1393"/>
        <v>#REF!</v>
      </c>
    </row>
    <row r="467">
      <c r="A467" s="20" t="str">
        <f t="shared" si="1267"/>
        <v>#REF!</v>
      </c>
      <c r="B467" s="20" t="str">
        <f t="shared" si="1268"/>
        <v>#REF!</v>
      </c>
      <c r="C467" s="20" t="str">
        <f t="shared" ref="C467:D467" si="1394">#REF!</f>
        <v>#REF!</v>
      </c>
      <c r="D467" s="20" t="str">
        <f t="shared" si="1394"/>
        <v>#REF!</v>
      </c>
      <c r="E467" s="20" t="str">
        <f t="shared" si="1270"/>
        <v>#REF!</v>
      </c>
      <c r="F467" s="22" t="str">
        <f t="shared" si="2"/>
        <v>#REF!</v>
      </c>
      <c r="G467" s="20" t="str">
        <f t="shared" ref="G467:I467" si="1395">#REF!</f>
        <v>#REF!</v>
      </c>
      <c r="H467" s="20" t="str">
        <f t="shared" si="1395"/>
        <v>#REF!</v>
      </c>
      <c r="I467" s="20" t="str">
        <f t="shared" si="1395"/>
        <v>#REF!</v>
      </c>
      <c r="J467" s="20" t="str">
        <f t="shared" si="1272"/>
        <v>#REF!</v>
      </c>
      <c r="K467" s="20" t="str">
        <f t="shared" ref="K467:L467" si="1396">#REF!</f>
        <v>#REF!</v>
      </c>
      <c r="L467" s="20" t="str">
        <f t="shared" si="1396"/>
        <v>#REF!</v>
      </c>
    </row>
    <row r="468">
      <c r="A468" s="20" t="str">
        <f t="shared" si="1267"/>
        <v>#REF!</v>
      </c>
      <c r="B468" s="20" t="str">
        <f t="shared" si="1268"/>
        <v>#REF!</v>
      </c>
      <c r="C468" s="20" t="str">
        <f t="shared" ref="C468:D468" si="1397">#REF!</f>
        <v>#REF!</v>
      </c>
      <c r="D468" s="20" t="str">
        <f t="shared" si="1397"/>
        <v>#REF!</v>
      </c>
      <c r="E468" s="20" t="str">
        <f t="shared" si="1270"/>
        <v>#REF!</v>
      </c>
      <c r="F468" s="22" t="str">
        <f t="shared" si="2"/>
        <v>#REF!</v>
      </c>
      <c r="G468" s="20" t="str">
        <f t="shared" ref="G468:I468" si="1398">#REF!</f>
        <v>#REF!</v>
      </c>
      <c r="H468" s="20" t="str">
        <f t="shared" si="1398"/>
        <v>#REF!</v>
      </c>
      <c r="I468" s="20" t="str">
        <f t="shared" si="1398"/>
        <v>#REF!</v>
      </c>
      <c r="J468" s="20" t="str">
        <f t="shared" si="1272"/>
        <v>#REF!</v>
      </c>
      <c r="K468" s="20" t="str">
        <f t="shared" ref="K468:L468" si="1399">#REF!</f>
        <v>#REF!</v>
      </c>
      <c r="L468" s="20" t="str">
        <f t="shared" si="1399"/>
        <v>#REF!</v>
      </c>
    </row>
    <row r="469">
      <c r="A469" s="20" t="str">
        <f t="shared" si="1267"/>
        <v>#REF!</v>
      </c>
      <c r="B469" s="20" t="str">
        <f t="shared" si="1268"/>
        <v>#REF!</v>
      </c>
      <c r="C469" s="20" t="str">
        <f t="shared" ref="C469:D469" si="1400">#REF!</f>
        <v>#REF!</v>
      </c>
      <c r="D469" s="20" t="str">
        <f t="shared" si="1400"/>
        <v>#REF!</v>
      </c>
      <c r="E469" s="20" t="str">
        <f t="shared" si="1270"/>
        <v>#REF!</v>
      </c>
      <c r="F469" s="22" t="str">
        <f t="shared" si="2"/>
        <v>#REF!</v>
      </c>
      <c r="G469" s="20" t="str">
        <f t="shared" ref="G469:I469" si="1401">#REF!</f>
        <v>#REF!</v>
      </c>
      <c r="H469" s="20" t="str">
        <f t="shared" si="1401"/>
        <v>#REF!</v>
      </c>
      <c r="I469" s="20" t="str">
        <f t="shared" si="1401"/>
        <v>#REF!</v>
      </c>
      <c r="J469" s="20" t="str">
        <f t="shared" si="1272"/>
        <v>#REF!</v>
      </c>
      <c r="K469" s="20" t="str">
        <f t="shared" ref="K469:L469" si="1402">#REF!</f>
        <v>#REF!</v>
      </c>
      <c r="L469" s="20" t="str">
        <f t="shared" si="1402"/>
        <v>#REF!</v>
      </c>
    </row>
    <row r="470">
      <c r="A470" s="20" t="str">
        <f t="shared" si="1267"/>
        <v>#REF!</v>
      </c>
      <c r="B470" s="20" t="str">
        <f t="shared" si="1268"/>
        <v>#REF!</v>
      </c>
      <c r="C470" s="20" t="str">
        <f t="shared" ref="C470:D470" si="1403">#REF!</f>
        <v>#REF!</v>
      </c>
      <c r="D470" s="20" t="str">
        <f t="shared" si="1403"/>
        <v>#REF!</v>
      </c>
      <c r="E470" s="20" t="str">
        <f t="shared" si="1270"/>
        <v>#REF!</v>
      </c>
      <c r="F470" s="22" t="str">
        <f t="shared" si="2"/>
        <v>#REF!</v>
      </c>
      <c r="G470" s="20" t="str">
        <f t="shared" ref="G470:I470" si="1404">#REF!</f>
        <v>#REF!</v>
      </c>
      <c r="H470" s="20" t="str">
        <f t="shared" si="1404"/>
        <v>#REF!</v>
      </c>
      <c r="I470" s="20" t="str">
        <f t="shared" si="1404"/>
        <v>#REF!</v>
      </c>
      <c r="J470" s="20" t="str">
        <f t="shared" si="1272"/>
        <v>#REF!</v>
      </c>
      <c r="K470" s="20" t="str">
        <f t="shared" ref="K470:L470" si="1405">#REF!</f>
        <v>#REF!</v>
      </c>
      <c r="L470" s="20" t="str">
        <f t="shared" si="1405"/>
        <v>#REF!</v>
      </c>
    </row>
    <row r="471">
      <c r="A471" s="20" t="str">
        <f t="shared" si="1267"/>
        <v>#REF!</v>
      </c>
      <c r="B471" s="20" t="str">
        <f t="shared" si="1268"/>
        <v>#REF!</v>
      </c>
      <c r="C471" s="20" t="str">
        <f t="shared" ref="C471:D471" si="1406">#REF!</f>
        <v>#REF!</v>
      </c>
      <c r="D471" s="20" t="str">
        <f t="shared" si="1406"/>
        <v>#REF!</v>
      </c>
      <c r="E471" s="20" t="str">
        <f t="shared" si="1270"/>
        <v>#REF!</v>
      </c>
      <c r="F471" s="22" t="str">
        <f t="shared" si="2"/>
        <v>#REF!</v>
      </c>
      <c r="G471" s="20" t="str">
        <f t="shared" ref="G471:I471" si="1407">#REF!</f>
        <v>#REF!</v>
      </c>
      <c r="H471" s="20" t="str">
        <f t="shared" si="1407"/>
        <v>#REF!</v>
      </c>
      <c r="I471" s="20" t="str">
        <f t="shared" si="1407"/>
        <v>#REF!</v>
      </c>
      <c r="J471" s="20" t="str">
        <f t="shared" si="1272"/>
        <v>#REF!</v>
      </c>
      <c r="K471" s="20" t="str">
        <f t="shared" ref="K471:L471" si="1408">#REF!</f>
        <v>#REF!</v>
      </c>
      <c r="L471" s="20" t="str">
        <f t="shared" si="1408"/>
        <v>#REF!</v>
      </c>
    </row>
    <row r="472">
      <c r="A472" s="20" t="str">
        <f t="shared" si="1267"/>
        <v>#REF!</v>
      </c>
      <c r="B472" s="20" t="str">
        <f t="shared" si="1268"/>
        <v>#REF!</v>
      </c>
      <c r="C472" s="20" t="str">
        <f t="shared" ref="C472:D472" si="1409">#REF!</f>
        <v>#REF!</v>
      </c>
      <c r="D472" s="20" t="str">
        <f t="shared" si="1409"/>
        <v>#REF!</v>
      </c>
      <c r="E472" s="20" t="str">
        <f t="shared" si="1270"/>
        <v>#REF!</v>
      </c>
      <c r="F472" s="22" t="str">
        <f t="shared" si="2"/>
        <v>#REF!</v>
      </c>
      <c r="G472" s="20" t="str">
        <f t="shared" ref="G472:I472" si="1410">#REF!</f>
        <v>#REF!</v>
      </c>
      <c r="H472" s="20" t="str">
        <f t="shared" si="1410"/>
        <v>#REF!</v>
      </c>
      <c r="I472" s="20" t="str">
        <f t="shared" si="1410"/>
        <v>#REF!</v>
      </c>
      <c r="J472" s="20" t="str">
        <f t="shared" si="1272"/>
        <v>#REF!</v>
      </c>
      <c r="K472" s="20" t="str">
        <f t="shared" ref="K472:L472" si="1411">#REF!</f>
        <v>#REF!</v>
      </c>
      <c r="L472" s="20" t="str">
        <f t="shared" si="1411"/>
        <v>#REF!</v>
      </c>
    </row>
    <row r="473">
      <c r="A473" s="20" t="str">
        <f t="shared" si="1267"/>
        <v>#REF!</v>
      </c>
      <c r="B473" s="20" t="str">
        <f t="shared" si="1268"/>
        <v>#REF!</v>
      </c>
      <c r="C473" s="20" t="str">
        <f t="shared" ref="C473:D473" si="1412">#REF!</f>
        <v>#REF!</v>
      </c>
      <c r="D473" s="20" t="str">
        <f t="shared" si="1412"/>
        <v>#REF!</v>
      </c>
      <c r="E473" s="20" t="str">
        <f t="shared" si="1270"/>
        <v>#REF!</v>
      </c>
      <c r="F473" s="22" t="str">
        <f t="shared" si="2"/>
        <v>#REF!</v>
      </c>
      <c r="G473" s="20" t="str">
        <f t="shared" ref="G473:I473" si="1413">#REF!</f>
        <v>#REF!</v>
      </c>
      <c r="H473" s="20" t="str">
        <f t="shared" si="1413"/>
        <v>#REF!</v>
      </c>
      <c r="I473" s="20" t="str">
        <f t="shared" si="1413"/>
        <v>#REF!</v>
      </c>
      <c r="J473" s="20" t="str">
        <f t="shared" si="1272"/>
        <v>#REF!</v>
      </c>
      <c r="K473" s="20" t="str">
        <f t="shared" ref="K473:L473" si="1414">#REF!</f>
        <v>#REF!</v>
      </c>
      <c r="L473" s="20" t="str">
        <f t="shared" si="1414"/>
        <v>#REF!</v>
      </c>
    </row>
    <row r="474">
      <c r="A474" s="20" t="str">
        <f t="shared" si="1267"/>
        <v>#REF!</v>
      </c>
      <c r="B474" s="20" t="str">
        <f t="shared" si="1268"/>
        <v>#REF!</v>
      </c>
      <c r="C474" s="20" t="str">
        <f t="shared" ref="C474:D474" si="1415">#REF!</f>
        <v>#REF!</v>
      </c>
      <c r="D474" s="20" t="str">
        <f t="shared" si="1415"/>
        <v>#REF!</v>
      </c>
      <c r="E474" s="20" t="str">
        <f t="shared" si="1270"/>
        <v>#REF!</v>
      </c>
      <c r="F474" s="22" t="str">
        <f t="shared" si="2"/>
        <v>#REF!</v>
      </c>
      <c r="G474" s="20" t="str">
        <f t="shared" ref="G474:I474" si="1416">#REF!</f>
        <v>#REF!</v>
      </c>
      <c r="H474" s="20" t="str">
        <f t="shared" si="1416"/>
        <v>#REF!</v>
      </c>
      <c r="I474" s="20" t="str">
        <f t="shared" si="1416"/>
        <v>#REF!</v>
      </c>
      <c r="J474" s="20" t="str">
        <f t="shared" si="1272"/>
        <v>#REF!</v>
      </c>
      <c r="K474" s="20" t="str">
        <f t="shared" ref="K474:L474" si="1417">#REF!</f>
        <v>#REF!</v>
      </c>
      <c r="L474" s="20" t="str">
        <f t="shared" si="1417"/>
        <v>#REF!</v>
      </c>
    </row>
    <row r="475">
      <c r="A475" s="20" t="str">
        <f t="shared" si="1267"/>
        <v>#REF!</v>
      </c>
      <c r="B475" s="20" t="str">
        <f t="shared" si="1268"/>
        <v>#REF!</v>
      </c>
      <c r="C475" s="20" t="str">
        <f t="shared" ref="C475:D475" si="1418">#REF!</f>
        <v>#REF!</v>
      </c>
      <c r="D475" s="20" t="str">
        <f t="shared" si="1418"/>
        <v>#REF!</v>
      </c>
      <c r="E475" s="20" t="str">
        <f t="shared" si="1270"/>
        <v>#REF!</v>
      </c>
      <c r="F475" s="22" t="str">
        <f t="shared" si="2"/>
        <v>#REF!</v>
      </c>
      <c r="G475" s="20" t="str">
        <f t="shared" ref="G475:I475" si="1419">#REF!</f>
        <v>#REF!</v>
      </c>
      <c r="H475" s="20" t="str">
        <f t="shared" si="1419"/>
        <v>#REF!</v>
      </c>
      <c r="I475" s="20" t="str">
        <f t="shared" si="1419"/>
        <v>#REF!</v>
      </c>
      <c r="J475" s="20" t="str">
        <f t="shared" si="1272"/>
        <v>#REF!</v>
      </c>
      <c r="K475" s="20" t="str">
        <f t="shared" ref="K475:L475" si="1420">#REF!</f>
        <v>#REF!</v>
      </c>
      <c r="L475" s="20" t="str">
        <f t="shared" si="1420"/>
        <v>#REF!</v>
      </c>
    </row>
    <row r="476">
      <c r="A476" s="20" t="str">
        <f t="shared" si="1267"/>
        <v>#REF!</v>
      </c>
      <c r="B476" s="20" t="str">
        <f t="shared" si="1268"/>
        <v>#REF!</v>
      </c>
      <c r="C476" s="20" t="str">
        <f t="shared" ref="C476:D476" si="1421">#REF!</f>
        <v>#REF!</v>
      </c>
      <c r="D476" s="20" t="str">
        <f t="shared" si="1421"/>
        <v>#REF!</v>
      </c>
      <c r="E476" s="20" t="str">
        <f t="shared" si="1270"/>
        <v>#REF!</v>
      </c>
      <c r="F476" s="22" t="str">
        <f t="shared" si="2"/>
        <v>#REF!</v>
      </c>
      <c r="G476" s="20" t="str">
        <f t="shared" ref="G476:I476" si="1422">#REF!</f>
        <v>#REF!</v>
      </c>
      <c r="H476" s="20" t="str">
        <f t="shared" si="1422"/>
        <v>#REF!</v>
      </c>
      <c r="I476" s="20" t="str">
        <f t="shared" si="1422"/>
        <v>#REF!</v>
      </c>
      <c r="J476" s="20" t="str">
        <f t="shared" si="1272"/>
        <v>#REF!</v>
      </c>
      <c r="K476" s="20" t="str">
        <f t="shared" ref="K476:L476" si="1423">#REF!</f>
        <v>#REF!</v>
      </c>
      <c r="L476" s="20" t="str">
        <f t="shared" si="1423"/>
        <v>#REF!</v>
      </c>
    </row>
    <row r="477">
      <c r="A477" s="20" t="str">
        <f t="shared" si="1267"/>
        <v>#REF!</v>
      </c>
      <c r="B477" s="20" t="str">
        <f t="shared" si="1268"/>
        <v>#REF!</v>
      </c>
      <c r="C477" s="20" t="str">
        <f t="shared" ref="C477:D477" si="1424">#REF!</f>
        <v>#REF!</v>
      </c>
      <c r="D477" s="20" t="str">
        <f t="shared" si="1424"/>
        <v>#REF!</v>
      </c>
      <c r="E477" s="20" t="str">
        <f t="shared" si="1270"/>
        <v>#REF!</v>
      </c>
      <c r="F477" s="22" t="str">
        <f t="shared" si="2"/>
        <v>#REF!</v>
      </c>
      <c r="G477" s="20" t="str">
        <f t="shared" ref="G477:I477" si="1425">#REF!</f>
        <v>#REF!</v>
      </c>
      <c r="H477" s="20" t="str">
        <f t="shared" si="1425"/>
        <v>#REF!</v>
      </c>
      <c r="I477" s="20" t="str">
        <f t="shared" si="1425"/>
        <v>#REF!</v>
      </c>
      <c r="J477" s="20" t="str">
        <f t="shared" si="1272"/>
        <v>#REF!</v>
      </c>
      <c r="K477" s="20" t="str">
        <f t="shared" ref="K477:L477" si="1426">#REF!</f>
        <v>#REF!</v>
      </c>
      <c r="L477" s="20" t="str">
        <f t="shared" si="1426"/>
        <v>#REF!</v>
      </c>
    </row>
    <row r="478">
      <c r="A478" s="20" t="str">
        <f t="shared" si="1267"/>
        <v>#REF!</v>
      </c>
      <c r="B478" s="20" t="str">
        <f t="shared" si="1268"/>
        <v>#REF!</v>
      </c>
      <c r="C478" s="20" t="str">
        <f t="shared" ref="C478:D478" si="1427">#REF!</f>
        <v>#REF!</v>
      </c>
      <c r="D478" s="20" t="str">
        <f t="shared" si="1427"/>
        <v>#REF!</v>
      </c>
      <c r="E478" s="20" t="str">
        <f t="shared" si="1270"/>
        <v>#REF!</v>
      </c>
      <c r="F478" s="22" t="str">
        <f t="shared" si="2"/>
        <v>#REF!</v>
      </c>
      <c r="G478" s="20" t="str">
        <f t="shared" ref="G478:I478" si="1428">#REF!</f>
        <v>#REF!</v>
      </c>
      <c r="H478" s="20" t="str">
        <f t="shared" si="1428"/>
        <v>#REF!</v>
      </c>
      <c r="I478" s="20" t="str">
        <f t="shared" si="1428"/>
        <v>#REF!</v>
      </c>
      <c r="J478" s="20" t="str">
        <f t="shared" si="1272"/>
        <v>#REF!</v>
      </c>
      <c r="K478" s="20" t="str">
        <f t="shared" ref="K478:L478" si="1429">#REF!</f>
        <v>#REF!</v>
      </c>
      <c r="L478" s="20" t="str">
        <f t="shared" si="1429"/>
        <v>#REF!</v>
      </c>
    </row>
    <row r="479">
      <c r="A479" s="20" t="str">
        <f t="shared" si="1267"/>
        <v>#REF!</v>
      </c>
      <c r="B479" s="20" t="str">
        <f t="shared" si="1268"/>
        <v>#REF!</v>
      </c>
      <c r="C479" s="20" t="str">
        <f t="shared" ref="C479:D479" si="1430">#REF!</f>
        <v>#REF!</v>
      </c>
      <c r="D479" s="20" t="str">
        <f t="shared" si="1430"/>
        <v>#REF!</v>
      </c>
      <c r="E479" s="20" t="str">
        <f t="shared" si="1270"/>
        <v>#REF!</v>
      </c>
      <c r="F479" s="22" t="str">
        <f t="shared" si="2"/>
        <v>#REF!</v>
      </c>
      <c r="G479" s="20" t="str">
        <f t="shared" ref="G479:I479" si="1431">#REF!</f>
        <v>#REF!</v>
      </c>
      <c r="H479" s="20" t="str">
        <f t="shared" si="1431"/>
        <v>#REF!</v>
      </c>
      <c r="I479" s="20" t="str">
        <f t="shared" si="1431"/>
        <v>#REF!</v>
      </c>
      <c r="J479" s="20" t="str">
        <f t="shared" si="1272"/>
        <v>#REF!</v>
      </c>
      <c r="K479" s="20" t="str">
        <f t="shared" ref="K479:L479" si="1432">#REF!</f>
        <v>#REF!</v>
      </c>
      <c r="L479" s="20" t="str">
        <f t="shared" si="1432"/>
        <v>#REF!</v>
      </c>
    </row>
    <row r="480">
      <c r="A480" s="20" t="str">
        <f t="shared" si="1267"/>
        <v>#REF!</v>
      </c>
      <c r="B480" s="20" t="str">
        <f t="shared" si="1268"/>
        <v>#REF!</v>
      </c>
      <c r="C480" s="20" t="str">
        <f t="shared" ref="C480:D480" si="1433">#REF!</f>
        <v>#REF!</v>
      </c>
      <c r="D480" s="20" t="str">
        <f t="shared" si="1433"/>
        <v>#REF!</v>
      </c>
      <c r="E480" s="20" t="str">
        <f t="shared" si="1270"/>
        <v>#REF!</v>
      </c>
      <c r="F480" s="22" t="str">
        <f t="shared" si="2"/>
        <v>#REF!</v>
      </c>
      <c r="G480" s="20" t="str">
        <f t="shared" ref="G480:I480" si="1434">#REF!</f>
        <v>#REF!</v>
      </c>
      <c r="H480" s="20" t="str">
        <f t="shared" si="1434"/>
        <v>#REF!</v>
      </c>
      <c r="I480" s="20" t="str">
        <f t="shared" si="1434"/>
        <v>#REF!</v>
      </c>
      <c r="J480" s="20" t="str">
        <f t="shared" si="1272"/>
        <v>#REF!</v>
      </c>
      <c r="K480" s="20" t="str">
        <f t="shared" ref="K480:L480" si="1435">#REF!</f>
        <v>#REF!</v>
      </c>
      <c r="L480" s="20" t="str">
        <f t="shared" si="1435"/>
        <v>#REF!</v>
      </c>
    </row>
    <row r="481">
      <c r="A481" s="20" t="str">
        <f t="shared" si="1267"/>
        <v>#REF!</v>
      </c>
      <c r="B481" s="20" t="str">
        <f t="shared" si="1268"/>
        <v>#REF!</v>
      </c>
      <c r="C481" s="20" t="str">
        <f t="shared" ref="C481:D481" si="1436">#REF!</f>
        <v>#REF!</v>
      </c>
      <c r="D481" s="20" t="str">
        <f t="shared" si="1436"/>
        <v>#REF!</v>
      </c>
      <c r="E481" s="20" t="str">
        <f t="shared" si="1270"/>
        <v>#REF!</v>
      </c>
      <c r="F481" s="22" t="str">
        <f t="shared" si="2"/>
        <v>#REF!</v>
      </c>
      <c r="G481" s="20" t="str">
        <f t="shared" ref="G481:I481" si="1437">#REF!</f>
        <v>#REF!</v>
      </c>
      <c r="H481" s="20" t="str">
        <f t="shared" si="1437"/>
        <v>#REF!</v>
      </c>
      <c r="I481" s="20" t="str">
        <f t="shared" si="1437"/>
        <v>#REF!</v>
      </c>
      <c r="J481" s="20" t="str">
        <f t="shared" si="1272"/>
        <v>#REF!</v>
      </c>
      <c r="K481" s="20" t="str">
        <f t="shared" ref="K481:L481" si="1438">#REF!</f>
        <v>#REF!</v>
      </c>
      <c r="L481" s="20" t="str">
        <f t="shared" si="1438"/>
        <v>#REF!</v>
      </c>
    </row>
    <row r="482">
      <c r="A482" s="20" t="str">
        <f t="shared" si="1267"/>
        <v>#REF!</v>
      </c>
      <c r="B482" s="20" t="str">
        <f t="shared" si="1268"/>
        <v>#REF!</v>
      </c>
      <c r="C482" s="20" t="str">
        <f t="shared" ref="C482:D482" si="1439">#REF!</f>
        <v>#REF!</v>
      </c>
      <c r="D482" s="20" t="str">
        <f t="shared" si="1439"/>
        <v>#REF!</v>
      </c>
      <c r="E482" s="20" t="str">
        <f t="shared" si="1270"/>
        <v>#REF!</v>
      </c>
      <c r="F482" s="22" t="str">
        <f t="shared" si="2"/>
        <v>#REF!</v>
      </c>
      <c r="G482" s="20" t="str">
        <f t="shared" ref="G482:I482" si="1440">#REF!</f>
        <v>#REF!</v>
      </c>
      <c r="H482" s="20" t="str">
        <f t="shared" si="1440"/>
        <v>#REF!</v>
      </c>
      <c r="I482" s="20" t="str">
        <f t="shared" si="1440"/>
        <v>#REF!</v>
      </c>
      <c r="J482" s="20" t="str">
        <f t="shared" si="1272"/>
        <v>#REF!</v>
      </c>
      <c r="K482" s="20" t="str">
        <f t="shared" ref="K482:L482" si="1441">#REF!</f>
        <v>#REF!</v>
      </c>
      <c r="L482" s="20" t="str">
        <f t="shared" si="1441"/>
        <v>#REF!</v>
      </c>
    </row>
    <row r="483">
      <c r="A483" s="20" t="str">
        <f t="shared" si="1267"/>
        <v>#REF!</v>
      </c>
      <c r="B483" s="20" t="str">
        <f t="shared" si="1268"/>
        <v>#REF!</v>
      </c>
      <c r="C483" s="20" t="str">
        <f t="shared" ref="C483:D483" si="1442">#REF!</f>
        <v>#REF!</v>
      </c>
      <c r="D483" s="20" t="str">
        <f t="shared" si="1442"/>
        <v>#REF!</v>
      </c>
      <c r="E483" s="20" t="str">
        <f t="shared" si="1270"/>
        <v>#REF!</v>
      </c>
      <c r="F483" s="22" t="str">
        <f t="shared" si="2"/>
        <v>#REF!</v>
      </c>
      <c r="G483" s="20" t="str">
        <f t="shared" ref="G483:I483" si="1443">#REF!</f>
        <v>#REF!</v>
      </c>
      <c r="H483" s="20" t="str">
        <f t="shared" si="1443"/>
        <v>#REF!</v>
      </c>
      <c r="I483" s="20" t="str">
        <f t="shared" si="1443"/>
        <v>#REF!</v>
      </c>
      <c r="J483" s="20" t="str">
        <f t="shared" si="1272"/>
        <v>#REF!</v>
      </c>
      <c r="K483" s="20" t="str">
        <f t="shared" ref="K483:L483" si="1444">#REF!</f>
        <v>#REF!</v>
      </c>
      <c r="L483" s="20" t="str">
        <f t="shared" si="1444"/>
        <v>#REF!</v>
      </c>
    </row>
    <row r="484">
      <c r="A484" s="20" t="str">
        <f t="shared" si="1267"/>
        <v>#REF!</v>
      </c>
      <c r="B484" s="20" t="str">
        <f t="shared" si="1268"/>
        <v>#REF!</v>
      </c>
      <c r="C484" s="20" t="str">
        <f t="shared" ref="C484:D484" si="1445">#REF!</f>
        <v>#REF!</v>
      </c>
      <c r="D484" s="20" t="str">
        <f t="shared" si="1445"/>
        <v>#REF!</v>
      </c>
      <c r="E484" s="20" t="str">
        <f t="shared" si="1270"/>
        <v>#REF!</v>
      </c>
      <c r="F484" s="22" t="str">
        <f t="shared" si="2"/>
        <v>#REF!</v>
      </c>
      <c r="G484" s="20" t="str">
        <f t="shared" ref="G484:I484" si="1446">#REF!</f>
        <v>#REF!</v>
      </c>
      <c r="H484" s="20" t="str">
        <f t="shared" si="1446"/>
        <v>#REF!</v>
      </c>
      <c r="I484" s="20" t="str">
        <f t="shared" si="1446"/>
        <v>#REF!</v>
      </c>
      <c r="J484" s="20" t="str">
        <f t="shared" si="1272"/>
        <v>#REF!</v>
      </c>
      <c r="K484" s="20" t="str">
        <f t="shared" ref="K484:L484" si="1447">#REF!</f>
        <v>#REF!</v>
      </c>
      <c r="L484" s="20" t="str">
        <f t="shared" si="1447"/>
        <v>#REF!</v>
      </c>
    </row>
    <row r="485">
      <c r="A485" s="20" t="str">
        <f t="shared" si="1267"/>
        <v>#REF!</v>
      </c>
      <c r="B485" s="20" t="str">
        <f t="shared" si="1268"/>
        <v>#REF!</v>
      </c>
      <c r="C485" s="20" t="str">
        <f t="shared" ref="C485:D485" si="1448">#REF!</f>
        <v>#REF!</v>
      </c>
      <c r="D485" s="20" t="str">
        <f t="shared" si="1448"/>
        <v>#REF!</v>
      </c>
      <c r="E485" s="20" t="str">
        <f t="shared" si="1270"/>
        <v>#REF!</v>
      </c>
      <c r="F485" s="22" t="str">
        <f t="shared" si="2"/>
        <v>#REF!</v>
      </c>
      <c r="G485" s="20" t="str">
        <f t="shared" ref="G485:I485" si="1449">#REF!</f>
        <v>#REF!</v>
      </c>
      <c r="H485" s="20" t="str">
        <f t="shared" si="1449"/>
        <v>#REF!</v>
      </c>
      <c r="I485" s="20" t="str">
        <f t="shared" si="1449"/>
        <v>#REF!</v>
      </c>
      <c r="J485" s="20" t="str">
        <f t="shared" si="1272"/>
        <v>#REF!</v>
      </c>
      <c r="K485" s="20" t="str">
        <f t="shared" ref="K485:L485" si="1450">#REF!</f>
        <v>#REF!</v>
      </c>
      <c r="L485" s="20" t="str">
        <f t="shared" si="1450"/>
        <v>#REF!</v>
      </c>
    </row>
    <row r="486">
      <c r="A486" s="20" t="str">
        <f t="shared" si="1267"/>
        <v>#REF!</v>
      </c>
      <c r="B486" s="20" t="str">
        <f t="shared" si="1268"/>
        <v>#REF!</v>
      </c>
      <c r="C486" s="20" t="str">
        <f t="shared" ref="C486:D486" si="1451">#REF!</f>
        <v>#REF!</v>
      </c>
      <c r="D486" s="20" t="str">
        <f t="shared" si="1451"/>
        <v>#REF!</v>
      </c>
      <c r="E486" s="20" t="str">
        <f t="shared" si="1270"/>
        <v>#REF!</v>
      </c>
      <c r="F486" s="22" t="str">
        <f t="shared" si="2"/>
        <v>#REF!</v>
      </c>
      <c r="G486" s="20" t="str">
        <f t="shared" ref="G486:I486" si="1452">#REF!</f>
        <v>#REF!</v>
      </c>
      <c r="H486" s="20" t="str">
        <f t="shared" si="1452"/>
        <v>#REF!</v>
      </c>
      <c r="I486" s="20" t="str">
        <f t="shared" si="1452"/>
        <v>#REF!</v>
      </c>
      <c r="J486" s="20" t="str">
        <f t="shared" si="1272"/>
        <v>#REF!</v>
      </c>
      <c r="K486" s="20" t="str">
        <f t="shared" ref="K486:L486" si="1453">#REF!</f>
        <v>#REF!</v>
      </c>
      <c r="L486" s="20" t="str">
        <f t="shared" si="1453"/>
        <v>#REF!</v>
      </c>
    </row>
    <row r="487">
      <c r="A487" s="20" t="str">
        <f t="shared" si="1267"/>
        <v>#REF!</v>
      </c>
      <c r="B487" s="20" t="str">
        <f t="shared" si="1268"/>
        <v>#REF!</v>
      </c>
      <c r="C487" s="20" t="str">
        <f t="shared" ref="C487:D487" si="1454">#REF!</f>
        <v>#REF!</v>
      </c>
      <c r="D487" s="20" t="str">
        <f t="shared" si="1454"/>
        <v>#REF!</v>
      </c>
      <c r="E487" s="20" t="str">
        <f t="shared" si="1270"/>
        <v>#REF!</v>
      </c>
      <c r="F487" s="22" t="str">
        <f t="shared" si="2"/>
        <v>#REF!</v>
      </c>
      <c r="G487" s="20" t="str">
        <f t="shared" ref="G487:I487" si="1455">#REF!</f>
        <v>#REF!</v>
      </c>
      <c r="H487" s="20" t="str">
        <f t="shared" si="1455"/>
        <v>#REF!</v>
      </c>
      <c r="I487" s="20" t="str">
        <f t="shared" si="1455"/>
        <v>#REF!</v>
      </c>
      <c r="J487" s="20" t="str">
        <f t="shared" si="1272"/>
        <v>#REF!</v>
      </c>
      <c r="K487" s="20" t="str">
        <f t="shared" ref="K487:L487" si="1456">#REF!</f>
        <v>#REF!</v>
      </c>
      <c r="L487" s="20" t="str">
        <f t="shared" si="1456"/>
        <v>#REF!</v>
      </c>
    </row>
    <row r="488">
      <c r="A488" s="20" t="str">
        <f t="shared" si="1267"/>
        <v>#REF!</v>
      </c>
      <c r="B488" s="20" t="str">
        <f t="shared" si="1268"/>
        <v>#REF!</v>
      </c>
      <c r="C488" s="20" t="str">
        <f t="shared" ref="C488:D488" si="1457">#REF!</f>
        <v>#REF!</v>
      </c>
      <c r="D488" s="20" t="str">
        <f t="shared" si="1457"/>
        <v>#REF!</v>
      </c>
      <c r="E488" s="20" t="str">
        <f t="shared" si="1270"/>
        <v>#REF!</v>
      </c>
      <c r="F488" s="22" t="str">
        <f t="shared" si="2"/>
        <v>#REF!</v>
      </c>
      <c r="G488" s="20" t="str">
        <f t="shared" ref="G488:I488" si="1458">#REF!</f>
        <v>#REF!</v>
      </c>
      <c r="H488" s="20" t="str">
        <f t="shared" si="1458"/>
        <v>#REF!</v>
      </c>
      <c r="I488" s="20" t="str">
        <f t="shared" si="1458"/>
        <v>#REF!</v>
      </c>
      <c r="J488" s="20" t="str">
        <f t="shared" si="1272"/>
        <v>#REF!</v>
      </c>
      <c r="K488" s="20" t="str">
        <f t="shared" ref="K488:L488" si="1459">#REF!</f>
        <v>#REF!</v>
      </c>
      <c r="L488" s="20" t="str">
        <f t="shared" si="1459"/>
        <v>#REF!</v>
      </c>
    </row>
    <row r="489">
      <c r="A489" s="20" t="str">
        <f t="shared" si="1267"/>
        <v>#REF!</v>
      </c>
      <c r="B489" s="20" t="str">
        <f t="shared" si="1268"/>
        <v>#REF!</v>
      </c>
      <c r="C489" s="20" t="str">
        <f t="shared" ref="C489:D489" si="1460">#REF!</f>
        <v>#REF!</v>
      </c>
      <c r="D489" s="20" t="str">
        <f t="shared" si="1460"/>
        <v>#REF!</v>
      </c>
      <c r="E489" s="20" t="str">
        <f t="shared" si="1270"/>
        <v>#REF!</v>
      </c>
      <c r="F489" s="22" t="str">
        <f t="shared" si="2"/>
        <v>#REF!</v>
      </c>
      <c r="G489" s="20" t="str">
        <f t="shared" ref="G489:I489" si="1461">#REF!</f>
        <v>#REF!</v>
      </c>
      <c r="H489" s="20" t="str">
        <f t="shared" si="1461"/>
        <v>#REF!</v>
      </c>
      <c r="I489" s="20" t="str">
        <f t="shared" si="1461"/>
        <v>#REF!</v>
      </c>
      <c r="J489" s="20" t="str">
        <f t="shared" si="1272"/>
        <v>#REF!</v>
      </c>
      <c r="K489" s="20" t="str">
        <f t="shared" ref="K489:L489" si="1462">#REF!</f>
        <v>#REF!</v>
      </c>
      <c r="L489" s="20" t="str">
        <f t="shared" si="1462"/>
        <v>#REF!</v>
      </c>
    </row>
    <row r="490">
      <c r="A490" s="20" t="str">
        <f t="shared" si="1267"/>
        <v>#REF!</v>
      </c>
      <c r="B490" s="20" t="str">
        <f t="shared" si="1268"/>
        <v>#REF!</v>
      </c>
      <c r="C490" s="20" t="str">
        <f t="shared" ref="C490:D490" si="1463">#REF!</f>
        <v>#REF!</v>
      </c>
      <c r="D490" s="20" t="str">
        <f t="shared" si="1463"/>
        <v>#REF!</v>
      </c>
      <c r="E490" s="20" t="str">
        <f t="shared" si="1270"/>
        <v>#REF!</v>
      </c>
      <c r="F490" s="22" t="str">
        <f t="shared" si="2"/>
        <v>#REF!</v>
      </c>
      <c r="G490" s="20" t="str">
        <f t="shared" ref="G490:I490" si="1464">#REF!</f>
        <v>#REF!</v>
      </c>
      <c r="H490" s="20" t="str">
        <f t="shared" si="1464"/>
        <v>#REF!</v>
      </c>
      <c r="I490" s="20" t="str">
        <f t="shared" si="1464"/>
        <v>#REF!</v>
      </c>
      <c r="J490" s="20" t="str">
        <f t="shared" si="1272"/>
        <v>#REF!</v>
      </c>
      <c r="K490" s="20" t="str">
        <f t="shared" ref="K490:L490" si="1465">#REF!</f>
        <v>#REF!</v>
      </c>
      <c r="L490" s="20" t="str">
        <f t="shared" si="1465"/>
        <v>#REF!</v>
      </c>
    </row>
    <row r="491">
      <c r="A491" s="20" t="str">
        <f t="shared" si="1267"/>
        <v>#REF!</v>
      </c>
      <c r="B491" s="20" t="str">
        <f t="shared" si="1268"/>
        <v>#REF!</v>
      </c>
      <c r="C491" s="20" t="str">
        <f t="shared" ref="C491:D491" si="1466">#REF!</f>
        <v>#REF!</v>
      </c>
      <c r="D491" s="20" t="str">
        <f t="shared" si="1466"/>
        <v>#REF!</v>
      </c>
      <c r="E491" s="20" t="str">
        <f t="shared" si="1270"/>
        <v>#REF!</v>
      </c>
      <c r="F491" s="22" t="str">
        <f t="shared" si="2"/>
        <v>#REF!</v>
      </c>
      <c r="G491" s="20" t="str">
        <f t="shared" ref="G491:I491" si="1467">#REF!</f>
        <v>#REF!</v>
      </c>
      <c r="H491" s="20" t="str">
        <f t="shared" si="1467"/>
        <v>#REF!</v>
      </c>
      <c r="I491" s="20" t="str">
        <f t="shared" si="1467"/>
        <v>#REF!</v>
      </c>
      <c r="J491" s="20" t="str">
        <f t="shared" si="1272"/>
        <v>#REF!</v>
      </c>
      <c r="K491" s="20" t="str">
        <f t="shared" ref="K491:L491" si="1468">#REF!</f>
        <v>#REF!</v>
      </c>
      <c r="L491" s="20" t="str">
        <f t="shared" si="1468"/>
        <v>#REF!</v>
      </c>
    </row>
    <row r="492">
      <c r="A492" s="20" t="str">
        <f t="shared" si="1267"/>
        <v>#REF!</v>
      </c>
      <c r="B492" s="20" t="str">
        <f t="shared" si="1268"/>
        <v>#REF!</v>
      </c>
      <c r="C492" s="20" t="str">
        <f t="shared" ref="C492:D492" si="1469">#REF!</f>
        <v>#REF!</v>
      </c>
      <c r="D492" s="20" t="str">
        <f t="shared" si="1469"/>
        <v>#REF!</v>
      </c>
      <c r="E492" s="20" t="str">
        <f t="shared" si="1270"/>
        <v>#REF!</v>
      </c>
      <c r="F492" s="22" t="str">
        <f t="shared" si="2"/>
        <v>#REF!</v>
      </c>
      <c r="G492" s="20" t="str">
        <f t="shared" ref="G492:I492" si="1470">#REF!</f>
        <v>#REF!</v>
      </c>
      <c r="H492" s="20" t="str">
        <f t="shared" si="1470"/>
        <v>#REF!</v>
      </c>
      <c r="I492" s="20" t="str">
        <f t="shared" si="1470"/>
        <v>#REF!</v>
      </c>
      <c r="J492" s="20" t="str">
        <f t="shared" si="1272"/>
        <v>#REF!</v>
      </c>
      <c r="K492" s="20" t="str">
        <f t="shared" ref="K492:L492" si="1471">#REF!</f>
        <v>#REF!</v>
      </c>
      <c r="L492" s="20" t="str">
        <f t="shared" si="1471"/>
        <v>#REF!</v>
      </c>
    </row>
    <row r="493">
      <c r="A493" s="20" t="str">
        <f t="shared" si="1267"/>
        <v>#REF!</v>
      </c>
      <c r="B493" s="20" t="str">
        <f t="shared" si="1268"/>
        <v>#REF!</v>
      </c>
      <c r="C493" s="20" t="str">
        <f t="shared" ref="C493:D493" si="1472">#REF!</f>
        <v>#REF!</v>
      </c>
      <c r="D493" s="20" t="str">
        <f t="shared" si="1472"/>
        <v>#REF!</v>
      </c>
      <c r="E493" s="20" t="str">
        <f t="shared" si="1270"/>
        <v>#REF!</v>
      </c>
      <c r="F493" s="22" t="str">
        <f t="shared" si="2"/>
        <v>#REF!</v>
      </c>
      <c r="G493" s="20" t="str">
        <f t="shared" ref="G493:I493" si="1473">#REF!</f>
        <v>#REF!</v>
      </c>
      <c r="H493" s="20" t="str">
        <f t="shared" si="1473"/>
        <v>#REF!</v>
      </c>
      <c r="I493" s="20" t="str">
        <f t="shared" si="1473"/>
        <v>#REF!</v>
      </c>
      <c r="J493" s="20" t="str">
        <f t="shared" si="1272"/>
        <v>#REF!</v>
      </c>
      <c r="K493" s="20" t="str">
        <f t="shared" ref="K493:L493" si="1474">#REF!</f>
        <v>#REF!</v>
      </c>
      <c r="L493" s="20" t="str">
        <f t="shared" si="1474"/>
        <v>#REF!</v>
      </c>
    </row>
    <row r="494">
      <c r="A494" s="20" t="str">
        <f t="shared" si="1267"/>
        <v>#REF!</v>
      </c>
      <c r="B494" s="20" t="str">
        <f t="shared" si="1268"/>
        <v>#REF!</v>
      </c>
      <c r="C494" s="20" t="str">
        <f t="shared" ref="C494:D494" si="1475">#REF!</f>
        <v>#REF!</v>
      </c>
      <c r="D494" s="20" t="str">
        <f t="shared" si="1475"/>
        <v>#REF!</v>
      </c>
      <c r="E494" s="20" t="str">
        <f t="shared" si="1270"/>
        <v>#REF!</v>
      </c>
      <c r="F494" s="22" t="str">
        <f t="shared" si="2"/>
        <v>#REF!</v>
      </c>
      <c r="G494" s="20" t="str">
        <f t="shared" ref="G494:I494" si="1476">#REF!</f>
        <v>#REF!</v>
      </c>
      <c r="H494" s="20" t="str">
        <f t="shared" si="1476"/>
        <v>#REF!</v>
      </c>
      <c r="I494" s="20" t="str">
        <f t="shared" si="1476"/>
        <v>#REF!</v>
      </c>
      <c r="J494" s="20" t="str">
        <f t="shared" si="1272"/>
        <v>#REF!</v>
      </c>
      <c r="K494" s="20" t="str">
        <f t="shared" ref="K494:L494" si="1477">#REF!</f>
        <v>#REF!</v>
      </c>
      <c r="L494" s="20" t="str">
        <f t="shared" si="1477"/>
        <v>#REF!</v>
      </c>
    </row>
    <row r="495">
      <c r="A495" s="20" t="str">
        <f t="shared" si="1267"/>
        <v>#REF!</v>
      </c>
      <c r="B495" s="20" t="str">
        <f t="shared" si="1268"/>
        <v>#REF!</v>
      </c>
      <c r="C495" s="20" t="str">
        <f t="shared" ref="C495:D495" si="1478">#REF!</f>
        <v>#REF!</v>
      </c>
      <c r="D495" s="20" t="str">
        <f t="shared" si="1478"/>
        <v>#REF!</v>
      </c>
      <c r="E495" s="20" t="str">
        <f t="shared" si="1270"/>
        <v>#REF!</v>
      </c>
      <c r="F495" s="22" t="str">
        <f t="shared" si="2"/>
        <v>#REF!</v>
      </c>
      <c r="G495" s="20" t="str">
        <f t="shared" ref="G495:I495" si="1479">#REF!</f>
        <v>#REF!</v>
      </c>
      <c r="H495" s="20" t="str">
        <f t="shared" si="1479"/>
        <v>#REF!</v>
      </c>
      <c r="I495" s="20" t="str">
        <f t="shared" si="1479"/>
        <v>#REF!</v>
      </c>
      <c r="J495" s="20" t="str">
        <f t="shared" si="1272"/>
        <v>#REF!</v>
      </c>
      <c r="K495" s="20" t="str">
        <f t="shared" ref="K495:L495" si="1480">#REF!</f>
        <v>#REF!</v>
      </c>
      <c r="L495" s="20" t="str">
        <f t="shared" si="1480"/>
        <v>#REF!</v>
      </c>
    </row>
    <row r="496">
      <c r="A496" s="20" t="str">
        <f t="shared" si="1267"/>
        <v>#REF!</v>
      </c>
      <c r="B496" s="20" t="str">
        <f t="shared" si="1268"/>
        <v>#REF!</v>
      </c>
      <c r="C496" s="20" t="str">
        <f t="shared" ref="C496:D496" si="1481">#REF!</f>
        <v>#REF!</v>
      </c>
      <c r="D496" s="20" t="str">
        <f t="shared" si="1481"/>
        <v>#REF!</v>
      </c>
      <c r="E496" s="20" t="str">
        <f t="shared" si="1270"/>
        <v>#REF!</v>
      </c>
      <c r="F496" s="22" t="str">
        <f t="shared" si="2"/>
        <v>#REF!</v>
      </c>
      <c r="G496" s="20" t="str">
        <f t="shared" ref="G496:I496" si="1482">#REF!</f>
        <v>#REF!</v>
      </c>
      <c r="H496" s="20" t="str">
        <f t="shared" si="1482"/>
        <v>#REF!</v>
      </c>
      <c r="I496" s="20" t="str">
        <f t="shared" si="1482"/>
        <v>#REF!</v>
      </c>
      <c r="J496" s="20" t="str">
        <f t="shared" si="1272"/>
        <v>#REF!</v>
      </c>
      <c r="K496" s="20" t="str">
        <f t="shared" ref="K496:L496" si="1483">#REF!</f>
        <v>#REF!</v>
      </c>
      <c r="L496" s="20" t="str">
        <f t="shared" si="1483"/>
        <v>#REF!</v>
      </c>
    </row>
    <row r="497">
      <c r="A497" s="20" t="str">
        <f t="shared" si="1267"/>
        <v>#REF!</v>
      </c>
      <c r="B497" s="20" t="str">
        <f t="shared" si="1268"/>
        <v>#REF!</v>
      </c>
      <c r="C497" s="20" t="str">
        <f t="shared" ref="C497:D497" si="1484">#REF!</f>
        <v>#REF!</v>
      </c>
      <c r="D497" s="20" t="str">
        <f t="shared" si="1484"/>
        <v>#REF!</v>
      </c>
      <c r="E497" s="20" t="str">
        <f t="shared" si="1270"/>
        <v>#REF!</v>
      </c>
      <c r="F497" s="22" t="str">
        <f t="shared" si="2"/>
        <v>#REF!</v>
      </c>
      <c r="G497" s="20" t="str">
        <f t="shared" ref="G497:I497" si="1485">#REF!</f>
        <v>#REF!</v>
      </c>
      <c r="H497" s="20" t="str">
        <f t="shared" si="1485"/>
        <v>#REF!</v>
      </c>
      <c r="I497" s="20" t="str">
        <f t="shared" si="1485"/>
        <v>#REF!</v>
      </c>
      <c r="J497" s="20" t="str">
        <f t="shared" si="1272"/>
        <v>#REF!</v>
      </c>
      <c r="K497" s="20" t="str">
        <f t="shared" ref="K497:L497" si="1486">#REF!</f>
        <v>#REF!</v>
      </c>
      <c r="L497" s="20" t="str">
        <f t="shared" si="1486"/>
        <v>#REF!</v>
      </c>
    </row>
    <row r="498">
      <c r="A498" s="20" t="str">
        <f t="shared" si="1267"/>
        <v>#REF!</v>
      </c>
      <c r="B498" s="20" t="str">
        <f t="shared" si="1268"/>
        <v>#REF!</v>
      </c>
      <c r="C498" s="20" t="str">
        <f t="shared" ref="C498:D498" si="1487">#REF!</f>
        <v>#REF!</v>
      </c>
      <c r="D498" s="20" t="str">
        <f t="shared" si="1487"/>
        <v>#REF!</v>
      </c>
      <c r="E498" s="20" t="str">
        <f t="shared" si="1270"/>
        <v>#REF!</v>
      </c>
      <c r="F498" s="22" t="str">
        <f t="shared" si="2"/>
        <v>#REF!</v>
      </c>
      <c r="G498" s="20" t="str">
        <f t="shared" ref="G498:I498" si="1488">#REF!</f>
        <v>#REF!</v>
      </c>
      <c r="H498" s="20" t="str">
        <f t="shared" si="1488"/>
        <v>#REF!</v>
      </c>
      <c r="I498" s="20" t="str">
        <f t="shared" si="1488"/>
        <v>#REF!</v>
      </c>
      <c r="J498" s="20" t="str">
        <f t="shared" si="1272"/>
        <v>#REF!</v>
      </c>
      <c r="K498" s="20" t="str">
        <f t="shared" ref="K498:L498" si="1489">#REF!</f>
        <v>#REF!</v>
      </c>
      <c r="L498" s="20" t="str">
        <f t="shared" si="1489"/>
        <v>#REF!</v>
      </c>
    </row>
    <row r="499">
      <c r="A499" s="20" t="str">
        <f t="shared" si="1267"/>
        <v>#REF!</v>
      </c>
      <c r="B499" s="20" t="str">
        <f t="shared" si="1268"/>
        <v>#REF!</v>
      </c>
      <c r="C499" s="20" t="str">
        <f t="shared" ref="C499:D499" si="1490">#REF!</f>
        <v>#REF!</v>
      </c>
      <c r="D499" s="20" t="str">
        <f t="shared" si="1490"/>
        <v>#REF!</v>
      </c>
      <c r="E499" s="20" t="str">
        <f t="shared" si="1270"/>
        <v>#REF!</v>
      </c>
      <c r="F499" s="22" t="str">
        <f t="shared" si="2"/>
        <v>#REF!</v>
      </c>
      <c r="G499" s="20" t="str">
        <f t="shared" ref="G499:I499" si="1491">#REF!</f>
        <v>#REF!</v>
      </c>
      <c r="H499" s="20" t="str">
        <f t="shared" si="1491"/>
        <v>#REF!</v>
      </c>
      <c r="I499" s="20" t="str">
        <f t="shared" si="1491"/>
        <v>#REF!</v>
      </c>
      <c r="J499" s="20" t="str">
        <f t="shared" si="1272"/>
        <v>#REF!</v>
      </c>
      <c r="K499" s="20" t="str">
        <f t="shared" ref="K499:L499" si="1492">#REF!</f>
        <v>#REF!</v>
      </c>
      <c r="L499" s="20" t="str">
        <f t="shared" si="1492"/>
        <v>#REF!</v>
      </c>
    </row>
    <row r="500">
      <c r="A500" s="20" t="str">
        <f t="shared" si="1267"/>
        <v>#REF!</v>
      </c>
      <c r="B500" s="20" t="str">
        <f t="shared" si="1268"/>
        <v>#REF!</v>
      </c>
      <c r="C500" s="20" t="str">
        <f t="shared" ref="C500:D500" si="1493">#REF!</f>
        <v>#REF!</v>
      </c>
      <c r="D500" s="20" t="str">
        <f t="shared" si="1493"/>
        <v>#REF!</v>
      </c>
      <c r="E500" s="20" t="str">
        <f t="shared" si="1270"/>
        <v>#REF!</v>
      </c>
      <c r="F500" s="22" t="str">
        <f t="shared" si="2"/>
        <v>#REF!</v>
      </c>
      <c r="G500" s="20" t="str">
        <f t="shared" ref="G500:I500" si="1494">#REF!</f>
        <v>#REF!</v>
      </c>
      <c r="H500" s="20" t="str">
        <f t="shared" si="1494"/>
        <v>#REF!</v>
      </c>
      <c r="I500" s="20" t="str">
        <f t="shared" si="1494"/>
        <v>#REF!</v>
      </c>
      <c r="J500" s="20" t="str">
        <f t="shared" si="1272"/>
        <v>#REF!</v>
      </c>
      <c r="K500" s="20" t="str">
        <f t="shared" ref="K500:L500" si="1495">#REF!</f>
        <v>#REF!</v>
      </c>
      <c r="L500" s="20" t="str">
        <f t="shared" si="1495"/>
        <v>#REF!</v>
      </c>
    </row>
    <row r="501">
      <c r="A501" s="20" t="str">
        <f t="shared" si="1267"/>
        <v>#REF!</v>
      </c>
      <c r="B501" s="20" t="str">
        <f t="shared" si="1268"/>
        <v>#REF!</v>
      </c>
      <c r="C501" s="20" t="str">
        <f t="shared" ref="C501:D501" si="1496">#REF!</f>
        <v>#REF!</v>
      </c>
      <c r="D501" s="20" t="str">
        <f t="shared" si="1496"/>
        <v>#REF!</v>
      </c>
      <c r="E501" s="20" t="str">
        <f t="shared" si="1270"/>
        <v>#REF!</v>
      </c>
      <c r="F501" s="22" t="str">
        <f t="shared" si="2"/>
        <v>#REF!</v>
      </c>
      <c r="G501" s="20" t="str">
        <f t="shared" ref="G501:I501" si="1497">#REF!</f>
        <v>#REF!</v>
      </c>
      <c r="H501" s="20" t="str">
        <f t="shared" si="1497"/>
        <v>#REF!</v>
      </c>
      <c r="I501" s="20" t="str">
        <f t="shared" si="1497"/>
        <v>#REF!</v>
      </c>
      <c r="J501" s="20" t="str">
        <f t="shared" si="1272"/>
        <v>#REF!</v>
      </c>
      <c r="K501" s="20" t="str">
        <f t="shared" ref="K501:L501" si="1498">#REF!</f>
        <v>#REF!</v>
      </c>
      <c r="L501" s="20" t="str">
        <f t="shared" si="1498"/>
        <v>#REF!</v>
      </c>
    </row>
    <row r="502">
      <c r="A502" s="20" t="str">
        <f t="shared" si="1267"/>
        <v>#REF!</v>
      </c>
      <c r="B502" s="20" t="str">
        <f t="shared" si="1268"/>
        <v>#REF!</v>
      </c>
      <c r="C502" s="20" t="str">
        <f t="shared" ref="C502:D502" si="1499">#REF!</f>
        <v>#REF!</v>
      </c>
      <c r="D502" s="20" t="str">
        <f t="shared" si="1499"/>
        <v>#REF!</v>
      </c>
      <c r="E502" s="20" t="str">
        <f t="shared" si="1270"/>
        <v>#REF!</v>
      </c>
      <c r="F502" s="22" t="str">
        <f t="shared" si="2"/>
        <v>#REF!</v>
      </c>
      <c r="G502" s="20" t="str">
        <f t="shared" ref="G502:I502" si="1500">#REF!</f>
        <v>#REF!</v>
      </c>
      <c r="H502" s="20" t="str">
        <f t="shared" si="1500"/>
        <v>#REF!</v>
      </c>
      <c r="I502" s="20" t="str">
        <f t="shared" si="1500"/>
        <v>#REF!</v>
      </c>
      <c r="J502" s="20" t="str">
        <f t="shared" si="1272"/>
        <v>#REF!</v>
      </c>
      <c r="K502" s="20" t="str">
        <f t="shared" ref="K502:L502" si="1501">#REF!</f>
        <v>#REF!</v>
      </c>
      <c r="L502" s="20" t="str">
        <f t="shared" si="1501"/>
        <v>#REF!</v>
      </c>
    </row>
    <row r="503">
      <c r="A503" s="20" t="str">
        <f t="shared" si="1267"/>
        <v>#REF!</v>
      </c>
      <c r="B503" s="20" t="str">
        <f t="shared" si="1268"/>
        <v>#REF!</v>
      </c>
      <c r="C503" s="20" t="str">
        <f t="shared" ref="C503:D503" si="1502">#REF!</f>
        <v>#REF!</v>
      </c>
      <c r="D503" s="20" t="str">
        <f t="shared" si="1502"/>
        <v>#REF!</v>
      </c>
      <c r="E503" s="20" t="str">
        <f t="shared" si="1270"/>
        <v>#REF!</v>
      </c>
      <c r="F503" s="22" t="str">
        <f t="shared" si="2"/>
        <v>#REF!</v>
      </c>
      <c r="G503" s="20" t="str">
        <f t="shared" ref="G503:I503" si="1503">#REF!</f>
        <v>#REF!</v>
      </c>
      <c r="H503" s="20" t="str">
        <f t="shared" si="1503"/>
        <v>#REF!</v>
      </c>
      <c r="I503" s="20" t="str">
        <f t="shared" si="1503"/>
        <v>#REF!</v>
      </c>
      <c r="J503" s="20" t="str">
        <f t="shared" si="1272"/>
        <v>#REF!</v>
      </c>
      <c r="K503" s="20" t="str">
        <f t="shared" ref="K503:L503" si="1504">#REF!</f>
        <v>#REF!</v>
      </c>
      <c r="L503" s="20" t="str">
        <f t="shared" si="1504"/>
        <v>#REF!</v>
      </c>
    </row>
    <row r="504">
      <c r="A504" s="20" t="str">
        <f t="shared" si="1267"/>
        <v>#REF!</v>
      </c>
      <c r="B504" s="20" t="str">
        <f t="shared" si="1268"/>
        <v>#REF!</v>
      </c>
      <c r="C504" s="20" t="str">
        <f t="shared" ref="C504:D504" si="1505">#REF!</f>
        <v>#REF!</v>
      </c>
      <c r="D504" s="20" t="str">
        <f t="shared" si="1505"/>
        <v>#REF!</v>
      </c>
      <c r="E504" s="20" t="str">
        <f t="shared" si="1270"/>
        <v>#REF!</v>
      </c>
      <c r="F504" s="22" t="str">
        <f t="shared" si="2"/>
        <v>#REF!</v>
      </c>
      <c r="G504" s="20" t="str">
        <f t="shared" ref="G504:I504" si="1506">#REF!</f>
        <v>#REF!</v>
      </c>
      <c r="H504" s="20" t="str">
        <f t="shared" si="1506"/>
        <v>#REF!</v>
      </c>
      <c r="I504" s="20" t="str">
        <f t="shared" si="1506"/>
        <v>#REF!</v>
      </c>
      <c r="J504" s="20" t="str">
        <f t="shared" si="1272"/>
        <v>#REF!</v>
      </c>
      <c r="K504" s="20" t="str">
        <f t="shared" ref="K504:L504" si="1507">#REF!</f>
        <v>#REF!</v>
      </c>
      <c r="L504" s="20" t="str">
        <f t="shared" si="1507"/>
        <v>#REF!</v>
      </c>
    </row>
    <row r="505">
      <c r="A505" s="20" t="str">
        <f t="shared" si="1267"/>
        <v>#REF!</v>
      </c>
      <c r="B505" s="20" t="str">
        <f t="shared" si="1268"/>
        <v>#REF!</v>
      </c>
      <c r="C505" s="20" t="str">
        <f t="shared" ref="C505:D505" si="1508">#REF!</f>
        <v>#REF!</v>
      </c>
      <c r="D505" s="20" t="str">
        <f t="shared" si="1508"/>
        <v>#REF!</v>
      </c>
      <c r="E505" s="20" t="str">
        <f t="shared" si="1270"/>
        <v>#REF!</v>
      </c>
      <c r="F505" s="22" t="str">
        <f t="shared" si="2"/>
        <v>#REF!</v>
      </c>
      <c r="G505" s="20" t="str">
        <f t="shared" ref="G505:I505" si="1509">#REF!</f>
        <v>#REF!</v>
      </c>
      <c r="H505" s="20" t="str">
        <f t="shared" si="1509"/>
        <v>#REF!</v>
      </c>
      <c r="I505" s="20" t="str">
        <f t="shared" si="1509"/>
        <v>#REF!</v>
      </c>
      <c r="J505" s="20" t="str">
        <f t="shared" si="1272"/>
        <v>#REF!</v>
      </c>
      <c r="K505" s="20" t="str">
        <f t="shared" ref="K505:L505" si="1510">#REF!</f>
        <v>#REF!</v>
      </c>
      <c r="L505" s="20" t="str">
        <f t="shared" si="1510"/>
        <v>#REF!</v>
      </c>
    </row>
    <row r="506">
      <c r="A506" s="20" t="str">
        <f t="shared" si="1267"/>
        <v>#REF!</v>
      </c>
      <c r="B506" s="20" t="str">
        <f t="shared" si="1268"/>
        <v>#REF!</v>
      </c>
      <c r="C506" s="20" t="str">
        <f t="shared" ref="C506:D506" si="1511">#REF!</f>
        <v>#REF!</v>
      </c>
      <c r="D506" s="20" t="str">
        <f t="shared" si="1511"/>
        <v>#REF!</v>
      </c>
      <c r="E506" s="20" t="str">
        <f t="shared" si="1270"/>
        <v>#REF!</v>
      </c>
      <c r="F506" s="22" t="str">
        <f t="shared" si="2"/>
        <v>#REF!</v>
      </c>
      <c r="G506" s="20" t="str">
        <f t="shared" ref="G506:I506" si="1512">#REF!</f>
        <v>#REF!</v>
      </c>
      <c r="H506" s="20" t="str">
        <f t="shared" si="1512"/>
        <v>#REF!</v>
      </c>
      <c r="I506" s="20" t="str">
        <f t="shared" si="1512"/>
        <v>#REF!</v>
      </c>
      <c r="J506" s="20" t="str">
        <f t="shared" si="1272"/>
        <v>#REF!</v>
      </c>
      <c r="K506" s="20" t="str">
        <f t="shared" ref="K506:L506" si="1513">#REF!</f>
        <v>#REF!</v>
      </c>
      <c r="L506" s="20" t="str">
        <f t="shared" si="1513"/>
        <v>#REF!</v>
      </c>
    </row>
    <row r="507">
      <c r="A507" s="20" t="str">
        <f t="shared" si="1267"/>
        <v>#REF!</v>
      </c>
      <c r="B507" s="20" t="str">
        <f t="shared" si="1268"/>
        <v>#REF!</v>
      </c>
      <c r="C507" s="20" t="str">
        <f t="shared" ref="C507:D507" si="1514">#REF!</f>
        <v>#REF!</v>
      </c>
      <c r="D507" s="20" t="str">
        <f t="shared" si="1514"/>
        <v>#REF!</v>
      </c>
      <c r="E507" s="20" t="str">
        <f t="shared" si="1270"/>
        <v>#REF!</v>
      </c>
      <c r="F507" s="22" t="str">
        <f t="shared" si="2"/>
        <v>#REF!</v>
      </c>
      <c r="G507" s="20" t="str">
        <f t="shared" ref="G507:I507" si="1515">#REF!</f>
        <v>#REF!</v>
      </c>
      <c r="H507" s="20" t="str">
        <f t="shared" si="1515"/>
        <v>#REF!</v>
      </c>
      <c r="I507" s="20" t="str">
        <f t="shared" si="1515"/>
        <v>#REF!</v>
      </c>
      <c r="J507" s="20" t="str">
        <f t="shared" si="1272"/>
        <v>#REF!</v>
      </c>
      <c r="K507" s="20" t="str">
        <f t="shared" ref="K507:L507" si="1516">#REF!</f>
        <v>#REF!</v>
      </c>
      <c r="L507" s="20" t="str">
        <f t="shared" si="1516"/>
        <v>#REF!</v>
      </c>
    </row>
    <row r="508">
      <c r="A508" s="20" t="str">
        <f t="shared" si="1267"/>
        <v>#REF!</v>
      </c>
      <c r="B508" s="20" t="str">
        <f t="shared" si="1268"/>
        <v>#REF!</v>
      </c>
      <c r="C508" s="20" t="str">
        <f t="shared" ref="C508:D508" si="1517">#REF!</f>
        <v>#REF!</v>
      </c>
      <c r="D508" s="20" t="str">
        <f t="shared" si="1517"/>
        <v>#REF!</v>
      </c>
      <c r="E508" s="20" t="str">
        <f t="shared" si="1270"/>
        <v>#REF!</v>
      </c>
      <c r="F508" s="22" t="str">
        <f t="shared" si="2"/>
        <v>#REF!</v>
      </c>
      <c r="G508" s="20" t="str">
        <f t="shared" ref="G508:I508" si="1518">#REF!</f>
        <v>#REF!</v>
      </c>
      <c r="H508" s="20" t="str">
        <f t="shared" si="1518"/>
        <v>#REF!</v>
      </c>
      <c r="I508" s="20" t="str">
        <f t="shared" si="1518"/>
        <v>#REF!</v>
      </c>
      <c r="J508" s="20" t="str">
        <f t="shared" si="1272"/>
        <v>#REF!</v>
      </c>
      <c r="K508" s="20" t="str">
        <f t="shared" ref="K508:L508" si="1519">#REF!</f>
        <v>#REF!</v>
      </c>
      <c r="L508" s="20" t="str">
        <f t="shared" si="1519"/>
        <v>#REF!</v>
      </c>
    </row>
    <row r="509">
      <c r="A509" s="20" t="str">
        <f t="shared" si="1267"/>
        <v>#REF!</v>
      </c>
      <c r="B509" s="20" t="str">
        <f t="shared" si="1268"/>
        <v>#REF!</v>
      </c>
      <c r="C509" s="20" t="str">
        <f t="shared" ref="C509:D509" si="1520">#REF!</f>
        <v>#REF!</v>
      </c>
      <c r="D509" s="20" t="str">
        <f t="shared" si="1520"/>
        <v>#REF!</v>
      </c>
      <c r="E509" s="20" t="str">
        <f t="shared" si="1270"/>
        <v>#REF!</v>
      </c>
      <c r="F509" s="22" t="str">
        <f t="shared" si="2"/>
        <v>#REF!</v>
      </c>
      <c r="G509" s="20" t="str">
        <f t="shared" ref="G509:I509" si="1521">#REF!</f>
        <v>#REF!</v>
      </c>
      <c r="H509" s="20" t="str">
        <f t="shared" si="1521"/>
        <v>#REF!</v>
      </c>
      <c r="I509" s="20" t="str">
        <f t="shared" si="1521"/>
        <v>#REF!</v>
      </c>
      <c r="J509" s="20" t="str">
        <f t="shared" si="1272"/>
        <v>#REF!</v>
      </c>
      <c r="K509" s="20" t="str">
        <f t="shared" ref="K509:L509" si="1522">#REF!</f>
        <v>#REF!</v>
      </c>
      <c r="L509" s="20" t="str">
        <f t="shared" si="1522"/>
        <v>#REF!</v>
      </c>
    </row>
    <row r="510">
      <c r="A510" s="20" t="str">
        <f t="shared" si="1267"/>
        <v>#REF!</v>
      </c>
      <c r="B510" s="20" t="str">
        <f t="shared" si="1268"/>
        <v>#REF!</v>
      </c>
      <c r="C510" s="20" t="str">
        <f t="shared" ref="C510:D510" si="1523">#REF!</f>
        <v>#REF!</v>
      </c>
      <c r="D510" s="20" t="str">
        <f t="shared" si="1523"/>
        <v>#REF!</v>
      </c>
      <c r="E510" s="20" t="str">
        <f t="shared" si="1270"/>
        <v>#REF!</v>
      </c>
      <c r="F510" s="22" t="str">
        <f t="shared" si="2"/>
        <v>#REF!</v>
      </c>
      <c r="G510" s="20" t="str">
        <f t="shared" ref="G510:I510" si="1524">#REF!</f>
        <v>#REF!</v>
      </c>
      <c r="H510" s="20" t="str">
        <f t="shared" si="1524"/>
        <v>#REF!</v>
      </c>
      <c r="I510" s="20" t="str">
        <f t="shared" si="1524"/>
        <v>#REF!</v>
      </c>
      <c r="J510" s="20" t="str">
        <f t="shared" si="1272"/>
        <v>#REF!</v>
      </c>
      <c r="K510" s="20" t="str">
        <f t="shared" ref="K510:L510" si="1525">#REF!</f>
        <v>#REF!</v>
      </c>
      <c r="L510" s="20" t="str">
        <f t="shared" si="1525"/>
        <v>#REF!</v>
      </c>
    </row>
    <row r="511">
      <c r="A511" s="20" t="str">
        <f t="shared" si="1267"/>
        <v>#REF!</v>
      </c>
      <c r="B511" s="20" t="str">
        <f t="shared" si="1268"/>
        <v>#REF!</v>
      </c>
      <c r="C511" s="20" t="str">
        <f t="shared" ref="C511:D511" si="1526">#REF!</f>
        <v>#REF!</v>
      </c>
      <c r="D511" s="20" t="str">
        <f t="shared" si="1526"/>
        <v>#REF!</v>
      </c>
      <c r="E511" s="20" t="str">
        <f t="shared" si="1270"/>
        <v>#REF!</v>
      </c>
      <c r="F511" s="22" t="str">
        <f t="shared" si="2"/>
        <v>#REF!</v>
      </c>
      <c r="G511" s="20" t="str">
        <f t="shared" ref="G511:I511" si="1527">#REF!</f>
        <v>#REF!</v>
      </c>
      <c r="H511" s="20" t="str">
        <f t="shared" si="1527"/>
        <v>#REF!</v>
      </c>
      <c r="I511" s="20" t="str">
        <f t="shared" si="1527"/>
        <v>#REF!</v>
      </c>
      <c r="J511" s="20" t="str">
        <f t="shared" si="1272"/>
        <v>#REF!</v>
      </c>
      <c r="K511" s="20" t="str">
        <f t="shared" ref="K511:L511" si="1528">#REF!</f>
        <v>#REF!</v>
      </c>
      <c r="L511" s="20" t="str">
        <f t="shared" si="1528"/>
        <v>#REF!</v>
      </c>
    </row>
    <row r="512">
      <c r="A512" s="20" t="str">
        <f t="shared" si="1267"/>
        <v>#REF!</v>
      </c>
      <c r="B512" s="20" t="str">
        <f t="shared" si="1268"/>
        <v>#REF!</v>
      </c>
      <c r="C512" s="20" t="str">
        <f t="shared" ref="C512:D512" si="1529">#REF!</f>
        <v>#REF!</v>
      </c>
      <c r="D512" s="20" t="str">
        <f t="shared" si="1529"/>
        <v>#REF!</v>
      </c>
      <c r="E512" s="20" t="str">
        <f t="shared" si="1270"/>
        <v>#REF!</v>
      </c>
      <c r="F512" s="22" t="str">
        <f t="shared" si="2"/>
        <v>#REF!</v>
      </c>
      <c r="G512" s="20" t="str">
        <f t="shared" ref="G512:I512" si="1530">#REF!</f>
        <v>#REF!</v>
      </c>
      <c r="H512" s="20" t="str">
        <f t="shared" si="1530"/>
        <v>#REF!</v>
      </c>
      <c r="I512" s="20" t="str">
        <f t="shared" si="1530"/>
        <v>#REF!</v>
      </c>
      <c r="J512" s="20" t="str">
        <f t="shared" si="1272"/>
        <v>#REF!</v>
      </c>
      <c r="K512" s="20" t="str">
        <f t="shared" ref="K512:L512" si="1531">#REF!</f>
        <v>#REF!</v>
      </c>
      <c r="L512" s="20" t="str">
        <f t="shared" si="1531"/>
        <v>#REF!</v>
      </c>
    </row>
    <row r="513">
      <c r="A513" s="20" t="str">
        <f t="shared" si="1267"/>
        <v>#REF!</v>
      </c>
      <c r="B513" s="20" t="str">
        <f t="shared" si="1268"/>
        <v>#REF!</v>
      </c>
      <c r="C513" s="20" t="str">
        <f t="shared" ref="C513:D513" si="1532">#REF!</f>
        <v>#REF!</v>
      </c>
      <c r="D513" s="20" t="str">
        <f t="shared" si="1532"/>
        <v>#REF!</v>
      </c>
      <c r="E513" s="20" t="str">
        <f t="shared" si="1270"/>
        <v>#REF!</v>
      </c>
      <c r="F513" s="22" t="str">
        <f t="shared" si="2"/>
        <v>#REF!</v>
      </c>
      <c r="G513" s="20" t="str">
        <f t="shared" ref="G513:I513" si="1533">#REF!</f>
        <v>#REF!</v>
      </c>
      <c r="H513" s="20" t="str">
        <f t="shared" si="1533"/>
        <v>#REF!</v>
      </c>
      <c r="I513" s="20" t="str">
        <f t="shared" si="1533"/>
        <v>#REF!</v>
      </c>
      <c r="J513" s="20" t="str">
        <f t="shared" si="1272"/>
        <v>#REF!</v>
      </c>
      <c r="K513" s="20" t="str">
        <f t="shared" ref="K513:L513" si="1534">#REF!</f>
        <v>#REF!</v>
      </c>
      <c r="L513" s="20" t="str">
        <f t="shared" si="1534"/>
        <v>#REF!</v>
      </c>
    </row>
    <row r="514">
      <c r="A514" s="20" t="str">
        <f t="shared" si="1267"/>
        <v>#REF!</v>
      </c>
      <c r="B514" s="20" t="str">
        <f t="shared" si="1268"/>
        <v>#REF!</v>
      </c>
      <c r="C514" s="20" t="str">
        <f t="shared" ref="C514:D514" si="1535">#REF!</f>
        <v>#REF!</v>
      </c>
      <c r="D514" s="20" t="str">
        <f t="shared" si="1535"/>
        <v>#REF!</v>
      </c>
      <c r="E514" s="20" t="str">
        <f t="shared" si="1270"/>
        <v>#REF!</v>
      </c>
      <c r="F514" s="22" t="str">
        <f t="shared" si="2"/>
        <v>#REF!</v>
      </c>
      <c r="G514" s="20" t="str">
        <f t="shared" ref="G514:I514" si="1536">#REF!</f>
        <v>#REF!</v>
      </c>
      <c r="H514" s="20" t="str">
        <f t="shared" si="1536"/>
        <v>#REF!</v>
      </c>
      <c r="I514" s="20" t="str">
        <f t="shared" si="1536"/>
        <v>#REF!</v>
      </c>
      <c r="J514" s="20" t="str">
        <f t="shared" si="1272"/>
        <v>#REF!</v>
      </c>
      <c r="K514" s="20" t="str">
        <f t="shared" ref="K514:L514" si="1537">#REF!</f>
        <v>#REF!</v>
      </c>
      <c r="L514" s="20" t="str">
        <f t="shared" si="1537"/>
        <v>#REF!</v>
      </c>
    </row>
    <row r="515">
      <c r="A515" s="20" t="str">
        <f t="shared" si="1267"/>
        <v>#REF!</v>
      </c>
      <c r="B515" s="20" t="str">
        <f t="shared" si="1268"/>
        <v>#REF!</v>
      </c>
      <c r="C515" s="20" t="str">
        <f t="shared" ref="C515:D515" si="1538">#REF!</f>
        <v>#REF!</v>
      </c>
      <c r="D515" s="20" t="str">
        <f t="shared" si="1538"/>
        <v>#REF!</v>
      </c>
      <c r="E515" s="20" t="str">
        <f t="shared" si="1270"/>
        <v>#REF!</v>
      </c>
      <c r="F515" s="22" t="str">
        <f t="shared" si="2"/>
        <v>#REF!</v>
      </c>
      <c r="G515" s="20" t="str">
        <f t="shared" ref="G515:I515" si="1539">#REF!</f>
        <v>#REF!</v>
      </c>
      <c r="H515" s="20" t="str">
        <f t="shared" si="1539"/>
        <v>#REF!</v>
      </c>
      <c r="I515" s="20" t="str">
        <f t="shared" si="1539"/>
        <v>#REF!</v>
      </c>
      <c r="J515" s="20" t="str">
        <f t="shared" si="1272"/>
        <v>#REF!</v>
      </c>
      <c r="K515" s="20" t="str">
        <f t="shared" ref="K515:L515" si="1540">#REF!</f>
        <v>#REF!</v>
      </c>
      <c r="L515" s="20" t="str">
        <f t="shared" si="1540"/>
        <v>#REF!</v>
      </c>
    </row>
    <row r="516">
      <c r="A516" s="20" t="str">
        <f t="shared" si="1267"/>
        <v>#REF!</v>
      </c>
      <c r="B516" s="20" t="str">
        <f t="shared" si="1268"/>
        <v>#REF!</v>
      </c>
      <c r="C516" s="20" t="str">
        <f t="shared" ref="C516:D516" si="1541">#REF!</f>
        <v>#REF!</v>
      </c>
      <c r="D516" s="20" t="str">
        <f t="shared" si="1541"/>
        <v>#REF!</v>
      </c>
      <c r="E516" s="20" t="str">
        <f t="shared" si="1270"/>
        <v>#REF!</v>
      </c>
      <c r="F516" s="22" t="str">
        <f t="shared" si="2"/>
        <v>#REF!</v>
      </c>
      <c r="G516" s="20" t="str">
        <f t="shared" ref="G516:I516" si="1542">#REF!</f>
        <v>#REF!</v>
      </c>
      <c r="H516" s="20" t="str">
        <f t="shared" si="1542"/>
        <v>#REF!</v>
      </c>
      <c r="I516" s="20" t="str">
        <f t="shared" si="1542"/>
        <v>#REF!</v>
      </c>
      <c r="J516" s="20" t="str">
        <f t="shared" si="1272"/>
        <v>#REF!</v>
      </c>
      <c r="K516" s="20" t="str">
        <f t="shared" ref="K516:L516" si="1543">#REF!</f>
        <v>#REF!</v>
      </c>
      <c r="L516" s="20" t="str">
        <f t="shared" si="1543"/>
        <v>#REF!</v>
      </c>
    </row>
    <row r="517">
      <c r="A517" s="20" t="str">
        <f t="shared" si="1267"/>
        <v>#REF!</v>
      </c>
      <c r="B517" s="20" t="str">
        <f t="shared" si="1268"/>
        <v>#REF!</v>
      </c>
      <c r="C517" s="20" t="str">
        <f t="shared" ref="C517:D517" si="1544">#REF!</f>
        <v>#REF!</v>
      </c>
      <c r="D517" s="20" t="str">
        <f t="shared" si="1544"/>
        <v>#REF!</v>
      </c>
      <c r="E517" s="20" t="str">
        <f t="shared" si="1270"/>
        <v>#REF!</v>
      </c>
      <c r="F517" s="22" t="str">
        <f t="shared" si="2"/>
        <v>#REF!</v>
      </c>
      <c r="G517" s="20" t="str">
        <f t="shared" ref="G517:I517" si="1545">#REF!</f>
        <v>#REF!</v>
      </c>
      <c r="H517" s="20" t="str">
        <f t="shared" si="1545"/>
        <v>#REF!</v>
      </c>
      <c r="I517" s="20" t="str">
        <f t="shared" si="1545"/>
        <v>#REF!</v>
      </c>
      <c r="J517" s="20" t="str">
        <f t="shared" si="1272"/>
        <v>#REF!</v>
      </c>
      <c r="K517" s="20" t="str">
        <f t="shared" ref="K517:L517" si="1546">#REF!</f>
        <v>#REF!</v>
      </c>
      <c r="L517" s="20" t="str">
        <f t="shared" si="1546"/>
        <v>#REF!</v>
      </c>
    </row>
    <row r="518">
      <c r="A518" s="20" t="str">
        <f t="shared" si="1267"/>
        <v>#REF!</v>
      </c>
      <c r="B518" s="20" t="str">
        <f t="shared" si="1268"/>
        <v>#REF!</v>
      </c>
      <c r="C518" s="20" t="str">
        <f t="shared" ref="C518:D518" si="1547">#REF!</f>
        <v>#REF!</v>
      </c>
      <c r="D518" s="20" t="str">
        <f t="shared" si="1547"/>
        <v>#REF!</v>
      </c>
      <c r="E518" s="20" t="str">
        <f t="shared" si="1270"/>
        <v>#REF!</v>
      </c>
      <c r="F518" s="22" t="str">
        <f t="shared" si="2"/>
        <v>#REF!</v>
      </c>
      <c r="G518" s="20" t="str">
        <f t="shared" ref="G518:I518" si="1548">#REF!</f>
        <v>#REF!</v>
      </c>
      <c r="H518" s="20" t="str">
        <f t="shared" si="1548"/>
        <v>#REF!</v>
      </c>
      <c r="I518" s="20" t="str">
        <f t="shared" si="1548"/>
        <v>#REF!</v>
      </c>
      <c r="J518" s="20" t="str">
        <f t="shared" si="1272"/>
        <v>#REF!</v>
      </c>
      <c r="K518" s="20" t="str">
        <f t="shared" ref="K518:L518" si="1549">#REF!</f>
        <v>#REF!</v>
      </c>
      <c r="L518" s="20" t="str">
        <f t="shared" si="1549"/>
        <v>#REF!</v>
      </c>
    </row>
    <row r="519">
      <c r="A519" s="20" t="str">
        <f t="shared" si="1267"/>
        <v>#REF!</v>
      </c>
      <c r="B519" s="20" t="str">
        <f t="shared" si="1268"/>
        <v>#REF!</v>
      </c>
      <c r="C519" s="20" t="str">
        <f t="shared" ref="C519:D519" si="1550">#REF!</f>
        <v>#REF!</v>
      </c>
      <c r="D519" s="20" t="str">
        <f t="shared" si="1550"/>
        <v>#REF!</v>
      </c>
      <c r="E519" s="20" t="str">
        <f t="shared" si="1270"/>
        <v>#REF!</v>
      </c>
      <c r="F519" s="22" t="str">
        <f t="shared" si="2"/>
        <v>#REF!</v>
      </c>
      <c r="G519" s="20" t="str">
        <f t="shared" ref="G519:I519" si="1551">#REF!</f>
        <v>#REF!</v>
      </c>
      <c r="H519" s="20" t="str">
        <f t="shared" si="1551"/>
        <v>#REF!</v>
      </c>
      <c r="I519" s="20" t="str">
        <f t="shared" si="1551"/>
        <v>#REF!</v>
      </c>
      <c r="J519" s="20" t="str">
        <f t="shared" si="1272"/>
        <v>#REF!</v>
      </c>
      <c r="K519" s="20" t="str">
        <f t="shared" ref="K519:L519" si="1552">#REF!</f>
        <v>#REF!</v>
      </c>
      <c r="L519" s="20" t="str">
        <f t="shared" si="1552"/>
        <v>#REF!</v>
      </c>
    </row>
    <row r="520">
      <c r="A520" s="20" t="str">
        <f t="shared" si="1267"/>
        <v>#REF!</v>
      </c>
      <c r="B520" s="20" t="str">
        <f t="shared" si="1268"/>
        <v>#REF!</v>
      </c>
      <c r="C520" s="20" t="str">
        <f t="shared" ref="C520:D520" si="1553">#REF!</f>
        <v>#REF!</v>
      </c>
      <c r="D520" s="20" t="str">
        <f t="shared" si="1553"/>
        <v>#REF!</v>
      </c>
      <c r="E520" s="20" t="str">
        <f t="shared" si="1270"/>
        <v>#REF!</v>
      </c>
      <c r="F520" s="22" t="str">
        <f t="shared" si="2"/>
        <v>#REF!</v>
      </c>
      <c r="G520" s="20" t="str">
        <f t="shared" ref="G520:I520" si="1554">#REF!</f>
        <v>#REF!</v>
      </c>
      <c r="H520" s="20" t="str">
        <f t="shared" si="1554"/>
        <v>#REF!</v>
      </c>
      <c r="I520" s="20" t="str">
        <f t="shared" si="1554"/>
        <v>#REF!</v>
      </c>
      <c r="J520" s="20" t="str">
        <f t="shared" si="1272"/>
        <v>#REF!</v>
      </c>
      <c r="K520" s="20" t="str">
        <f t="shared" ref="K520:L520" si="1555">#REF!</f>
        <v>#REF!</v>
      </c>
      <c r="L520" s="20" t="str">
        <f t="shared" si="1555"/>
        <v>#REF!</v>
      </c>
    </row>
    <row r="521">
      <c r="A521" s="20" t="str">
        <f t="shared" si="1267"/>
        <v>#REF!</v>
      </c>
      <c r="B521" s="20" t="str">
        <f t="shared" si="1268"/>
        <v>#REF!</v>
      </c>
      <c r="C521" s="20" t="str">
        <f t="shared" ref="C521:D521" si="1556">#REF!</f>
        <v>#REF!</v>
      </c>
      <c r="D521" s="20" t="str">
        <f t="shared" si="1556"/>
        <v>#REF!</v>
      </c>
      <c r="E521" s="20" t="str">
        <f t="shared" si="1270"/>
        <v>#REF!</v>
      </c>
      <c r="F521" s="22" t="str">
        <f t="shared" si="2"/>
        <v>#REF!</v>
      </c>
      <c r="G521" s="20" t="str">
        <f t="shared" ref="G521:I521" si="1557">#REF!</f>
        <v>#REF!</v>
      </c>
      <c r="H521" s="20" t="str">
        <f t="shared" si="1557"/>
        <v>#REF!</v>
      </c>
      <c r="I521" s="20" t="str">
        <f t="shared" si="1557"/>
        <v>#REF!</v>
      </c>
      <c r="J521" s="20" t="str">
        <f t="shared" si="1272"/>
        <v>#REF!</v>
      </c>
      <c r="K521" s="20" t="str">
        <f t="shared" ref="K521:L521" si="1558">#REF!</f>
        <v>#REF!</v>
      </c>
      <c r="L521" s="20" t="str">
        <f t="shared" si="1558"/>
        <v>#REF!</v>
      </c>
    </row>
    <row r="522">
      <c r="A522" s="20" t="str">
        <f t="shared" si="1267"/>
        <v>#REF!</v>
      </c>
      <c r="B522" s="20" t="str">
        <f t="shared" si="1268"/>
        <v>#REF!</v>
      </c>
      <c r="C522" s="20" t="str">
        <f t="shared" ref="C522:D522" si="1559">#REF!</f>
        <v>#REF!</v>
      </c>
      <c r="D522" s="20" t="str">
        <f t="shared" si="1559"/>
        <v>#REF!</v>
      </c>
      <c r="E522" s="20" t="str">
        <f t="shared" si="1270"/>
        <v>#REF!</v>
      </c>
      <c r="F522" s="22" t="str">
        <f t="shared" si="2"/>
        <v>#REF!</v>
      </c>
      <c r="G522" s="20" t="str">
        <f t="shared" ref="G522:I522" si="1560">#REF!</f>
        <v>#REF!</v>
      </c>
      <c r="H522" s="20" t="str">
        <f t="shared" si="1560"/>
        <v>#REF!</v>
      </c>
      <c r="I522" s="20" t="str">
        <f t="shared" si="1560"/>
        <v>#REF!</v>
      </c>
      <c r="J522" s="20" t="str">
        <f t="shared" si="1272"/>
        <v>#REF!</v>
      </c>
      <c r="K522" s="20" t="str">
        <f t="shared" ref="K522:L522" si="1561">#REF!</f>
        <v>#REF!</v>
      </c>
      <c r="L522" s="20" t="str">
        <f t="shared" si="1561"/>
        <v>#REF!</v>
      </c>
    </row>
    <row r="523">
      <c r="A523" s="20" t="str">
        <f t="shared" si="1267"/>
        <v>#REF!</v>
      </c>
      <c r="B523" s="20" t="str">
        <f t="shared" si="1268"/>
        <v>#REF!</v>
      </c>
      <c r="C523" s="20" t="str">
        <f t="shared" ref="C523:D523" si="1562">#REF!</f>
        <v>#REF!</v>
      </c>
      <c r="D523" s="20" t="str">
        <f t="shared" si="1562"/>
        <v>#REF!</v>
      </c>
      <c r="E523" s="20" t="str">
        <f t="shared" si="1270"/>
        <v>#REF!</v>
      </c>
      <c r="F523" s="22" t="str">
        <f t="shared" si="2"/>
        <v>#REF!</v>
      </c>
      <c r="G523" s="20" t="str">
        <f t="shared" ref="G523:I523" si="1563">#REF!</f>
        <v>#REF!</v>
      </c>
      <c r="H523" s="20" t="str">
        <f t="shared" si="1563"/>
        <v>#REF!</v>
      </c>
      <c r="I523" s="20" t="str">
        <f t="shared" si="1563"/>
        <v>#REF!</v>
      </c>
      <c r="J523" s="20" t="str">
        <f t="shared" si="1272"/>
        <v>#REF!</v>
      </c>
      <c r="K523" s="20" t="str">
        <f t="shared" ref="K523:L523" si="1564">#REF!</f>
        <v>#REF!</v>
      </c>
      <c r="L523" s="20" t="str">
        <f t="shared" si="1564"/>
        <v>#REF!</v>
      </c>
    </row>
    <row r="524">
      <c r="A524" s="20" t="str">
        <f t="shared" si="1267"/>
        <v>#REF!</v>
      </c>
      <c r="B524" s="20" t="str">
        <f t="shared" si="1268"/>
        <v>#REF!</v>
      </c>
      <c r="C524" s="20" t="str">
        <f t="shared" ref="C524:D524" si="1565">#REF!</f>
        <v>#REF!</v>
      </c>
      <c r="D524" s="20" t="str">
        <f t="shared" si="1565"/>
        <v>#REF!</v>
      </c>
      <c r="E524" s="20" t="str">
        <f t="shared" si="1270"/>
        <v>#REF!</v>
      </c>
      <c r="F524" s="22" t="str">
        <f t="shared" si="2"/>
        <v>#REF!</v>
      </c>
      <c r="G524" s="20" t="str">
        <f t="shared" ref="G524:I524" si="1566">#REF!</f>
        <v>#REF!</v>
      </c>
      <c r="H524" s="20" t="str">
        <f t="shared" si="1566"/>
        <v>#REF!</v>
      </c>
      <c r="I524" s="20" t="str">
        <f t="shared" si="1566"/>
        <v>#REF!</v>
      </c>
      <c r="J524" s="20" t="str">
        <f t="shared" si="1272"/>
        <v>#REF!</v>
      </c>
      <c r="K524" s="20" t="str">
        <f t="shared" ref="K524:L524" si="1567">#REF!</f>
        <v>#REF!</v>
      </c>
      <c r="L524" s="20" t="str">
        <f t="shared" si="1567"/>
        <v>#REF!</v>
      </c>
    </row>
    <row r="525">
      <c r="A525" s="20" t="str">
        <f t="shared" si="1267"/>
        <v>#REF!</v>
      </c>
      <c r="B525" s="20" t="str">
        <f t="shared" si="1268"/>
        <v>#REF!</v>
      </c>
      <c r="C525" s="20" t="str">
        <f t="shared" ref="C525:D525" si="1568">#REF!</f>
        <v>#REF!</v>
      </c>
      <c r="D525" s="20" t="str">
        <f t="shared" si="1568"/>
        <v>#REF!</v>
      </c>
      <c r="E525" s="20" t="str">
        <f t="shared" si="1270"/>
        <v>#REF!</v>
      </c>
      <c r="F525" s="22" t="str">
        <f t="shared" si="2"/>
        <v>#REF!</v>
      </c>
      <c r="G525" s="20" t="str">
        <f t="shared" ref="G525:I525" si="1569">#REF!</f>
        <v>#REF!</v>
      </c>
      <c r="H525" s="20" t="str">
        <f t="shared" si="1569"/>
        <v>#REF!</v>
      </c>
      <c r="I525" s="20" t="str">
        <f t="shared" si="1569"/>
        <v>#REF!</v>
      </c>
      <c r="J525" s="20" t="str">
        <f t="shared" si="1272"/>
        <v>#REF!</v>
      </c>
      <c r="K525" s="20" t="str">
        <f t="shared" ref="K525:L525" si="1570">#REF!</f>
        <v>#REF!</v>
      </c>
      <c r="L525" s="20" t="str">
        <f t="shared" si="1570"/>
        <v>#REF!</v>
      </c>
    </row>
    <row r="526">
      <c r="A526" s="20" t="str">
        <f t="shared" si="1267"/>
        <v>#REF!</v>
      </c>
      <c r="B526" s="20" t="str">
        <f t="shared" si="1268"/>
        <v>#REF!</v>
      </c>
      <c r="C526" s="20" t="str">
        <f t="shared" ref="C526:D526" si="1571">#REF!</f>
        <v>#REF!</v>
      </c>
      <c r="D526" s="20" t="str">
        <f t="shared" si="1571"/>
        <v>#REF!</v>
      </c>
      <c r="E526" s="20" t="str">
        <f t="shared" si="1270"/>
        <v>#REF!</v>
      </c>
      <c r="F526" s="22" t="str">
        <f t="shared" si="2"/>
        <v>#REF!</v>
      </c>
      <c r="G526" s="20" t="str">
        <f t="shared" ref="G526:I526" si="1572">#REF!</f>
        <v>#REF!</v>
      </c>
      <c r="H526" s="20" t="str">
        <f t="shared" si="1572"/>
        <v>#REF!</v>
      </c>
      <c r="I526" s="20" t="str">
        <f t="shared" si="1572"/>
        <v>#REF!</v>
      </c>
      <c r="J526" s="20" t="str">
        <f t="shared" si="1272"/>
        <v>#REF!</v>
      </c>
      <c r="K526" s="20" t="str">
        <f t="shared" ref="K526:L526" si="1573">#REF!</f>
        <v>#REF!</v>
      </c>
      <c r="L526" s="20" t="str">
        <f t="shared" si="1573"/>
        <v>#REF!</v>
      </c>
    </row>
    <row r="527">
      <c r="A527" s="20" t="str">
        <f t="shared" si="1267"/>
        <v>#REF!</v>
      </c>
      <c r="B527" s="20" t="str">
        <f t="shared" si="1268"/>
        <v>#REF!</v>
      </c>
      <c r="C527" s="20" t="str">
        <f t="shared" ref="C527:D527" si="1574">#REF!</f>
        <v>#REF!</v>
      </c>
      <c r="D527" s="20" t="str">
        <f t="shared" si="1574"/>
        <v>#REF!</v>
      </c>
      <c r="E527" s="20" t="str">
        <f t="shared" si="1270"/>
        <v>#REF!</v>
      </c>
      <c r="F527" s="22" t="str">
        <f t="shared" si="2"/>
        <v>#REF!</v>
      </c>
      <c r="G527" s="20" t="str">
        <f t="shared" ref="G527:I527" si="1575">#REF!</f>
        <v>#REF!</v>
      </c>
      <c r="H527" s="20" t="str">
        <f t="shared" si="1575"/>
        <v>#REF!</v>
      </c>
      <c r="I527" s="20" t="str">
        <f t="shared" si="1575"/>
        <v>#REF!</v>
      </c>
      <c r="J527" s="20" t="str">
        <f t="shared" si="1272"/>
        <v>#REF!</v>
      </c>
      <c r="K527" s="20" t="str">
        <f t="shared" ref="K527:L527" si="1576">#REF!</f>
        <v>#REF!</v>
      </c>
      <c r="L527" s="20" t="str">
        <f t="shared" si="1576"/>
        <v>#REF!</v>
      </c>
    </row>
    <row r="528">
      <c r="A528" s="20" t="str">
        <f t="shared" si="1267"/>
        <v>#REF!</v>
      </c>
      <c r="B528" s="20" t="str">
        <f t="shared" si="1268"/>
        <v>#REF!</v>
      </c>
      <c r="C528" s="20" t="str">
        <f t="shared" ref="C528:D528" si="1577">#REF!</f>
        <v>#REF!</v>
      </c>
      <c r="D528" s="20" t="str">
        <f t="shared" si="1577"/>
        <v>#REF!</v>
      </c>
      <c r="E528" s="20" t="str">
        <f t="shared" si="1270"/>
        <v>#REF!</v>
      </c>
      <c r="F528" s="22" t="str">
        <f t="shared" si="2"/>
        <v>#REF!</v>
      </c>
      <c r="G528" s="20" t="str">
        <f t="shared" ref="G528:I528" si="1578">#REF!</f>
        <v>#REF!</v>
      </c>
      <c r="H528" s="20" t="str">
        <f t="shared" si="1578"/>
        <v>#REF!</v>
      </c>
      <c r="I528" s="20" t="str">
        <f t="shared" si="1578"/>
        <v>#REF!</v>
      </c>
      <c r="J528" s="20" t="str">
        <f t="shared" si="1272"/>
        <v>#REF!</v>
      </c>
      <c r="K528" s="20" t="str">
        <f t="shared" ref="K528:L528" si="1579">#REF!</f>
        <v>#REF!</v>
      </c>
      <c r="L528" s="20" t="str">
        <f t="shared" si="1579"/>
        <v>#REF!</v>
      </c>
    </row>
    <row r="529">
      <c r="A529" s="20" t="str">
        <f t="shared" si="1267"/>
        <v>#REF!</v>
      </c>
      <c r="B529" s="20" t="str">
        <f t="shared" si="1268"/>
        <v>#REF!</v>
      </c>
      <c r="C529" s="20" t="str">
        <f t="shared" ref="C529:D529" si="1580">#REF!</f>
        <v>#REF!</v>
      </c>
      <c r="D529" s="20" t="str">
        <f t="shared" si="1580"/>
        <v>#REF!</v>
      </c>
      <c r="E529" s="20" t="str">
        <f t="shared" si="1270"/>
        <v>#REF!</v>
      </c>
      <c r="F529" s="22" t="str">
        <f t="shared" si="2"/>
        <v>#REF!</v>
      </c>
      <c r="G529" s="20" t="str">
        <f t="shared" ref="G529:I529" si="1581">#REF!</f>
        <v>#REF!</v>
      </c>
      <c r="H529" s="20" t="str">
        <f t="shared" si="1581"/>
        <v>#REF!</v>
      </c>
      <c r="I529" s="20" t="str">
        <f t="shared" si="1581"/>
        <v>#REF!</v>
      </c>
      <c r="J529" s="20" t="str">
        <f t="shared" si="1272"/>
        <v>#REF!</v>
      </c>
      <c r="K529" s="20" t="str">
        <f t="shared" ref="K529:L529" si="1582">#REF!</f>
        <v>#REF!</v>
      </c>
      <c r="L529" s="20" t="str">
        <f t="shared" si="1582"/>
        <v>#REF!</v>
      </c>
    </row>
    <row r="530">
      <c r="A530" s="20" t="str">
        <f t="shared" si="1267"/>
        <v>#REF!</v>
      </c>
      <c r="B530" s="20" t="str">
        <f t="shared" si="1268"/>
        <v>#REF!</v>
      </c>
      <c r="C530" s="20" t="str">
        <f t="shared" ref="C530:D530" si="1583">#REF!</f>
        <v>#REF!</v>
      </c>
      <c r="D530" s="20" t="str">
        <f t="shared" si="1583"/>
        <v>#REF!</v>
      </c>
      <c r="E530" s="20" t="str">
        <f t="shared" si="1270"/>
        <v>#REF!</v>
      </c>
      <c r="F530" s="22" t="str">
        <f t="shared" si="2"/>
        <v>#REF!</v>
      </c>
      <c r="G530" s="20" t="str">
        <f t="shared" ref="G530:I530" si="1584">#REF!</f>
        <v>#REF!</v>
      </c>
      <c r="H530" s="20" t="str">
        <f t="shared" si="1584"/>
        <v>#REF!</v>
      </c>
      <c r="I530" s="20" t="str">
        <f t="shared" si="1584"/>
        <v>#REF!</v>
      </c>
      <c r="J530" s="20" t="str">
        <f t="shared" si="1272"/>
        <v>#REF!</v>
      </c>
      <c r="K530" s="20" t="str">
        <f t="shared" ref="K530:L530" si="1585">#REF!</f>
        <v>#REF!</v>
      </c>
      <c r="L530" s="20" t="str">
        <f t="shared" si="1585"/>
        <v>#REF!</v>
      </c>
    </row>
    <row r="531">
      <c r="A531" s="20" t="str">
        <f t="shared" si="1267"/>
        <v>#REF!</v>
      </c>
      <c r="B531" s="20" t="str">
        <f t="shared" si="1268"/>
        <v>#REF!</v>
      </c>
      <c r="C531" s="20" t="str">
        <f t="shared" ref="C531:D531" si="1586">#REF!</f>
        <v>#REF!</v>
      </c>
      <c r="D531" s="20" t="str">
        <f t="shared" si="1586"/>
        <v>#REF!</v>
      </c>
      <c r="E531" s="20" t="str">
        <f t="shared" si="1270"/>
        <v>#REF!</v>
      </c>
      <c r="F531" s="22" t="str">
        <f t="shared" si="2"/>
        <v>#REF!</v>
      </c>
      <c r="G531" s="20" t="str">
        <f t="shared" ref="G531:I531" si="1587">#REF!</f>
        <v>#REF!</v>
      </c>
      <c r="H531" s="20" t="str">
        <f t="shared" si="1587"/>
        <v>#REF!</v>
      </c>
      <c r="I531" s="20" t="str">
        <f t="shared" si="1587"/>
        <v>#REF!</v>
      </c>
      <c r="J531" s="20" t="str">
        <f t="shared" si="1272"/>
        <v>#REF!</v>
      </c>
      <c r="K531" s="20" t="str">
        <f t="shared" ref="K531:L531" si="1588">#REF!</f>
        <v>#REF!</v>
      </c>
      <c r="L531" s="20" t="str">
        <f t="shared" si="1588"/>
        <v>#REF!</v>
      </c>
    </row>
    <row r="532">
      <c r="A532" s="20" t="str">
        <f t="shared" si="1267"/>
        <v>#REF!</v>
      </c>
      <c r="B532" s="20" t="str">
        <f t="shared" si="1268"/>
        <v>#REF!</v>
      </c>
      <c r="C532" s="20" t="str">
        <f t="shared" ref="C532:D532" si="1589">#REF!</f>
        <v>#REF!</v>
      </c>
      <c r="D532" s="20" t="str">
        <f t="shared" si="1589"/>
        <v>#REF!</v>
      </c>
      <c r="E532" s="20" t="str">
        <f t="shared" si="1270"/>
        <v>#REF!</v>
      </c>
      <c r="F532" s="22" t="str">
        <f t="shared" si="2"/>
        <v>#REF!</v>
      </c>
      <c r="G532" s="20" t="str">
        <f t="shared" ref="G532:I532" si="1590">#REF!</f>
        <v>#REF!</v>
      </c>
      <c r="H532" s="20" t="str">
        <f t="shared" si="1590"/>
        <v>#REF!</v>
      </c>
      <c r="I532" s="20" t="str">
        <f t="shared" si="1590"/>
        <v>#REF!</v>
      </c>
      <c r="J532" s="20" t="str">
        <f t="shared" si="1272"/>
        <v>#REF!</v>
      </c>
      <c r="K532" s="20" t="str">
        <f t="shared" ref="K532:L532" si="1591">#REF!</f>
        <v>#REF!</v>
      </c>
      <c r="L532" s="20" t="str">
        <f t="shared" si="1591"/>
        <v>#REF!</v>
      </c>
    </row>
    <row r="533">
      <c r="A533" s="20" t="str">
        <f t="shared" si="1267"/>
        <v>#REF!</v>
      </c>
      <c r="B533" s="20" t="str">
        <f t="shared" si="1268"/>
        <v>#REF!</v>
      </c>
      <c r="C533" s="20" t="str">
        <f t="shared" ref="C533:D533" si="1592">#REF!</f>
        <v>#REF!</v>
      </c>
      <c r="D533" s="20" t="str">
        <f t="shared" si="1592"/>
        <v>#REF!</v>
      </c>
      <c r="E533" s="20" t="str">
        <f t="shared" si="1270"/>
        <v>#REF!</v>
      </c>
      <c r="F533" s="22" t="str">
        <f t="shared" si="2"/>
        <v>#REF!</v>
      </c>
      <c r="G533" s="20" t="str">
        <f t="shared" ref="G533:I533" si="1593">#REF!</f>
        <v>#REF!</v>
      </c>
      <c r="H533" s="20" t="str">
        <f t="shared" si="1593"/>
        <v>#REF!</v>
      </c>
      <c r="I533" s="20" t="str">
        <f t="shared" si="1593"/>
        <v>#REF!</v>
      </c>
      <c r="J533" s="20" t="str">
        <f t="shared" si="1272"/>
        <v>#REF!</v>
      </c>
      <c r="K533" s="20" t="str">
        <f t="shared" ref="K533:L533" si="1594">#REF!</f>
        <v>#REF!</v>
      </c>
      <c r="L533" s="20" t="str">
        <f t="shared" si="1594"/>
        <v>#REF!</v>
      </c>
    </row>
    <row r="534">
      <c r="A534" s="20" t="str">
        <f t="shared" si="1267"/>
        <v>#REF!</v>
      </c>
      <c r="B534" s="20" t="str">
        <f t="shared" si="1268"/>
        <v>#REF!</v>
      </c>
      <c r="C534" s="20" t="str">
        <f t="shared" ref="C534:D534" si="1595">#REF!</f>
        <v>#REF!</v>
      </c>
      <c r="D534" s="20" t="str">
        <f t="shared" si="1595"/>
        <v>#REF!</v>
      </c>
      <c r="E534" s="20" t="str">
        <f t="shared" si="1270"/>
        <v>#REF!</v>
      </c>
      <c r="F534" s="22" t="str">
        <f t="shared" si="2"/>
        <v>#REF!</v>
      </c>
      <c r="G534" s="20" t="str">
        <f t="shared" ref="G534:I534" si="1596">#REF!</f>
        <v>#REF!</v>
      </c>
      <c r="H534" s="20" t="str">
        <f t="shared" si="1596"/>
        <v>#REF!</v>
      </c>
      <c r="I534" s="20" t="str">
        <f t="shared" si="1596"/>
        <v>#REF!</v>
      </c>
      <c r="J534" s="20" t="str">
        <f t="shared" si="1272"/>
        <v>#REF!</v>
      </c>
      <c r="K534" s="20" t="str">
        <f t="shared" ref="K534:L534" si="1597">#REF!</f>
        <v>#REF!</v>
      </c>
      <c r="L534" s="20" t="str">
        <f t="shared" si="1597"/>
        <v>#REF!</v>
      </c>
    </row>
    <row r="535">
      <c r="A535" s="20" t="str">
        <f t="shared" si="1267"/>
        <v>#REF!</v>
      </c>
      <c r="B535" s="20" t="str">
        <f t="shared" si="1268"/>
        <v>#REF!</v>
      </c>
      <c r="C535" s="20" t="str">
        <f t="shared" ref="C535:D535" si="1598">#REF!</f>
        <v>#REF!</v>
      </c>
      <c r="D535" s="20" t="str">
        <f t="shared" si="1598"/>
        <v>#REF!</v>
      </c>
      <c r="E535" s="20" t="str">
        <f t="shared" si="1270"/>
        <v>#REF!</v>
      </c>
      <c r="F535" s="22" t="str">
        <f t="shared" si="2"/>
        <v>#REF!</v>
      </c>
      <c r="G535" s="20" t="str">
        <f t="shared" ref="G535:I535" si="1599">#REF!</f>
        <v>#REF!</v>
      </c>
      <c r="H535" s="20" t="str">
        <f t="shared" si="1599"/>
        <v>#REF!</v>
      </c>
      <c r="I535" s="20" t="str">
        <f t="shared" si="1599"/>
        <v>#REF!</v>
      </c>
      <c r="J535" s="20" t="str">
        <f t="shared" si="1272"/>
        <v>#REF!</v>
      </c>
      <c r="K535" s="20" t="str">
        <f t="shared" ref="K535:L535" si="1600">#REF!</f>
        <v>#REF!</v>
      </c>
      <c r="L535" s="20" t="str">
        <f t="shared" si="1600"/>
        <v>#REF!</v>
      </c>
    </row>
    <row r="536">
      <c r="A536" s="20" t="str">
        <f t="shared" si="1267"/>
        <v>#REF!</v>
      </c>
      <c r="B536" s="20" t="str">
        <f t="shared" si="1268"/>
        <v>#REF!</v>
      </c>
      <c r="C536" s="20" t="str">
        <f t="shared" ref="C536:D536" si="1601">#REF!</f>
        <v>#REF!</v>
      </c>
      <c r="D536" s="20" t="str">
        <f t="shared" si="1601"/>
        <v>#REF!</v>
      </c>
      <c r="E536" s="20" t="str">
        <f t="shared" si="1270"/>
        <v>#REF!</v>
      </c>
      <c r="F536" s="22" t="str">
        <f t="shared" si="2"/>
        <v>#REF!</v>
      </c>
      <c r="G536" s="20" t="str">
        <f t="shared" ref="G536:I536" si="1602">#REF!</f>
        <v>#REF!</v>
      </c>
      <c r="H536" s="20" t="str">
        <f t="shared" si="1602"/>
        <v>#REF!</v>
      </c>
      <c r="I536" s="20" t="str">
        <f t="shared" si="1602"/>
        <v>#REF!</v>
      </c>
      <c r="J536" s="20" t="str">
        <f t="shared" si="1272"/>
        <v>#REF!</v>
      </c>
      <c r="K536" s="20" t="str">
        <f t="shared" ref="K536:L536" si="1603">#REF!</f>
        <v>#REF!</v>
      </c>
      <c r="L536" s="20" t="str">
        <f t="shared" si="1603"/>
        <v>#REF!</v>
      </c>
    </row>
    <row r="537">
      <c r="A537" s="20" t="str">
        <f t="shared" si="1267"/>
        <v>#REF!</v>
      </c>
      <c r="B537" s="20" t="str">
        <f t="shared" si="1268"/>
        <v>#REF!</v>
      </c>
      <c r="C537" s="20" t="str">
        <f t="shared" ref="C537:D537" si="1604">#REF!</f>
        <v>#REF!</v>
      </c>
      <c r="D537" s="20" t="str">
        <f t="shared" si="1604"/>
        <v>#REF!</v>
      </c>
      <c r="E537" s="20" t="str">
        <f t="shared" si="1270"/>
        <v>#REF!</v>
      </c>
      <c r="F537" s="22" t="str">
        <f t="shared" si="2"/>
        <v>#REF!</v>
      </c>
      <c r="G537" s="20" t="str">
        <f t="shared" ref="G537:I537" si="1605">#REF!</f>
        <v>#REF!</v>
      </c>
      <c r="H537" s="20" t="str">
        <f t="shared" si="1605"/>
        <v>#REF!</v>
      </c>
      <c r="I537" s="20" t="str">
        <f t="shared" si="1605"/>
        <v>#REF!</v>
      </c>
      <c r="J537" s="20" t="str">
        <f t="shared" si="1272"/>
        <v>#REF!</v>
      </c>
      <c r="K537" s="20" t="str">
        <f t="shared" ref="K537:L537" si="1606">#REF!</f>
        <v>#REF!</v>
      </c>
      <c r="L537" s="20" t="str">
        <f t="shared" si="1606"/>
        <v>#REF!</v>
      </c>
    </row>
    <row r="538">
      <c r="A538" s="20" t="str">
        <f t="shared" si="1267"/>
        <v>#REF!</v>
      </c>
      <c r="B538" s="20" t="str">
        <f t="shared" si="1268"/>
        <v>#REF!</v>
      </c>
      <c r="C538" s="20" t="str">
        <f t="shared" ref="C538:D538" si="1607">#REF!</f>
        <v>#REF!</v>
      </c>
      <c r="D538" s="20" t="str">
        <f t="shared" si="1607"/>
        <v>#REF!</v>
      </c>
      <c r="E538" s="20" t="str">
        <f t="shared" si="1270"/>
        <v>#REF!</v>
      </c>
      <c r="F538" s="22" t="str">
        <f t="shared" si="2"/>
        <v>#REF!</v>
      </c>
      <c r="G538" s="20" t="str">
        <f t="shared" ref="G538:I538" si="1608">#REF!</f>
        <v>#REF!</v>
      </c>
      <c r="H538" s="20" t="str">
        <f t="shared" si="1608"/>
        <v>#REF!</v>
      </c>
      <c r="I538" s="20" t="str">
        <f t="shared" si="1608"/>
        <v>#REF!</v>
      </c>
      <c r="J538" s="20" t="str">
        <f t="shared" si="1272"/>
        <v>#REF!</v>
      </c>
      <c r="K538" s="20" t="str">
        <f t="shared" ref="K538:L538" si="1609">#REF!</f>
        <v>#REF!</v>
      </c>
      <c r="L538" s="20" t="str">
        <f t="shared" si="1609"/>
        <v>#REF!</v>
      </c>
    </row>
    <row r="539">
      <c r="A539" s="20" t="str">
        <f t="shared" si="1267"/>
        <v>#REF!</v>
      </c>
      <c r="B539" s="20" t="str">
        <f t="shared" si="1268"/>
        <v>#REF!</v>
      </c>
      <c r="C539" s="20" t="str">
        <f t="shared" ref="C539:D539" si="1610">#REF!</f>
        <v>#REF!</v>
      </c>
      <c r="D539" s="20" t="str">
        <f t="shared" si="1610"/>
        <v>#REF!</v>
      </c>
      <c r="E539" s="20" t="str">
        <f t="shared" si="1270"/>
        <v>#REF!</v>
      </c>
      <c r="F539" s="22" t="str">
        <f t="shared" si="2"/>
        <v>#REF!</v>
      </c>
      <c r="G539" s="20" t="str">
        <f t="shared" ref="G539:I539" si="1611">#REF!</f>
        <v>#REF!</v>
      </c>
      <c r="H539" s="20" t="str">
        <f t="shared" si="1611"/>
        <v>#REF!</v>
      </c>
      <c r="I539" s="20" t="str">
        <f t="shared" si="1611"/>
        <v>#REF!</v>
      </c>
      <c r="J539" s="20" t="str">
        <f t="shared" si="1272"/>
        <v>#REF!</v>
      </c>
      <c r="K539" s="20" t="str">
        <f t="shared" ref="K539:L539" si="1612">#REF!</f>
        <v>#REF!</v>
      </c>
      <c r="L539" s="20" t="str">
        <f t="shared" si="1612"/>
        <v>#REF!</v>
      </c>
    </row>
    <row r="540">
      <c r="A540" s="20" t="str">
        <f t="shared" si="1267"/>
        <v>#REF!</v>
      </c>
      <c r="B540" s="20" t="str">
        <f t="shared" si="1268"/>
        <v>#REF!</v>
      </c>
      <c r="C540" s="20" t="str">
        <f t="shared" ref="C540:D540" si="1613">#REF!</f>
        <v>#REF!</v>
      </c>
      <c r="D540" s="20" t="str">
        <f t="shared" si="1613"/>
        <v>#REF!</v>
      </c>
      <c r="E540" s="20" t="str">
        <f t="shared" si="1270"/>
        <v>#REF!</v>
      </c>
      <c r="F540" s="22" t="str">
        <f t="shared" si="2"/>
        <v>#REF!</v>
      </c>
      <c r="G540" s="20" t="str">
        <f t="shared" ref="G540:I540" si="1614">#REF!</f>
        <v>#REF!</v>
      </c>
      <c r="H540" s="20" t="str">
        <f t="shared" si="1614"/>
        <v>#REF!</v>
      </c>
      <c r="I540" s="20" t="str">
        <f t="shared" si="1614"/>
        <v>#REF!</v>
      </c>
      <c r="J540" s="20" t="str">
        <f t="shared" si="1272"/>
        <v>#REF!</v>
      </c>
      <c r="K540" s="20" t="str">
        <f t="shared" ref="K540:L540" si="1615">#REF!</f>
        <v>#REF!</v>
      </c>
      <c r="L540" s="20" t="str">
        <f t="shared" si="1615"/>
        <v>#REF!</v>
      </c>
    </row>
    <row r="541">
      <c r="A541" s="20" t="str">
        <f t="shared" si="1267"/>
        <v>#REF!</v>
      </c>
      <c r="B541" s="20" t="str">
        <f t="shared" si="1268"/>
        <v>#REF!</v>
      </c>
      <c r="C541" s="20" t="str">
        <f t="shared" ref="C541:D541" si="1616">#REF!</f>
        <v>#REF!</v>
      </c>
      <c r="D541" s="20" t="str">
        <f t="shared" si="1616"/>
        <v>#REF!</v>
      </c>
      <c r="E541" s="20" t="str">
        <f t="shared" si="1270"/>
        <v>#REF!</v>
      </c>
      <c r="F541" s="22" t="str">
        <f t="shared" si="2"/>
        <v>#REF!</v>
      </c>
      <c r="G541" s="20" t="str">
        <f t="shared" ref="G541:I541" si="1617">#REF!</f>
        <v>#REF!</v>
      </c>
      <c r="H541" s="20" t="str">
        <f t="shared" si="1617"/>
        <v>#REF!</v>
      </c>
      <c r="I541" s="20" t="str">
        <f t="shared" si="1617"/>
        <v>#REF!</v>
      </c>
      <c r="J541" s="20" t="str">
        <f t="shared" si="1272"/>
        <v>#REF!</v>
      </c>
      <c r="K541" s="20" t="str">
        <f t="shared" ref="K541:L541" si="1618">#REF!</f>
        <v>#REF!</v>
      </c>
      <c r="L541" s="20" t="str">
        <f t="shared" si="1618"/>
        <v>#REF!</v>
      </c>
    </row>
    <row r="542">
      <c r="A542" s="20" t="str">
        <f t="shared" si="1267"/>
        <v>#REF!</v>
      </c>
      <c r="B542" s="20" t="str">
        <f t="shared" si="1268"/>
        <v>#REF!</v>
      </c>
      <c r="C542" s="20" t="str">
        <f t="shared" ref="C542:D542" si="1619">#REF!</f>
        <v>#REF!</v>
      </c>
      <c r="D542" s="20" t="str">
        <f t="shared" si="1619"/>
        <v>#REF!</v>
      </c>
      <c r="E542" s="20" t="str">
        <f t="shared" si="1270"/>
        <v>#REF!</v>
      </c>
      <c r="F542" s="22" t="str">
        <f t="shared" si="2"/>
        <v>#REF!</v>
      </c>
      <c r="G542" s="20" t="str">
        <f t="shared" ref="G542:I542" si="1620">#REF!</f>
        <v>#REF!</v>
      </c>
      <c r="H542" s="20" t="str">
        <f t="shared" si="1620"/>
        <v>#REF!</v>
      </c>
      <c r="I542" s="20" t="str">
        <f t="shared" si="1620"/>
        <v>#REF!</v>
      </c>
      <c r="J542" s="20" t="str">
        <f t="shared" si="1272"/>
        <v>#REF!</v>
      </c>
      <c r="K542" s="20" t="str">
        <f t="shared" ref="K542:L542" si="1621">#REF!</f>
        <v>#REF!</v>
      </c>
      <c r="L542" s="20" t="str">
        <f t="shared" si="1621"/>
        <v>#REF!</v>
      </c>
    </row>
    <row r="543">
      <c r="A543" s="20" t="str">
        <f t="shared" si="1267"/>
        <v>#REF!</v>
      </c>
      <c r="B543" s="20" t="str">
        <f t="shared" si="1268"/>
        <v>#REF!</v>
      </c>
      <c r="C543" s="20" t="str">
        <f t="shared" ref="C543:D543" si="1622">#REF!</f>
        <v>#REF!</v>
      </c>
      <c r="D543" s="20" t="str">
        <f t="shared" si="1622"/>
        <v>#REF!</v>
      </c>
      <c r="E543" s="20" t="str">
        <f t="shared" si="1270"/>
        <v>#REF!</v>
      </c>
      <c r="F543" s="22" t="str">
        <f t="shared" si="2"/>
        <v>#REF!</v>
      </c>
      <c r="G543" s="20" t="str">
        <f t="shared" ref="G543:I543" si="1623">#REF!</f>
        <v>#REF!</v>
      </c>
      <c r="H543" s="20" t="str">
        <f t="shared" si="1623"/>
        <v>#REF!</v>
      </c>
      <c r="I543" s="20" t="str">
        <f t="shared" si="1623"/>
        <v>#REF!</v>
      </c>
      <c r="J543" s="20" t="str">
        <f t="shared" si="1272"/>
        <v>#REF!</v>
      </c>
      <c r="K543" s="20" t="str">
        <f t="shared" ref="K543:L543" si="1624">#REF!</f>
        <v>#REF!</v>
      </c>
      <c r="L543" s="20" t="str">
        <f t="shared" si="1624"/>
        <v>#REF!</v>
      </c>
    </row>
    <row r="544">
      <c r="A544" s="20" t="str">
        <f t="shared" si="1267"/>
        <v>#REF!</v>
      </c>
      <c r="B544" s="20" t="str">
        <f t="shared" si="1268"/>
        <v>#REF!</v>
      </c>
      <c r="C544" s="20" t="str">
        <f t="shared" ref="C544:D544" si="1625">#REF!</f>
        <v>#REF!</v>
      </c>
      <c r="D544" s="20" t="str">
        <f t="shared" si="1625"/>
        <v>#REF!</v>
      </c>
      <c r="E544" s="20" t="str">
        <f t="shared" si="1270"/>
        <v>#REF!</v>
      </c>
      <c r="F544" s="22" t="str">
        <f t="shared" si="2"/>
        <v>#REF!</v>
      </c>
      <c r="G544" s="20" t="str">
        <f t="shared" ref="G544:I544" si="1626">#REF!</f>
        <v>#REF!</v>
      </c>
      <c r="H544" s="20" t="str">
        <f t="shared" si="1626"/>
        <v>#REF!</v>
      </c>
      <c r="I544" s="20" t="str">
        <f t="shared" si="1626"/>
        <v>#REF!</v>
      </c>
      <c r="J544" s="20" t="str">
        <f t="shared" si="1272"/>
        <v>#REF!</v>
      </c>
      <c r="K544" s="20" t="str">
        <f t="shared" ref="K544:L544" si="1627">#REF!</f>
        <v>#REF!</v>
      </c>
      <c r="L544" s="20" t="str">
        <f t="shared" si="1627"/>
        <v>#REF!</v>
      </c>
    </row>
    <row r="545">
      <c r="A545" s="20" t="str">
        <f t="shared" si="1267"/>
        <v>#REF!</v>
      </c>
      <c r="B545" s="20" t="str">
        <f t="shared" si="1268"/>
        <v>#REF!</v>
      </c>
      <c r="C545" s="20" t="str">
        <f t="shared" ref="C545:D545" si="1628">#REF!</f>
        <v>#REF!</v>
      </c>
      <c r="D545" s="20" t="str">
        <f t="shared" si="1628"/>
        <v>#REF!</v>
      </c>
      <c r="E545" s="20" t="str">
        <f t="shared" si="1270"/>
        <v>#REF!</v>
      </c>
      <c r="F545" s="22" t="str">
        <f t="shared" si="2"/>
        <v>#REF!</v>
      </c>
      <c r="G545" s="20" t="str">
        <f t="shared" ref="G545:I545" si="1629">#REF!</f>
        <v>#REF!</v>
      </c>
      <c r="H545" s="20" t="str">
        <f t="shared" si="1629"/>
        <v>#REF!</v>
      </c>
      <c r="I545" s="20" t="str">
        <f t="shared" si="1629"/>
        <v>#REF!</v>
      </c>
      <c r="J545" s="20" t="str">
        <f t="shared" si="1272"/>
        <v>#REF!</v>
      </c>
      <c r="K545" s="20" t="str">
        <f t="shared" ref="K545:L545" si="1630">#REF!</f>
        <v>#REF!</v>
      </c>
      <c r="L545" s="20" t="str">
        <f t="shared" si="1630"/>
        <v>#REF!</v>
      </c>
    </row>
    <row r="546">
      <c r="A546" s="20" t="str">
        <f t="shared" si="1267"/>
        <v>#REF!</v>
      </c>
      <c r="B546" s="20" t="str">
        <f t="shared" si="1268"/>
        <v>#REF!</v>
      </c>
      <c r="C546" s="20" t="str">
        <f t="shared" ref="C546:D546" si="1631">#REF!</f>
        <v>#REF!</v>
      </c>
      <c r="D546" s="20" t="str">
        <f t="shared" si="1631"/>
        <v>#REF!</v>
      </c>
      <c r="E546" s="20" t="str">
        <f t="shared" si="1270"/>
        <v>#REF!</v>
      </c>
      <c r="F546" s="22" t="str">
        <f t="shared" si="2"/>
        <v>#REF!</v>
      </c>
      <c r="G546" s="20" t="str">
        <f t="shared" ref="G546:I546" si="1632">#REF!</f>
        <v>#REF!</v>
      </c>
      <c r="H546" s="20" t="str">
        <f t="shared" si="1632"/>
        <v>#REF!</v>
      </c>
      <c r="I546" s="20" t="str">
        <f t="shared" si="1632"/>
        <v>#REF!</v>
      </c>
      <c r="J546" s="20" t="str">
        <f t="shared" si="1272"/>
        <v>#REF!</v>
      </c>
      <c r="K546" s="20" t="str">
        <f t="shared" ref="K546:L546" si="1633">#REF!</f>
        <v>#REF!</v>
      </c>
      <c r="L546" s="20" t="str">
        <f t="shared" si="1633"/>
        <v>#REF!</v>
      </c>
    </row>
    <row r="547">
      <c r="A547" s="20" t="str">
        <f t="shared" si="1267"/>
        <v>#REF!</v>
      </c>
      <c r="B547" s="20" t="str">
        <f t="shared" si="1268"/>
        <v>#REF!</v>
      </c>
      <c r="C547" s="20" t="str">
        <f t="shared" ref="C547:D547" si="1634">#REF!</f>
        <v>#REF!</v>
      </c>
      <c r="D547" s="20" t="str">
        <f t="shared" si="1634"/>
        <v>#REF!</v>
      </c>
      <c r="E547" s="20" t="str">
        <f t="shared" si="1270"/>
        <v>#REF!</v>
      </c>
      <c r="F547" s="22" t="str">
        <f t="shared" si="2"/>
        <v>#REF!</v>
      </c>
      <c r="G547" s="20" t="str">
        <f t="shared" ref="G547:I547" si="1635">#REF!</f>
        <v>#REF!</v>
      </c>
      <c r="H547" s="20" t="str">
        <f t="shared" si="1635"/>
        <v>#REF!</v>
      </c>
      <c r="I547" s="20" t="str">
        <f t="shared" si="1635"/>
        <v>#REF!</v>
      </c>
      <c r="J547" s="20" t="str">
        <f t="shared" si="1272"/>
        <v>#REF!</v>
      </c>
      <c r="K547" s="20" t="str">
        <f t="shared" ref="K547:L547" si="1636">#REF!</f>
        <v>#REF!</v>
      </c>
      <c r="L547" s="20" t="str">
        <f t="shared" si="1636"/>
        <v>#REF!</v>
      </c>
    </row>
    <row r="548">
      <c r="A548" s="20" t="str">
        <f t="shared" si="1267"/>
        <v>#REF!</v>
      </c>
      <c r="B548" s="20" t="str">
        <f t="shared" si="1268"/>
        <v>#REF!</v>
      </c>
      <c r="C548" s="20" t="str">
        <f t="shared" ref="C548:D548" si="1637">#REF!</f>
        <v>#REF!</v>
      </c>
      <c r="D548" s="20" t="str">
        <f t="shared" si="1637"/>
        <v>#REF!</v>
      </c>
      <c r="E548" s="20" t="str">
        <f t="shared" si="1270"/>
        <v>#REF!</v>
      </c>
      <c r="F548" s="22" t="str">
        <f t="shared" si="2"/>
        <v>#REF!</v>
      </c>
      <c r="G548" s="20" t="str">
        <f t="shared" ref="G548:I548" si="1638">#REF!</f>
        <v>#REF!</v>
      </c>
      <c r="H548" s="20" t="str">
        <f t="shared" si="1638"/>
        <v>#REF!</v>
      </c>
      <c r="I548" s="20" t="str">
        <f t="shared" si="1638"/>
        <v>#REF!</v>
      </c>
      <c r="J548" s="20" t="str">
        <f t="shared" si="1272"/>
        <v>#REF!</v>
      </c>
      <c r="K548" s="20" t="str">
        <f t="shared" ref="K548:L548" si="1639">#REF!</f>
        <v>#REF!</v>
      </c>
      <c r="L548" s="20" t="str">
        <f t="shared" si="1639"/>
        <v>#REF!</v>
      </c>
    </row>
    <row r="549">
      <c r="A549" s="20" t="str">
        <f t="shared" si="1267"/>
        <v>#REF!</v>
      </c>
      <c r="B549" s="20" t="str">
        <f t="shared" si="1268"/>
        <v>#REF!</v>
      </c>
      <c r="C549" s="20" t="str">
        <f t="shared" ref="C549:D549" si="1640">#REF!</f>
        <v>#REF!</v>
      </c>
      <c r="D549" s="20" t="str">
        <f t="shared" si="1640"/>
        <v>#REF!</v>
      </c>
      <c r="E549" s="20" t="str">
        <f t="shared" si="1270"/>
        <v>#REF!</v>
      </c>
      <c r="F549" s="22" t="str">
        <f t="shared" si="2"/>
        <v>#REF!</v>
      </c>
      <c r="G549" s="20" t="str">
        <f t="shared" ref="G549:I549" si="1641">#REF!</f>
        <v>#REF!</v>
      </c>
      <c r="H549" s="20" t="str">
        <f t="shared" si="1641"/>
        <v>#REF!</v>
      </c>
      <c r="I549" s="20" t="str">
        <f t="shared" si="1641"/>
        <v>#REF!</v>
      </c>
      <c r="J549" s="20" t="str">
        <f t="shared" si="1272"/>
        <v>#REF!</v>
      </c>
      <c r="K549" s="20" t="str">
        <f t="shared" ref="K549:L549" si="1642">#REF!</f>
        <v>#REF!</v>
      </c>
      <c r="L549" s="20" t="str">
        <f t="shared" si="1642"/>
        <v>#REF!</v>
      </c>
    </row>
    <row r="550">
      <c r="A550" s="20" t="str">
        <f t="shared" si="1267"/>
        <v>#REF!</v>
      </c>
      <c r="B550" s="20" t="str">
        <f t="shared" si="1268"/>
        <v>#REF!</v>
      </c>
      <c r="C550" s="20" t="str">
        <f t="shared" ref="C550:D550" si="1643">#REF!</f>
        <v>#REF!</v>
      </c>
      <c r="D550" s="20" t="str">
        <f t="shared" si="1643"/>
        <v>#REF!</v>
      </c>
      <c r="E550" s="20" t="str">
        <f t="shared" si="1270"/>
        <v>#REF!</v>
      </c>
      <c r="F550" s="22" t="str">
        <f t="shared" si="2"/>
        <v>#REF!</v>
      </c>
      <c r="G550" s="20" t="str">
        <f t="shared" ref="G550:I550" si="1644">#REF!</f>
        <v>#REF!</v>
      </c>
      <c r="H550" s="20" t="str">
        <f t="shared" si="1644"/>
        <v>#REF!</v>
      </c>
      <c r="I550" s="20" t="str">
        <f t="shared" si="1644"/>
        <v>#REF!</v>
      </c>
      <c r="J550" s="20" t="str">
        <f t="shared" si="1272"/>
        <v>#REF!</v>
      </c>
      <c r="K550" s="20" t="str">
        <f t="shared" ref="K550:L550" si="1645">#REF!</f>
        <v>#REF!</v>
      </c>
      <c r="L550" s="20" t="str">
        <f t="shared" si="1645"/>
        <v>#REF!</v>
      </c>
    </row>
    <row r="551">
      <c r="A551" s="20" t="str">
        <f t="shared" si="1267"/>
        <v>#REF!</v>
      </c>
      <c r="B551" s="20" t="str">
        <f t="shared" si="1268"/>
        <v>#REF!</v>
      </c>
      <c r="C551" s="20" t="str">
        <f t="shared" ref="C551:D551" si="1646">#REF!</f>
        <v>#REF!</v>
      </c>
      <c r="D551" s="20" t="str">
        <f t="shared" si="1646"/>
        <v>#REF!</v>
      </c>
      <c r="E551" s="20" t="str">
        <f t="shared" si="1270"/>
        <v>#REF!</v>
      </c>
      <c r="F551" s="22" t="str">
        <f t="shared" si="2"/>
        <v>#REF!</v>
      </c>
      <c r="G551" s="20" t="str">
        <f t="shared" ref="G551:I551" si="1647">#REF!</f>
        <v>#REF!</v>
      </c>
      <c r="H551" s="20" t="str">
        <f t="shared" si="1647"/>
        <v>#REF!</v>
      </c>
      <c r="I551" s="20" t="str">
        <f t="shared" si="1647"/>
        <v>#REF!</v>
      </c>
      <c r="J551" s="20" t="str">
        <f t="shared" si="1272"/>
        <v>#REF!</v>
      </c>
      <c r="K551" s="20" t="str">
        <f t="shared" ref="K551:L551" si="1648">#REF!</f>
        <v>#REF!</v>
      </c>
      <c r="L551" s="20" t="str">
        <f t="shared" si="1648"/>
        <v>#REF!</v>
      </c>
    </row>
    <row r="552">
      <c r="A552" s="20" t="str">
        <f t="shared" si="1267"/>
        <v>#REF!</v>
      </c>
      <c r="B552" s="20" t="str">
        <f t="shared" si="1268"/>
        <v>#REF!</v>
      </c>
      <c r="C552" s="20" t="str">
        <f t="shared" ref="C552:D552" si="1649">#REF!</f>
        <v>#REF!</v>
      </c>
      <c r="D552" s="20" t="str">
        <f t="shared" si="1649"/>
        <v>#REF!</v>
      </c>
      <c r="E552" s="20" t="str">
        <f t="shared" si="1270"/>
        <v>#REF!</v>
      </c>
      <c r="F552" s="22" t="str">
        <f t="shared" si="2"/>
        <v>#REF!</v>
      </c>
      <c r="G552" s="20" t="str">
        <f t="shared" ref="G552:I552" si="1650">#REF!</f>
        <v>#REF!</v>
      </c>
      <c r="H552" s="20" t="str">
        <f t="shared" si="1650"/>
        <v>#REF!</v>
      </c>
      <c r="I552" s="20" t="str">
        <f t="shared" si="1650"/>
        <v>#REF!</v>
      </c>
      <c r="J552" s="20" t="str">
        <f t="shared" si="1272"/>
        <v>#REF!</v>
      </c>
      <c r="K552" s="20" t="str">
        <f t="shared" ref="K552:L552" si="1651">#REF!</f>
        <v>#REF!</v>
      </c>
      <c r="L552" s="20" t="str">
        <f t="shared" si="1651"/>
        <v>#REF!</v>
      </c>
    </row>
    <row r="553">
      <c r="A553" s="20" t="str">
        <f t="shared" si="1267"/>
        <v>#REF!</v>
      </c>
      <c r="B553" s="20" t="str">
        <f t="shared" si="1268"/>
        <v>#REF!</v>
      </c>
      <c r="C553" s="20" t="str">
        <f t="shared" ref="C553:D553" si="1652">#REF!</f>
        <v>#REF!</v>
      </c>
      <c r="D553" s="20" t="str">
        <f t="shared" si="1652"/>
        <v>#REF!</v>
      </c>
      <c r="E553" s="20" t="str">
        <f t="shared" si="1270"/>
        <v>#REF!</v>
      </c>
      <c r="F553" s="22" t="str">
        <f t="shared" si="2"/>
        <v>#REF!</v>
      </c>
      <c r="G553" s="20" t="str">
        <f t="shared" ref="G553:I553" si="1653">#REF!</f>
        <v>#REF!</v>
      </c>
      <c r="H553" s="20" t="str">
        <f t="shared" si="1653"/>
        <v>#REF!</v>
      </c>
      <c r="I553" s="20" t="str">
        <f t="shared" si="1653"/>
        <v>#REF!</v>
      </c>
      <c r="J553" s="20" t="str">
        <f t="shared" si="1272"/>
        <v>#REF!</v>
      </c>
      <c r="K553" s="20" t="str">
        <f t="shared" ref="K553:L553" si="1654">#REF!</f>
        <v>#REF!</v>
      </c>
      <c r="L553" s="20" t="str">
        <f t="shared" si="1654"/>
        <v>#REF!</v>
      </c>
    </row>
    <row r="554">
      <c r="A554" s="20" t="str">
        <f t="shared" si="1267"/>
        <v>#REF!</v>
      </c>
      <c r="B554" s="20" t="str">
        <f t="shared" si="1268"/>
        <v>#REF!</v>
      </c>
      <c r="C554" s="20" t="str">
        <f t="shared" ref="C554:D554" si="1655">#REF!</f>
        <v>#REF!</v>
      </c>
      <c r="D554" s="20" t="str">
        <f t="shared" si="1655"/>
        <v>#REF!</v>
      </c>
      <c r="E554" s="20" t="str">
        <f t="shared" si="1270"/>
        <v>#REF!</v>
      </c>
      <c r="F554" s="22" t="str">
        <f t="shared" si="2"/>
        <v>#REF!</v>
      </c>
      <c r="G554" s="20" t="str">
        <f t="shared" ref="G554:I554" si="1656">#REF!</f>
        <v>#REF!</v>
      </c>
      <c r="H554" s="20" t="str">
        <f t="shared" si="1656"/>
        <v>#REF!</v>
      </c>
      <c r="I554" s="20" t="str">
        <f t="shared" si="1656"/>
        <v>#REF!</v>
      </c>
      <c r="J554" s="20" t="str">
        <f t="shared" si="1272"/>
        <v>#REF!</v>
      </c>
      <c r="K554" s="20" t="str">
        <f t="shared" ref="K554:L554" si="1657">#REF!</f>
        <v>#REF!</v>
      </c>
      <c r="L554" s="20" t="str">
        <f t="shared" si="1657"/>
        <v>#REF!</v>
      </c>
    </row>
    <row r="555">
      <c r="A555" s="20" t="str">
        <f t="shared" si="1267"/>
        <v>#REF!</v>
      </c>
      <c r="B555" s="20" t="str">
        <f t="shared" si="1268"/>
        <v>#REF!</v>
      </c>
      <c r="C555" s="20" t="str">
        <f t="shared" ref="C555:D555" si="1658">#REF!</f>
        <v>#REF!</v>
      </c>
      <c r="D555" s="20" t="str">
        <f t="shared" si="1658"/>
        <v>#REF!</v>
      </c>
      <c r="E555" s="20" t="str">
        <f t="shared" si="1270"/>
        <v>#REF!</v>
      </c>
      <c r="F555" s="22" t="str">
        <f t="shared" si="2"/>
        <v>#REF!</v>
      </c>
      <c r="G555" s="20" t="str">
        <f t="shared" ref="G555:I555" si="1659">#REF!</f>
        <v>#REF!</v>
      </c>
      <c r="H555" s="20" t="str">
        <f t="shared" si="1659"/>
        <v>#REF!</v>
      </c>
      <c r="I555" s="20" t="str">
        <f t="shared" si="1659"/>
        <v>#REF!</v>
      </c>
      <c r="J555" s="20" t="str">
        <f t="shared" si="1272"/>
        <v>#REF!</v>
      </c>
      <c r="K555" s="20" t="str">
        <f t="shared" ref="K555:L555" si="1660">#REF!</f>
        <v>#REF!</v>
      </c>
      <c r="L555" s="20" t="str">
        <f t="shared" si="1660"/>
        <v>#REF!</v>
      </c>
    </row>
    <row r="556">
      <c r="A556" s="20" t="str">
        <f t="shared" si="1267"/>
        <v>#REF!</v>
      </c>
      <c r="B556" s="20" t="str">
        <f t="shared" si="1268"/>
        <v>#REF!</v>
      </c>
      <c r="C556" s="20" t="str">
        <f t="shared" ref="C556:D556" si="1661">#REF!</f>
        <v>#REF!</v>
      </c>
      <c r="D556" s="20" t="str">
        <f t="shared" si="1661"/>
        <v>#REF!</v>
      </c>
      <c r="E556" s="20" t="str">
        <f t="shared" si="1270"/>
        <v>#REF!</v>
      </c>
      <c r="F556" s="22" t="str">
        <f t="shared" si="2"/>
        <v>#REF!</v>
      </c>
      <c r="G556" s="20" t="str">
        <f t="shared" ref="G556:I556" si="1662">#REF!</f>
        <v>#REF!</v>
      </c>
      <c r="H556" s="20" t="str">
        <f t="shared" si="1662"/>
        <v>#REF!</v>
      </c>
      <c r="I556" s="20" t="str">
        <f t="shared" si="1662"/>
        <v>#REF!</v>
      </c>
      <c r="J556" s="20" t="str">
        <f t="shared" si="1272"/>
        <v>#REF!</v>
      </c>
      <c r="K556" s="20" t="str">
        <f t="shared" ref="K556:L556" si="1663">#REF!</f>
        <v>#REF!</v>
      </c>
      <c r="L556" s="20" t="str">
        <f t="shared" si="1663"/>
        <v>#REF!</v>
      </c>
    </row>
    <row r="557">
      <c r="A557" s="20" t="str">
        <f t="shared" si="1267"/>
        <v>#REF!</v>
      </c>
      <c r="B557" s="20" t="str">
        <f t="shared" si="1268"/>
        <v>#REF!</v>
      </c>
      <c r="C557" s="20" t="str">
        <f t="shared" ref="C557:D557" si="1664">#REF!</f>
        <v>#REF!</v>
      </c>
      <c r="D557" s="20" t="str">
        <f t="shared" si="1664"/>
        <v>#REF!</v>
      </c>
      <c r="E557" s="20" t="str">
        <f t="shared" si="1270"/>
        <v>#REF!</v>
      </c>
      <c r="F557" s="22" t="str">
        <f t="shared" si="2"/>
        <v>#REF!</v>
      </c>
      <c r="G557" s="20" t="str">
        <f t="shared" ref="G557:I557" si="1665">#REF!</f>
        <v>#REF!</v>
      </c>
      <c r="H557" s="20" t="str">
        <f t="shared" si="1665"/>
        <v>#REF!</v>
      </c>
      <c r="I557" s="20" t="str">
        <f t="shared" si="1665"/>
        <v>#REF!</v>
      </c>
      <c r="J557" s="20" t="str">
        <f t="shared" si="1272"/>
        <v>#REF!</v>
      </c>
      <c r="K557" s="20" t="str">
        <f t="shared" ref="K557:L557" si="1666">#REF!</f>
        <v>#REF!</v>
      </c>
      <c r="L557" s="20" t="str">
        <f t="shared" si="1666"/>
        <v>#REF!</v>
      </c>
    </row>
    <row r="558">
      <c r="A558" s="20" t="str">
        <f t="shared" si="1267"/>
        <v>#REF!</v>
      </c>
      <c r="B558" s="20" t="str">
        <f t="shared" si="1268"/>
        <v>#REF!</v>
      </c>
      <c r="C558" s="20" t="str">
        <f t="shared" ref="C558:D558" si="1667">#REF!</f>
        <v>#REF!</v>
      </c>
      <c r="D558" s="20" t="str">
        <f t="shared" si="1667"/>
        <v>#REF!</v>
      </c>
      <c r="E558" s="20" t="str">
        <f t="shared" si="1270"/>
        <v>#REF!</v>
      </c>
      <c r="F558" s="22" t="str">
        <f t="shared" si="2"/>
        <v>#REF!</v>
      </c>
      <c r="G558" s="20" t="str">
        <f t="shared" ref="G558:I558" si="1668">#REF!</f>
        <v>#REF!</v>
      </c>
      <c r="H558" s="20" t="str">
        <f t="shared" si="1668"/>
        <v>#REF!</v>
      </c>
      <c r="I558" s="20" t="str">
        <f t="shared" si="1668"/>
        <v>#REF!</v>
      </c>
      <c r="J558" s="20" t="str">
        <f t="shared" si="1272"/>
        <v>#REF!</v>
      </c>
      <c r="K558" s="20" t="str">
        <f t="shared" ref="K558:L558" si="1669">#REF!</f>
        <v>#REF!</v>
      </c>
      <c r="L558" s="20" t="str">
        <f t="shared" si="1669"/>
        <v>#REF!</v>
      </c>
    </row>
    <row r="559">
      <c r="A559" s="20" t="str">
        <f t="shared" si="1267"/>
        <v>#REF!</v>
      </c>
      <c r="B559" s="20" t="str">
        <f t="shared" si="1268"/>
        <v>#REF!</v>
      </c>
      <c r="C559" s="20" t="str">
        <f t="shared" ref="C559:D559" si="1670">#REF!</f>
        <v>#REF!</v>
      </c>
      <c r="D559" s="20" t="str">
        <f t="shared" si="1670"/>
        <v>#REF!</v>
      </c>
      <c r="E559" s="20" t="str">
        <f t="shared" si="1270"/>
        <v>#REF!</v>
      </c>
      <c r="F559" s="22" t="str">
        <f t="shared" si="2"/>
        <v>#REF!</v>
      </c>
      <c r="G559" s="20" t="str">
        <f t="shared" ref="G559:I559" si="1671">#REF!</f>
        <v>#REF!</v>
      </c>
      <c r="H559" s="20" t="str">
        <f t="shared" si="1671"/>
        <v>#REF!</v>
      </c>
      <c r="I559" s="20" t="str">
        <f t="shared" si="1671"/>
        <v>#REF!</v>
      </c>
      <c r="J559" s="20" t="str">
        <f t="shared" si="1272"/>
        <v>#REF!</v>
      </c>
      <c r="K559" s="20" t="str">
        <f t="shared" ref="K559:L559" si="1672">#REF!</f>
        <v>#REF!</v>
      </c>
      <c r="L559" s="20" t="str">
        <f t="shared" si="1672"/>
        <v>#REF!</v>
      </c>
    </row>
    <row r="560">
      <c r="A560" s="20" t="str">
        <f t="shared" si="1267"/>
        <v>#REF!</v>
      </c>
      <c r="B560" s="20" t="str">
        <f t="shared" si="1268"/>
        <v>#REF!</v>
      </c>
      <c r="C560" s="20" t="str">
        <f t="shared" ref="C560:D560" si="1673">#REF!</f>
        <v>#REF!</v>
      </c>
      <c r="D560" s="20" t="str">
        <f t="shared" si="1673"/>
        <v>#REF!</v>
      </c>
      <c r="E560" s="20" t="str">
        <f t="shared" si="1270"/>
        <v>#REF!</v>
      </c>
      <c r="F560" s="22" t="str">
        <f t="shared" si="2"/>
        <v>#REF!</v>
      </c>
      <c r="G560" s="20" t="str">
        <f t="shared" ref="G560:I560" si="1674">#REF!</f>
        <v>#REF!</v>
      </c>
      <c r="H560" s="20" t="str">
        <f t="shared" si="1674"/>
        <v>#REF!</v>
      </c>
      <c r="I560" s="20" t="str">
        <f t="shared" si="1674"/>
        <v>#REF!</v>
      </c>
      <c r="J560" s="20" t="str">
        <f t="shared" si="1272"/>
        <v>#REF!</v>
      </c>
      <c r="K560" s="20" t="str">
        <f t="shared" ref="K560:L560" si="1675">#REF!</f>
        <v>#REF!</v>
      </c>
      <c r="L560" s="20" t="str">
        <f t="shared" si="1675"/>
        <v>#REF!</v>
      </c>
    </row>
    <row r="561">
      <c r="A561" s="20" t="str">
        <f t="shared" si="1267"/>
        <v>#REF!</v>
      </c>
      <c r="B561" s="20" t="str">
        <f t="shared" si="1268"/>
        <v>#REF!</v>
      </c>
      <c r="C561" s="20" t="str">
        <f t="shared" ref="C561:D561" si="1676">#REF!</f>
        <v>#REF!</v>
      </c>
      <c r="D561" s="20" t="str">
        <f t="shared" si="1676"/>
        <v>#REF!</v>
      </c>
      <c r="E561" s="20" t="str">
        <f t="shared" si="1270"/>
        <v>#REF!</v>
      </c>
      <c r="F561" s="22" t="str">
        <f t="shared" si="2"/>
        <v>#REF!</v>
      </c>
      <c r="G561" s="20" t="str">
        <f t="shared" ref="G561:I561" si="1677">#REF!</f>
        <v>#REF!</v>
      </c>
      <c r="H561" s="20" t="str">
        <f t="shared" si="1677"/>
        <v>#REF!</v>
      </c>
      <c r="I561" s="20" t="str">
        <f t="shared" si="1677"/>
        <v>#REF!</v>
      </c>
      <c r="J561" s="20" t="str">
        <f t="shared" si="1272"/>
        <v>#REF!</v>
      </c>
      <c r="K561" s="20" t="str">
        <f t="shared" ref="K561:L561" si="1678">#REF!</f>
        <v>#REF!</v>
      </c>
      <c r="L561" s="20" t="str">
        <f t="shared" si="1678"/>
        <v>#REF!</v>
      </c>
    </row>
    <row r="562">
      <c r="A562" s="20" t="str">
        <f t="shared" si="1267"/>
        <v>#REF!</v>
      </c>
      <c r="B562" s="20" t="str">
        <f t="shared" si="1268"/>
        <v>#REF!</v>
      </c>
      <c r="C562" s="20" t="str">
        <f t="shared" ref="C562:D562" si="1679">#REF!</f>
        <v>#REF!</v>
      </c>
      <c r="D562" s="20" t="str">
        <f t="shared" si="1679"/>
        <v>#REF!</v>
      </c>
      <c r="E562" s="20" t="str">
        <f t="shared" si="1270"/>
        <v>#REF!</v>
      </c>
      <c r="F562" s="22" t="str">
        <f t="shared" si="2"/>
        <v>#REF!</v>
      </c>
      <c r="G562" s="20" t="str">
        <f t="shared" ref="G562:I562" si="1680">#REF!</f>
        <v>#REF!</v>
      </c>
      <c r="H562" s="20" t="str">
        <f t="shared" si="1680"/>
        <v>#REF!</v>
      </c>
      <c r="I562" s="20" t="str">
        <f t="shared" si="1680"/>
        <v>#REF!</v>
      </c>
      <c r="J562" s="20" t="str">
        <f t="shared" si="1272"/>
        <v>#REF!</v>
      </c>
      <c r="K562" s="20" t="str">
        <f t="shared" ref="K562:L562" si="1681">#REF!</f>
        <v>#REF!</v>
      </c>
      <c r="L562" s="20" t="str">
        <f t="shared" si="1681"/>
        <v>#REF!</v>
      </c>
    </row>
    <row r="563">
      <c r="A563" s="20" t="str">
        <f t="shared" si="1267"/>
        <v>#REF!</v>
      </c>
      <c r="B563" s="20" t="str">
        <f t="shared" si="1268"/>
        <v>#REF!</v>
      </c>
      <c r="C563" s="20" t="str">
        <f t="shared" ref="C563:D563" si="1682">#REF!</f>
        <v>#REF!</v>
      </c>
      <c r="D563" s="20" t="str">
        <f t="shared" si="1682"/>
        <v>#REF!</v>
      </c>
      <c r="E563" s="20" t="str">
        <f t="shared" si="1270"/>
        <v>#REF!</v>
      </c>
      <c r="F563" s="22" t="str">
        <f t="shared" si="2"/>
        <v>#REF!</v>
      </c>
      <c r="G563" s="20" t="str">
        <f t="shared" ref="G563:I563" si="1683">#REF!</f>
        <v>#REF!</v>
      </c>
      <c r="H563" s="20" t="str">
        <f t="shared" si="1683"/>
        <v>#REF!</v>
      </c>
      <c r="I563" s="20" t="str">
        <f t="shared" si="1683"/>
        <v>#REF!</v>
      </c>
      <c r="J563" s="20" t="str">
        <f t="shared" si="1272"/>
        <v>#REF!</v>
      </c>
      <c r="K563" s="20" t="str">
        <f t="shared" ref="K563:L563" si="1684">#REF!</f>
        <v>#REF!</v>
      </c>
      <c r="L563" s="20" t="str">
        <f t="shared" si="1684"/>
        <v>#REF!</v>
      </c>
    </row>
    <row r="564">
      <c r="A564" s="20" t="str">
        <f t="shared" si="1267"/>
        <v>#REF!</v>
      </c>
      <c r="B564" s="20" t="str">
        <f t="shared" si="1268"/>
        <v>#REF!</v>
      </c>
      <c r="C564" s="20" t="str">
        <f t="shared" ref="C564:D564" si="1685">#REF!</f>
        <v>#REF!</v>
      </c>
      <c r="D564" s="20" t="str">
        <f t="shared" si="1685"/>
        <v>#REF!</v>
      </c>
      <c r="E564" s="20" t="str">
        <f t="shared" si="1270"/>
        <v>#REF!</v>
      </c>
      <c r="F564" s="22" t="str">
        <f t="shared" si="2"/>
        <v>#REF!</v>
      </c>
      <c r="G564" s="20" t="str">
        <f t="shared" ref="G564:I564" si="1686">#REF!</f>
        <v>#REF!</v>
      </c>
      <c r="H564" s="20" t="str">
        <f t="shared" si="1686"/>
        <v>#REF!</v>
      </c>
      <c r="I564" s="20" t="str">
        <f t="shared" si="1686"/>
        <v>#REF!</v>
      </c>
      <c r="J564" s="20" t="str">
        <f t="shared" si="1272"/>
        <v>#REF!</v>
      </c>
      <c r="K564" s="20" t="str">
        <f t="shared" ref="K564:L564" si="1687">#REF!</f>
        <v>#REF!</v>
      </c>
      <c r="L564" s="20" t="str">
        <f t="shared" si="1687"/>
        <v>#REF!</v>
      </c>
    </row>
    <row r="565">
      <c r="A565" s="20" t="str">
        <f t="shared" si="1267"/>
        <v>#REF!</v>
      </c>
      <c r="B565" s="20" t="str">
        <f t="shared" si="1268"/>
        <v>#REF!</v>
      </c>
      <c r="C565" s="20" t="str">
        <f t="shared" ref="C565:D565" si="1688">#REF!</f>
        <v>#REF!</v>
      </c>
      <c r="D565" s="20" t="str">
        <f t="shared" si="1688"/>
        <v>#REF!</v>
      </c>
      <c r="E565" s="20" t="str">
        <f t="shared" si="1270"/>
        <v>#REF!</v>
      </c>
      <c r="F565" s="22" t="str">
        <f t="shared" si="2"/>
        <v>#REF!</v>
      </c>
      <c r="G565" s="20" t="str">
        <f t="shared" ref="G565:I565" si="1689">#REF!</f>
        <v>#REF!</v>
      </c>
      <c r="H565" s="20" t="str">
        <f t="shared" si="1689"/>
        <v>#REF!</v>
      </c>
      <c r="I565" s="20" t="str">
        <f t="shared" si="1689"/>
        <v>#REF!</v>
      </c>
      <c r="J565" s="20" t="str">
        <f t="shared" si="1272"/>
        <v>#REF!</v>
      </c>
      <c r="K565" s="20" t="str">
        <f t="shared" ref="K565:L565" si="1690">#REF!</f>
        <v>#REF!</v>
      </c>
      <c r="L565" s="20" t="str">
        <f t="shared" si="1690"/>
        <v>#REF!</v>
      </c>
    </row>
    <row r="566">
      <c r="A566" s="20" t="str">
        <f t="shared" si="1267"/>
        <v>#REF!</v>
      </c>
      <c r="B566" s="20" t="str">
        <f t="shared" si="1268"/>
        <v>#REF!</v>
      </c>
      <c r="C566" s="20" t="str">
        <f t="shared" ref="C566:D566" si="1691">#REF!</f>
        <v>#REF!</v>
      </c>
      <c r="D566" s="20" t="str">
        <f t="shared" si="1691"/>
        <v>#REF!</v>
      </c>
      <c r="E566" s="20" t="str">
        <f t="shared" si="1270"/>
        <v>#REF!</v>
      </c>
      <c r="F566" s="22" t="str">
        <f t="shared" si="2"/>
        <v>#REF!</v>
      </c>
      <c r="G566" s="20" t="str">
        <f t="shared" ref="G566:I566" si="1692">#REF!</f>
        <v>#REF!</v>
      </c>
      <c r="H566" s="20" t="str">
        <f t="shared" si="1692"/>
        <v>#REF!</v>
      </c>
      <c r="I566" s="20" t="str">
        <f t="shared" si="1692"/>
        <v>#REF!</v>
      </c>
      <c r="J566" s="20" t="str">
        <f t="shared" si="1272"/>
        <v>#REF!</v>
      </c>
      <c r="K566" s="20" t="str">
        <f t="shared" ref="K566:L566" si="1693">#REF!</f>
        <v>#REF!</v>
      </c>
      <c r="L566" s="20" t="str">
        <f t="shared" si="1693"/>
        <v>#REF!</v>
      </c>
    </row>
    <row r="567">
      <c r="A567" s="20" t="str">
        <f t="shared" si="1267"/>
        <v>#REF!</v>
      </c>
      <c r="B567" s="20" t="str">
        <f t="shared" si="1268"/>
        <v>#REF!</v>
      </c>
      <c r="C567" s="20" t="str">
        <f t="shared" ref="C567:D567" si="1694">#REF!</f>
        <v>#REF!</v>
      </c>
      <c r="D567" s="20" t="str">
        <f t="shared" si="1694"/>
        <v>#REF!</v>
      </c>
      <c r="E567" s="20" t="str">
        <f t="shared" si="1270"/>
        <v>#REF!</v>
      </c>
      <c r="F567" s="22" t="str">
        <f t="shared" si="2"/>
        <v>#REF!</v>
      </c>
      <c r="G567" s="20" t="str">
        <f t="shared" ref="G567:I567" si="1695">#REF!</f>
        <v>#REF!</v>
      </c>
      <c r="H567" s="20" t="str">
        <f t="shared" si="1695"/>
        <v>#REF!</v>
      </c>
      <c r="I567" s="20" t="str">
        <f t="shared" si="1695"/>
        <v>#REF!</v>
      </c>
      <c r="J567" s="20" t="str">
        <f t="shared" si="1272"/>
        <v>#REF!</v>
      </c>
      <c r="K567" s="20" t="str">
        <f t="shared" ref="K567:L567" si="1696">#REF!</f>
        <v>#REF!</v>
      </c>
      <c r="L567" s="20" t="str">
        <f t="shared" si="1696"/>
        <v>#REF!</v>
      </c>
    </row>
    <row r="568">
      <c r="A568" s="20" t="str">
        <f t="shared" si="1267"/>
        <v>#REF!</v>
      </c>
      <c r="B568" s="20" t="str">
        <f t="shared" si="1268"/>
        <v>#REF!</v>
      </c>
      <c r="C568" s="20" t="str">
        <f t="shared" ref="C568:D568" si="1697">#REF!</f>
        <v>#REF!</v>
      </c>
      <c r="D568" s="20" t="str">
        <f t="shared" si="1697"/>
        <v>#REF!</v>
      </c>
      <c r="E568" s="20" t="str">
        <f t="shared" si="1270"/>
        <v>#REF!</v>
      </c>
      <c r="F568" s="22" t="str">
        <f t="shared" si="2"/>
        <v>#REF!</v>
      </c>
      <c r="G568" s="20" t="str">
        <f t="shared" ref="G568:I568" si="1698">#REF!</f>
        <v>#REF!</v>
      </c>
      <c r="H568" s="20" t="str">
        <f t="shared" si="1698"/>
        <v>#REF!</v>
      </c>
      <c r="I568" s="20" t="str">
        <f t="shared" si="1698"/>
        <v>#REF!</v>
      </c>
      <c r="J568" s="20" t="str">
        <f t="shared" si="1272"/>
        <v>#REF!</v>
      </c>
      <c r="K568" s="20" t="str">
        <f t="shared" ref="K568:L568" si="1699">#REF!</f>
        <v>#REF!</v>
      </c>
      <c r="L568" s="20" t="str">
        <f t="shared" si="1699"/>
        <v>#REF!</v>
      </c>
    </row>
    <row r="569">
      <c r="A569" s="20" t="str">
        <f t="shared" si="1267"/>
        <v>#REF!</v>
      </c>
      <c r="B569" s="20" t="str">
        <f t="shared" si="1268"/>
        <v>#REF!</v>
      </c>
      <c r="C569" s="20" t="str">
        <f t="shared" ref="C569:D569" si="1700">#REF!</f>
        <v>#REF!</v>
      </c>
      <c r="D569" s="20" t="str">
        <f t="shared" si="1700"/>
        <v>#REF!</v>
      </c>
      <c r="E569" s="20" t="str">
        <f t="shared" si="1270"/>
        <v>#REF!</v>
      </c>
      <c r="F569" s="22" t="str">
        <f t="shared" si="2"/>
        <v>#REF!</v>
      </c>
      <c r="G569" s="20" t="str">
        <f t="shared" ref="G569:I569" si="1701">#REF!</f>
        <v>#REF!</v>
      </c>
      <c r="H569" s="20" t="str">
        <f t="shared" si="1701"/>
        <v>#REF!</v>
      </c>
      <c r="I569" s="20" t="str">
        <f t="shared" si="1701"/>
        <v>#REF!</v>
      </c>
      <c r="J569" s="20" t="str">
        <f t="shared" si="1272"/>
        <v>#REF!</v>
      </c>
      <c r="K569" s="20" t="str">
        <f t="shared" ref="K569:L569" si="1702">#REF!</f>
        <v>#REF!</v>
      </c>
      <c r="L569" s="20" t="str">
        <f t="shared" si="1702"/>
        <v>#REF!</v>
      </c>
    </row>
    <row r="570">
      <c r="A570" s="20" t="str">
        <f t="shared" si="1267"/>
        <v>#REF!</v>
      </c>
      <c r="B570" s="20" t="str">
        <f t="shared" si="1268"/>
        <v>#REF!</v>
      </c>
      <c r="C570" s="20" t="str">
        <f t="shared" ref="C570:D570" si="1703">#REF!</f>
        <v>#REF!</v>
      </c>
      <c r="D570" s="20" t="str">
        <f t="shared" si="1703"/>
        <v>#REF!</v>
      </c>
      <c r="E570" s="20" t="str">
        <f t="shared" si="1270"/>
        <v>#REF!</v>
      </c>
      <c r="F570" s="22" t="str">
        <f t="shared" si="2"/>
        <v>#REF!</v>
      </c>
      <c r="G570" s="20" t="str">
        <f t="shared" ref="G570:I570" si="1704">#REF!</f>
        <v>#REF!</v>
      </c>
      <c r="H570" s="20" t="str">
        <f t="shared" si="1704"/>
        <v>#REF!</v>
      </c>
      <c r="I570" s="20" t="str">
        <f t="shared" si="1704"/>
        <v>#REF!</v>
      </c>
      <c r="J570" s="20" t="str">
        <f t="shared" si="1272"/>
        <v>#REF!</v>
      </c>
      <c r="K570" s="20" t="str">
        <f t="shared" ref="K570:L570" si="1705">#REF!</f>
        <v>#REF!</v>
      </c>
      <c r="L570" s="20" t="str">
        <f t="shared" si="1705"/>
        <v>#REF!</v>
      </c>
    </row>
    <row r="571">
      <c r="A571" s="20" t="str">
        <f t="shared" si="1267"/>
        <v>#REF!</v>
      </c>
      <c r="B571" s="20" t="str">
        <f t="shared" si="1268"/>
        <v>#REF!</v>
      </c>
      <c r="C571" s="20" t="str">
        <f t="shared" ref="C571:D571" si="1706">#REF!</f>
        <v>#REF!</v>
      </c>
      <c r="D571" s="20" t="str">
        <f t="shared" si="1706"/>
        <v>#REF!</v>
      </c>
      <c r="E571" s="20" t="str">
        <f t="shared" si="1270"/>
        <v>#REF!</v>
      </c>
      <c r="F571" s="22" t="str">
        <f t="shared" si="2"/>
        <v>#REF!</v>
      </c>
      <c r="G571" s="20" t="str">
        <f t="shared" ref="G571:I571" si="1707">#REF!</f>
        <v>#REF!</v>
      </c>
      <c r="H571" s="20" t="str">
        <f t="shared" si="1707"/>
        <v>#REF!</v>
      </c>
      <c r="I571" s="20" t="str">
        <f t="shared" si="1707"/>
        <v>#REF!</v>
      </c>
      <c r="J571" s="20" t="str">
        <f t="shared" si="1272"/>
        <v>#REF!</v>
      </c>
      <c r="K571" s="20" t="str">
        <f t="shared" ref="K571:L571" si="1708">#REF!</f>
        <v>#REF!</v>
      </c>
      <c r="L571" s="20" t="str">
        <f t="shared" si="1708"/>
        <v>#REF!</v>
      </c>
    </row>
    <row r="572">
      <c r="A572" s="20" t="str">
        <f t="shared" si="1267"/>
        <v>#REF!</v>
      </c>
      <c r="B572" s="20" t="str">
        <f t="shared" si="1268"/>
        <v>#REF!</v>
      </c>
      <c r="C572" s="20" t="str">
        <f t="shared" ref="C572:D572" si="1709">#REF!</f>
        <v>#REF!</v>
      </c>
      <c r="D572" s="20" t="str">
        <f t="shared" si="1709"/>
        <v>#REF!</v>
      </c>
      <c r="E572" s="20" t="str">
        <f t="shared" si="1270"/>
        <v>#REF!</v>
      </c>
      <c r="F572" s="22" t="str">
        <f t="shared" si="2"/>
        <v>#REF!</v>
      </c>
      <c r="G572" s="20" t="str">
        <f t="shared" ref="G572:I572" si="1710">#REF!</f>
        <v>#REF!</v>
      </c>
      <c r="H572" s="20" t="str">
        <f t="shared" si="1710"/>
        <v>#REF!</v>
      </c>
      <c r="I572" s="20" t="str">
        <f t="shared" si="1710"/>
        <v>#REF!</v>
      </c>
      <c r="J572" s="20" t="str">
        <f t="shared" si="1272"/>
        <v>#REF!</v>
      </c>
      <c r="K572" s="20" t="str">
        <f t="shared" ref="K572:L572" si="1711">#REF!</f>
        <v>#REF!</v>
      </c>
      <c r="L572" s="20" t="str">
        <f t="shared" si="1711"/>
        <v>#REF!</v>
      </c>
    </row>
    <row r="573">
      <c r="A573" s="20" t="str">
        <f t="shared" si="1267"/>
        <v>#REF!</v>
      </c>
      <c r="B573" s="20" t="str">
        <f t="shared" si="1268"/>
        <v>#REF!</v>
      </c>
      <c r="C573" s="20" t="str">
        <f t="shared" ref="C573:D573" si="1712">#REF!</f>
        <v>#REF!</v>
      </c>
      <c r="D573" s="20" t="str">
        <f t="shared" si="1712"/>
        <v>#REF!</v>
      </c>
      <c r="E573" s="20" t="str">
        <f t="shared" si="1270"/>
        <v>#REF!</v>
      </c>
      <c r="F573" s="22" t="str">
        <f t="shared" si="2"/>
        <v>#REF!</v>
      </c>
      <c r="G573" s="20" t="str">
        <f t="shared" ref="G573:I573" si="1713">#REF!</f>
        <v>#REF!</v>
      </c>
      <c r="H573" s="20" t="str">
        <f t="shared" si="1713"/>
        <v>#REF!</v>
      </c>
      <c r="I573" s="20" t="str">
        <f t="shared" si="1713"/>
        <v>#REF!</v>
      </c>
      <c r="J573" s="20" t="str">
        <f t="shared" si="1272"/>
        <v>#REF!</v>
      </c>
      <c r="K573" s="20" t="str">
        <f t="shared" ref="K573:L573" si="1714">#REF!</f>
        <v>#REF!</v>
      </c>
      <c r="L573" s="20" t="str">
        <f t="shared" si="1714"/>
        <v>#REF!</v>
      </c>
    </row>
    <row r="574">
      <c r="A574" s="20" t="str">
        <f t="shared" si="1267"/>
        <v>#REF!</v>
      </c>
      <c r="B574" s="20" t="str">
        <f t="shared" si="1268"/>
        <v>#REF!</v>
      </c>
      <c r="C574" s="20" t="str">
        <f t="shared" ref="C574:D574" si="1715">#REF!</f>
        <v>#REF!</v>
      </c>
      <c r="D574" s="20" t="str">
        <f t="shared" si="1715"/>
        <v>#REF!</v>
      </c>
      <c r="E574" s="20" t="str">
        <f t="shared" si="1270"/>
        <v>#REF!</v>
      </c>
      <c r="F574" s="22" t="str">
        <f t="shared" si="2"/>
        <v>#REF!</v>
      </c>
      <c r="G574" s="20" t="str">
        <f t="shared" ref="G574:I574" si="1716">#REF!</f>
        <v>#REF!</v>
      </c>
      <c r="H574" s="20" t="str">
        <f t="shared" si="1716"/>
        <v>#REF!</v>
      </c>
      <c r="I574" s="20" t="str">
        <f t="shared" si="1716"/>
        <v>#REF!</v>
      </c>
      <c r="J574" s="20" t="str">
        <f t="shared" si="1272"/>
        <v>#REF!</v>
      </c>
      <c r="K574" s="20" t="str">
        <f t="shared" ref="K574:L574" si="1717">#REF!</f>
        <v>#REF!</v>
      </c>
      <c r="L574" s="20" t="str">
        <f t="shared" si="1717"/>
        <v>#REF!</v>
      </c>
    </row>
    <row r="575">
      <c r="A575" s="20" t="str">
        <f t="shared" si="1267"/>
        <v>#REF!</v>
      </c>
      <c r="B575" s="20" t="str">
        <f t="shared" si="1268"/>
        <v>#REF!</v>
      </c>
      <c r="C575" s="20" t="str">
        <f t="shared" ref="C575:D575" si="1718">#REF!</f>
        <v>#REF!</v>
      </c>
      <c r="D575" s="20" t="str">
        <f t="shared" si="1718"/>
        <v>#REF!</v>
      </c>
      <c r="E575" s="20" t="str">
        <f t="shared" si="1270"/>
        <v>#REF!</v>
      </c>
      <c r="F575" s="22" t="str">
        <f t="shared" si="2"/>
        <v>#REF!</v>
      </c>
      <c r="G575" s="20" t="str">
        <f t="shared" ref="G575:I575" si="1719">#REF!</f>
        <v>#REF!</v>
      </c>
      <c r="H575" s="20" t="str">
        <f t="shared" si="1719"/>
        <v>#REF!</v>
      </c>
      <c r="I575" s="20" t="str">
        <f t="shared" si="1719"/>
        <v>#REF!</v>
      </c>
      <c r="J575" s="20" t="str">
        <f t="shared" si="1272"/>
        <v>#REF!</v>
      </c>
      <c r="K575" s="20" t="str">
        <f t="shared" ref="K575:L575" si="1720">#REF!</f>
        <v>#REF!</v>
      </c>
      <c r="L575" s="20" t="str">
        <f t="shared" si="1720"/>
        <v>#REF!</v>
      </c>
    </row>
    <row r="576">
      <c r="A576" s="20" t="str">
        <f t="shared" si="1267"/>
        <v>#REF!</v>
      </c>
      <c r="B576" s="20" t="str">
        <f t="shared" si="1268"/>
        <v>#REF!</v>
      </c>
      <c r="C576" s="20" t="str">
        <f t="shared" ref="C576:D576" si="1721">#REF!</f>
        <v>#REF!</v>
      </c>
      <c r="D576" s="20" t="str">
        <f t="shared" si="1721"/>
        <v>#REF!</v>
      </c>
      <c r="E576" s="20" t="str">
        <f t="shared" si="1270"/>
        <v>#REF!</v>
      </c>
      <c r="F576" s="22" t="str">
        <f t="shared" si="2"/>
        <v>#REF!</v>
      </c>
      <c r="G576" s="20" t="str">
        <f t="shared" ref="G576:I576" si="1722">#REF!</f>
        <v>#REF!</v>
      </c>
      <c r="H576" s="20" t="str">
        <f t="shared" si="1722"/>
        <v>#REF!</v>
      </c>
      <c r="I576" s="20" t="str">
        <f t="shared" si="1722"/>
        <v>#REF!</v>
      </c>
      <c r="J576" s="20" t="str">
        <f t="shared" si="1272"/>
        <v>#REF!</v>
      </c>
      <c r="K576" s="20" t="str">
        <f t="shared" ref="K576:L576" si="1723">#REF!</f>
        <v>#REF!</v>
      </c>
      <c r="L576" s="20" t="str">
        <f t="shared" si="1723"/>
        <v>#REF!</v>
      </c>
    </row>
    <row r="577">
      <c r="A577" s="20" t="str">
        <f t="shared" si="1267"/>
        <v>#REF!</v>
      </c>
      <c r="B577" s="20" t="str">
        <f t="shared" si="1268"/>
        <v>#REF!</v>
      </c>
      <c r="C577" s="20" t="str">
        <f t="shared" ref="C577:D577" si="1724">#REF!</f>
        <v>#REF!</v>
      </c>
      <c r="D577" s="20" t="str">
        <f t="shared" si="1724"/>
        <v>#REF!</v>
      </c>
      <c r="E577" s="20" t="str">
        <f t="shared" si="1270"/>
        <v>#REF!</v>
      </c>
      <c r="F577" s="22" t="str">
        <f t="shared" si="2"/>
        <v>#REF!</v>
      </c>
      <c r="G577" s="20" t="str">
        <f t="shared" ref="G577:I577" si="1725">#REF!</f>
        <v>#REF!</v>
      </c>
      <c r="H577" s="20" t="str">
        <f t="shared" si="1725"/>
        <v>#REF!</v>
      </c>
      <c r="I577" s="20" t="str">
        <f t="shared" si="1725"/>
        <v>#REF!</v>
      </c>
      <c r="J577" s="20" t="str">
        <f t="shared" si="1272"/>
        <v>#REF!</v>
      </c>
      <c r="K577" s="20" t="str">
        <f t="shared" ref="K577:L577" si="1726">#REF!</f>
        <v>#REF!</v>
      </c>
      <c r="L577" s="20" t="str">
        <f t="shared" si="1726"/>
        <v>#REF!</v>
      </c>
    </row>
    <row r="578">
      <c r="A578" s="20" t="str">
        <f t="shared" si="1267"/>
        <v>#REF!</v>
      </c>
      <c r="B578" s="20" t="str">
        <f t="shared" si="1268"/>
        <v>#REF!</v>
      </c>
      <c r="C578" s="20" t="str">
        <f t="shared" ref="C578:D578" si="1727">#REF!</f>
        <v>#REF!</v>
      </c>
      <c r="D578" s="20" t="str">
        <f t="shared" si="1727"/>
        <v>#REF!</v>
      </c>
      <c r="E578" s="20" t="str">
        <f t="shared" si="1270"/>
        <v>#REF!</v>
      </c>
      <c r="F578" s="22" t="str">
        <f t="shared" si="2"/>
        <v>#REF!</v>
      </c>
      <c r="G578" s="20" t="str">
        <f t="shared" ref="G578:I578" si="1728">#REF!</f>
        <v>#REF!</v>
      </c>
      <c r="H578" s="20" t="str">
        <f t="shared" si="1728"/>
        <v>#REF!</v>
      </c>
      <c r="I578" s="20" t="str">
        <f t="shared" si="1728"/>
        <v>#REF!</v>
      </c>
      <c r="J578" s="20" t="str">
        <f t="shared" si="1272"/>
        <v>#REF!</v>
      </c>
      <c r="K578" s="20" t="str">
        <f t="shared" ref="K578:L578" si="1729">#REF!</f>
        <v>#REF!</v>
      </c>
      <c r="L578" s="20" t="str">
        <f t="shared" si="1729"/>
        <v>#REF!</v>
      </c>
    </row>
    <row r="579">
      <c r="A579" s="20" t="str">
        <f t="shared" si="1267"/>
        <v>#REF!</v>
      </c>
      <c r="B579" s="20" t="str">
        <f t="shared" si="1268"/>
        <v>#REF!</v>
      </c>
      <c r="C579" s="20" t="str">
        <f t="shared" ref="C579:D579" si="1730">#REF!</f>
        <v>#REF!</v>
      </c>
      <c r="D579" s="20" t="str">
        <f t="shared" si="1730"/>
        <v>#REF!</v>
      </c>
      <c r="E579" s="20" t="str">
        <f t="shared" si="1270"/>
        <v>#REF!</v>
      </c>
      <c r="F579" s="22" t="str">
        <f t="shared" si="2"/>
        <v>#REF!</v>
      </c>
      <c r="G579" s="20" t="str">
        <f t="shared" ref="G579:I579" si="1731">#REF!</f>
        <v>#REF!</v>
      </c>
      <c r="H579" s="20" t="str">
        <f t="shared" si="1731"/>
        <v>#REF!</v>
      </c>
      <c r="I579" s="20" t="str">
        <f t="shared" si="1731"/>
        <v>#REF!</v>
      </c>
      <c r="J579" s="20" t="str">
        <f t="shared" si="1272"/>
        <v>#REF!</v>
      </c>
      <c r="K579" s="20" t="str">
        <f t="shared" ref="K579:L579" si="1732">#REF!</f>
        <v>#REF!</v>
      </c>
      <c r="L579" s="20" t="str">
        <f t="shared" si="1732"/>
        <v>#REF!</v>
      </c>
    </row>
    <row r="580">
      <c r="A580" s="20" t="str">
        <f t="shared" si="1267"/>
        <v>#REF!</v>
      </c>
      <c r="B580" s="20" t="str">
        <f t="shared" si="1268"/>
        <v>#REF!</v>
      </c>
      <c r="C580" s="20" t="str">
        <f t="shared" ref="C580:D580" si="1733">#REF!</f>
        <v>#REF!</v>
      </c>
      <c r="D580" s="20" t="str">
        <f t="shared" si="1733"/>
        <v>#REF!</v>
      </c>
      <c r="E580" s="20" t="str">
        <f t="shared" si="1270"/>
        <v>#REF!</v>
      </c>
      <c r="F580" s="22" t="str">
        <f t="shared" si="2"/>
        <v>#REF!</v>
      </c>
      <c r="G580" s="20" t="str">
        <f t="shared" ref="G580:I580" si="1734">#REF!</f>
        <v>#REF!</v>
      </c>
      <c r="H580" s="20" t="str">
        <f t="shared" si="1734"/>
        <v>#REF!</v>
      </c>
      <c r="I580" s="20" t="str">
        <f t="shared" si="1734"/>
        <v>#REF!</v>
      </c>
      <c r="J580" s="20" t="str">
        <f t="shared" si="1272"/>
        <v>#REF!</v>
      </c>
      <c r="K580" s="20" t="str">
        <f t="shared" ref="K580:L580" si="1735">#REF!</f>
        <v>#REF!</v>
      </c>
      <c r="L580" s="20" t="str">
        <f t="shared" si="1735"/>
        <v>#REF!</v>
      </c>
    </row>
    <row r="581">
      <c r="A581" s="20" t="str">
        <f t="shared" si="1267"/>
        <v>#REF!</v>
      </c>
      <c r="B581" s="20" t="str">
        <f t="shared" si="1268"/>
        <v>#REF!</v>
      </c>
      <c r="C581" s="20" t="str">
        <f t="shared" ref="C581:D581" si="1736">#REF!</f>
        <v>#REF!</v>
      </c>
      <c r="D581" s="20" t="str">
        <f t="shared" si="1736"/>
        <v>#REF!</v>
      </c>
      <c r="E581" s="20" t="str">
        <f t="shared" si="1270"/>
        <v>#REF!</v>
      </c>
      <c r="F581" s="22" t="str">
        <f t="shared" si="2"/>
        <v>#REF!</v>
      </c>
      <c r="G581" s="20" t="str">
        <f t="shared" ref="G581:I581" si="1737">#REF!</f>
        <v>#REF!</v>
      </c>
      <c r="H581" s="20" t="str">
        <f t="shared" si="1737"/>
        <v>#REF!</v>
      </c>
      <c r="I581" s="20" t="str">
        <f t="shared" si="1737"/>
        <v>#REF!</v>
      </c>
      <c r="J581" s="20" t="str">
        <f t="shared" si="1272"/>
        <v>#REF!</v>
      </c>
      <c r="K581" s="20" t="str">
        <f t="shared" ref="K581:L581" si="1738">#REF!</f>
        <v>#REF!</v>
      </c>
      <c r="L581" s="20" t="str">
        <f t="shared" si="1738"/>
        <v>#REF!</v>
      </c>
    </row>
    <row r="582">
      <c r="A582" s="20" t="str">
        <f t="shared" si="1267"/>
        <v>#REF!</v>
      </c>
      <c r="B582" s="20" t="str">
        <f t="shared" si="1268"/>
        <v>#REF!</v>
      </c>
      <c r="C582" s="20" t="str">
        <f t="shared" ref="C582:D582" si="1739">#REF!</f>
        <v>#REF!</v>
      </c>
      <c r="D582" s="20" t="str">
        <f t="shared" si="1739"/>
        <v>#REF!</v>
      </c>
      <c r="E582" s="20" t="str">
        <f t="shared" si="1270"/>
        <v>#REF!</v>
      </c>
      <c r="F582" s="22" t="str">
        <f t="shared" si="2"/>
        <v>#REF!</v>
      </c>
      <c r="G582" s="20" t="str">
        <f t="shared" ref="G582:I582" si="1740">#REF!</f>
        <v>#REF!</v>
      </c>
      <c r="H582" s="20" t="str">
        <f t="shared" si="1740"/>
        <v>#REF!</v>
      </c>
      <c r="I582" s="20" t="str">
        <f t="shared" si="1740"/>
        <v>#REF!</v>
      </c>
      <c r="J582" s="20" t="str">
        <f t="shared" si="1272"/>
        <v>#REF!</v>
      </c>
      <c r="K582" s="20" t="str">
        <f t="shared" ref="K582:L582" si="1741">#REF!</f>
        <v>#REF!</v>
      </c>
      <c r="L582" s="20" t="str">
        <f t="shared" si="1741"/>
        <v>#REF!</v>
      </c>
    </row>
    <row r="583">
      <c r="A583" s="20" t="str">
        <f t="shared" si="1267"/>
        <v>#REF!</v>
      </c>
      <c r="B583" s="20" t="str">
        <f t="shared" si="1268"/>
        <v>#REF!</v>
      </c>
      <c r="C583" s="20" t="str">
        <f t="shared" ref="C583:D583" si="1742">#REF!</f>
        <v>#REF!</v>
      </c>
      <c r="D583" s="20" t="str">
        <f t="shared" si="1742"/>
        <v>#REF!</v>
      </c>
      <c r="E583" s="20" t="str">
        <f t="shared" si="1270"/>
        <v>#REF!</v>
      </c>
      <c r="F583" s="22" t="str">
        <f t="shared" si="2"/>
        <v>#REF!</v>
      </c>
      <c r="G583" s="20" t="str">
        <f t="shared" ref="G583:I583" si="1743">#REF!</f>
        <v>#REF!</v>
      </c>
      <c r="H583" s="20" t="str">
        <f t="shared" si="1743"/>
        <v>#REF!</v>
      </c>
      <c r="I583" s="20" t="str">
        <f t="shared" si="1743"/>
        <v>#REF!</v>
      </c>
      <c r="J583" s="20" t="str">
        <f t="shared" si="1272"/>
        <v>#REF!</v>
      </c>
      <c r="K583" s="20" t="str">
        <f t="shared" ref="K583:L583" si="1744">#REF!</f>
        <v>#REF!</v>
      </c>
      <c r="L583" s="20" t="str">
        <f t="shared" si="1744"/>
        <v>#REF!</v>
      </c>
    </row>
    <row r="584">
      <c r="A584" s="20" t="str">
        <f t="shared" si="1267"/>
        <v>#REF!</v>
      </c>
      <c r="B584" s="20" t="str">
        <f t="shared" si="1268"/>
        <v>#REF!</v>
      </c>
      <c r="C584" s="20" t="str">
        <f t="shared" ref="C584:D584" si="1745">#REF!</f>
        <v>#REF!</v>
      </c>
      <c r="D584" s="20" t="str">
        <f t="shared" si="1745"/>
        <v>#REF!</v>
      </c>
      <c r="E584" s="20" t="str">
        <f t="shared" si="1270"/>
        <v>#REF!</v>
      </c>
      <c r="F584" s="22" t="str">
        <f t="shared" si="2"/>
        <v>#REF!</v>
      </c>
      <c r="G584" s="20" t="str">
        <f t="shared" ref="G584:I584" si="1746">#REF!</f>
        <v>#REF!</v>
      </c>
      <c r="H584" s="20" t="str">
        <f t="shared" si="1746"/>
        <v>#REF!</v>
      </c>
      <c r="I584" s="20" t="str">
        <f t="shared" si="1746"/>
        <v>#REF!</v>
      </c>
      <c r="J584" s="20" t="str">
        <f t="shared" si="1272"/>
        <v>#REF!</v>
      </c>
      <c r="K584" s="20" t="str">
        <f t="shared" ref="K584:L584" si="1747">#REF!</f>
        <v>#REF!</v>
      </c>
      <c r="L584" s="20" t="str">
        <f t="shared" si="1747"/>
        <v>#REF!</v>
      </c>
    </row>
    <row r="585">
      <c r="A585" s="20" t="str">
        <f t="shared" si="1267"/>
        <v>#REF!</v>
      </c>
      <c r="B585" s="20" t="str">
        <f t="shared" si="1268"/>
        <v>#REF!</v>
      </c>
      <c r="C585" s="20" t="str">
        <f t="shared" ref="C585:D585" si="1748">#REF!</f>
        <v>#REF!</v>
      </c>
      <c r="D585" s="20" t="str">
        <f t="shared" si="1748"/>
        <v>#REF!</v>
      </c>
      <c r="E585" s="20" t="str">
        <f t="shared" si="1270"/>
        <v>#REF!</v>
      </c>
      <c r="F585" s="22" t="str">
        <f t="shared" si="2"/>
        <v>#REF!</v>
      </c>
      <c r="G585" s="20" t="str">
        <f t="shared" ref="G585:I585" si="1749">#REF!</f>
        <v>#REF!</v>
      </c>
      <c r="H585" s="20" t="str">
        <f t="shared" si="1749"/>
        <v>#REF!</v>
      </c>
      <c r="I585" s="20" t="str">
        <f t="shared" si="1749"/>
        <v>#REF!</v>
      </c>
      <c r="J585" s="20" t="str">
        <f t="shared" si="1272"/>
        <v>#REF!</v>
      </c>
      <c r="K585" s="20" t="str">
        <f t="shared" ref="K585:L585" si="1750">#REF!</f>
        <v>#REF!</v>
      </c>
      <c r="L585" s="20" t="str">
        <f t="shared" si="1750"/>
        <v>#REF!</v>
      </c>
    </row>
    <row r="586">
      <c r="A586" s="20" t="str">
        <f t="shared" si="1267"/>
        <v>#REF!</v>
      </c>
      <c r="B586" s="20" t="str">
        <f t="shared" si="1268"/>
        <v>#REF!</v>
      </c>
      <c r="C586" s="20" t="str">
        <f t="shared" ref="C586:D586" si="1751">#REF!</f>
        <v>#REF!</v>
      </c>
      <c r="D586" s="20" t="str">
        <f t="shared" si="1751"/>
        <v>#REF!</v>
      </c>
      <c r="E586" s="20" t="str">
        <f t="shared" si="1270"/>
        <v>#REF!</v>
      </c>
      <c r="F586" s="22" t="str">
        <f t="shared" si="2"/>
        <v>#REF!</v>
      </c>
      <c r="G586" s="20" t="str">
        <f t="shared" ref="G586:I586" si="1752">#REF!</f>
        <v>#REF!</v>
      </c>
      <c r="H586" s="20" t="str">
        <f t="shared" si="1752"/>
        <v>#REF!</v>
      </c>
      <c r="I586" s="20" t="str">
        <f t="shared" si="1752"/>
        <v>#REF!</v>
      </c>
      <c r="J586" s="20" t="str">
        <f t="shared" si="1272"/>
        <v>#REF!</v>
      </c>
      <c r="K586" s="20" t="str">
        <f t="shared" ref="K586:L586" si="1753">#REF!</f>
        <v>#REF!</v>
      </c>
      <c r="L586" s="20" t="str">
        <f t="shared" si="1753"/>
        <v>#REF!</v>
      </c>
    </row>
    <row r="587">
      <c r="A587" s="20" t="str">
        <f t="shared" si="1267"/>
        <v>#REF!</v>
      </c>
      <c r="B587" s="20" t="str">
        <f t="shared" si="1268"/>
        <v>#REF!</v>
      </c>
      <c r="C587" s="20" t="str">
        <f t="shared" ref="C587:D587" si="1754">#REF!</f>
        <v>#REF!</v>
      </c>
      <c r="D587" s="20" t="str">
        <f t="shared" si="1754"/>
        <v>#REF!</v>
      </c>
      <c r="E587" s="20" t="str">
        <f t="shared" si="1270"/>
        <v>#REF!</v>
      </c>
      <c r="F587" s="22" t="str">
        <f t="shared" si="2"/>
        <v>#REF!</v>
      </c>
      <c r="G587" s="20" t="str">
        <f t="shared" ref="G587:I587" si="1755">#REF!</f>
        <v>#REF!</v>
      </c>
      <c r="H587" s="20" t="str">
        <f t="shared" si="1755"/>
        <v>#REF!</v>
      </c>
      <c r="I587" s="20" t="str">
        <f t="shared" si="1755"/>
        <v>#REF!</v>
      </c>
      <c r="J587" s="20" t="str">
        <f t="shared" si="1272"/>
        <v>#REF!</v>
      </c>
      <c r="K587" s="20" t="str">
        <f t="shared" ref="K587:L587" si="1756">#REF!</f>
        <v>#REF!</v>
      </c>
      <c r="L587" s="20" t="str">
        <f t="shared" si="1756"/>
        <v>#REF!</v>
      </c>
    </row>
    <row r="588">
      <c r="A588" s="20" t="str">
        <f t="shared" si="1267"/>
        <v>#REF!</v>
      </c>
      <c r="B588" s="20" t="str">
        <f t="shared" si="1268"/>
        <v>#REF!</v>
      </c>
      <c r="C588" s="20" t="str">
        <f t="shared" ref="C588:D588" si="1757">#REF!</f>
        <v>#REF!</v>
      </c>
      <c r="D588" s="20" t="str">
        <f t="shared" si="1757"/>
        <v>#REF!</v>
      </c>
      <c r="E588" s="20" t="str">
        <f t="shared" si="1270"/>
        <v>#REF!</v>
      </c>
      <c r="F588" s="22" t="str">
        <f t="shared" si="2"/>
        <v>#REF!</v>
      </c>
      <c r="G588" s="20" t="str">
        <f t="shared" ref="G588:I588" si="1758">#REF!</f>
        <v>#REF!</v>
      </c>
      <c r="H588" s="20" t="str">
        <f t="shared" si="1758"/>
        <v>#REF!</v>
      </c>
      <c r="I588" s="20" t="str">
        <f t="shared" si="1758"/>
        <v>#REF!</v>
      </c>
      <c r="J588" s="20" t="str">
        <f t="shared" si="1272"/>
        <v>#REF!</v>
      </c>
      <c r="K588" s="20" t="str">
        <f t="shared" ref="K588:L588" si="1759">#REF!</f>
        <v>#REF!</v>
      </c>
      <c r="L588" s="20" t="str">
        <f t="shared" si="1759"/>
        <v>#REF!</v>
      </c>
    </row>
    <row r="589">
      <c r="A589" s="20" t="str">
        <f t="shared" si="1267"/>
        <v>#REF!</v>
      </c>
      <c r="B589" s="20" t="str">
        <f t="shared" si="1268"/>
        <v>#REF!</v>
      </c>
      <c r="C589" s="20" t="str">
        <f t="shared" ref="C589:D589" si="1760">#REF!</f>
        <v>#REF!</v>
      </c>
      <c r="D589" s="20" t="str">
        <f t="shared" si="1760"/>
        <v>#REF!</v>
      </c>
      <c r="E589" s="20" t="str">
        <f t="shared" si="1270"/>
        <v>#REF!</v>
      </c>
      <c r="F589" s="22" t="str">
        <f t="shared" si="2"/>
        <v>#REF!</v>
      </c>
      <c r="G589" s="20" t="str">
        <f t="shared" ref="G589:I589" si="1761">#REF!</f>
        <v>#REF!</v>
      </c>
      <c r="H589" s="20" t="str">
        <f t="shared" si="1761"/>
        <v>#REF!</v>
      </c>
      <c r="I589" s="20" t="str">
        <f t="shared" si="1761"/>
        <v>#REF!</v>
      </c>
      <c r="J589" s="20" t="str">
        <f t="shared" si="1272"/>
        <v>#REF!</v>
      </c>
      <c r="K589" s="20" t="str">
        <f t="shared" ref="K589:L589" si="1762">#REF!</f>
        <v>#REF!</v>
      </c>
      <c r="L589" s="20" t="str">
        <f t="shared" si="1762"/>
        <v>#REF!</v>
      </c>
    </row>
    <row r="590">
      <c r="A590" s="20" t="str">
        <f t="shared" si="1267"/>
        <v>#REF!</v>
      </c>
      <c r="B590" s="20" t="str">
        <f t="shared" si="1268"/>
        <v>#REF!</v>
      </c>
      <c r="C590" s="20" t="str">
        <f t="shared" ref="C590:D590" si="1763">#REF!</f>
        <v>#REF!</v>
      </c>
      <c r="D590" s="20" t="str">
        <f t="shared" si="1763"/>
        <v>#REF!</v>
      </c>
      <c r="E590" s="20" t="str">
        <f t="shared" si="1270"/>
        <v>#REF!</v>
      </c>
      <c r="F590" s="22" t="str">
        <f t="shared" si="2"/>
        <v>#REF!</v>
      </c>
      <c r="G590" s="20" t="str">
        <f t="shared" ref="G590:I590" si="1764">#REF!</f>
        <v>#REF!</v>
      </c>
      <c r="H590" s="20" t="str">
        <f t="shared" si="1764"/>
        <v>#REF!</v>
      </c>
      <c r="I590" s="20" t="str">
        <f t="shared" si="1764"/>
        <v>#REF!</v>
      </c>
      <c r="J590" s="20" t="str">
        <f t="shared" si="1272"/>
        <v>#REF!</v>
      </c>
      <c r="K590" s="20" t="str">
        <f t="shared" ref="K590:L590" si="1765">#REF!</f>
        <v>#REF!</v>
      </c>
      <c r="L590" s="20" t="str">
        <f t="shared" si="1765"/>
        <v>#REF!</v>
      </c>
    </row>
    <row r="591">
      <c r="A591" s="20" t="str">
        <f t="shared" si="1267"/>
        <v>#REF!</v>
      </c>
      <c r="B591" s="20" t="str">
        <f t="shared" si="1268"/>
        <v>#REF!</v>
      </c>
      <c r="C591" s="20" t="str">
        <f t="shared" ref="C591:D591" si="1766">#REF!</f>
        <v>#REF!</v>
      </c>
      <c r="D591" s="20" t="str">
        <f t="shared" si="1766"/>
        <v>#REF!</v>
      </c>
      <c r="E591" s="20" t="str">
        <f t="shared" si="1270"/>
        <v>#REF!</v>
      </c>
      <c r="F591" s="22" t="str">
        <f t="shared" si="2"/>
        <v>#REF!</v>
      </c>
      <c r="G591" s="20" t="str">
        <f t="shared" ref="G591:I591" si="1767">#REF!</f>
        <v>#REF!</v>
      </c>
      <c r="H591" s="20" t="str">
        <f t="shared" si="1767"/>
        <v>#REF!</v>
      </c>
      <c r="I591" s="20" t="str">
        <f t="shared" si="1767"/>
        <v>#REF!</v>
      </c>
      <c r="J591" s="20" t="str">
        <f t="shared" si="1272"/>
        <v>#REF!</v>
      </c>
      <c r="K591" s="20" t="str">
        <f t="shared" ref="K591:L591" si="1768">#REF!</f>
        <v>#REF!</v>
      </c>
      <c r="L591" s="20" t="str">
        <f t="shared" si="1768"/>
        <v>#REF!</v>
      </c>
    </row>
    <row r="592">
      <c r="A592" s="20" t="str">
        <f t="shared" si="1267"/>
        <v>#REF!</v>
      </c>
      <c r="B592" s="20" t="str">
        <f t="shared" si="1268"/>
        <v>#REF!</v>
      </c>
      <c r="C592" s="20" t="str">
        <f t="shared" ref="C592:D592" si="1769">#REF!</f>
        <v>#REF!</v>
      </c>
      <c r="D592" s="20" t="str">
        <f t="shared" si="1769"/>
        <v>#REF!</v>
      </c>
      <c r="E592" s="20" t="str">
        <f t="shared" si="1270"/>
        <v>#REF!</v>
      </c>
      <c r="F592" s="22" t="str">
        <f t="shared" si="2"/>
        <v>#REF!</v>
      </c>
      <c r="G592" s="20" t="str">
        <f t="shared" ref="G592:I592" si="1770">#REF!</f>
        <v>#REF!</v>
      </c>
      <c r="H592" s="20" t="str">
        <f t="shared" si="1770"/>
        <v>#REF!</v>
      </c>
      <c r="I592" s="20" t="str">
        <f t="shared" si="1770"/>
        <v>#REF!</v>
      </c>
      <c r="J592" s="20" t="str">
        <f t="shared" si="1272"/>
        <v>#REF!</v>
      </c>
      <c r="K592" s="20" t="str">
        <f t="shared" ref="K592:L592" si="1771">#REF!</f>
        <v>#REF!</v>
      </c>
      <c r="L592" s="20" t="str">
        <f t="shared" si="1771"/>
        <v>#REF!</v>
      </c>
    </row>
    <row r="593">
      <c r="A593" s="20" t="str">
        <f t="shared" si="1267"/>
        <v>#REF!</v>
      </c>
      <c r="B593" s="20" t="str">
        <f t="shared" si="1268"/>
        <v>#REF!</v>
      </c>
      <c r="C593" s="20" t="str">
        <f t="shared" ref="C593:D593" si="1772">#REF!</f>
        <v>#REF!</v>
      </c>
      <c r="D593" s="20" t="str">
        <f t="shared" si="1772"/>
        <v>#REF!</v>
      </c>
      <c r="E593" s="20" t="str">
        <f t="shared" si="1270"/>
        <v>#REF!</v>
      </c>
      <c r="F593" s="22" t="str">
        <f t="shared" si="2"/>
        <v>#REF!</v>
      </c>
      <c r="G593" s="20" t="str">
        <f t="shared" ref="G593:I593" si="1773">#REF!</f>
        <v>#REF!</v>
      </c>
      <c r="H593" s="20" t="str">
        <f t="shared" si="1773"/>
        <v>#REF!</v>
      </c>
      <c r="I593" s="20" t="str">
        <f t="shared" si="1773"/>
        <v>#REF!</v>
      </c>
      <c r="J593" s="20" t="str">
        <f t="shared" si="1272"/>
        <v>#REF!</v>
      </c>
      <c r="K593" s="20" t="str">
        <f t="shared" ref="K593:L593" si="1774">#REF!</f>
        <v>#REF!</v>
      </c>
      <c r="L593" s="20" t="str">
        <f t="shared" si="1774"/>
        <v>#REF!</v>
      </c>
    </row>
    <row r="594">
      <c r="A594" s="20" t="str">
        <f t="shared" si="1267"/>
        <v>#REF!</v>
      </c>
      <c r="B594" s="20" t="str">
        <f t="shared" si="1268"/>
        <v>#REF!</v>
      </c>
      <c r="C594" s="20" t="str">
        <f t="shared" ref="C594:D594" si="1775">#REF!</f>
        <v>#REF!</v>
      </c>
      <c r="D594" s="20" t="str">
        <f t="shared" si="1775"/>
        <v>#REF!</v>
      </c>
      <c r="E594" s="20" t="str">
        <f t="shared" si="1270"/>
        <v>#REF!</v>
      </c>
      <c r="F594" s="22" t="str">
        <f t="shared" si="2"/>
        <v>#REF!</v>
      </c>
      <c r="G594" s="20" t="str">
        <f t="shared" ref="G594:I594" si="1776">#REF!</f>
        <v>#REF!</v>
      </c>
      <c r="H594" s="20" t="str">
        <f t="shared" si="1776"/>
        <v>#REF!</v>
      </c>
      <c r="I594" s="20" t="str">
        <f t="shared" si="1776"/>
        <v>#REF!</v>
      </c>
      <c r="J594" s="20" t="str">
        <f t="shared" si="1272"/>
        <v>#REF!</v>
      </c>
      <c r="K594" s="20" t="str">
        <f t="shared" ref="K594:L594" si="1777">#REF!</f>
        <v>#REF!</v>
      </c>
      <c r="L594" s="20" t="str">
        <f t="shared" si="1777"/>
        <v>#REF!</v>
      </c>
    </row>
    <row r="595">
      <c r="A595" s="20" t="str">
        <f t="shared" si="1267"/>
        <v>#REF!</v>
      </c>
      <c r="B595" s="20" t="str">
        <f t="shared" si="1268"/>
        <v>#REF!</v>
      </c>
      <c r="C595" s="20" t="str">
        <f t="shared" ref="C595:D595" si="1778">#REF!</f>
        <v>#REF!</v>
      </c>
      <c r="D595" s="20" t="str">
        <f t="shared" si="1778"/>
        <v>#REF!</v>
      </c>
      <c r="E595" s="20" t="str">
        <f t="shared" si="1270"/>
        <v>#REF!</v>
      </c>
      <c r="F595" s="22" t="str">
        <f t="shared" si="2"/>
        <v>#REF!</v>
      </c>
      <c r="G595" s="20" t="str">
        <f t="shared" ref="G595:I595" si="1779">#REF!</f>
        <v>#REF!</v>
      </c>
      <c r="H595" s="20" t="str">
        <f t="shared" si="1779"/>
        <v>#REF!</v>
      </c>
      <c r="I595" s="20" t="str">
        <f t="shared" si="1779"/>
        <v>#REF!</v>
      </c>
      <c r="J595" s="20" t="str">
        <f t="shared" si="1272"/>
        <v>#REF!</v>
      </c>
      <c r="K595" s="20" t="str">
        <f t="shared" ref="K595:L595" si="1780">#REF!</f>
        <v>#REF!</v>
      </c>
      <c r="L595" s="20" t="str">
        <f t="shared" si="1780"/>
        <v>#REF!</v>
      </c>
    </row>
    <row r="596">
      <c r="A596" s="20" t="str">
        <f t="shared" si="1267"/>
        <v>#REF!</v>
      </c>
      <c r="B596" s="20" t="str">
        <f t="shared" si="1268"/>
        <v>#REF!</v>
      </c>
      <c r="C596" s="20" t="str">
        <f t="shared" ref="C596:D596" si="1781">#REF!</f>
        <v>#REF!</v>
      </c>
      <c r="D596" s="20" t="str">
        <f t="shared" si="1781"/>
        <v>#REF!</v>
      </c>
      <c r="E596" s="20" t="str">
        <f t="shared" si="1270"/>
        <v>#REF!</v>
      </c>
      <c r="F596" s="22" t="str">
        <f t="shared" si="2"/>
        <v>#REF!</v>
      </c>
      <c r="G596" s="20" t="str">
        <f t="shared" ref="G596:I596" si="1782">#REF!</f>
        <v>#REF!</v>
      </c>
      <c r="H596" s="20" t="str">
        <f t="shared" si="1782"/>
        <v>#REF!</v>
      </c>
      <c r="I596" s="20" t="str">
        <f t="shared" si="1782"/>
        <v>#REF!</v>
      </c>
      <c r="J596" s="20" t="str">
        <f t="shared" si="1272"/>
        <v>#REF!</v>
      </c>
      <c r="K596" s="20" t="str">
        <f t="shared" ref="K596:L596" si="1783">#REF!</f>
        <v>#REF!</v>
      </c>
      <c r="L596" s="20" t="str">
        <f t="shared" si="1783"/>
        <v>#REF!</v>
      </c>
    </row>
    <row r="597">
      <c r="A597" s="20" t="str">
        <f t="shared" si="1267"/>
        <v>#REF!</v>
      </c>
      <c r="B597" s="20" t="str">
        <f t="shared" si="1268"/>
        <v>#REF!</v>
      </c>
      <c r="C597" s="20" t="str">
        <f t="shared" ref="C597:D597" si="1784">#REF!</f>
        <v>#REF!</v>
      </c>
      <c r="D597" s="20" t="str">
        <f t="shared" si="1784"/>
        <v>#REF!</v>
      </c>
      <c r="E597" s="20" t="str">
        <f t="shared" si="1270"/>
        <v>#REF!</v>
      </c>
      <c r="F597" s="22" t="str">
        <f t="shared" si="2"/>
        <v>#REF!</v>
      </c>
      <c r="G597" s="20" t="str">
        <f t="shared" ref="G597:I597" si="1785">#REF!</f>
        <v>#REF!</v>
      </c>
      <c r="H597" s="20" t="str">
        <f t="shared" si="1785"/>
        <v>#REF!</v>
      </c>
      <c r="I597" s="20" t="str">
        <f t="shared" si="1785"/>
        <v>#REF!</v>
      </c>
      <c r="J597" s="20" t="str">
        <f t="shared" si="1272"/>
        <v>#REF!</v>
      </c>
      <c r="K597" s="20" t="str">
        <f t="shared" ref="K597:L597" si="1786">#REF!</f>
        <v>#REF!</v>
      </c>
      <c r="L597" s="20" t="str">
        <f t="shared" si="1786"/>
        <v>#REF!</v>
      </c>
    </row>
    <row r="598">
      <c r="A598" s="20" t="str">
        <f t="shared" si="1267"/>
        <v>#REF!</v>
      </c>
      <c r="B598" s="20" t="str">
        <f t="shared" si="1268"/>
        <v>#REF!</v>
      </c>
      <c r="C598" s="20" t="str">
        <f t="shared" ref="C598:D598" si="1787">#REF!</f>
        <v>#REF!</v>
      </c>
      <c r="D598" s="20" t="str">
        <f t="shared" si="1787"/>
        <v>#REF!</v>
      </c>
      <c r="E598" s="20" t="str">
        <f t="shared" si="1270"/>
        <v>#REF!</v>
      </c>
      <c r="F598" s="22" t="str">
        <f t="shared" si="2"/>
        <v>#REF!</v>
      </c>
      <c r="G598" s="20" t="str">
        <f t="shared" ref="G598:I598" si="1788">#REF!</f>
        <v>#REF!</v>
      </c>
      <c r="H598" s="20" t="str">
        <f t="shared" si="1788"/>
        <v>#REF!</v>
      </c>
      <c r="I598" s="20" t="str">
        <f t="shared" si="1788"/>
        <v>#REF!</v>
      </c>
      <c r="J598" s="20" t="str">
        <f t="shared" si="1272"/>
        <v>#REF!</v>
      </c>
      <c r="K598" s="20" t="str">
        <f t="shared" ref="K598:L598" si="1789">#REF!</f>
        <v>#REF!</v>
      </c>
      <c r="L598" s="20" t="str">
        <f t="shared" si="1789"/>
        <v>#REF!</v>
      </c>
    </row>
    <row r="599">
      <c r="A599" s="20" t="str">
        <f t="shared" si="1267"/>
        <v>#REF!</v>
      </c>
      <c r="B599" s="20" t="str">
        <f t="shared" si="1268"/>
        <v>#REF!</v>
      </c>
      <c r="C599" s="20" t="str">
        <f t="shared" ref="C599:D599" si="1790">#REF!</f>
        <v>#REF!</v>
      </c>
      <c r="D599" s="20" t="str">
        <f t="shared" si="1790"/>
        <v>#REF!</v>
      </c>
      <c r="E599" s="20" t="str">
        <f t="shared" si="1270"/>
        <v>#REF!</v>
      </c>
      <c r="F599" s="22" t="str">
        <f t="shared" si="2"/>
        <v>#REF!</v>
      </c>
      <c r="G599" s="20" t="str">
        <f t="shared" ref="G599:I599" si="1791">#REF!</f>
        <v>#REF!</v>
      </c>
      <c r="H599" s="20" t="str">
        <f t="shared" si="1791"/>
        <v>#REF!</v>
      </c>
      <c r="I599" s="20" t="str">
        <f t="shared" si="1791"/>
        <v>#REF!</v>
      </c>
      <c r="J599" s="20" t="str">
        <f t="shared" si="1272"/>
        <v>#REF!</v>
      </c>
      <c r="K599" s="20" t="str">
        <f t="shared" ref="K599:L599" si="1792">#REF!</f>
        <v>#REF!</v>
      </c>
      <c r="L599" s="20" t="str">
        <f t="shared" si="1792"/>
        <v>#REF!</v>
      </c>
    </row>
    <row r="600">
      <c r="A600" s="20" t="str">
        <f t="shared" si="1267"/>
        <v>#REF!</v>
      </c>
      <c r="B600" s="20" t="str">
        <f t="shared" si="1268"/>
        <v>#REF!</v>
      </c>
      <c r="C600" s="20" t="str">
        <f t="shared" ref="C600:D600" si="1793">#REF!</f>
        <v>#REF!</v>
      </c>
      <c r="D600" s="20" t="str">
        <f t="shared" si="1793"/>
        <v>#REF!</v>
      </c>
      <c r="E600" s="20" t="str">
        <f t="shared" si="1270"/>
        <v>#REF!</v>
      </c>
      <c r="F600" s="22" t="str">
        <f t="shared" si="2"/>
        <v>#REF!</v>
      </c>
      <c r="G600" s="20" t="str">
        <f t="shared" ref="G600:I600" si="1794">#REF!</f>
        <v>#REF!</v>
      </c>
      <c r="H600" s="20" t="str">
        <f t="shared" si="1794"/>
        <v>#REF!</v>
      </c>
      <c r="I600" s="20" t="str">
        <f t="shared" si="1794"/>
        <v>#REF!</v>
      </c>
      <c r="J600" s="20" t="str">
        <f t="shared" si="1272"/>
        <v>#REF!</v>
      </c>
      <c r="K600" s="20" t="str">
        <f t="shared" ref="K600:L600" si="1795">#REF!</f>
        <v>#REF!</v>
      </c>
      <c r="L600" s="20" t="str">
        <f t="shared" si="1795"/>
        <v>#REF!</v>
      </c>
    </row>
    <row r="601">
      <c r="A601" s="20" t="str">
        <f t="shared" si="1267"/>
        <v>#REF!</v>
      </c>
      <c r="B601" s="20" t="str">
        <f t="shared" si="1268"/>
        <v>#REF!</v>
      </c>
      <c r="C601" s="20" t="str">
        <f t="shared" ref="C601:D601" si="1796">#REF!</f>
        <v>#REF!</v>
      </c>
      <c r="D601" s="20" t="str">
        <f t="shared" si="1796"/>
        <v>#REF!</v>
      </c>
      <c r="E601" s="20" t="str">
        <f t="shared" si="1270"/>
        <v>#REF!</v>
      </c>
      <c r="F601" s="22" t="str">
        <f t="shared" si="2"/>
        <v>#REF!</v>
      </c>
      <c r="G601" s="20" t="str">
        <f t="shared" ref="G601:I601" si="1797">#REF!</f>
        <v>#REF!</v>
      </c>
      <c r="H601" s="20" t="str">
        <f t="shared" si="1797"/>
        <v>#REF!</v>
      </c>
      <c r="I601" s="20" t="str">
        <f t="shared" si="1797"/>
        <v>#REF!</v>
      </c>
      <c r="J601" s="20" t="str">
        <f t="shared" si="1272"/>
        <v>#REF!</v>
      </c>
      <c r="K601" s="20" t="str">
        <f t="shared" ref="K601:L601" si="1798">#REF!</f>
        <v>#REF!</v>
      </c>
      <c r="L601" s="20" t="str">
        <f t="shared" si="1798"/>
        <v>#REF!</v>
      </c>
    </row>
    <row r="602">
      <c r="A602" s="20" t="str">
        <f t="shared" si="1267"/>
        <v>#REF!</v>
      </c>
      <c r="B602" s="20" t="str">
        <f t="shared" si="1268"/>
        <v>#REF!</v>
      </c>
      <c r="C602" s="20" t="str">
        <f t="shared" ref="C602:D602" si="1799">#REF!</f>
        <v>#REF!</v>
      </c>
      <c r="D602" s="20" t="str">
        <f t="shared" si="1799"/>
        <v>#REF!</v>
      </c>
      <c r="E602" s="20" t="str">
        <f t="shared" si="1270"/>
        <v>#REF!</v>
      </c>
      <c r="F602" s="22" t="str">
        <f t="shared" si="2"/>
        <v>#REF!</v>
      </c>
      <c r="G602" s="20" t="str">
        <f t="shared" ref="G602:I602" si="1800">#REF!</f>
        <v>#REF!</v>
      </c>
      <c r="H602" s="20" t="str">
        <f t="shared" si="1800"/>
        <v>#REF!</v>
      </c>
      <c r="I602" s="20" t="str">
        <f t="shared" si="1800"/>
        <v>#REF!</v>
      </c>
      <c r="J602" s="20" t="str">
        <f t="shared" si="1272"/>
        <v>#REF!</v>
      </c>
      <c r="K602" s="20" t="str">
        <f t="shared" ref="K602:L602" si="1801">#REF!</f>
        <v>#REF!</v>
      </c>
      <c r="L602" s="20" t="str">
        <f t="shared" si="1801"/>
        <v>#REF!</v>
      </c>
    </row>
    <row r="603">
      <c r="A603" s="20" t="str">
        <f t="shared" si="1267"/>
        <v>#REF!</v>
      </c>
      <c r="B603" s="20" t="str">
        <f t="shared" si="1268"/>
        <v>#REF!</v>
      </c>
      <c r="C603" s="20" t="str">
        <f t="shared" ref="C603:D603" si="1802">#REF!</f>
        <v>#REF!</v>
      </c>
      <c r="D603" s="20" t="str">
        <f t="shared" si="1802"/>
        <v>#REF!</v>
      </c>
      <c r="E603" s="20" t="str">
        <f t="shared" si="1270"/>
        <v>#REF!</v>
      </c>
      <c r="F603" s="22" t="str">
        <f t="shared" si="2"/>
        <v>#REF!</v>
      </c>
      <c r="G603" s="20" t="str">
        <f t="shared" ref="G603:I603" si="1803">#REF!</f>
        <v>#REF!</v>
      </c>
      <c r="H603" s="20" t="str">
        <f t="shared" si="1803"/>
        <v>#REF!</v>
      </c>
      <c r="I603" s="20" t="str">
        <f t="shared" si="1803"/>
        <v>#REF!</v>
      </c>
      <c r="J603" s="20" t="str">
        <f t="shared" si="1272"/>
        <v>#REF!</v>
      </c>
      <c r="K603" s="20" t="str">
        <f t="shared" ref="K603:L603" si="1804">#REF!</f>
        <v>#REF!</v>
      </c>
      <c r="L603" s="20" t="str">
        <f t="shared" si="1804"/>
        <v>#REF!</v>
      </c>
    </row>
    <row r="604">
      <c r="A604" s="20" t="str">
        <f t="shared" si="1267"/>
        <v>#REF!</v>
      </c>
      <c r="B604" s="20" t="str">
        <f t="shared" si="1268"/>
        <v>#REF!</v>
      </c>
      <c r="C604" s="20" t="str">
        <f t="shared" ref="C604:D604" si="1805">#REF!</f>
        <v>#REF!</v>
      </c>
      <c r="D604" s="20" t="str">
        <f t="shared" si="1805"/>
        <v>#REF!</v>
      </c>
      <c r="E604" s="20" t="str">
        <f t="shared" si="1270"/>
        <v>#REF!</v>
      </c>
      <c r="F604" s="22" t="str">
        <f t="shared" si="2"/>
        <v>#REF!</v>
      </c>
      <c r="G604" s="20" t="str">
        <f t="shared" ref="G604:I604" si="1806">#REF!</f>
        <v>#REF!</v>
      </c>
      <c r="H604" s="20" t="str">
        <f t="shared" si="1806"/>
        <v>#REF!</v>
      </c>
      <c r="I604" s="20" t="str">
        <f t="shared" si="1806"/>
        <v>#REF!</v>
      </c>
      <c r="J604" s="20" t="str">
        <f t="shared" si="1272"/>
        <v>#REF!</v>
      </c>
      <c r="K604" s="20" t="str">
        <f t="shared" ref="K604:L604" si="1807">#REF!</f>
        <v>#REF!</v>
      </c>
      <c r="L604" s="20" t="str">
        <f t="shared" si="1807"/>
        <v>#REF!</v>
      </c>
    </row>
    <row r="605">
      <c r="A605" s="20" t="str">
        <f t="shared" si="1267"/>
        <v>#REF!</v>
      </c>
      <c r="B605" s="20" t="str">
        <f t="shared" si="1268"/>
        <v>#REF!</v>
      </c>
      <c r="C605" s="20" t="str">
        <f t="shared" ref="C605:D605" si="1808">#REF!</f>
        <v>#REF!</v>
      </c>
      <c r="D605" s="20" t="str">
        <f t="shared" si="1808"/>
        <v>#REF!</v>
      </c>
      <c r="E605" s="20" t="str">
        <f t="shared" si="1270"/>
        <v>#REF!</v>
      </c>
      <c r="F605" s="22" t="str">
        <f t="shared" si="2"/>
        <v>#REF!</v>
      </c>
      <c r="G605" s="20" t="str">
        <f t="shared" ref="G605:I605" si="1809">#REF!</f>
        <v>#REF!</v>
      </c>
      <c r="H605" s="20" t="str">
        <f t="shared" si="1809"/>
        <v>#REF!</v>
      </c>
      <c r="I605" s="20" t="str">
        <f t="shared" si="1809"/>
        <v>#REF!</v>
      </c>
      <c r="J605" s="20" t="str">
        <f t="shared" si="1272"/>
        <v>#REF!</v>
      </c>
      <c r="K605" s="20" t="str">
        <f t="shared" ref="K605:L605" si="1810">#REF!</f>
        <v>#REF!</v>
      </c>
      <c r="L605" s="20" t="str">
        <f t="shared" si="1810"/>
        <v>#REF!</v>
      </c>
    </row>
    <row r="606">
      <c r="A606" s="20" t="str">
        <f t="shared" si="1267"/>
        <v>#REF!</v>
      </c>
      <c r="B606" s="20" t="str">
        <f t="shared" si="1268"/>
        <v>#REF!</v>
      </c>
      <c r="C606" s="20" t="str">
        <f t="shared" ref="C606:D606" si="1811">#REF!</f>
        <v>#REF!</v>
      </c>
      <c r="D606" s="20" t="str">
        <f t="shared" si="1811"/>
        <v>#REF!</v>
      </c>
      <c r="E606" s="20" t="str">
        <f t="shared" si="1270"/>
        <v>#REF!</v>
      </c>
      <c r="F606" s="22" t="str">
        <f t="shared" si="2"/>
        <v>#REF!</v>
      </c>
      <c r="G606" s="20" t="str">
        <f t="shared" ref="G606:I606" si="1812">#REF!</f>
        <v>#REF!</v>
      </c>
      <c r="H606" s="20" t="str">
        <f t="shared" si="1812"/>
        <v>#REF!</v>
      </c>
      <c r="I606" s="20" t="str">
        <f t="shared" si="1812"/>
        <v>#REF!</v>
      </c>
      <c r="J606" s="20" t="str">
        <f t="shared" si="1272"/>
        <v>#REF!</v>
      </c>
      <c r="K606" s="20" t="str">
        <f t="shared" ref="K606:L606" si="1813">#REF!</f>
        <v>#REF!</v>
      </c>
      <c r="L606" s="20" t="str">
        <f t="shared" si="1813"/>
        <v>#REF!</v>
      </c>
    </row>
    <row r="607">
      <c r="A607" s="20" t="str">
        <f t="shared" si="1267"/>
        <v>#REF!</v>
      </c>
      <c r="B607" s="20" t="str">
        <f t="shared" si="1268"/>
        <v>#REF!</v>
      </c>
      <c r="C607" s="20" t="str">
        <f t="shared" ref="C607:D607" si="1814">#REF!</f>
        <v>#REF!</v>
      </c>
      <c r="D607" s="20" t="str">
        <f t="shared" si="1814"/>
        <v>#REF!</v>
      </c>
      <c r="E607" s="20" t="str">
        <f t="shared" si="1270"/>
        <v>#REF!</v>
      </c>
      <c r="F607" s="22" t="str">
        <f t="shared" si="2"/>
        <v>#REF!</v>
      </c>
      <c r="G607" s="20" t="str">
        <f t="shared" ref="G607:I607" si="1815">#REF!</f>
        <v>#REF!</v>
      </c>
      <c r="H607" s="20" t="str">
        <f t="shared" si="1815"/>
        <v>#REF!</v>
      </c>
      <c r="I607" s="20" t="str">
        <f t="shared" si="1815"/>
        <v>#REF!</v>
      </c>
      <c r="J607" s="20" t="str">
        <f t="shared" si="1272"/>
        <v>#REF!</v>
      </c>
      <c r="K607" s="20" t="str">
        <f t="shared" ref="K607:L607" si="1816">#REF!</f>
        <v>#REF!</v>
      </c>
      <c r="L607" s="20" t="str">
        <f t="shared" si="1816"/>
        <v>#REF!</v>
      </c>
    </row>
    <row r="608">
      <c r="A608" s="20" t="str">
        <f t="shared" si="1267"/>
        <v>#REF!</v>
      </c>
      <c r="B608" s="20" t="str">
        <f t="shared" si="1268"/>
        <v>#REF!</v>
      </c>
      <c r="C608" s="20" t="str">
        <f t="shared" ref="C608:D608" si="1817">#REF!</f>
        <v>#REF!</v>
      </c>
      <c r="D608" s="20" t="str">
        <f t="shared" si="1817"/>
        <v>#REF!</v>
      </c>
      <c r="E608" s="20" t="str">
        <f t="shared" si="1270"/>
        <v>#REF!</v>
      </c>
      <c r="F608" s="22" t="str">
        <f t="shared" si="2"/>
        <v>#REF!</v>
      </c>
      <c r="G608" s="20" t="str">
        <f t="shared" ref="G608:I608" si="1818">#REF!</f>
        <v>#REF!</v>
      </c>
      <c r="H608" s="20" t="str">
        <f t="shared" si="1818"/>
        <v>#REF!</v>
      </c>
      <c r="I608" s="20" t="str">
        <f t="shared" si="1818"/>
        <v>#REF!</v>
      </c>
      <c r="J608" s="20" t="str">
        <f t="shared" si="1272"/>
        <v>#REF!</v>
      </c>
      <c r="K608" s="20" t="str">
        <f t="shared" ref="K608:L608" si="1819">#REF!</f>
        <v>#REF!</v>
      </c>
      <c r="L608" s="20" t="str">
        <f t="shared" si="1819"/>
        <v>#REF!</v>
      </c>
    </row>
    <row r="609">
      <c r="A609" s="20" t="str">
        <f t="shared" si="1267"/>
        <v>#REF!</v>
      </c>
      <c r="B609" s="20" t="str">
        <f t="shared" si="1268"/>
        <v>#REF!</v>
      </c>
      <c r="C609" s="20" t="str">
        <f t="shared" ref="C609:D609" si="1820">#REF!</f>
        <v>#REF!</v>
      </c>
      <c r="D609" s="20" t="str">
        <f t="shared" si="1820"/>
        <v>#REF!</v>
      </c>
      <c r="E609" s="20" t="str">
        <f t="shared" si="1270"/>
        <v>#REF!</v>
      </c>
      <c r="F609" s="22" t="str">
        <f t="shared" si="2"/>
        <v>#REF!</v>
      </c>
      <c r="G609" s="20" t="str">
        <f t="shared" ref="G609:I609" si="1821">#REF!</f>
        <v>#REF!</v>
      </c>
      <c r="H609" s="20" t="str">
        <f t="shared" si="1821"/>
        <v>#REF!</v>
      </c>
      <c r="I609" s="20" t="str">
        <f t="shared" si="1821"/>
        <v>#REF!</v>
      </c>
      <c r="J609" s="20" t="str">
        <f t="shared" si="1272"/>
        <v>#REF!</v>
      </c>
      <c r="K609" s="20" t="str">
        <f t="shared" ref="K609:L609" si="1822">#REF!</f>
        <v>#REF!</v>
      </c>
      <c r="L609" s="20" t="str">
        <f t="shared" si="1822"/>
        <v>#REF!</v>
      </c>
    </row>
    <row r="610">
      <c r="A610" s="20" t="str">
        <f t="shared" si="1267"/>
        <v>#REF!</v>
      </c>
      <c r="B610" s="20" t="str">
        <f t="shared" si="1268"/>
        <v>#REF!</v>
      </c>
      <c r="C610" s="20" t="str">
        <f t="shared" ref="C610:D610" si="1823">#REF!</f>
        <v>#REF!</v>
      </c>
      <c r="D610" s="20" t="str">
        <f t="shared" si="1823"/>
        <v>#REF!</v>
      </c>
      <c r="E610" s="20" t="str">
        <f t="shared" si="1270"/>
        <v>#REF!</v>
      </c>
      <c r="F610" s="22" t="str">
        <f t="shared" si="2"/>
        <v>#REF!</v>
      </c>
      <c r="G610" s="20" t="str">
        <f t="shared" ref="G610:I610" si="1824">#REF!</f>
        <v>#REF!</v>
      </c>
      <c r="H610" s="20" t="str">
        <f t="shared" si="1824"/>
        <v>#REF!</v>
      </c>
      <c r="I610" s="20" t="str">
        <f t="shared" si="1824"/>
        <v>#REF!</v>
      </c>
      <c r="J610" s="20" t="str">
        <f t="shared" si="1272"/>
        <v>#REF!</v>
      </c>
      <c r="K610" s="20" t="str">
        <f t="shared" ref="K610:L610" si="1825">#REF!</f>
        <v>#REF!</v>
      </c>
      <c r="L610" s="20" t="str">
        <f t="shared" si="1825"/>
        <v>#REF!</v>
      </c>
    </row>
    <row r="611">
      <c r="A611" s="20" t="str">
        <f t="shared" si="1267"/>
        <v>#REF!</v>
      </c>
      <c r="B611" s="20" t="str">
        <f t="shared" si="1268"/>
        <v>#REF!</v>
      </c>
      <c r="C611" s="20" t="str">
        <f t="shared" ref="C611:D611" si="1826">#REF!</f>
        <v>#REF!</v>
      </c>
      <c r="D611" s="20" t="str">
        <f t="shared" si="1826"/>
        <v>#REF!</v>
      </c>
      <c r="E611" s="20" t="str">
        <f t="shared" si="1270"/>
        <v>#REF!</v>
      </c>
      <c r="F611" s="22" t="str">
        <f t="shared" si="2"/>
        <v>#REF!</v>
      </c>
      <c r="G611" s="20" t="str">
        <f t="shared" ref="G611:I611" si="1827">#REF!</f>
        <v>#REF!</v>
      </c>
      <c r="H611" s="20" t="str">
        <f t="shared" si="1827"/>
        <v>#REF!</v>
      </c>
      <c r="I611" s="20" t="str">
        <f t="shared" si="1827"/>
        <v>#REF!</v>
      </c>
      <c r="J611" s="20" t="str">
        <f t="shared" si="1272"/>
        <v>#REF!</v>
      </c>
      <c r="K611" s="20" t="str">
        <f t="shared" ref="K611:L611" si="1828">#REF!</f>
        <v>#REF!</v>
      </c>
      <c r="L611" s="20" t="str">
        <f t="shared" si="1828"/>
        <v>#REF!</v>
      </c>
    </row>
    <row r="612">
      <c r="A612" s="20" t="str">
        <f t="shared" si="1267"/>
        <v>#REF!</v>
      </c>
      <c r="B612" s="20" t="str">
        <f t="shared" si="1268"/>
        <v>#REF!</v>
      </c>
      <c r="C612" s="20" t="str">
        <f t="shared" ref="C612:D612" si="1829">#REF!</f>
        <v>#REF!</v>
      </c>
      <c r="D612" s="20" t="str">
        <f t="shared" si="1829"/>
        <v>#REF!</v>
      </c>
      <c r="E612" s="20" t="str">
        <f t="shared" si="1270"/>
        <v>#REF!</v>
      </c>
      <c r="F612" s="22" t="str">
        <f t="shared" si="2"/>
        <v>#REF!</v>
      </c>
      <c r="G612" s="20" t="str">
        <f t="shared" ref="G612:I612" si="1830">#REF!</f>
        <v>#REF!</v>
      </c>
      <c r="H612" s="20" t="str">
        <f t="shared" si="1830"/>
        <v>#REF!</v>
      </c>
      <c r="I612" s="20" t="str">
        <f t="shared" si="1830"/>
        <v>#REF!</v>
      </c>
      <c r="J612" s="20" t="str">
        <f t="shared" si="1272"/>
        <v>#REF!</v>
      </c>
      <c r="K612" s="20" t="str">
        <f t="shared" ref="K612:L612" si="1831">#REF!</f>
        <v>#REF!</v>
      </c>
      <c r="L612" s="20" t="str">
        <f t="shared" si="1831"/>
        <v>#REF!</v>
      </c>
    </row>
    <row r="613">
      <c r="A613" s="20" t="str">
        <f t="shared" si="1267"/>
        <v>#REF!</v>
      </c>
      <c r="B613" s="20" t="str">
        <f t="shared" si="1268"/>
        <v>#REF!</v>
      </c>
      <c r="C613" s="20" t="str">
        <f t="shared" ref="C613:D613" si="1832">#REF!</f>
        <v>#REF!</v>
      </c>
      <c r="D613" s="20" t="str">
        <f t="shared" si="1832"/>
        <v>#REF!</v>
      </c>
      <c r="E613" s="20" t="str">
        <f t="shared" si="1270"/>
        <v>#REF!</v>
      </c>
      <c r="F613" s="22" t="str">
        <f t="shared" si="2"/>
        <v>#REF!</v>
      </c>
      <c r="G613" s="20" t="str">
        <f t="shared" ref="G613:I613" si="1833">#REF!</f>
        <v>#REF!</v>
      </c>
      <c r="H613" s="20" t="str">
        <f t="shared" si="1833"/>
        <v>#REF!</v>
      </c>
      <c r="I613" s="20" t="str">
        <f t="shared" si="1833"/>
        <v>#REF!</v>
      </c>
      <c r="J613" s="20" t="str">
        <f t="shared" si="1272"/>
        <v>#REF!</v>
      </c>
      <c r="K613" s="20" t="str">
        <f t="shared" ref="K613:L613" si="1834">#REF!</f>
        <v>#REF!</v>
      </c>
      <c r="L613" s="20" t="str">
        <f t="shared" si="1834"/>
        <v>#REF!</v>
      </c>
    </row>
    <row r="614">
      <c r="A614" s="20" t="str">
        <f t="shared" si="1267"/>
        <v>#REF!</v>
      </c>
      <c r="B614" s="20" t="str">
        <f t="shared" si="1268"/>
        <v>#REF!</v>
      </c>
      <c r="C614" s="20" t="str">
        <f t="shared" ref="C614:D614" si="1835">#REF!</f>
        <v>#REF!</v>
      </c>
      <c r="D614" s="20" t="str">
        <f t="shared" si="1835"/>
        <v>#REF!</v>
      </c>
      <c r="E614" s="20" t="str">
        <f t="shared" si="1270"/>
        <v>#REF!</v>
      </c>
      <c r="F614" s="22" t="str">
        <f t="shared" si="2"/>
        <v>#REF!</v>
      </c>
      <c r="G614" s="20" t="str">
        <f t="shared" ref="G614:I614" si="1836">#REF!</f>
        <v>#REF!</v>
      </c>
      <c r="H614" s="20" t="str">
        <f t="shared" si="1836"/>
        <v>#REF!</v>
      </c>
      <c r="I614" s="20" t="str">
        <f t="shared" si="1836"/>
        <v>#REF!</v>
      </c>
      <c r="J614" s="20" t="str">
        <f t="shared" si="1272"/>
        <v>#REF!</v>
      </c>
      <c r="K614" s="20" t="str">
        <f t="shared" ref="K614:L614" si="1837">#REF!</f>
        <v>#REF!</v>
      </c>
      <c r="L614" s="20" t="str">
        <f t="shared" si="1837"/>
        <v>#REF!</v>
      </c>
    </row>
    <row r="615">
      <c r="A615" s="20" t="str">
        <f t="shared" si="1267"/>
        <v>#REF!</v>
      </c>
      <c r="B615" s="20" t="str">
        <f t="shared" si="1268"/>
        <v>#REF!</v>
      </c>
      <c r="C615" s="20" t="str">
        <f t="shared" ref="C615:D615" si="1838">#REF!</f>
        <v>#REF!</v>
      </c>
      <c r="D615" s="20" t="str">
        <f t="shared" si="1838"/>
        <v>#REF!</v>
      </c>
      <c r="E615" s="20" t="str">
        <f t="shared" si="1270"/>
        <v>#REF!</v>
      </c>
      <c r="F615" s="22" t="str">
        <f t="shared" si="2"/>
        <v>#REF!</v>
      </c>
      <c r="G615" s="20" t="str">
        <f t="shared" ref="G615:I615" si="1839">#REF!</f>
        <v>#REF!</v>
      </c>
      <c r="H615" s="20" t="str">
        <f t="shared" si="1839"/>
        <v>#REF!</v>
      </c>
      <c r="I615" s="20" t="str">
        <f t="shared" si="1839"/>
        <v>#REF!</v>
      </c>
      <c r="J615" s="20" t="str">
        <f t="shared" si="1272"/>
        <v>#REF!</v>
      </c>
      <c r="K615" s="20" t="str">
        <f t="shared" ref="K615:L615" si="1840">#REF!</f>
        <v>#REF!</v>
      </c>
      <c r="L615" s="20" t="str">
        <f t="shared" si="1840"/>
        <v>#REF!</v>
      </c>
    </row>
    <row r="616">
      <c r="A616" s="20" t="str">
        <f t="shared" si="1267"/>
        <v>#REF!</v>
      </c>
      <c r="B616" s="20" t="str">
        <f t="shared" si="1268"/>
        <v>#REF!</v>
      </c>
      <c r="C616" s="20" t="str">
        <f t="shared" ref="C616:D616" si="1841">#REF!</f>
        <v>#REF!</v>
      </c>
      <c r="D616" s="20" t="str">
        <f t="shared" si="1841"/>
        <v>#REF!</v>
      </c>
      <c r="E616" s="20" t="str">
        <f t="shared" si="1270"/>
        <v>#REF!</v>
      </c>
      <c r="F616" s="22" t="str">
        <f t="shared" si="2"/>
        <v>#REF!</v>
      </c>
      <c r="G616" s="20" t="str">
        <f t="shared" ref="G616:I616" si="1842">#REF!</f>
        <v>#REF!</v>
      </c>
      <c r="H616" s="20" t="str">
        <f t="shared" si="1842"/>
        <v>#REF!</v>
      </c>
      <c r="I616" s="20" t="str">
        <f t="shared" si="1842"/>
        <v>#REF!</v>
      </c>
      <c r="J616" s="20" t="str">
        <f t="shared" si="1272"/>
        <v>#REF!</v>
      </c>
      <c r="K616" s="20" t="str">
        <f t="shared" ref="K616:L616" si="1843">#REF!</f>
        <v>#REF!</v>
      </c>
      <c r="L616" s="20" t="str">
        <f t="shared" si="1843"/>
        <v>#REF!</v>
      </c>
    </row>
    <row r="617">
      <c r="A617" s="20" t="str">
        <f t="shared" si="1267"/>
        <v>#REF!</v>
      </c>
      <c r="B617" s="20" t="str">
        <f t="shared" si="1268"/>
        <v>#REF!</v>
      </c>
      <c r="C617" s="20" t="str">
        <f t="shared" ref="C617:D617" si="1844">#REF!</f>
        <v>#REF!</v>
      </c>
      <c r="D617" s="20" t="str">
        <f t="shared" si="1844"/>
        <v>#REF!</v>
      </c>
      <c r="E617" s="20" t="str">
        <f t="shared" si="1270"/>
        <v>#REF!</v>
      </c>
      <c r="F617" s="22" t="str">
        <f t="shared" si="2"/>
        <v>#REF!</v>
      </c>
      <c r="G617" s="20" t="str">
        <f t="shared" ref="G617:I617" si="1845">#REF!</f>
        <v>#REF!</v>
      </c>
      <c r="H617" s="20" t="str">
        <f t="shared" si="1845"/>
        <v>#REF!</v>
      </c>
      <c r="I617" s="20" t="str">
        <f t="shared" si="1845"/>
        <v>#REF!</v>
      </c>
      <c r="J617" s="20" t="str">
        <f t="shared" si="1272"/>
        <v>#REF!</v>
      </c>
      <c r="K617" s="20" t="str">
        <f t="shared" ref="K617:L617" si="1846">#REF!</f>
        <v>#REF!</v>
      </c>
      <c r="L617" s="20" t="str">
        <f t="shared" si="1846"/>
        <v>#REF!</v>
      </c>
    </row>
    <row r="618">
      <c r="A618" s="20" t="str">
        <f t="shared" si="1267"/>
        <v>#REF!</v>
      </c>
      <c r="B618" s="20" t="str">
        <f t="shared" si="1268"/>
        <v>#REF!</v>
      </c>
      <c r="C618" s="20" t="str">
        <f t="shared" ref="C618:D618" si="1847">#REF!</f>
        <v>#REF!</v>
      </c>
      <c r="D618" s="20" t="str">
        <f t="shared" si="1847"/>
        <v>#REF!</v>
      </c>
      <c r="E618" s="20" t="str">
        <f t="shared" si="1270"/>
        <v>#REF!</v>
      </c>
      <c r="F618" s="22" t="str">
        <f t="shared" si="2"/>
        <v>#REF!</v>
      </c>
      <c r="G618" s="20" t="str">
        <f t="shared" ref="G618:I618" si="1848">#REF!</f>
        <v>#REF!</v>
      </c>
      <c r="H618" s="20" t="str">
        <f t="shared" si="1848"/>
        <v>#REF!</v>
      </c>
      <c r="I618" s="20" t="str">
        <f t="shared" si="1848"/>
        <v>#REF!</v>
      </c>
      <c r="J618" s="20" t="str">
        <f t="shared" si="1272"/>
        <v>#REF!</v>
      </c>
      <c r="K618" s="20" t="str">
        <f t="shared" ref="K618:L618" si="1849">#REF!</f>
        <v>#REF!</v>
      </c>
      <c r="L618" s="20" t="str">
        <f t="shared" si="1849"/>
        <v>#REF!</v>
      </c>
    </row>
    <row r="619">
      <c r="A619" s="20" t="str">
        <f t="shared" si="1267"/>
        <v>#REF!</v>
      </c>
      <c r="B619" s="20" t="str">
        <f t="shared" si="1268"/>
        <v>#REF!</v>
      </c>
      <c r="C619" s="20" t="str">
        <f t="shared" ref="C619:D619" si="1850">#REF!</f>
        <v>#REF!</v>
      </c>
      <c r="D619" s="20" t="str">
        <f t="shared" si="1850"/>
        <v>#REF!</v>
      </c>
      <c r="E619" s="20" t="str">
        <f t="shared" si="1270"/>
        <v>#REF!</v>
      </c>
      <c r="F619" s="22" t="str">
        <f t="shared" si="2"/>
        <v>#REF!</v>
      </c>
      <c r="G619" s="20" t="str">
        <f t="shared" ref="G619:I619" si="1851">#REF!</f>
        <v>#REF!</v>
      </c>
      <c r="H619" s="20" t="str">
        <f t="shared" si="1851"/>
        <v>#REF!</v>
      </c>
      <c r="I619" s="20" t="str">
        <f t="shared" si="1851"/>
        <v>#REF!</v>
      </c>
      <c r="J619" s="20" t="str">
        <f t="shared" si="1272"/>
        <v>#REF!</v>
      </c>
      <c r="K619" s="20" t="str">
        <f t="shared" ref="K619:L619" si="1852">#REF!</f>
        <v>#REF!</v>
      </c>
      <c r="L619" s="20" t="str">
        <f t="shared" si="1852"/>
        <v>#REF!</v>
      </c>
    </row>
    <row r="620">
      <c r="A620" s="20" t="str">
        <f t="shared" si="1267"/>
        <v>#REF!</v>
      </c>
      <c r="B620" s="20" t="str">
        <f t="shared" si="1268"/>
        <v>#REF!</v>
      </c>
      <c r="C620" s="20" t="str">
        <f t="shared" ref="C620:D620" si="1853">#REF!</f>
        <v>#REF!</v>
      </c>
      <c r="D620" s="20" t="str">
        <f t="shared" si="1853"/>
        <v>#REF!</v>
      </c>
      <c r="E620" s="20" t="str">
        <f t="shared" si="1270"/>
        <v>#REF!</v>
      </c>
      <c r="F620" s="22" t="str">
        <f t="shared" si="2"/>
        <v>#REF!</v>
      </c>
      <c r="G620" s="20" t="str">
        <f t="shared" ref="G620:I620" si="1854">#REF!</f>
        <v>#REF!</v>
      </c>
      <c r="H620" s="20" t="str">
        <f t="shared" si="1854"/>
        <v>#REF!</v>
      </c>
      <c r="I620" s="20" t="str">
        <f t="shared" si="1854"/>
        <v>#REF!</v>
      </c>
      <c r="J620" s="20" t="str">
        <f t="shared" si="1272"/>
        <v>#REF!</v>
      </c>
      <c r="K620" s="20" t="str">
        <f t="shared" ref="K620:L620" si="1855">#REF!</f>
        <v>#REF!</v>
      </c>
      <c r="L620" s="20" t="str">
        <f t="shared" si="1855"/>
        <v>#REF!</v>
      </c>
    </row>
    <row r="621">
      <c r="A621" s="20" t="str">
        <f t="shared" si="1267"/>
        <v>#REF!</v>
      </c>
      <c r="B621" s="20" t="str">
        <f t="shared" si="1268"/>
        <v>#REF!</v>
      </c>
      <c r="C621" s="20" t="str">
        <f t="shared" ref="C621:D621" si="1856">#REF!</f>
        <v>#REF!</v>
      </c>
      <c r="D621" s="20" t="str">
        <f t="shared" si="1856"/>
        <v>#REF!</v>
      </c>
      <c r="E621" s="20" t="str">
        <f t="shared" si="1270"/>
        <v>#REF!</v>
      </c>
      <c r="F621" s="22" t="str">
        <f t="shared" si="2"/>
        <v>#REF!</v>
      </c>
      <c r="G621" s="20" t="str">
        <f t="shared" ref="G621:I621" si="1857">#REF!</f>
        <v>#REF!</v>
      </c>
      <c r="H621" s="20" t="str">
        <f t="shared" si="1857"/>
        <v>#REF!</v>
      </c>
      <c r="I621" s="20" t="str">
        <f t="shared" si="1857"/>
        <v>#REF!</v>
      </c>
      <c r="J621" s="20" t="str">
        <f t="shared" si="1272"/>
        <v>#REF!</v>
      </c>
      <c r="K621" s="20" t="str">
        <f t="shared" ref="K621:L621" si="1858">#REF!</f>
        <v>#REF!</v>
      </c>
      <c r="L621" s="20" t="str">
        <f t="shared" si="1858"/>
        <v>#REF!</v>
      </c>
    </row>
    <row r="622">
      <c r="A622" s="20" t="str">
        <f t="shared" si="1267"/>
        <v>#REF!</v>
      </c>
      <c r="B622" s="20" t="str">
        <f t="shared" si="1268"/>
        <v>#REF!</v>
      </c>
      <c r="C622" s="20" t="str">
        <f t="shared" ref="C622:D622" si="1859">#REF!</f>
        <v>#REF!</v>
      </c>
      <c r="D622" s="20" t="str">
        <f t="shared" si="1859"/>
        <v>#REF!</v>
      </c>
      <c r="E622" s="20" t="str">
        <f t="shared" si="1270"/>
        <v>#REF!</v>
      </c>
      <c r="F622" s="22" t="str">
        <f t="shared" si="2"/>
        <v>#REF!</v>
      </c>
      <c r="G622" s="20" t="str">
        <f t="shared" ref="G622:I622" si="1860">#REF!</f>
        <v>#REF!</v>
      </c>
      <c r="H622" s="20" t="str">
        <f t="shared" si="1860"/>
        <v>#REF!</v>
      </c>
      <c r="I622" s="20" t="str">
        <f t="shared" si="1860"/>
        <v>#REF!</v>
      </c>
      <c r="J622" s="20" t="str">
        <f t="shared" si="1272"/>
        <v>#REF!</v>
      </c>
      <c r="K622" s="20" t="str">
        <f t="shared" ref="K622:L622" si="1861">#REF!</f>
        <v>#REF!</v>
      </c>
      <c r="L622" s="20" t="str">
        <f t="shared" si="1861"/>
        <v>#REF!</v>
      </c>
    </row>
    <row r="623">
      <c r="A623" s="20" t="str">
        <f t="shared" si="1267"/>
        <v>#REF!</v>
      </c>
      <c r="B623" s="20" t="str">
        <f t="shared" si="1268"/>
        <v>#REF!</v>
      </c>
      <c r="C623" s="20" t="str">
        <f t="shared" ref="C623:D623" si="1862">#REF!</f>
        <v>#REF!</v>
      </c>
      <c r="D623" s="20" t="str">
        <f t="shared" si="1862"/>
        <v>#REF!</v>
      </c>
      <c r="E623" s="20" t="str">
        <f t="shared" si="1270"/>
        <v>#REF!</v>
      </c>
      <c r="F623" s="22" t="str">
        <f t="shared" si="2"/>
        <v>#REF!</v>
      </c>
      <c r="G623" s="20" t="str">
        <f t="shared" ref="G623:I623" si="1863">#REF!</f>
        <v>#REF!</v>
      </c>
      <c r="H623" s="20" t="str">
        <f t="shared" si="1863"/>
        <v>#REF!</v>
      </c>
      <c r="I623" s="20" t="str">
        <f t="shared" si="1863"/>
        <v>#REF!</v>
      </c>
      <c r="J623" s="20" t="str">
        <f t="shared" si="1272"/>
        <v>#REF!</v>
      </c>
      <c r="K623" s="20" t="str">
        <f t="shared" ref="K623:L623" si="1864">#REF!</f>
        <v>#REF!</v>
      </c>
      <c r="L623" s="20" t="str">
        <f t="shared" si="1864"/>
        <v>#REF!</v>
      </c>
    </row>
    <row r="624">
      <c r="A624" s="20" t="str">
        <f t="shared" si="1267"/>
        <v>#REF!</v>
      </c>
      <c r="B624" s="20" t="str">
        <f t="shared" si="1268"/>
        <v>#REF!</v>
      </c>
      <c r="C624" s="20" t="str">
        <f t="shared" ref="C624:D624" si="1865">#REF!</f>
        <v>#REF!</v>
      </c>
      <c r="D624" s="20" t="str">
        <f t="shared" si="1865"/>
        <v>#REF!</v>
      </c>
      <c r="E624" s="20" t="str">
        <f t="shared" si="1270"/>
        <v>#REF!</v>
      </c>
      <c r="F624" s="22" t="str">
        <f t="shared" si="2"/>
        <v>#REF!</v>
      </c>
      <c r="G624" s="20" t="str">
        <f t="shared" ref="G624:I624" si="1866">#REF!</f>
        <v>#REF!</v>
      </c>
      <c r="H624" s="20" t="str">
        <f t="shared" si="1866"/>
        <v>#REF!</v>
      </c>
      <c r="I624" s="20" t="str">
        <f t="shared" si="1866"/>
        <v>#REF!</v>
      </c>
      <c r="J624" s="20" t="str">
        <f t="shared" si="1272"/>
        <v>#REF!</v>
      </c>
      <c r="K624" s="20" t="str">
        <f t="shared" ref="K624:L624" si="1867">#REF!</f>
        <v>#REF!</v>
      </c>
      <c r="L624" s="20" t="str">
        <f t="shared" si="1867"/>
        <v>#REF!</v>
      </c>
    </row>
    <row r="625">
      <c r="A625" s="20" t="str">
        <f t="shared" si="1267"/>
        <v>#REF!</v>
      </c>
      <c r="B625" s="20" t="str">
        <f t="shared" si="1268"/>
        <v>#REF!</v>
      </c>
      <c r="C625" s="20" t="str">
        <f t="shared" ref="C625:D625" si="1868">#REF!</f>
        <v>#REF!</v>
      </c>
      <c r="D625" s="20" t="str">
        <f t="shared" si="1868"/>
        <v>#REF!</v>
      </c>
      <c r="E625" s="20" t="str">
        <f t="shared" si="1270"/>
        <v>#REF!</v>
      </c>
      <c r="F625" s="22" t="str">
        <f t="shared" si="2"/>
        <v>#REF!</v>
      </c>
      <c r="G625" s="20" t="str">
        <f t="shared" ref="G625:I625" si="1869">#REF!</f>
        <v>#REF!</v>
      </c>
      <c r="H625" s="20" t="str">
        <f t="shared" si="1869"/>
        <v>#REF!</v>
      </c>
      <c r="I625" s="20" t="str">
        <f t="shared" si="1869"/>
        <v>#REF!</v>
      </c>
      <c r="J625" s="20" t="str">
        <f t="shared" si="1272"/>
        <v>#REF!</v>
      </c>
      <c r="K625" s="20" t="str">
        <f t="shared" ref="K625:L625" si="1870">#REF!</f>
        <v>#REF!</v>
      </c>
      <c r="L625" s="20" t="str">
        <f t="shared" si="1870"/>
        <v>#REF!</v>
      </c>
    </row>
    <row r="626">
      <c r="A626" s="20" t="str">
        <f t="shared" si="1267"/>
        <v>#REF!</v>
      </c>
      <c r="B626" s="20" t="str">
        <f t="shared" si="1268"/>
        <v>#REF!</v>
      </c>
      <c r="C626" s="20" t="str">
        <f t="shared" ref="C626:D626" si="1871">#REF!</f>
        <v>#REF!</v>
      </c>
      <c r="D626" s="20" t="str">
        <f t="shared" si="1871"/>
        <v>#REF!</v>
      </c>
      <c r="E626" s="20" t="str">
        <f t="shared" si="1270"/>
        <v>#REF!</v>
      </c>
      <c r="F626" s="22" t="str">
        <f t="shared" si="2"/>
        <v>#REF!</v>
      </c>
      <c r="G626" s="20" t="str">
        <f t="shared" ref="G626:I626" si="1872">#REF!</f>
        <v>#REF!</v>
      </c>
      <c r="H626" s="20" t="str">
        <f t="shared" si="1872"/>
        <v>#REF!</v>
      </c>
      <c r="I626" s="20" t="str">
        <f t="shared" si="1872"/>
        <v>#REF!</v>
      </c>
      <c r="J626" s="20" t="str">
        <f t="shared" si="1272"/>
        <v>#REF!</v>
      </c>
      <c r="K626" s="20" t="str">
        <f t="shared" ref="K626:L626" si="1873">#REF!</f>
        <v>#REF!</v>
      </c>
      <c r="L626" s="20" t="str">
        <f t="shared" si="1873"/>
        <v>#REF!</v>
      </c>
    </row>
    <row r="627">
      <c r="A627" s="20" t="str">
        <f t="shared" si="1267"/>
        <v>#REF!</v>
      </c>
      <c r="B627" s="20" t="str">
        <f t="shared" si="1268"/>
        <v>#REF!</v>
      </c>
      <c r="C627" s="20" t="str">
        <f t="shared" ref="C627:D627" si="1874">#REF!</f>
        <v>#REF!</v>
      </c>
      <c r="D627" s="20" t="str">
        <f t="shared" si="1874"/>
        <v>#REF!</v>
      </c>
      <c r="E627" s="20" t="str">
        <f t="shared" si="1270"/>
        <v>#REF!</v>
      </c>
      <c r="F627" s="22" t="str">
        <f t="shared" si="2"/>
        <v>#REF!</v>
      </c>
      <c r="G627" s="20" t="str">
        <f t="shared" ref="G627:I627" si="1875">#REF!</f>
        <v>#REF!</v>
      </c>
      <c r="H627" s="20" t="str">
        <f t="shared" si="1875"/>
        <v>#REF!</v>
      </c>
      <c r="I627" s="20" t="str">
        <f t="shared" si="1875"/>
        <v>#REF!</v>
      </c>
      <c r="J627" s="20" t="str">
        <f t="shared" si="1272"/>
        <v>#REF!</v>
      </c>
      <c r="K627" s="20" t="str">
        <f t="shared" ref="K627:L627" si="1876">#REF!</f>
        <v>#REF!</v>
      </c>
      <c r="L627" s="20" t="str">
        <f t="shared" si="1876"/>
        <v>#REF!</v>
      </c>
    </row>
    <row r="628">
      <c r="A628" s="20" t="str">
        <f t="shared" si="1267"/>
        <v>#REF!</v>
      </c>
      <c r="B628" s="20" t="str">
        <f t="shared" si="1268"/>
        <v>#REF!</v>
      </c>
      <c r="C628" s="20" t="str">
        <f t="shared" ref="C628:D628" si="1877">#REF!</f>
        <v>#REF!</v>
      </c>
      <c r="D628" s="20" t="str">
        <f t="shared" si="1877"/>
        <v>#REF!</v>
      </c>
      <c r="E628" s="20" t="str">
        <f t="shared" si="1270"/>
        <v>#REF!</v>
      </c>
      <c r="F628" s="22" t="str">
        <f t="shared" si="2"/>
        <v>#REF!</v>
      </c>
      <c r="G628" s="20" t="str">
        <f t="shared" ref="G628:I628" si="1878">#REF!</f>
        <v>#REF!</v>
      </c>
      <c r="H628" s="20" t="str">
        <f t="shared" si="1878"/>
        <v>#REF!</v>
      </c>
      <c r="I628" s="20" t="str">
        <f t="shared" si="1878"/>
        <v>#REF!</v>
      </c>
      <c r="J628" s="20" t="str">
        <f t="shared" si="1272"/>
        <v>#REF!</v>
      </c>
      <c r="K628" s="20" t="str">
        <f t="shared" ref="K628:L628" si="1879">#REF!</f>
        <v>#REF!</v>
      </c>
      <c r="L628" s="20" t="str">
        <f t="shared" si="1879"/>
        <v>#REF!</v>
      </c>
    </row>
    <row r="629">
      <c r="A629" s="20" t="str">
        <f t="shared" si="1267"/>
        <v>#REF!</v>
      </c>
      <c r="B629" s="20" t="str">
        <f t="shared" si="1268"/>
        <v>#REF!</v>
      </c>
      <c r="C629" s="20" t="str">
        <f t="shared" ref="C629:D629" si="1880">#REF!</f>
        <v>#REF!</v>
      </c>
      <c r="D629" s="20" t="str">
        <f t="shared" si="1880"/>
        <v>#REF!</v>
      </c>
      <c r="E629" s="20" t="str">
        <f t="shared" si="1270"/>
        <v>#REF!</v>
      </c>
      <c r="F629" s="22" t="str">
        <f t="shared" si="2"/>
        <v>#REF!</v>
      </c>
      <c r="G629" s="20" t="str">
        <f t="shared" ref="G629:I629" si="1881">#REF!</f>
        <v>#REF!</v>
      </c>
      <c r="H629" s="20" t="str">
        <f t="shared" si="1881"/>
        <v>#REF!</v>
      </c>
      <c r="I629" s="20" t="str">
        <f t="shared" si="1881"/>
        <v>#REF!</v>
      </c>
      <c r="J629" s="20" t="str">
        <f t="shared" si="1272"/>
        <v>#REF!</v>
      </c>
      <c r="K629" s="20" t="str">
        <f t="shared" ref="K629:L629" si="1882">#REF!</f>
        <v>#REF!</v>
      </c>
      <c r="L629" s="20" t="str">
        <f t="shared" si="1882"/>
        <v>#REF!</v>
      </c>
    </row>
    <row r="630">
      <c r="A630" s="20" t="str">
        <f t="shared" si="1267"/>
        <v>#REF!</v>
      </c>
      <c r="B630" s="20" t="str">
        <f t="shared" si="1268"/>
        <v>#REF!</v>
      </c>
      <c r="C630" s="20" t="str">
        <f t="shared" ref="C630:D630" si="1883">#REF!</f>
        <v>#REF!</v>
      </c>
      <c r="D630" s="20" t="str">
        <f t="shared" si="1883"/>
        <v>#REF!</v>
      </c>
      <c r="E630" s="20" t="str">
        <f t="shared" si="1270"/>
        <v>#REF!</v>
      </c>
      <c r="F630" s="22" t="str">
        <f t="shared" si="2"/>
        <v>#REF!</v>
      </c>
      <c r="G630" s="20" t="str">
        <f t="shared" ref="G630:I630" si="1884">#REF!</f>
        <v>#REF!</v>
      </c>
      <c r="H630" s="20" t="str">
        <f t="shared" si="1884"/>
        <v>#REF!</v>
      </c>
      <c r="I630" s="20" t="str">
        <f t="shared" si="1884"/>
        <v>#REF!</v>
      </c>
      <c r="J630" s="20" t="str">
        <f t="shared" si="1272"/>
        <v>#REF!</v>
      </c>
      <c r="K630" s="20" t="str">
        <f t="shared" ref="K630:L630" si="1885">#REF!</f>
        <v>#REF!</v>
      </c>
      <c r="L630" s="20" t="str">
        <f t="shared" si="1885"/>
        <v>#REF!</v>
      </c>
    </row>
    <row r="631">
      <c r="A631" s="20" t="str">
        <f t="shared" si="1267"/>
        <v>#REF!</v>
      </c>
      <c r="B631" s="20" t="str">
        <f t="shared" si="1268"/>
        <v>#REF!</v>
      </c>
      <c r="C631" s="20" t="str">
        <f t="shared" ref="C631:D631" si="1886">#REF!</f>
        <v>#REF!</v>
      </c>
      <c r="D631" s="20" t="str">
        <f t="shared" si="1886"/>
        <v>#REF!</v>
      </c>
      <c r="E631" s="20" t="str">
        <f t="shared" si="1270"/>
        <v>#REF!</v>
      </c>
      <c r="F631" s="22" t="str">
        <f t="shared" si="2"/>
        <v>#REF!</v>
      </c>
      <c r="G631" s="20" t="str">
        <f t="shared" ref="G631:I631" si="1887">#REF!</f>
        <v>#REF!</v>
      </c>
      <c r="H631" s="20" t="str">
        <f t="shared" si="1887"/>
        <v>#REF!</v>
      </c>
      <c r="I631" s="20" t="str">
        <f t="shared" si="1887"/>
        <v>#REF!</v>
      </c>
      <c r="J631" s="20" t="str">
        <f t="shared" si="1272"/>
        <v>#REF!</v>
      </c>
      <c r="K631" s="20" t="str">
        <f t="shared" ref="K631:L631" si="1888">#REF!</f>
        <v>#REF!</v>
      </c>
      <c r="L631" s="20" t="str">
        <f t="shared" si="1888"/>
        <v>#REF!</v>
      </c>
    </row>
    <row r="632">
      <c r="A632" s="20" t="str">
        <f t="shared" si="1267"/>
        <v>#REF!</v>
      </c>
      <c r="B632" s="20" t="str">
        <f t="shared" si="1268"/>
        <v>#REF!</v>
      </c>
      <c r="C632" s="20" t="str">
        <f t="shared" ref="C632:D632" si="1889">#REF!</f>
        <v>#REF!</v>
      </c>
      <c r="D632" s="20" t="str">
        <f t="shared" si="1889"/>
        <v>#REF!</v>
      </c>
      <c r="E632" s="20" t="str">
        <f t="shared" si="1270"/>
        <v>#REF!</v>
      </c>
      <c r="F632" s="22" t="str">
        <f t="shared" si="2"/>
        <v>#REF!</v>
      </c>
      <c r="G632" s="20" t="str">
        <f t="shared" ref="G632:I632" si="1890">#REF!</f>
        <v>#REF!</v>
      </c>
      <c r="H632" s="20" t="str">
        <f t="shared" si="1890"/>
        <v>#REF!</v>
      </c>
      <c r="I632" s="20" t="str">
        <f t="shared" si="1890"/>
        <v>#REF!</v>
      </c>
      <c r="J632" s="20" t="str">
        <f t="shared" si="1272"/>
        <v>#REF!</v>
      </c>
      <c r="K632" s="20" t="str">
        <f t="shared" ref="K632:L632" si="1891">#REF!</f>
        <v>#REF!</v>
      </c>
      <c r="L632" s="20" t="str">
        <f t="shared" si="1891"/>
        <v>#REF!</v>
      </c>
    </row>
    <row r="633">
      <c r="A633" s="20" t="str">
        <f t="shared" si="1267"/>
        <v>#REF!</v>
      </c>
      <c r="B633" s="20" t="str">
        <f t="shared" si="1268"/>
        <v>#REF!</v>
      </c>
      <c r="C633" s="20" t="str">
        <f t="shared" ref="C633:D633" si="1892">#REF!</f>
        <v>#REF!</v>
      </c>
      <c r="D633" s="20" t="str">
        <f t="shared" si="1892"/>
        <v>#REF!</v>
      </c>
      <c r="E633" s="20" t="str">
        <f t="shared" si="1270"/>
        <v>#REF!</v>
      </c>
      <c r="F633" s="22" t="str">
        <f t="shared" si="2"/>
        <v>#REF!</v>
      </c>
      <c r="G633" s="20" t="str">
        <f t="shared" ref="G633:I633" si="1893">#REF!</f>
        <v>#REF!</v>
      </c>
      <c r="H633" s="20" t="str">
        <f t="shared" si="1893"/>
        <v>#REF!</v>
      </c>
      <c r="I633" s="20" t="str">
        <f t="shared" si="1893"/>
        <v>#REF!</v>
      </c>
      <c r="J633" s="20" t="str">
        <f t="shared" si="1272"/>
        <v>#REF!</v>
      </c>
      <c r="K633" s="20" t="str">
        <f t="shared" ref="K633:L633" si="1894">#REF!</f>
        <v>#REF!</v>
      </c>
      <c r="L633" s="20" t="str">
        <f t="shared" si="1894"/>
        <v>#REF!</v>
      </c>
    </row>
    <row r="634">
      <c r="A634" s="20" t="str">
        <f t="shared" si="1267"/>
        <v>#REF!</v>
      </c>
      <c r="B634" s="20" t="str">
        <f t="shared" si="1268"/>
        <v>#REF!</v>
      </c>
      <c r="C634" s="20" t="str">
        <f t="shared" ref="C634:D634" si="1895">#REF!</f>
        <v>#REF!</v>
      </c>
      <c r="D634" s="20" t="str">
        <f t="shared" si="1895"/>
        <v>#REF!</v>
      </c>
      <c r="E634" s="20" t="str">
        <f t="shared" si="1270"/>
        <v>#REF!</v>
      </c>
      <c r="F634" s="22" t="str">
        <f t="shared" si="2"/>
        <v>#REF!</v>
      </c>
      <c r="G634" s="20" t="str">
        <f t="shared" ref="G634:I634" si="1896">#REF!</f>
        <v>#REF!</v>
      </c>
      <c r="H634" s="20" t="str">
        <f t="shared" si="1896"/>
        <v>#REF!</v>
      </c>
      <c r="I634" s="20" t="str">
        <f t="shared" si="1896"/>
        <v>#REF!</v>
      </c>
      <c r="J634" s="20" t="str">
        <f t="shared" si="1272"/>
        <v>#REF!</v>
      </c>
      <c r="K634" s="20" t="str">
        <f t="shared" ref="K634:L634" si="1897">#REF!</f>
        <v>#REF!</v>
      </c>
      <c r="L634" s="20" t="str">
        <f t="shared" si="1897"/>
        <v>#REF!</v>
      </c>
    </row>
    <row r="635">
      <c r="A635" s="20" t="str">
        <f t="shared" si="1267"/>
        <v>#REF!</v>
      </c>
      <c r="B635" s="20" t="str">
        <f t="shared" si="1268"/>
        <v>#REF!</v>
      </c>
      <c r="C635" s="20" t="str">
        <f t="shared" ref="C635:D635" si="1898">#REF!</f>
        <v>#REF!</v>
      </c>
      <c r="D635" s="20" t="str">
        <f t="shared" si="1898"/>
        <v>#REF!</v>
      </c>
      <c r="E635" s="20" t="str">
        <f t="shared" si="1270"/>
        <v>#REF!</v>
      </c>
      <c r="F635" s="22" t="str">
        <f t="shared" si="2"/>
        <v>#REF!</v>
      </c>
      <c r="G635" s="20" t="str">
        <f t="shared" ref="G635:I635" si="1899">#REF!</f>
        <v>#REF!</v>
      </c>
      <c r="H635" s="20" t="str">
        <f t="shared" si="1899"/>
        <v>#REF!</v>
      </c>
      <c r="I635" s="20" t="str">
        <f t="shared" si="1899"/>
        <v>#REF!</v>
      </c>
      <c r="J635" s="20" t="str">
        <f t="shared" si="1272"/>
        <v>#REF!</v>
      </c>
      <c r="K635" s="20" t="str">
        <f t="shared" ref="K635:L635" si="1900">#REF!</f>
        <v>#REF!</v>
      </c>
      <c r="L635" s="20" t="str">
        <f t="shared" si="1900"/>
        <v>#REF!</v>
      </c>
    </row>
    <row r="636">
      <c r="A636" s="20" t="str">
        <f t="shared" si="1267"/>
        <v>#REF!</v>
      </c>
      <c r="B636" s="20" t="str">
        <f t="shared" si="1268"/>
        <v>#REF!</v>
      </c>
      <c r="C636" s="20" t="str">
        <f t="shared" ref="C636:D636" si="1901">#REF!</f>
        <v>#REF!</v>
      </c>
      <c r="D636" s="20" t="str">
        <f t="shared" si="1901"/>
        <v>#REF!</v>
      </c>
      <c r="E636" s="20" t="str">
        <f t="shared" si="1270"/>
        <v>#REF!</v>
      </c>
      <c r="F636" s="22" t="str">
        <f t="shared" si="2"/>
        <v>#REF!</v>
      </c>
      <c r="G636" s="20" t="str">
        <f t="shared" ref="G636:I636" si="1902">#REF!</f>
        <v>#REF!</v>
      </c>
      <c r="H636" s="20" t="str">
        <f t="shared" si="1902"/>
        <v>#REF!</v>
      </c>
      <c r="I636" s="20" t="str">
        <f t="shared" si="1902"/>
        <v>#REF!</v>
      </c>
      <c r="J636" s="20" t="str">
        <f t="shared" si="1272"/>
        <v>#REF!</v>
      </c>
      <c r="K636" s="20" t="str">
        <f t="shared" ref="K636:L636" si="1903">#REF!</f>
        <v>#REF!</v>
      </c>
      <c r="L636" s="20" t="str">
        <f t="shared" si="1903"/>
        <v>#REF!</v>
      </c>
    </row>
    <row r="637">
      <c r="A637" s="20" t="str">
        <f t="shared" si="1267"/>
        <v>#REF!</v>
      </c>
      <c r="B637" s="20" t="str">
        <f t="shared" si="1268"/>
        <v>#REF!</v>
      </c>
      <c r="C637" s="20" t="str">
        <f t="shared" ref="C637:D637" si="1904">#REF!</f>
        <v>#REF!</v>
      </c>
      <c r="D637" s="20" t="str">
        <f t="shared" si="1904"/>
        <v>#REF!</v>
      </c>
      <c r="E637" s="20" t="str">
        <f t="shared" si="1270"/>
        <v>#REF!</v>
      </c>
      <c r="F637" s="22" t="str">
        <f t="shared" si="2"/>
        <v>#REF!</v>
      </c>
      <c r="G637" s="20" t="str">
        <f t="shared" ref="G637:I637" si="1905">#REF!</f>
        <v>#REF!</v>
      </c>
      <c r="H637" s="20" t="str">
        <f t="shared" si="1905"/>
        <v>#REF!</v>
      </c>
      <c r="I637" s="20" t="str">
        <f t="shared" si="1905"/>
        <v>#REF!</v>
      </c>
      <c r="J637" s="20" t="str">
        <f t="shared" si="1272"/>
        <v>#REF!</v>
      </c>
      <c r="K637" s="20" t="str">
        <f t="shared" ref="K637:L637" si="1906">#REF!</f>
        <v>#REF!</v>
      </c>
      <c r="L637" s="20" t="str">
        <f t="shared" si="1906"/>
        <v>#REF!</v>
      </c>
    </row>
    <row r="638">
      <c r="A638" s="20" t="str">
        <f t="shared" si="1267"/>
        <v>#REF!</v>
      </c>
      <c r="B638" s="20" t="str">
        <f t="shared" si="1268"/>
        <v>#REF!</v>
      </c>
      <c r="C638" s="20" t="str">
        <f t="shared" ref="C638:D638" si="1907">#REF!</f>
        <v>#REF!</v>
      </c>
      <c r="D638" s="20" t="str">
        <f t="shared" si="1907"/>
        <v>#REF!</v>
      </c>
      <c r="E638" s="20" t="str">
        <f t="shared" si="1270"/>
        <v>#REF!</v>
      </c>
      <c r="F638" s="22" t="str">
        <f t="shared" si="2"/>
        <v>#REF!</v>
      </c>
      <c r="G638" s="20" t="str">
        <f t="shared" ref="G638:I638" si="1908">#REF!</f>
        <v>#REF!</v>
      </c>
      <c r="H638" s="20" t="str">
        <f t="shared" si="1908"/>
        <v>#REF!</v>
      </c>
      <c r="I638" s="20" t="str">
        <f t="shared" si="1908"/>
        <v>#REF!</v>
      </c>
      <c r="J638" s="20" t="str">
        <f t="shared" si="1272"/>
        <v>#REF!</v>
      </c>
      <c r="K638" s="20" t="str">
        <f t="shared" ref="K638:L638" si="1909">#REF!</f>
        <v>#REF!</v>
      </c>
      <c r="L638" s="20" t="str">
        <f t="shared" si="1909"/>
        <v>#REF!</v>
      </c>
    </row>
    <row r="639">
      <c r="A639" s="20" t="str">
        <f t="shared" si="1267"/>
        <v>#REF!</v>
      </c>
      <c r="B639" s="20" t="str">
        <f t="shared" si="1268"/>
        <v>#REF!</v>
      </c>
      <c r="C639" s="20" t="str">
        <f t="shared" ref="C639:D639" si="1910">#REF!</f>
        <v>#REF!</v>
      </c>
      <c r="D639" s="20" t="str">
        <f t="shared" si="1910"/>
        <v>#REF!</v>
      </c>
      <c r="E639" s="20" t="str">
        <f t="shared" si="1270"/>
        <v>#REF!</v>
      </c>
      <c r="F639" s="22" t="str">
        <f t="shared" si="2"/>
        <v>#REF!</v>
      </c>
      <c r="G639" s="20" t="str">
        <f t="shared" ref="G639:I639" si="1911">#REF!</f>
        <v>#REF!</v>
      </c>
      <c r="H639" s="20" t="str">
        <f t="shared" si="1911"/>
        <v>#REF!</v>
      </c>
      <c r="I639" s="20" t="str">
        <f t="shared" si="1911"/>
        <v>#REF!</v>
      </c>
      <c r="J639" s="20" t="str">
        <f t="shared" si="1272"/>
        <v>#REF!</v>
      </c>
      <c r="K639" s="20" t="str">
        <f t="shared" ref="K639:L639" si="1912">#REF!</f>
        <v>#REF!</v>
      </c>
      <c r="L639" s="20" t="str">
        <f t="shared" si="1912"/>
        <v>#REF!</v>
      </c>
    </row>
    <row r="640">
      <c r="A640" s="20" t="str">
        <f t="shared" si="1267"/>
        <v>#REF!</v>
      </c>
      <c r="B640" s="20" t="str">
        <f t="shared" si="1268"/>
        <v>#REF!</v>
      </c>
      <c r="C640" s="20" t="str">
        <f t="shared" ref="C640:D640" si="1913">#REF!</f>
        <v>#REF!</v>
      </c>
      <c r="D640" s="20" t="str">
        <f t="shared" si="1913"/>
        <v>#REF!</v>
      </c>
      <c r="E640" s="20" t="str">
        <f t="shared" si="1270"/>
        <v>#REF!</v>
      </c>
      <c r="F640" s="22" t="str">
        <f t="shared" si="2"/>
        <v>#REF!</v>
      </c>
      <c r="G640" s="20" t="str">
        <f t="shared" ref="G640:I640" si="1914">#REF!</f>
        <v>#REF!</v>
      </c>
      <c r="H640" s="20" t="str">
        <f t="shared" si="1914"/>
        <v>#REF!</v>
      </c>
      <c r="I640" s="20" t="str">
        <f t="shared" si="1914"/>
        <v>#REF!</v>
      </c>
      <c r="J640" s="20" t="str">
        <f t="shared" si="1272"/>
        <v>#REF!</v>
      </c>
      <c r="K640" s="20" t="str">
        <f t="shared" ref="K640:L640" si="1915">#REF!</f>
        <v>#REF!</v>
      </c>
      <c r="L640" s="20" t="str">
        <f t="shared" si="1915"/>
        <v>#REF!</v>
      </c>
    </row>
    <row r="641">
      <c r="A641" s="20" t="str">
        <f t="shared" si="1267"/>
        <v>#REF!</v>
      </c>
      <c r="B641" s="20" t="str">
        <f t="shared" si="1268"/>
        <v>#REF!</v>
      </c>
      <c r="C641" s="20" t="str">
        <f t="shared" ref="C641:D641" si="1916">#REF!</f>
        <v>#REF!</v>
      </c>
      <c r="D641" s="20" t="str">
        <f t="shared" si="1916"/>
        <v>#REF!</v>
      </c>
      <c r="E641" s="20" t="str">
        <f t="shared" si="1270"/>
        <v>#REF!</v>
      </c>
      <c r="F641" s="22" t="str">
        <f t="shared" si="2"/>
        <v>#REF!</v>
      </c>
      <c r="G641" s="20" t="str">
        <f t="shared" ref="G641:I641" si="1917">#REF!</f>
        <v>#REF!</v>
      </c>
      <c r="H641" s="20" t="str">
        <f t="shared" si="1917"/>
        <v>#REF!</v>
      </c>
      <c r="I641" s="20" t="str">
        <f t="shared" si="1917"/>
        <v>#REF!</v>
      </c>
      <c r="J641" s="20" t="str">
        <f t="shared" si="1272"/>
        <v>#REF!</v>
      </c>
      <c r="K641" s="20" t="str">
        <f t="shared" ref="K641:L641" si="1918">#REF!</f>
        <v>#REF!</v>
      </c>
      <c r="L641" s="20" t="str">
        <f t="shared" si="1918"/>
        <v>#REF!</v>
      </c>
    </row>
    <row r="642">
      <c r="A642" s="20" t="str">
        <f t="shared" si="1267"/>
        <v>#REF!</v>
      </c>
      <c r="B642" s="20" t="str">
        <f t="shared" si="1268"/>
        <v>#REF!</v>
      </c>
      <c r="C642" s="20" t="str">
        <f t="shared" ref="C642:D642" si="1919">#REF!</f>
        <v>#REF!</v>
      </c>
      <c r="D642" s="20" t="str">
        <f t="shared" si="1919"/>
        <v>#REF!</v>
      </c>
      <c r="E642" s="20" t="str">
        <f t="shared" si="1270"/>
        <v>#REF!</v>
      </c>
      <c r="F642" s="22" t="str">
        <f t="shared" si="2"/>
        <v>#REF!</v>
      </c>
      <c r="G642" s="20" t="str">
        <f t="shared" ref="G642:I642" si="1920">#REF!</f>
        <v>#REF!</v>
      </c>
      <c r="H642" s="20" t="str">
        <f t="shared" si="1920"/>
        <v>#REF!</v>
      </c>
      <c r="I642" s="20" t="str">
        <f t="shared" si="1920"/>
        <v>#REF!</v>
      </c>
      <c r="J642" s="20" t="str">
        <f t="shared" si="1272"/>
        <v>#REF!</v>
      </c>
      <c r="K642" s="20" t="str">
        <f t="shared" ref="K642:L642" si="1921">#REF!</f>
        <v>#REF!</v>
      </c>
      <c r="L642" s="20" t="str">
        <f t="shared" si="1921"/>
        <v>#REF!</v>
      </c>
    </row>
    <row r="643">
      <c r="A643" s="20" t="str">
        <f t="shared" si="1267"/>
        <v>#REF!</v>
      </c>
      <c r="B643" s="20" t="str">
        <f t="shared" si="1268"/>
        <v>#REF!</v>
      </c>
      <c r="C643" s="20" t="str">
        <f t="shared" ref="C643:D643" si="1922">#REF!</f>
        <v>#REF!</v>
      </c>
      <c r="D643" s="20" t="str">
        <f t="shared" si="1922"/>
        <v>#REF!</v>
      </c>
      <c r="E643" s="20" t="str">
        <f t="shared" si="1270"/>
        <v>#REF!</v>
      </c>
      <c r="F643" s="22" t="str">
        <f t="shared" si="2"/>
        <v>#REF!</v>
      </c>
      <c r="G643" s="20" t="str">
        <f t="shared" ref="G643:I643" si="1923">#REF!</f>
        <v>#REF!</v>
      </c>
      <c r="H643" s="20" t="str">
        <f t="shared" si="1923"/>
        <v>#REF!</v>
      </c>
      <c r="I643" s="20" t="str">
        <f t="shared" si="1923"/>
        <v>#REF!</v>
      </c>
      <c r="J643" s="20" t="str">
        <f t="shared" si="1272"/>
        <v>#REF!</v>
      </c>
      <c r="K643" s="20" t="str">
        <f t="shared" ref="K643:L643" si="1924">#REF!</f>
        <v>#REF!</v>
      </c>
      <c r="L643" s="20" t="str">
        <f t="shared" si="1924"/>
        <v>#REF!</v>
      </c>
    </row>
    <row r="644">
      <c r="A644" s="20" t="str">
        <f t="shared" si="1267"/>
        <v>#REF!</v>
      </c>
      <c r="B644" s="20" t="str">
        <f t="shared" si="1268"/>
        <v>#REF!</v>
      </c>
      <c r="C644" s="20" t="str">
        <f t="shared" ref="C644:D644" si="1925">#REF!</f>
        <v>#REF!</v>
      </c>
      <c r="D644" s="20" t="str">
        <f t="shared" si="1925"/>
        <v>#REF!</v>
      </c>
      <c r="E644" s="20" t="str">
        <f t="shared" si="1270"/>
        <v>#REF!</v>
      </c>
      <c r="F644" s="22" t="str">
        <f t="shared" si="2"/>
        <v>#REF!</v>
      </c>
      <c r="G644" s="20" t="str">
        <f t="shared" ref="G644:I644" si="1926">#REF!</f>
        <v>#REF!</v>
      </c>
      <c r="H644" s="20" t="str">
        <f t="shared" si="1926"/>
        <v>#REF!</v>
      </c>
      <c r="I644" s="20" t="str">
        <f t="shared" si="1926"/>
        <v>#REF!</v>
      </c>
      <c r="J644" s="20" t="str">
        <f t="shared" si="1272"/>
        <v>#REF!</v>
      </c>
      <c r="K644" s="20" t="str">
        <f t="shared" ref="K644:L644" si="1927">#REF!</f>
        <v>#REF!</v>
      </c>
      <c r="L644" s="20" t="str">
        <f t="shared" si="1927"/>
        <v>#REF!</v>
      </c>
    </row>
    <row r="645">
      <c r="A645" s="20" t="str">
        <f t="shared" si="1267"/>
        <v>#REF!</v>
      </c>
      <c r="B645" s="20" t="str">
        <f t="shared" si="1268"/>
        <v>#REF!</v>
      </c>
      <c r="C645" s="20" t="str">
        <f t="shared" ref="C645:D645" si="1928">#REF!</f>
        <v>#REF!</v>
      </c>
      <c r="D645" s="20" t="str">
        <f t="shared" si="1928"/>
        <v>#REF!</v>
      </c>
      <c r="E645" s="20" t="str">
        <f t="shared" si="1270"/>
        <v>#REF!</v>
      </c>
      <c r="F645" s="22" t="str">
        <f t="shared" si="2"/>
        <v>#REF!</v>
      </c>
      <c r="G645" s="20" t="str">
        <f t="shared" ref="G645:I645" si="1929">#REF!</f>
        <v>#REF!</v>
      </c>
      <c r="H645" s="20" t="str">
        <f t="shared" si="1929"/>
        <v>#REF!</v>
      </c>
      <c r="I645" s="20" t="str">
        <f t="shared" si="1929"/>
        <v>#REF!</v>
      </c>
      <c r="J645" s="20" t="str">
        <f t="shared" si="1272"/>
        <v>#REF!</v>
      </c>
      <c r="K645" s="20" t="str">
        <f t="shared" ref="K645:L645" si="1930">#REF!</f>
        <v>#REF!</v>
      </c>
      <c r="L645" s="20" t="str">
        <f t="shared" si="1930"/>
        <v>#REF!</v>
      </c>
    </row>
    <row r="646">
      <c r="A646" s="20" t="str">
        <f t="shared" si="1267"/>
        <v>#REF!</v>
      </c>
      <c r="B646" s="20" t="str">
        <f t="shared" si="1268"/>
        <v>#REF!</v>
      </c>
      <c r="C646" s="20" t="str">
        <f t="shared" ref="C646:D646" si="1931">#REF!</f>
        <v>#REF!</v>
      </c>
      <c r="D646" s="20" t="str">
        <f t="shared" si="1931"/>
        <v>#REF!</v>
      </c>
      <c r="E646" s="20" t="str">
        <f t="shared" si="1270"/>
        <v>#REF!</v>
      </c>
      <c r="F646" s="22" t="str">
        <f t="shared" si="2"/>
        <v>#REF!</v>
      </c>
      <c r="G646" s="20" t="str">
        <f t="shared" ref="G646:I646" si="1932">#REF!</f>
        <v>#REF!</v>
      </c>
      <c r="H646" s="20" t="str">
        <f t="shared" si="1932"/>
        <v>#REF!</v>
      </c>
      <c r="I646" s="20" t="str">
        <f t="shared" si="1932"/>
        <v>#REF!</v>
      </c>
      <c r="J646" s="20" t="str">
        <f t="shared" si="1272"/>
        <v>#REF!</v>
      </c>
      <c r="K646" s="20" t="str">
        <f t="shared" ref="K646:L646" si="1933">#REF!</f>
        <v>#REF!</v>
      </c>
      <c r="L646" s="20" t="str">
        <f t="shared" si="1933"/>
        <v>#REF!</v>
      </c>
    </row>
    <row r="647">
      <c r="A647" s="20" t="str">
        <f t="shared" si="1267"/>
        <v>#REF!</v>
      </c>
      <c r="B647" s="20" t="str">
        <f t="shared" si="1268"/>
        <v>#REF!</v>
      </c>
      <c r="C647" s="20" t="str">
        <f t="shared" ref="C647:D647" si="1934">#REF!</f>
        <v>#REF!</v>
      </c>
      <c r="D647" s="20" t="str">
        <f t="shared" si="1934"/>
        <v>#REF!</v>
      </c>
      <c r="E647" s="20" t="str">
        <f t="shared" si="1270"/>
        <v>#REF!</v>
      </c>
      <c r="F647" s="22" t="str">
        <f t="shared" si="2"/>
        <v>#REF!</v>
      </c>
      <c r="G647" s="20" t="str">
        <f t="shared" ref="G647:I647" si="1935">#REF!</f>
        <v>#REF!</v>
      </c>
      <c r="H647" s="20" t="str">
        <f t="shared" si="1935"/>
        <v>#REF!</v>
      </c>
      <c r="I647" s="20" t="str">
        <f t="shared" si="1935"/>
        <v>#REF!</v>
      </c>
      <c r="J647" s="20" t="str">
        <f t="shared" si="1272"/>
        <v>#REF!</v>
      </c>
      <c r="K647" s="20" t="str">
        <f t="shared" ref="K647:L647" si="1936">#REF!</f>
        <v>#REF!</v>
      </c>
      <c r="L647" s="20" t="str">
        <f t="shared" si="1936"/>
        <v>#REF!</v>
      </c>
    </row>
    <row r="648">
      <c r="A648" s="20" t="str">
        <f t="shared" si="1267"/>
        <v>#REF!</v>
      </c>
      <c r="B648" s="20" t="str">
        <f t="shared" si="1268"/>
        <v>#REF!</v>
      </c>
      <c r="C648" s="20" t="str">
        <f t="shared" ref="C648:D648" si="1937">#REF!</f>
        <v>#REF!</v>
      </c>
      <c r="D648" s="20" t="str">
        <f t="shared" si="1937"/>
        <v>#REF!</v>
      </c>
      <c r="E648" s="20" t="str">
        <f t="shared" si="1270"/>
        <v>#REF!</v>
      </c>
      <c r="F648" s="22" t="str">
        <f t="shared" si="2"/>
        <v>#REF!</v>
      </c>
      <c r="G648" s="20" t="str">
        <f t="shared" ref="G648:I648" si="1938">#REF!</f>
        <v>#REF!</v>
      </c>
      <c r="H648" s="20" t="str">
        <f t="shared" si="1938"/>
        <v>#REF!</v>
      </c>
      <c r="I648" s="20" t="str">
        <f t="shared" si="1938"/>
        <v>#REF!</v>
      </c>
      <c r="J648" s="20" t="str">
        <f t="shared" si="1272"/>
        <v>#REF!</v>
      </c>
      <c r="K648" s="20" t="str">
        <f t="shared" ref="K648:L648" si="1939">#REF!</f>
        <v>#REF!</v>
      </c>
      <c r="L648" s="20" t="str">
        <f t="shared" si="1939"/>
        <v>#REF!</v>
      </c>
    </row>
    <row r="649">
      <c r="A649" s="20" t="str">
        <f t="shared" si="1267"/>
        <v>#REF!</v>
      </c>
      <c r="B649" s="20" t="str">
        <f t="shared" si="1268"/>
        <v>#REF!</v>
      </c>
      <c r="C649" s="20" t="str">
        <f t="shared" ref="C649:D649" si="1940">#REF!</f>
        <v>#REF!</v>
      </c>
      <c r="D649" s="20" t="str">
        <f t="shared" si="1940"/>
        <v>#REF!</v>
      </c>
      <c r="E649" s="20" t="str">
        <f t="shared" si="1270"/>
        <v>#REF!</v>
      </c>
      <c r="F649" s="22" t="str">
        <f t="shared" si="2"/>
        <v>#REF!</v>
      </c>
      <c r="G649" s="20" t="str">
        <f t="shared" ref="G649:I649" si="1941">#REF!</f>
        <v>#REF!</v>
      </c>
      <c r="H649" s="20" t="str">
        <f t="shared" si="1941"/>
        <v>#REF!</v>
      </c>
      <c r="I649" s="20" t="str">
        <f t="shared" si="1941"/>
        <v>#REF!</v>
      </c>
      <c r="J649" s="20" t="str">
        <f t="shared" si="1272"/>
        <v>#REF!</v>
      </c>
      <c r="K649" s="20" t="str">
        <f t="shared" ref="K649:L649" si="1942">#REF!</f>
        <v>#REF!</v>
      </c>
      <c r="L649" s="20" t="str">
        <f t="shared" si="1942"/>
        <v>#REF!</v>
      </c>
    </row>
    <row r="650">
      <c r="A650" s="20" t="str">
        <f t="shared" si="1267"/>
        <v>#REF!</v>
      </c>
      <c r="B650" s="20" t="str">
        <f t="shared" si="1268"/>
        <v>#REF!</v>
      </c>
      <c r="C650" s="20" t="str">
        <f t="shared" ref="C650:D650" si="1943">#REF!</f>
        <v>#REF!</v>
      </c>
      <c r="D650" s="20" t="str">
        <f t="shared" si="1943"/>
        <v>#REF!</v>
      </c>
      <c r="E650" s="20" t="str">
        <f t="shared" si="1270"/>
        <v>#REF!</v>
      </c>
      <c r="F650" s="22" t="str">
        <f t="shared" si="2"/>
        <v>#REF!</v>
      </c>
      <c r="G650" s="20" t="str">
        <f t="shared" ref="G650:I650" si="1944">#REF!</f>
        <v>#REF!</v>
      </c>
      <c r="H650" s="20" t="str">
        <f t="shared" si="1944"/>
        <v>#REF!</v>
      </c>
      <c r="I650" s="20" t="str">
        <f t="shared" si="1944"/>
        <v>#REF!</v>
      </c>
      <c r="J650" s="20" t="str">
        <f t="shared" si="1272"/>
        <v>#REF!</v>
      </c>
      <c r="K650" s="20" t="str">
        <f t="shared" ref="K650:L650" si="1945">#REF!</f>
        <v>#REF!</v>
      </c>
      <c r="L650" s="20" t="str">
        <f t="shared" si="1945"/>
        <v>#REF!</v>
      </c>
    </row>
    <row r="651">
      <c r="A651" s="20" t="str">
        <f t="shared" si="1267"/>
        <v>#REF!</v>
      </c>
      <c r="B651" s="20" t="str">
        <f t="shared" si="1268"/>
        <v>#REF!</v>
      </c>
      <c r="C651" s="20" t="str">
        <f t="shared" ref="C651:D651" si="1946">#REF!</f>
        <v>#REF!</v>
      </c>
      <c r="D651" s="20" t="str">
        <f t="shared" si="1946"/>
        <v>#REF!</v>
      </c>
      <c r="E651" s="20" t="str">
        <f t="shared" si="1270"/>
        <v>#REF!</v>
      </c>
      <c r="F651" s="22" t="str">
        <f t="shared" si="2"/>
        <v>#REF!</v>
      </c>
      <c r="G651" s="20" t="str">
        <f t="shared" ref="G651:I651" si="1947">#REF!</f>
        <v>#REF!</v>
      </c>
      <c r="H651" s="20" t="str">
        <f t="shared" si="1947"/>
        <v>#REF!</v>
      </c>
      <c r="I651" s="20" t="str">
        <f t="shared" si="1947"/>
        <v>#REF!</v>
      </c>
      <c r="J651" s="20" t="str">
        <f t="shared" si="1272"/>
        <v>#REF!</v>
      </c>
      <c r="K651" s="20" t="str">
        <f t="shared" ref="K651:L651" si="1948">#REF!</f>
        <v>#REF!</v>
      </c>
      <c r="L651" s="20" t="str">
        <f t="shared" si="1948"/>
        <v>#REF!</v>
      </c>
    </row>
    <row r="652">
      <c r="A652" s="20" t="str">
        <f t="shared" si="1267"/>
        <v>#REF!</v>
      </c>
      <c r="B652" s="20" t="str">
        <f t="shared" si="1268"/>
        <v>#REF!</v>
      </c>
      <c r="C652" s="20" t="str">
        <f t="shared" ref="C652:D652" si="1949">#REF!</f>
        <v>#REF!</v>
      </c>
      <c r="D652" s="20" t="str">
        <f t="shared" si="1949"/>
        <v>#REF!</v>
      </c>
      <c r="E652" s="20" t="str">
        <f t="shared" si="1270"/>
        <v>#REF!</v>
      </c>
      <c r="F652" s="22" t="str">
        <f t="shared" si="2"/>
        <v>#REF!</v>
      </c>
      <c r="G652" s="20" t="str">
        <f t="shared" ref="G652:I652" si="1950">#REF!</f>
        <v>#REF!</v>
      </c>
      <c r="H652" s="20" t="str">
        <f t="shared" si="1950"/>
        <v>#REF!</v>
      </c>
      <c r="I652" s="20" t="str">
        <f t="shared" si="1950"/>
        <v>#REF!</v>
      </c>
      <c r="J652" s="20" t="str">
        <f t="shared" si="1272"/>
        <v>#REF!</v>
      </c>
      <c r="K652" s="20" t="str">
        <f t="shared" ref="K652:L652" si="1951">#REF!</f>
        <v>#REF!</v>
      </c>
      <c r="L652" s="20" t="str">
        <f t="shared" si="1951"/>
        <v>#REF!</v>
      </c>
    </row>
    <row r="653">
      <c r="A653" s="20" t="str">
        <f t="shared" si="1267"/>
        <v>#REF!</v>
      </c>
      <c r="B653" s="20" t="str">
        <f t="shared" si="1268"/>
        <v>#REF!</v>
      </c>
      <c r="C653" s="20" t="str">
        <f t="shared" ref="C653:D653" si="1952">#REF!</f>
        <v>#REF!</v>
      </c>
      <c r="D653" s="20" t="str">
        <f t="shared" si="1952"/>
        <v>#REF!</v>
      </c>
      <c r="E653" s="20" t="str">
        <f t="shared" si="1270"/>
        <v>#REF!</v>
      </c>
      <c r="F653" s="22" t="str">
        <f t="shared" si="2"/>
        <v>#REF!</v>
      </c>
      <c r="G653" s="20" t="str">
        <f t="shared" ref="G653:I653" si="1953">#REF!</f>
        <v>#REF!</v>
      </c>
      <c r="H653" s="20" t="str">
        <f t="shared" si="1953"/>
        <v>#REF!</v>
      </c>
      <c r="I653" s="20" t="str">
        <f t="shared" si="1953"/>
        <v>#REF!</v>
      </c>
      <c r="J653" s="20" t="str">
        <f t="shared" si="1272"/>
        <v>#REF!</v>
      </c>
      <c r="K653" s="20" t="str">
        <f t="shared" ref="K653:L653" si="1954">#REF!</f>
        <v>#REF!</v>
      </c>
      <c r="L653" s="20" t="str">
        <f t="shared" si="1954"/>
        <v>#REF!</v>
      </c>
    </row>
    <row r="654">
      <c r="A654" s="20" t="str">
        <f t="shared" si="1267"/>
        <v>#REF!</v>
      </c>
      <c r="B654" s="20" t="str">
        <f t="shared" si="1268"/>
        <v>#REF!</v>
      </c>
      <c r="C654" s="20" t="str">
        <f t="shared" ref="C654:D654" si="1955">#REF!</f>
        <v>#REF!</v>
      </c>
      <c r="D654" s="20" t="str">
        <f t="shared" si="1955"/>
        <v>#REF!</v>
      </c>
      <c r="E654" s="20" t="str">
        <f t="shared" si="1270"/>
        <v>#REF!</v>
      </c>
      <c r="F654" s="22" t="str">
        <f t="shared" si="2"/>
        <v>#REF!</v>
      </c>
      <c r="G654" s="20" t="str">
        <f t="shared" ref="G654:I654" si="1956">#REF!</f>
        <v>#REF!</v>
      </c>
      <c r="H654" s="20" t="str">
        <f t="shared" si="1956"/>
        <v>#REF!</v>
      </c>
      <c r="I654" s="20" t="str">
        <f t="shared" si="1956"/>
        <v>#REF!</v>
      </c>
      <c r="J654" s="20" t="str">
        <f t="shared" si="1272"/>
        <v>#REF!</v>
      </c>
      <c r="K654" s="20" t="str">
        <f t="shared" ref="K654:L654" si="1957">#REF!</f>
        <v>#REF!</v>
      </c>
      <c r="L654" s="20" t="str">
        <f t="shared" si="1957"/>
        <v>#REF!</v>
      </c>
    </row>
    <row r="655">
      <c r="A655" s="20" t="str">
        <f t="shared" si="1267"/>
        <v>#REF!</v>
      </c>
      <c r="B655" s="20" t="str">
        <f t="shared" si="1268"/>
        <v>#REF!</v>
      </c>
      <c r="C655" s="20" t="str">
        <f t="shared" ref="C655:D655" si="1958">#REF!</f>
        <v>#REF!</v>
      </c>
      <c r="D655" s="20" t="str">
        <f t="shared" si="1958"/>
        <v>#REF!</v>
      </c>
      <c r="E655" s="20" t="str">
        <f t="shared" si="1270"/>
        <v>#REF!</v>
      </c>
      <c r="F655" s="22" t="str">
        <f t="shared" si="2"/>
        <v>#REF!</v>
      </c>
      <c r="G655" s="20" t="str">
        <f t="shared" ref="G655:I655" si="1959">#REF!</f>
        <v>#REF!</v>
      </c>
      <c r="H655" s="20" t="str">
        <f t="shared" si="1959"/>
        <v>#REF!</v>
      </c>
      <c r="I655" s="20" t="str">
        <f t="shared" si="1959"/>
        <v>#REF!</v>
      </c>
      <c r="J655" s="20" t="str">
        <f t="shared" si="1272"/>
        <v>#REF!</v>
      </c>
      <c r="K655" s="20" t="str">
        <f t="shared" ref="K655:L655" si="1960">#REF!</f>
        <v>#REF!</v>
      </c>
      <c r="L655" s="20" t="str">
        <f t="shared" si="1960"/>
        <v>#REF!</v>
      </c>
    </row>
    <row r="656">
      <c r="A656" s="20" t="str">
        <f t="shared" si="1267"/>
        <v>#REF!</v>
      </c>
      <c r="B656" s="20" t="str">
        <f t="shared" si="1268"/>
        <v>#REF!</v>
      </c>
      <c r="C656" s="20" t="str">
        <f t="shared" ref="C656:D656" si="1961">#REF!</f>
        <v>#REF!</v>
      </c>
      <c r="D656" s="20" t="str">
        <f t="shared" si="1961"/>
        <v>#REF!</v>
      </c>
      <c r="E656" s="20" t="str">
        <f t="shared" si="1270"/>
        <v>#REF!</v>
      </c>
      <c r="F656" s="22" t="str">
        <f t="shared" si="2"/>
        <v>#REF!</v>
      </c>
      <c r="G656" s="20" t="str">
        <f t="shared" ref="G656:I656" si="1962">#REF!</f>
        <v>#REF!</v>
      </c>
      <c r="H656" s="20" t="str">
        <f t="shared" si="1962"/>
        <v>#REF!</v>
      </c>
      <c r="I656" s="20" t="str">
        <f t="shared" si="1962"/>
        <v>#REF!</v>
      </c>
      <c r="J656" s="20" t="str">
        <f t="shared" si="1272"/>
        <v>#REF!</v>
      </c>
      <c r="K656" s="20" t="str">
        <f t="shared" ref="K656:L656" si="1963">#REF!</f>
        <v>#REF!</v>
      </c>
      <c r="L656" s="20" t="str">
        <f t="shared" si="1963"/>
        <v>#REF!</v>
      </c>
    </row>
    <row r="657">
      <c r="A657" s="20" t="str">
        <f t="shared" si="1267"/>
        <v>#REF!</v>
      </c>
      <c r="B657" s="20" t="str">
        <f t="shared" si="1268"/>
        <v>#REF!</v>
      </c>
      <c r="C657" s="20" t="str">
        <f t="shared" ref="C657:D657" si="1964">#REF!</f>
        <v>#REF!</v>
      </c>
      <c r="D657" s="20" t="str">
        <f t="shared" si="1964"/>
        <v>#REF!</v>
      </c>
      <c r="E657" s="20" t="str">
        <f t="shared" si="1270"/>
        <v>#REF!</v>
      </c>
      <c r="F657" s="22" t="str">
        <f t="shared" si="2"/>
        <v>#REF!</v>
      </c>
      <c r="G657" s="20" t="str">
        <f t="shared" ref="G657:I657" si="1965">#REF!</f>
        <v>#REF!</v>
      </c>
      <c r="H657" s="20" t="str">
        <f t="shared" si="1965"/>
        <v>#REF!</v>
      </c>
      <c r="I657" s="20" t="str">
        <f t="shared" si="1965"/>
        <v>#REF!</v>
      </c>
      <c r="J657" s="20" t="str">
        <f t="shared" si="1272"/>
        <v>#REF!</v>
      </c>
      <c r="K657" s="20" t="str">
        <f t="shared" ref="K657:L657" si="1966">#REF!</f>
        <v>#REF!</v>
      </c>
      <c r="L657" s="20" t="str">
        <f t="shared" si="1966"/>
        <v>#REF!</v>
      </c>
    </row>
    <row r="658">
      <c r="A658" s="20" t="str">
        <f t="shared" si="1267"/>
        <v>#REF!</v>
      </c>
      <c r="B658" s="20" t="str">
        <f t="shared" si="1268"/>
        <v>#REF!</v>
      </c>
      <c r="C658" s="20" t="str">
        <f t="shared" ref="C658:D658" si="1967">#REF!</f>
        <v>#REF!</v>
      </c>
      <c r="D658" s="20" t="str">
        <f t="shared" si="1967"/>
        <v>#REF!</v>
      </c>
      <c r="E658" s="20" t="str">
        <f t="shared" si="1270"/>
        <v>#REF!</v>
      </c>
      <c r="F658" s="22" t="str">
        <f t="shared" si="2"/>
        <v>#REF!</v>
      </c>
      <c r="G658" s="20" t="str">
        <f t="shared" ref="G658:I658" si="1968">#REF!</f>
        <v>#REF!</v>
      </c>
      <c r="H658" s="20" t="str">
        <f t="shared" si="1968"/>
        <v>#REF!</v>
      </c>
      <c r="I658" s="20" t="str">
        <f t="shared" si="1968"/>
        <v>#REF!</v>
      </c>
      <c r="J658" s="20" t="str">
        <f t="shared" si="1272"/>
        <v>#REF!</v>
      </c>
      <c r="K658" s="20" t="str">
        <f t="shared" ref="K658:L658" si="1969">#REF!</f>
        <v>#REF!</v>
      </c>
      <c r="L658" s="20" t="str">
        <f t="shared" si="1969"/>
        <v>#REF!</v>
      </c>
    </row>
    <row r="659">
      <c r="A659" s="20" t="str">
        <f t="shared" si="1267"/>
        <v>#REF!</v>
      </c>
      <c r="B659" s="20" t="str">
        <f t="shared" si="1268"/>
        <v>#REF!</v>
      </c>
      <c r="C659" s="20" t="str">
        <f t="shared" ref="C659:D659" si="1970">#REF!</f>
        <v>#REF!</v>
      </c>
      <c r="D659" s="20" t="str">
        <f t="shared" si="1970"/>
        <v>#REF!</v>
      </c>
      <c r="E659" s="20" t="str">
        <f t="shared" si="1270"/>
        <v>#REF!</v>
      </c>
      <c r="F659" s="22" t="str">
        <f t="shared" si="2"/>
        <v>#REF!</v>
      </c>
      <c r="G659" s="20" t="str">
        <f t="shared" ref="G659:I659" si="1971">#REF!</f>
        <v>#REF!</v>
      </c>
      <c r="H659" s="20" t="str">
        <f t="shared" si="1971"/>
        <v>#REF!</v>
      </c>
      <c r="I659" s="20" t="str">
        <f t="shared" si="1971"/>
        <v>#REF!</v>
      </c>
      <c r="J659" s="20" t="str">
        <f t="shared" si="1272"/>
        <v>#REF!</v>
      </c>
      <c r="K659" s="20" t="str">
        <f t="shared" ref="K659:L659" si="1972">#REF!</f>
        <v>#REF!</v>
      </c>
      <c r="L659" s="20" t="str">
        <f t="shared" si="1972"/>
        <v>#REF!</v>
      </c>
    </row>
    <row r="660">
      <c r="A660" s="20" t="str">
        <f t="shared" si="1267"/>
        <v>#REF!</v>
      </c>
      <c r="B660" s="20" t="str">
        <f t="shared" si="1268"/>
        <v>#REF!</v>
      </c>
      <c r="C660" s="20" t="str">
        <f t="shared" ref="C660:D660" si="1973">#REF!</f>
        <v>#REF!</v>
      </c>
      <c r="D660" s="20" t="str">
        <f t="shared" si="1973"/>
        <v>#REF!</v>
      </c>
      <c r="E660" s="20" t="str">
        <f t="shared" si="1270"/>
        <v>#REF!</v>
      </c>
      <c r="F660" s="22" t="str">
        <f t="shared" si="2"/>
        <v>#REF!</v>
      </c>
      <c r="G660" s="20" t="str">
        <f t="shared" ref="G660:I660" si="1974">#REF!</f>
        <v>#REF!</v>
      </c>
      <c r="H660" s="20" t="str">
        <f t="shared" si="1974"/>
        <v>#REF!</v>
      </c>
      <c r="I660" s="20" t="str">
        <f t="shared" si="1974"/>
        <v>#REF!</v>
      </c>
      <c r="J660" s="20" t="str">
        <f t="shared" si="1272"/>
        <v>#REF!</v>
      </c>
      <c r="K660" s="20" t="str">
        <f t="shared" ref="K660:L660" si="1975">#REF!</f>
        <v>#REF!</v>
      </c>
      <c r="L660" s="20" t="str">
        <f t="shared" si="1975"/>
        <v>#REF!</v>
      </c>
    </row>
    <row r="661">
      <c r="A661" s="20" t="str">
        <f t="shared" si="1267"/>
        <v>#REF!</v>
      </c>
      <c r="B661" s="20" t="str">
        <f t="shared" si="1268"/>
        <v>#REF!</v>
      </c>
      <c r="C661" s="20" t="str">
        <f t="shared" ref="C661:D661" si="1976">#REF!</f>
        <v>#REF!</v>
      </c>
      <c r="D661" s="20" t="str">
        <f t="shared" si="1976"/>
        <v>#REF!</v>
      </c>
      <c r="E661" s="20" t="str">
        <f t="shared" si="1270"/>
        <v>#REF!</v>
      </c>
      <c r="F661" s="22" t="str">
        <f t="shared" si="2"/>
        <v>#REF!</v>
      </c>
      <c r="G661" s="20" t="str">
        <f t="shared" ref="G661:I661" si="1977">#REF!</f>
        <v>#REF!</v>
      </c>
      <c r="H661" s="20" t="str">
        <f t="shared" si="1977"/>
        <v>#REF!</v>
      </c>
      <c r="I661" s="20" t="str">
        <f t="shared" si="1977"/>
        <v>#REF!</v>
      </c>
      <c r="J661" s="20" t="str">
        <f t="shared" si="1272"/>
        <v>#REF!</v>
      </c>
      <c r="K661" s="20" t="str">
        <f t="shared" ref="K661:L661" si="1978">#REF!</f>
        <v>#REF!</v>
      </c>
      <c r="L661" s="20" t="str">
        <f t="shared" si="1978"/>
        <v>#REF!</v>
      </c>
    </row>
    <row r="662">
      <c r="A662" s="20" t="str">
        <f t="shared" si="1267"/>
        <v>#REF!</v>
      </c>
      <c r="B662" s="20" t="str">
        <f t="shared" si="1268"/>
        <v>#REF!</v>
      </c>
      <c r="C662" s="20" t="str">
        <f t="shared" ref="C662:D662" si="1979">#REF!</f>
        <v>#REF!</v>
      </c>
      <c r="D662" s="20" t="str">
        <f t="shared" si="1979"/>
        <v>#REF!</v>
      </c>
      <c r="E662" s="20" t="str">
        <f t="shared" si="1270"/>
        <v>#REF!</v>
      </c>
      <c r="F662" s="22" t="str">
        <f t="shared" si="2"/>
        <v>#REF!</v>
      </c>
      <c r="G662" s="20" t="str">
        <f t="shared" ref="G662:I662" si="1980">#REF!</f>
        <v>#REF!</v>
      </c>
      <c r="H662" s="20" t="str">
        <f t="shared" si="1980"/>
        <v>#REF!</v>
      </c>
      <c r="I662" s="20" t="str">
        <f t="shared" si="1980"/>
        <v>#REF!</v>
      </c>
      <c r="J662" s="20" t="str">
        <f t="shared" si="1272"/>
        <v>#REF!</v>
      </c>
      <c r="K662" s="20" t="str">
        <f t="shared" ref="K662:L662" si="1981">#REF!</f>
        <v>#REF!</v>
      </c>
      <c r="L662" s="20" t="str">
        <f t="shared" si="1981"/>
        <v>#REF!</v>
      </c>
    </row>
    <row r="663">
      <c r="A663" s="20" t="str">
        <f t="shared" si="1267"/>
        <v>#REF!</v>
      </c>
      <c r="B663" s="20" t="str">
        <f t="shared" si="1268"/>
        <v>#REF!</v>
      </c>
      <c r="C663" s="20" t="str">
        <f t="shared" ref="C663:D663" si="1982">#REF!</f>
        <v>#REF!</v>
      </c>
      <c r="D663" s="20" t="str">
        <f t="shared" si="1982"/>
        <v>#REF!</v>
      </c>
      <c r="E663" s="20" t="str">
        <f t="shared" si="1270"/>
        <v>#REF!</v>
      </c>
      <c r="F663" s="22" t="str">
        <f t="shared" si="2"/>
        <v>#REF!</v>
      </c>
      <c r="G663" s="20" t="str">
        <f t="shared" ref="G663:I663" si="1983">#REF!</f>
        <v>#REF!</v>
      </c>
      <c r="H663" s="20" t="str">
        <f t="shared" si="1983"/>
        <v>#REF!</v>
      </c>
      <c r="I663" s="20" t="str">
        <f t="shared" si="1983"/>
        <v>#REF!</v>
      </c>
      <c r="J663" s="20" t="str">
        <f t="shared" si="1272"/>
        <v>#REF!</v>
      </c>
      <c r="K663" s="20" t="str">
        <f t="shared" ref="K663:L663" si="1984">#REF!</f>
        <v>#REF!</v>
      </c>
      <c r="L663" s="20" t="str">
        <f t="shared" si="1984"/>
        <v>#REF!</v>
      </c>
    </row>
    <row r="664">
      <c r="A664" s="20" t="str">
        <f t="shared" si="1267"/>
        <v>#REF!</v>
      </c>
      <c r="B664" s="20" t="str">
        <f t="shared" si="1268"/>
        <v>#REF!</v>
      </c>
      <c r="C664" s="20" t="str">
        <f t="shared" ref="C664:D664" si="1985">#REF!</f>
        <v>#REF!</v>
      </c>
      <c r="D664" s="20" t="str">
        <f t="shared" si="1985"/>
        <v>#REF!</v>
      </c>
      <c r="E664" s="20" t="str">
        <f t="shared" si="1270"/>
        <v>#REF!</v>
      </c>
      <c r="F664" s="22" t="str">
        <f t="shared" si="2"/>
        <v>#REF!</v>
      </c>
      <c r="G664" s="20" t="str">
        <f t="shared" ref="G664:I664" si="1986">#REF!</f>
        <v>#REF!</v>
      </c>
      <c r="H664" s="20" t="str">
        <f t="shared" si="1986"/>
        <v>#REF!</v>
      </c>
      <c r="I664" s="20" t="str">
        <f t="shared" si="1986"/>
        <v>#REF!</v>
      </c>
      <c r="J664" s="20" t="str">
        <f t="shared" si="1272"/>
        <v>#REF!</v>
      </c>
      <c r="K664" s="20" t="str">
        <f t="shared" ref="K664:L664" si="1987">#REF!</f>
        <v>#REF!</v>
      </c>
      <c r="L664" s="20" t="str">
        <f t="shared" si="1987"/>
        <v>#REF!</v>
      </c>
    </row>
    <row r="665">
      <c r="A665" s="20" t="str">
        <f t="shared" si="1267"/>
        <v>#REF!</v>
      </c>
      <c r="B665" s="20" t="str">
        <f t="shared" si="1268"/>
        <v>#REF!</v>
      </c>
      <c r="C665" s="20" t="str">
        <f t="shared" ref="C665:D665" si="1988">#REF!</f>
        <v>#REF!</v>
      </c>
      <c r="D665" s="20" t="str">
        <f t="shared" si="1988"/>
        <v>#REF!</v>
      </c>
      <c r="E665" s="20" t="str">
        <f t="shared" si="1270"/>
        <v>#REF!</v>
      </c>
      <c r="F665" s="22" t="str">
        <f t="shared" si="2"/>
        <v>#REF!</v>
      </c>
      <c r="G665" s="20" t="str">
        <f t="shared" ref="G665:I665" si="1989">#REF!</f>
        <v>#REF!</v>
      </c>
      <c r="H665" s="20" t="str">
        <f t="shared" si="1989"/>
        <v>#REF!</v>
      </c>
      <c r="I665" s="20" t="str">
        <f t="shared" si="1989"/>
        <v>#REF!</v>
      </c>
      <c r="J665" s="20" t="str">
        <f t="shared" si="1272"/>
        <v>#REF!</v>
      </c>
      <c r="K665" s="20" t="str">
        <f t="shared" ref="K665:L665" si="1990">#REF!</f>
        <v>#REF!</v>
      </c>
      <c r="L665" s="20" t="str">
        <f t="shared" si="1990"/>
        <v>#REF!</v>
      </c>
    </row>
    <row r="666">
      <c r="A666" s="20" t="str">
        <f t="shared" si="1267"/>
        <v>#REF!</v>
      </c>
      <c r="B666" s="20" t="str">
        <f t="shared" si="1268"/>
        <v>#REF!</v>
      </c>
      <c r="C666" s="20" t="str">
        <f t="shared" ref="C666:D666" si="1991">#REF!</f>
        <v>#REF!</v>
      </c>
      <c r="D666" s="20" t="str">
        <f t="shared" si="1991"/>
        <v>#REF!</v>
      </c>
      <c r="E666" s="20" t="str">
        <f t="shared" si="1270"/>
        <v>#REF!</v>
      </c>
      <c r="F666" s="22" t="str">
        <f t="shared" si="2"/>
        <v>#REF!</v>
      </c>
      <c r="G666" s="20" t="str">
        <f t="shared" ref="G666:I666" si="1992">#REF!</f>
        <v>#REF!</v>
      </c>
      <c r="H666" s="20" t="str">
        <f t="shared" si="1992"/>
        <v>#REF!</v>
      </c>
      <c r="I666" s="20" t="str">
        <f t="shared" si="1992"/>
        <v>#REF!</v>
      </c>
      <c r="J666" s="20" t="str">
        <f t="shared" si="1272"/>
        <v>#REF!</v>
      </c>
      <c r="K666" s="20" t="str">
        <f t="shared" ref="K666:L666" si="1993">#REF!</f>
        <v>#REF!</v>
      </c>
      <c r="L666" s="20" t="str">
        <f t="shared" si="1993"/>
        <v>#REF!</v>
      </c>
    </row>
    <row r="667">
      <c r="A667" s="20" t="str">
        <f t="shared" si="1267"/>
        <v>#REF!</v>
      </c>
      <c r="B667" s="20" t="str">
        <f t="shared" si="1268"/>
        <v>#REF!</v>
      </c>
      <c r="C667" s="20" t="str">
        <f t="shared" ref="C667:D667" si="1994">#REF!</f>
        <v>#REF!</v>
      </c>
      <c r="D667" s="20" t="str">
        <f t="shared" si="1994"/>
        <v>#REF!</v>
      </c>
      <c r="E667" s="20" t="str">
        <f t="shared" si="1270"/>
        <v>#REF!</v>
      </c>
      <c r="F667" s="22" t="str">
        <f t="shared" si="2"/>
        <v>#REF!</v>
      </c>
      <c r="G667" s="20" t="str">
        <f t="shared" ref="G667:I667" si="1995">#REF!</f>
        <v>#REF!</v>
      </c>
      <c r="H667" s="20" t="str">
        <f t="shared" si="1995"/>
        <v>#REF!</v>
      </c>
      <c r="I667" s="20" t="str">
        <f t="shared" si="1995"/>
        <v>#REF!</v>
      </c>
      <c r="J667" s="20" t="str">
        <f t="shared" si="1272"/>
        <v>#REF!</v>
      </c>
      <c r="K667" s="20" t="str">
        <f t="shared" ref="K667:L667" si="1996">#REF!</f>
        <v>#REF!</v>
      </c>
      <c r="L667" s="20" t="str">
        <f t="shared" si="1996"/>
        <v>#REF!</v>
      </c>
    </row>
    <row r="668">
      <c r="A668" s="20" t="str">
        <f t="shared" si="1267"/>
        <v>#REF!</v>
      </c>
      <c r="B668" s="20" t="str">
        <f t="shared" si="1268"/>
        <v>#REF!</v>
      </c>
      <c r="C668" s="20" t="str">
        <f t="shared" ref="C668:D668" si="1997">#REF!</f>
        <v>#REF!</v>
      </c>
      <c r="D668" s="20" t="str">
        <f t="shared" si="1997"/>
        <v>#REF!</v>
      </c>
      <c r="E668" s="20" t="str">
        <f t="shared" si="1270"/>
        <v>#REF!</v>
      </c>
      <c r="F668" s="22" t="str">
        <f t="shared" si="2"/>
        <v>#REF!</v>
      </c>
      <c r="G668" s="20" t="str">
        <f t="shared" ref="G668:I668" si="1998">#REF!</f>
        <v>#REF!</v>
      </c>
      <c r="H668" s="20" t="str">
        <f t="shared" si="1998"/>
        <v>#REF!</v>
      </c>
      <c r="I668" s="20" t="str">
        <f t="shared" si="1998"/>
        <v>#REF!</v>
      </c>
      <c r="J668" s="20" t="str">
        <f t="shared" si="1272"/>
        <v>#REF!</v>
      </c>
      <c r="K668" s="20" t="str">
        <f t="shared" ref="K668:L668" si="1999">#REF!</f>
        <v>#REF!</v>
      </c>
      <c r="L668" s="20" t="str">
        <f t="shared" si="1999"/>
        <v>#REF!</v>
      </c>
    </row>
    <row r="669">
      <c r="A669" s="20" t="str">
        <f t="shared" si="1267"/>
        <v>#REF!</v>
      </c>
      <c r="B669" s="20" t="str">
        <f t="shared" si="1268"/>
        <v>#REF!</v>
      </c>
      <c r="C669" s="20" t="str">
        <f t="shared" ref="C669:D669" si="2000">#REF!</f>
        <v>#REF!</v>
      </c>
      <c r="D669" s="20" t="str">
        <f t="shared" si="2000"/>
        <v>#REF!</v>
      </c>
      <c r="E669" s="20" t="str">
        <f t="shared" si="1270"/>
        <v>#REF!</v>
      </c>
      <c r="F669" s="22" t="str">
        <f t="shared" si="2"/>
        <v>#REF!</v>
      </c>
      <c r="G669" s="20" t="str">
        <f t="shared" ref="G669:I669" si="2001">#REF!</f>
        <v>#REF!</v>
      </c>
      <c r="H669" s="20" t="str">
        <f t="shared" si="2001"/>
        <v>#REF!</v>
      </c>
      <c r="I669" s="20" t="str">
        <f t="shared" si="2001"/>
        <v>#REF!</v>
      </c>
      <c r="J669" s="20" t="str">
        <f t="shared" si="1272"/>
        <v>#REF!</v>
      </c>
      <c r="K669" s="20" t="str">
        <f t="shared" ref="K669:L669" si="2002">#REF!</f>
        <v>#REF!</v>
      </c>
      <c r="L669" s="20" t="str">
        <f t="shared" si="2002"/>
        <v>#REF!</v>
      </c>
    </row>
    <row r="670">
      <c r="A670" s="20" t="str">
        <f t="shared" si="1267"/>
        <v>#REF!</v>
      </c>
      <c r="B670" s="20" t="str">
        <f t="shared" si="1268"/>
        <v>#REF!</v>
      </c>
      <c r="C670" s="20" t="str">
        <f t="shared" ref="C670:D670" si="2003">#REF!</f>
        <v>#REF!</v>
      </c>
      <c r="D670" s="20" t="str">
        <f t="shared" si="2003"/>
        <v>#REF!</v>
      </c>
      <c r="E670" s="20" t="str">
        <f t="shared" si="1270"/>
        <v>#REF!</v>
      </c>
      <c r="F670" s="22" t="str">
        <f t="shared" si="2"/>
        <v>#REF!</v>
      </c>
      <c r="G670" s="20" t="str">
        <f t="shared" ref="G670:I670" si="2004">#REF!</f>
        <v>#REF!</v>
      </c>
      <c r="H670" s="20" t="str">
        <f t="shared" si="2004"/>
        <v>#REF!</v>
      </c>
      <c r="I670" s="20" t="str">
        <f t="shared" si="2004"/>
        <v>#REF!</v>
      </c>
      <c r="J670" s="20" t="str">
        <f t="shared" si="1272"/>
        <v>#REF!</v>
      </c>
      <c r="K670" s="20" t="str">
        <f t="shared" ref="K670:L670" si="2005">#REF!</f>
        <v>#REF!</v>
      </c>
      <c r="L670" s="20" t="str">
        <f t="shared" si="2005"/>
        <v>#REF!</v>
      </c>
    </row>
    <row r="671">
      <c r="A671" s="20" t="str">
        <f t="shared" si="1267"/>
        <v>#REF!</v>
      </c>
      <c r="B671" s="20" t="str">
        <f t="shared" si="1268"/>
        <v>#REF!</v>
      </c>
      <c r="C671" s="20" t="str">
        <f t="shared" ref="C671:D671" si="2006">#REF!</f>
        <v>#REF!</v>
      </c>
      <c r="D671" s="20" t="str">
        <f t="shared" si="2006"/>
        <v>#REF!</v>
      </c>
      <c r="E671" s="20" t="str">
        <f t="shared" si="1270"/>
        <v>#REF!</v>
      </c>
      <c r="F671" s="22" t="str">
        <f t="shared" si="2"/>
        <v>#REF!</v>
      </c>
      <c r="G671" s="20" t="str">
        <f t="shared" ref="G671:I671" si="2007">#REF!</f>
        <v>#REF!</v>
      </c>
      <c r="H671" s="20" t="str">
        <f t="shared" si="2007"/>
        <v>#REF!</v>
      </c>
      <c r="I671" s="20" t="str">
        <f t="shared" si="2007"/>
        <v>#REF!</v>
      </c>
      <c r="J671" s="20" t="str">
        <f t="shared" si="1272"/>
        <v>#REF!</v>
      </c>
      <c r="K671" s="20" t="str">
        <f t="shared" ref="K671:L671" si="2008">#REF!</f>
        <v>#REF!</v>
      </c>
      <c r="L671" s="20" t="str">
        <f t="shared" si="2008"/>
        <v>#REF!</v>
      </c>
    </row>
    <row r="672">
      <c r="A672" s="20" t="str">
        <f t="shared" si="1267"/>
        <v>#REF!</v>
      </c>
      <c r="B672" s="20" t="str">
        <f t="shared" si="1268"/>
        <v>#REF!</v>
      </c>
      <c r="C672" s="20" t="str">
        <f t="shared" ref="C672:D672" si="2009">#REF!</f>
        <v>#REF!</v>
      </c>
      <c r="D672" s="20" t="str">
        <f t="shared" si="2009"/>
        <v>#REF!</v>
      </c>
      <c r="E672" s="20" t="str">
        <f t="shared" si="1270"/>
        <v>#REF!</v>
      </c>
      <c r="F672" s="22" t="str">
        <f t="shared" si="2"/>
        <v>#REF!</v>
      </c>
      <c r="G672" s="20" t="str">
        <f t="shared" ref="G672:I672" si="2010">#REF!</f>
        <v>#REF!</v>
      </c>
      <c r="H672" s="20" t="str">
        <f t="shared" si="2010"/>
        <v>#REF!</v>
      </c>
      <c r="I672" s="20" t="str">
        <f t="shared" si="2010"/>
        <v>#REF!</v>
      </c>
      <c r="J672" s="20" t="str">
        <f t="shared" si="1272"/>
        <v>#REF!</v>
      </c>
      <c r="K672" s="20" t="str">
        <f t="shared" ref="K672:L672" si="2011">#REF!</f>
        <v>#REF!</v>
      </c>
      <c r="L672" s="20" t="str">
        <f t="shared" si="2011"/>
        <v>#REF!</v>
      </c>
    </row>
    <row r="673">
      <c r="A673" s="20" t="str">
        <f t="shared" si="1267"/>
        <v>#REF!</v>
      </c>
      <c r="B673" s="20" t="str">
        <f t="shared" si="1268"/>
        <v>#REF!</v>
      </c>
      <c r="C673" s="20" t="str">
        <f t="shared" ref="C673:D673" si="2012">#REF!</f>
        <v>#REF!</v>
      </c>
      <c r="D673" s="20" t="str">
        <f t="shared" si="2012"/>
        <v>#REF!</v>
      </c>
      <c r="E673" s="20" t="str">
        <f t="shared" si="1270"/>
        <v>#REF!</v>
      </c>
      <c r="F673" s="22" t="str">
        <f t="shared" si="2"/>
        <v>#REF!</v>
      </c>
      <c r="G673" s="20" t="str">
        <f t="shared" ref="G673:I673" si="2013">#REF!</f>
        <v>#REF!</v>
      </c>
      <c r="H673" s="20" t="str">
        <f t="shared" si="2013"/>
        <v>#REF!</v>
      </c>
      <c r="I673" s="20" t="str">
        <f t="shared" si="2013"/>
        <v>#REF!</v>
      </c>
      <c r="J673" s="20" t="str">
        <f t="shared" si="1272"/>
        <v>#REF!</v>
      </c>
      <c r="K673" s="20" t="str">
        <f t="shared" ref="K673:L673" si="2014">#REF!</f>
        <v>#REF!</v>
      </c>
      <c r="L673" s="20" t="str">
        <f t="shared" si="2014"/>
        <v>#REF!</v>
      </c>
    </row>
    <row r="674">
      <c r="A674" s="20" t="str">
        <f t="shared" si="1267"/>
        <v>#REF!</v>
      </c>
      <c r="B674" s="20" t="str">
        <f t="shared" si="1268"/>
        <v>#REF!</v>
      </c>
      <c r="C674" s="20" t="str">
        <f t="shared" ref="C674:D674" si="2015">#REF!</f>
        <v>#REF!</v>
      </c>
      <c r="D674" s="20" t="str">
        <f t="shared" si="2015"/>
        <v>#REF!</v>
      </c>
      <c r="E674" s="20" t="str">
        <f t="shared" si="1270"/>
        <v>#REF!</v>
      </c>
      <c r="F674" s="22" t="str">
        <f t="shared" si="2"/>
        <v>#REF!</v>
      </c>
      <c r="G674" s="20" t="str">
        <f t="shared" ref="G674:I674" si="2016">#REF!</f>
        <v>#REF!</v>
      </c>
      <c r="H674" s="20" t="str">
        <f t="shared" si="2016"/>
        <v>#REF!</v>
      </c>
      <c r="I674" s="20" t="str">
        <f t="shared" si="2016"/>
        <v>#REF!</v>
      </c>
      <c r="J674" s="20" t="str">
        <f t="shared" si="1272"/>
        <v>#REF!</v>
      </c>
      <c r="K674" s="20" t="str">
        <f t="shared" ref="K674:L674" si="2017">#REF!</f>
        <v>#REF!</v>
      </c>
      <c r="L674" s="20" t="str">
        <f t="shared" si="2017"/>
        <v>#REF!</v>
      </c>
    </row>
    <row r="675">
      <c r="A675" s="20" t="str">
        <f t="shared" si="1267"/>
        <v>#REF!</v>
      </c>
      <c r="B675" s="20" t="str">
        <f t="shared" si="1268"/>
        <v>#REF!</v>
      </c>
      <c r="C675" s="20" t="str">
        <f t="shared" ref="C675:D675" si="2018">#REF!</f>
        <v>#REF!</v>
      </c>
      <c r="D675" s="20" t="str">
        <f t="shared" si="2018"/>
        <v>#REF!</v>
      </c>
      <c r="E675" s="20" t="str">
        <f t="shared" si="1270"/>
        <v>#REF!</v>
      </c>
      <c r="F675" s="22" t="str">
        <f t="shared" si="2"/>
        <v>#REF!</v>
      </c>
      <c r="G675" s="20" t="str">
        <f t="shared" ref="G675:I675" si="2019">#REF!</f>
        <v>#REF!</v>
      </c>
      <c r="H675" s="20" t="str">
        <f t="shared" si="2019"/>
        <v>#REF!</v>
      </c>
      <c r="I675" s="20" t="str">
        <f t="shared" si="2019"/>
        <v>#REF!</v>
      </c>
      <c r="J675" s="20" t="str">
        <f t="shared" si="1272"/>
        <v>#REF!</v>
      </c>
      <c r="K675" s="20" t="str">
        <f t="shared" ref="K675:L675" si="2020">#REF!</f>
        <v>#REF!</v>
      </c>
      <c r="L675" s="20" t="str">
        <f t="shared" si="2020"/>
        <v>#REF!</v>
      </c>
    </row>
    <row r="676">
      <c r="A676" s="20" t="str">
        <f t="shared" si="1267"/>
        <v>#REF!</v>
      </c>
      <c r="B676" s="20" t="str">
        <f t="shared" si="1268"/>
        <v>#REF!</v>
      </c>
      <c r="C676" s="20" t="str">
        <f t="shared" ref="C676:D676" si="2021">#REF!</f>
        <v>#REF!</v>
      </c>
      <c r="D676" s="20" t="str">
        <f t="shared" si="2021"/>
        <v>#REF!</v>
      </c>
      <c r="E676" s="20" t="str">
        <f t="shared" si="1270"/>
        <v>#REF!</v>
      </c>
      <c r="F676" s="22" t="str">
        <f t="shared" si="2"/>
        <v>#REF!</v>
      </c>
      <c r="G676" s="20" t="str">
        <f t="shared" ref="G676:I676" si="2022">#REF!</f>
        <v>#REF!</v>
      </c>
      <c r="H676" s="20" t="str">
        <f t="shared" si="2022"/>
        <v>#REF!</v>
      </c>
      <c r="I676" s="20" t="str">
        <f t="shared" si="2022"/>
        <v>#REF!</v>
      </c>
      <c r="J676" s="20" t="str">
        <f t="shared" si="1272"/>
        <v>#REF!</v>
      </c>
      <c r="K676" s="20" t="str">
        <f t="shared" ref="K676:L676" si="2023">#REF!</f>
        <v>#REF!</v>
      </c>
      <c r="L676" s="20" t="str">
        <f t="shared" si="2023"/>
        <v>#REF!</v>
      </c>
    </row>
    <row r="677">
      <c r="A677" s="20" t="str">
        <f t="shared" si="1267"/>
        <v>#REF!</v>
      </c>
      <c r="B677" s="20" t="str">
        <f t="shared" si="1268"/>
        <v>#REF!</v>
      </c>
      <c r="C677" s="20" t="str">
        <f t="shared" ref="C677:D677" si="2024">#REF!</f>
        <v>#REF!</v>
      </c>
      <c r="D677" s="20" t="str">
        <f t="shared" si="2024"/>
        <v>#REF!</v>
      </c>
      <c r="E677" s="20" t="str">
        <f t="shared" si="1270"/>
        <v>#REF!</v>
      </c>
      <c r="F677" s="22" t="str">
        <f t="shared" si="2"/>
        <v>#REF!</v>
      </c>
      <c r="G677" s="20" t="str">
        <f t="shared" ref="G677:I677" si="2025">#REF!</f>
        <v>#REF!</v>
      </c>
      <c r="H677" s="20" t="str">
        <f t="shared" si="2025"/>
        <v>#REF!</v>
      </c>
      <c r="I677" s="20" t="str">
        <f t="shared" si="2025"/>
        <v>#REF!</v>
      </c>
      <c r="J677" s="20" t="str">
        <f t="shared" si="1272"/>
        <v>#REF!</v>
      </c>
      <c r="K677" s="20" t="str">
        <f t="shared" ref="K677:L677" si="2026">#REF!</f>
        <v>#REF!</v>
      </c>
      <c r="L677" s="20" t="str">
        <f t="shared" si="2026"/>
        <v>#REF!</v>
      </c>
    </row>
    <row r="678">
      <c r="A678" s="20" t="str">
        <f t="shared" si="1267"/>
        <v>#REF!</v>
      </c>
      <c r="B678" s="20" t="str">
        <f t="shared" si="1268"/>
        <v>#REF!</v>
      </c>
      <c r="C678" s="20" t="str">
        <f t="shared" ref="C678:D678" si="2027">#REF!</f>
        <v>#REF!</v>
      </c>
      <c r="D678" s="20" t="str">
        <f t="shared" si="2027"/>
        <v>#REF!</v>
      </c>
      <c r="E678" s="20" t="str">
        <f t="shared" si="1270"/>
        <v>#REF!</v>
      </c>
      <c r="F678" s="22" t="str">
        <f t="shared" si="2"/>
        <v>#REF!</v>
      </c>
      <c r="G678" s="20" t="str">
        <f t="shared" ref="G678:I678" si="2028">#REF!</f>
        <v>#REF!</v>
      </c>
      <c r="H678" s="20" t="str">
        <f t="shared" si="2028"/>
        <v>#REF!</v>
      </c>
      <c r="I678" s="20" t="str">
        <f t="shared" si="2028"/>
        <v>#REF!</v>
      </c>
      <c r="J678" s="20" t="str">
        <f t="shared" si="1272"/>
        <v>#REF!</v>
      </c>
      <c r="K678" s="20" t="str">
        <f t="shared" ref="K678:L678" si="2029">#REF!</f>
        <v>#REF!</v>
      </c>
      <c r="L678" s="20" t="str">
        <f t="shared" si="2029"/>
        <v>#REF!</v>
      </c>
    </row>
    <row r="679">
      <c r="A679" s="20" t="str">
        <f t="shared" si="1267"/>
        <v>#REF!</v>
      </c>
      <c r="B679" s="20" t="str">
        <f t="shared" si="1268"/>
        <v>#REF!</v>
      </c>
      <c r="C679" s="20" t="str">
        <f t="shared" ref="C679:D679" si="2030">#REF!</f>
        <v>#REF!</v>
      </c>
      <c r="D679" s="20" t="str">
        <f t="shared" si="2030"/>
        <v>#REF!</v>
      </c>
      <c r="E679" s="20" t="str">
        <f t="shared" si="1270"/>
        <v>#REF!</v>
      </c>
      <c r="F679" s="22" t="str">
        <f t="shared" si="2"/>
        <v>#REF!</v>
      </c>
      <c r="G679" s="20" t="str">
        <f t="shared" ref="G679:I679" si="2031">#REF!</f>
        <v>#REF!</v>
      </c>
      <c r="H679" s="20" t="str">
        <f t="shared" si="2031"/>
        <v>#REF!</v>
      </c>
      <c r="I679" s="20" t="str">
        <f t="shared" si="2031"/>
        <v>#REF!</v>
      </c>
      <c r="J679" s="20" t="str">
        <f t="shared" si="1272"/>
        <v>#REF!</v>
      </c>
      <c r="K679" s="20" t="str">
        <f t="shared" ref="K679:L679" si="2032">#REF!</f>
        <v>#REF!</v>
      </c>
      <c r="L679" s="20" t="str">
        <f t="shared" si="2032"/>
        <v>#REF!</v>
      </c>
    </row>
    <row r="680">
      <c r="A680" s="20" t="str">
        <f t="shared" si="1267"/>
        <v>#REF!</v>
      </c>
      <c r="B680" s="20" t="str">
        <f t="shared" si="1268"/>
        <v>#REF!</v>
      </c>
      <c r="C680" s="20" t="str">
        <f t="shared" ref="C680:D680" si="2033">#REF!</f>
        <v>#REF!</v>
      </c>
      <c r="D680" s="20" t="str">
        <f t="shared" si="2033"/>
        <v>#REF!</v>
      </c>
      <c r="E680" s="20" t="str">
        <f t="shared" si="1270"/>
        <v>#REF!</v>
      </c>
      <c r="F680" s="22" t="str">
        <f t="shared" si="2"/>
        <v>#REF!</v>
      </c>
      <c r="G680" s="20" t="str">
        <f t="shared" ref="G680:I680" si="2034">#REF!</f>
        <v>#REF!</v>
      </c>
      <c r="H680" s="20" t="str">
        <f t="shared" si="2034"/>
        <v>#REF!</v>
      </c>
      <c r="I680" s="20" t="str">
        <f t="shared" si="2034"/>
        <v>#REF!</v>
      </c>
      <c r="J680" s="20" t="str">
        <f t="shared" si="1272"/>
        <v>#REF!</v>
      </c>
      <c r="K680" s="20" t="str">
        <f t="shared" ref="K680:L680" si="2035">#REF!</f>
        <v>#REF!</v>
      </c>
      <c r="L680" s="20" t="str">
        <f t="shared" si="2035"/>
        <v>#REF!</v>
      </c>
    </row>
    <row r="681">
      <c r="A681" s="20" t="str">
        <f t="shared" si="1267"/>
        <v>#REF!</v>
      </c>
      <c r="B681" s="20" t="str">
        <f t="shared" si="1268"/>
        <v>#REF!</v>
      </c>
      <c r="C681" s="20" t="str">
        <f t="shared" ref="C681:D681" si="2036">#REF!</f>
        <v>#REF!</v>
      </c>
      <c r="D681" s="20" t="str">
        <f t="shared" si="2036"/>
        <v>#REF!</v>
      </c>
      <c r="E681" s="20" t="str">
        <f t="shared" si="1270"/>
        <v>#REF!</v>
      </c>
      <c r="F681" s="22" t="str">
        <f t="shared" si="2"/>
        <v>#REF!</v>
      </c>
      <c r="G681" s="20" t="str">
        <f t="shared" ref="G681:I681" si="2037">#REF!</f>
        <v>#REF!</v>
      </c>
      <c r="H681" s="20" t="str">
        <f t="shared" si="2037"/>
        <v>#REF!</v>
      </c>
      <c r="I681" s="20" t="str">
        <f t="shared" si="2037"/>
        <v>#REF!</v>
      </c>
      <c r="J681" s="20" t="str">
        <f t="shared" si="1272"/>
        <v>#REF!</v>
      </c>
      <c r="K681" s="20" t="str">
        <f t="shared" ref="K681:L681" si="2038">#REF!</f>
        <v>#REF!</v>
      </c>
      <c r="L681" s="20" t="str">
        <f t="shared" si="2038"/>
        <v>#REF!</v>
      </c>
    </row>
    <row r="682">
      <c r="A682" s="20" t="str">
        <f t="shared" si="1267"/>
        <v>#REF!</v>
      </c>
      <c r="B682" s="20" t="str">
        <f t="shared" si="1268"/>
        <v>#REF!</v>
      </c>
      <c r="C682" s="20" t="str">
        <f t="shared" ref="C682:D682" si="2039">#REF!</f>
        <v>#REF!</v>
      </c>
      <c r="D682" s="20" t="str">
        <f t="shared" si="2039"/>
        <v>#REF!</v>
      </c>
      <c r="E682" s="20" t="str">
        <f t="shared" si="1270"/>
        <v>#REF!</v>
      </c>
      <c r="F682" s="22" t="str">
        <f t="shared" si="2"/>
        <v>#REF!</v>
      </c>
      <c r="G682" s="20" t="str">
        <f t="shared" ref="G682:I682" si="2040">#REF!</f>
        <v>#REF!</v>
      </c>
      <c r="H682" s="20" t="str">
        <f t="shared" si="2040"/>
        <v>#REF!</v>
      </c>
      <c r="I682" s="20" t="str">
        <f t="shared" si="2040"/>
        <v>#REF!</v>
      </c>
      <c r="J682" s="20" t="str">
        <f t="shared" si="1272"/>
        <v>#REF!</v>
      </c>
      <c r="K682" s="20" t="str">
        <f t="shared" ref="K682:L682" si="2041">#REF!</f>
        <v>#REF!</v>
      </c>
      <c r="L682" s="20" t="str">
        <f t="shared" si="2041"/>
        <v>#REF!</v>
      </c>
    </row>
    <row r="683">
      <c r="A683" s="20" t="str">
        <f t="shared" si="1267"/>
        <v>#REF!</v>
      </c>
      <c r="B683" s="20" t="str">
        <f t="shared" si="1268"/>
        <v>#REF!</v>
      </c>
      <c r="C683" s="20" t="str">
        <f t="shared" ref="C683:D683" si="2042">#REF!</f>
        <v>#REF!</v>
      </c>
      <c r="D683" s="20" t="str">
        <f t="shared" si="2042"/>
        <v>#REF!</v>
      </c>
      <c r="E683" s="20" t="str">
        <f t="shared" si="1270"/>
        <v>#REF!</v>
      </c>
      <c r="F683" s="22" t="str">
        <f t="shared" si="2"/>
        <v>#REF!</v>
      </c>
      <c r="G683" s="20" t="str">
        <f t="shared" ref="G683:I683" si="2043">#REF!</f>
        <v>#REF!</v>
      </c>
      <c r="H683" s="20" t="str">
        <f t="shared" si="2043"/>
        <v>#REF!</v>
      </c>
      <c r="I683" s="20" t="str">
        <f t="shared" si="2043"/>
        <v>#REF!</v>
      </c>
      <c r="J683" s="20" t="str">
        <f t="shared" si="1272"/>
        <v>#REF!</v>
      </c>
      <c r="K683" s="20" t="str">
        <f t="shared" ref="K683:L683" si="2044">#REF!</f>
        <v>#REF!</v>
      </c>
      <c r="L683" s="20" t="str">
        <f t="shared" si="2044"/>
        <v>#REF!</v>
      </c>
    </row>
    <row r="684">
      <c r="A684" s="20" t="str">
        <f t="shared" si="1267"/>
        <v>#REF!</v>
      </c>
      <c r="B684" s="20" t="str">
        <f t="shared" si="1268"/>
        <v>#REF!</v>
      </c>
      <c r="C684" s="20" t="str">
        <f t="shared" ref="C684:D684" si="2045">#REF!</f>
        <v>#REF!</v>
      </c>
      <c r="D684" s="20" t="str">
        <f t="shared" si="2045"/>
        <v>#REF!</v>
      </c>
      <c r="E684" s="20" t="str">
        <f t="shared" si="1270"/>
        <v>#REF!</v>
      </c>
      <c r="F684" s="22" t="str">
        <f t="shared" si="2"/>
        <v>#REF!</v>
      </c>
      <c r="G684" s="20" t="str">
        <f t="shared" ref="G684:I684" si="2046">#REF!</f>
        <v>#REF!</v>
      </c>
      <c r="H684" s="20" t="str">
        <f t="shared" si="2046"/>
        <v>#REF!</v>
      </c>
      <c r="I684" s="20" t="str">
        <f t="shared" si="2046"/>
        <v>#REF!</v>
      </c>
      <c r="J684" s="20" t="str">
        <f t="shared" si="1272"/>
        <v>#REF!</v>
      </c>
      <c r="K684" s="20" t="str">
        <f t="shared" ref="K684:L684" si="2047">#REF!</f>
        <v>#REF!</v>
      </c>
      <c r="L684" s="20" t="str">
        <f t="shared" si="2047"/>
        <v>#REF!</v>
      </c>
    </row>
    <row r="685">
      <c r="A685" s="20" t="str">
        <f t="shared" si="1267"/>
        <v>#REF!</v>
      </c>
      <c r="B685" s="20" t="str">
        <f t="shared" si="1268"/>
        <v>#REF!</v>
      </c>
      <c r="C685" s="20" t="str">
        <f t="shared" ref="C685:D685" si="2048">#REF!</f>
        <v>#REF!</v>
      </c>
      <c r="D685" s="20" t="str">
        <f t="shared" si="2048"/>
        <v>#REF!</v>
      </c>
      <c r="E685" s="20" t="str">
        <f t="shared" si="1270"/>
        <v>#REF!</v>
      </c>
      <c r="F685" s="22" t="str">
        <f t="shared" si="2"/>
        <v>#REF!</v>
      </c>
      <c r="G685" s="20" t="str">
        <f t="shared" ref="G685:I685" si="2049">#REF!</f>
        <v>#REF!</v>
      </c>
      <c r="H685" s="20" t="str">
        <f t="shared" si="2049"/>
        <v>#REF!</v>
      </c>
      <c r="I685" s="20" t="str">
        <f t="shared" si="2049"/>
        <v>#REF!</v>
      </c>
      <c r="J685" s="20" t="str">
        <f t="shared" si="1272"/>
        <v>#REF!</v>
      </c>
      <c r="K685" s="20" t="str">
        <f t="shared" ref="K685:L685" si="2050">#REF!</f>
        <v>#REF!</v>
      </c>
      <c r="L685" s="20" t="str">
        <f t="shared" si="2050"/>
        <v>#REF!</v>
      </c>
    </row>
    <row r="686">
      <c r="A686" s="20" t="str">
        <f t="shared" si="1267"/>
        <v>#REF!</v>
      </c>
      <c r="B686" s="20" t="str">
        <f t="shared" si="1268"/>
        <v>#REF!</v>
      </c>
      <c r="C686" s="20" t="str">
        <f t="shared" ref="C686:D686" si="2051">#REF!</f>
        <v>#REF!</v>
      </c>
      <c r="D686" s="20" t="str">
        <f t="shared" si="2051"/>
        <v>#REF!</v>
      </c>
      <c r="E686" s="20" t="str">
        <f t="shared" si="1270"/>
        <v>#REF!</v>
      </c>
      <c r="F686" s="22" t="str">
        <f t="shared" si="2"/>
        <v>#REF!</v>
      </c>
      <c r="G686" s="20" t="str">
        <f t="shared" ref="G686:I686" si="2052">#REF!</f>
        <v>#REF!</v>
      </c>
      <c r="H686" s="20" t="str">
        <f t="shared" si="2052"/>
        <v>#REF!</v>
      </c>
      <c r="I686" s="20" t="str">
        <f t="shared" si="2052"/>
        <v>#REF!</v>
      </c>
      <c r="J686" s="20" t="str">
        <f t="shared" si="1272"/>
        <v>#REF!</v>
      </c>
      <c r="K686" s="20" t="str">
        <f t="shared" ref="K686:L686" si="2053">#REF!</f>
        <v>#REF!</v>
      </c>
      <c r="L686" s="20" t="str">
        <f t="shared" si="2053"/>
        <v>#REF!</v>
      </c>
    </row>
    <row r="687">
      <c r="A687" s="20" t="str">
        <f t="shared" si="1267"/>
        <v>#REF!</v>
      </c>
      <c r="B687" s="20" t="str">
        <f t="shared" si="1268"/>
        <v>#REF!</v>
      </c>
      <c r="C687" s="20" t="str">
        <f t="shared" ref="C687:D687" si="2054">#REF!</f>
        <v>#REF!</v>
      </c>
      <c r="D687" s="20" t="str">
        <f t="shared" si="2054"/>
        <v>#REF!</v>
      </c>
      <c r="E687" s="20" t="str">
        <f t="shared" si="1270"/>
        <v>#REF!</v>
      </c>
      <c r="F687" s="22" t="str">
        <f t="shared" si="2"/>
        <v>#REF!</v>
      </c>
      <c r="G687" s="20" t="str">
        <f t="shared" ref="G687:I687" si="2055">#REF!</f>
        <v>#REF!</v>
      </c>
      <c r="H687" s="20" t="str">
        <f t="shared" si="2055"/>
        <v>#REF!</v>
      </c>
      <c r="I687" s="20" t="str">
        <f t="shared" si="2055"/>
        <v>#REF!</v>
      </c>
      <c r="J687" s="20" t="str">
        <f t="shared" si="1272"/>
        <v>#REF!</v>
      </c>
      <c r="K687" s="20" t="str">
        <f t="shared" ref="K687:L687" si="2056">#REF!</f>
        <v>#REF!</v>
      </c>
      <c r="L687" s="20" t="str">
        <f t="shared" si="2056"/>
        <v>#REF!</v>
      </c>
    </row>
    <row r="688">
      <c r="A688" s="20" t="str">
        <f t="shared" si="1267"/>
        <v>#REF!</v>
      </c>
      <c r="B688" s="20" t="str">
        <f t="shared" si="1268"/>
        <v>#REF!</v>
      </c>
      <c r="C688" s="20" t="str">
        <f t="shared" ref="C688:D688" si="2057">#REF!</f>
        <v>#REF!</v>
      </c>
      <c r="D688" s="20" t="str">
        <f t="shared" si="2057"/>
        <v>#REF!</v>
      </c>
      <c r="E688" s="20" t="str">
        <f t="shared" si="1270"/>
        <v>#REF!</v>
      </c>
      <c r="F688" s="22" t="str">
        <f t="shared" si="2"/>
        <v>#REF!</v>
      </c>
      <c r="G688" s="20" t="str">
        <f t="shared" ref="G688:I688" si="2058">#REF!</f>
        <v>#REF!</v>
      </c>
      <c r="H688" s="20" t="str">
        <f t="shared" si="2058"/>
        <v>#REF!</v>
      </c>
      <c r="I688" s="20" t="str">
        <f t="shared" si="2058"/>
        <v>#REF!</v>
      </c>
      <c r="J688" s="20" t="str">
        <f t="shared" si="1272"/>
        <v>#REF!</v>
      </c>
      <c r="K688" s="20" t="str">
        <f t="shared" ref="K688:L688" si="2059">#REF!</f>
        <v>#REF!</v>
      </c>
      <c r="L688" s="20" t="str">
        <f t="shared" si="2059"/>
        <v>#REF!</v>
      </c>
    </row>
    <row r="689">
      <c r="A689" s="20" t="str">
        <f t="shared" si="1267"/>
        <v>#REF!</v>
      </c>
      <c r="B689" s="20" t="str">
        <f t="shared" si="1268"/>
        <v>#REF!</v>
      </c>
      <c r="C689" s="20" t="str">
        <f t="shared" ref="C689:D689" si="2060">#REF!</f>
        <v>#REF!</v>
      </c>
      <c r="D689" s="20" t="str">
        <f t="shared" si="2060"/>
        <v>#REF!</v>
      </c>
      <c r="E689" s="20" t="str">
        <f t="shared" si="1270"/>
        <v>#REF!</v>
      </c>
      <c r="F689" s="22" t="str">
        <f t="shared" si="2"/>
        <v>#REF!</v>
      </c>
      <c r="G689" s="20" t="str">
        <f t="shared" ref="G689:I689" si="2061">#REF!</f>
        <v>#REF!</v>
      </c>
      <c r="H689" s="20" t="str">
        <f t="shared" si="2061"/>
        <v>#REF!</v>
      </c>
      <c r="I689" s="20" t="str">
        <f t="shared" si="2061"/>
        <v>#REF!</v>
      </c>
      <c r="J689" s="20" t="str">
        <f t="shared" si="1272"/>
        <v>#REF!</v>
      </c>
      <c r="K689" s="20" t="str">
        <f t="shared" ref="K689:L689" si="2062">#REF!</f>
        <v>#REF!</v>
      </c>
      <c r="L689" s="20" t="str">
        <f t="shared" si="2062"/>
        <v>#REF!</v>
      </c>
    </row>
    <row r="690">
      <c r="A690" s="20" t="str">
        <f t="shared" si="1267"/>
        <v>#REF!</v>
      </c>
      <c r="B690" s="20" t="str">
        <f t="shared" si="1268"/>
        <v>#REF!</v>
      </c>
      <c r="C690" s="20" t="str">
        <f t="shared" ref="C690:D690" si="2063">#REF!</f>
        <v>#REF!</v>
      </c>
      <c r="D690" s="20" t="str">
        <f t="shared" si="2063"/>
        <v>#REF!</v>
      </c>
      <c r="E690" s="20" t="str">
        <f t="shared" si="1270"/>
        <v>#REF!</v>
      </c>
      <c r="F690" s="22" t="str">
        <f t="shared" si="2"/>
        <v>#REF!</v>
      </c>
      <c r="G690" s="20" t="str">
        <f t="shared" ref="G690:I690" si="2064">#REF!</f>
        <v>#REF!</v>
      </c>
      <c r="H690" s="20" t="str">
        <f t="shared" si="2064"/>
        <v>#REF!</v>
      </c>
      <c r="I690" s="20" t="str">
        <f t="shared" si="2064"/>
        <v>#REF!</v>
      </c>
      <c r="J690" s="20" t="str">
        <f t="shared" si="1272"/>
        <v>#REF!</v>
      </c>
      <c r="K690" s="20" t="str">
        <f t="shared" ref="K690:L690" si="2065">#REF!</f>
        <v>#REF!</v>
      </c>
      <c r="L690" s="20" t="str">
        <f t="shared" si="2065"/>
        <v>#REF!</v>
      </c>
    </row>
    <row r="691">
      <c r="A691" s="20" t="str">
        <f t="shared" si="1267"/>
        <v>#REF!</v>
      </c>
      <c r="B691" s="20" t="str">
        <f t="shared" si="1268"/>
        <v>#REF!</v>
      </c>
      <c r="C691" s="20" t="str">
        <f t="shared" ref="C691:D691" si="2066">#REF!</f>
        <v>#REF!</v>
      </c>
      <c r="D691" s="20" t="str">
        <f t="shared" si="2066"/>
        <v>#REF!</v>
      </c>
      <c r="E691" s="20" t="str">
        <f t="shared" si="1270"/>
        <v>#REF!</v>
      </c>
      <c r="F691" s="22" t="str">
        <f t="shared" si="2"/>
        <v>#REF!</v>
      </c>
      <c r="G691" s="20" t="str">
        <f t="shared" ref="G691:I691" si="2067">#REF!</f>
        <v>#REF!</v>
      </c>
      <c r="H691" s="20" t="str">
        <f t="shared" si="2067"/>
        <v>#REF!</v>
      </c>
      <c r="I691" s="20" t="str">
        <f t="shared" si="2067"/>
        <v>#REF!</v>
      </c>
      <c r="J691" s="20" t="str">
        <f t="shared" si="1272"/>
        <v>#REF!</v>
      </c>
      <c r="K691" s="20" t="str">
        <f t="shared" ref="K691:L691" si="2068">#REF!</f>
        <v>#REF!</v>
      </c>
      <c r="L691" s="20" t="str">
        <f t="shared" si="2068"/>
        <v>#REF!</v>
      </c>
    </row>
    <row r="692">
      <c r="A692" s="20" t="str">
        <f t="shared" si="1267"/>
        <v>#REF!</v>
      </c>
      <c r="B692" s="20" t="str">
        <f t="shared" si="1268"/>
        <v>#REF!</v>
      </c>
      <c r="C692" s="20" t="str">
        <f t="shared" ref="C692:D692" si="2069">#REF!</f>
        <v>#REF!</v>
      </c>
      <c r="D692" s="20" t="str">
        <f t="shared" si="2069"/>
        <v>#REF!</v>
      </c>
      <c r="E692" s="20" t="str">
        <f t="shared" si="1270"/>
        <v>#REF!</v>
      </c>
      <c r="F692" s="22" t="str">
        <f t="shared" si="2"/>
        <v>#REF!</v>
      </c>
      <c r="G692" s="20" t="str">
        <f t="shared" ref="G692:I692" si="2070">#REF!</f>
        <v>#REF!</v>
      </c>
      <c r="H692" s="20" t="str">
        <f t="shared" si="2070"/>
        <v>#REF!</v>
      </c>
      <c r="I692" s="20" t="str">
        <f t="shared" si="2070"/>
        <v>#REF!</v>
      </c>
      <c r="J692" s="20" t="str">
        <f t="shared" si="1272"/>
        <v>#REF!</v>
      </c>
      <c r="K692" s="20" t="str">
        <f t="shared" ref="K692:L692" si="2071">#REF!</f>
        <v>#REF!</v>
      </c>
      <c r="L692" s="20" t="str">
        <f t="shared" si="2071"/>
        <v>#REF!</v>
      </c>
    </row>
    <row r="693">
      <c r="A693" s="20" t="str">
        <f t="shared" si="1267"/>
        <v>#REF!</v>
      </c>
      <c r="B693" s="20" t="str">
        <f t="shared" si="1268"/>
        <v>#REF!</v>
      </c>
      <c r="C693" s="20" t="str">
        <f t="shared" ref="C693:D693" si="2072">#REF!</f>
        <v>#REF!</v>
      </c>
      <c r="D693" s="20" t="str">
        <f t="shared" si="2072"/>
        <v>#REF!</v>
      </c>
      <c r="E693" s="20" t="str">
        <f t="shared" si="1270"/>
        <v>#REF!</v>
      </c>
      <c r="F693" s="22" t="str">
        <f t="shared" si="2"/>
        <v>#REF!</v>
      </c>
      <c r="G693" s="20" t="str">
        <f t="shared" ref="G693:I693" si="2073">#REF!</f>
        <v>#REF!</v>
      </c>
      <c r="H693" s="20" t="str">
        <f t="shared" si="2073"/>
        <v>#REF!</v>
      </c>
      <c r="I693" s="20" t="str">
        <f t="shared" si="2073"/>
        <v>#REF!</v>
      </c>
      <c r="J693" s="20" t="str">
        <f t="shared" si="1272"/>
        <v>#REF!</v>
      </c>
      <c r="K693" s="20" t="str">
        <f t="shared" ref="K693:L693" si="2074">#REF!</f>
        <v>#REF!</v>
      </c>
      <c r="L693" s="20" t="str">
        <f t="shared" si="2074"/>
        <v>#REF!</v>
      </c>
    </row>
    <row r="694">
      <c r="A694" s="20" t="str">
        <f t="shared" si="1267"/>
        <v>#REF!</v>
      </c>
      <c r="B694" s="20" t="str">
        <f t="shared" si="1268"/>
        <v>#REF!</v>
      </c>
      <c r="C694" s="20" t="str">
        <f t="shared" ref="C694:D694" si="2075">#REF!</f>
        <v>#REF!</v>
      </c>
      <c r="D694" s="20" t="str">
        <f t="shared" si="2075"/>
        <v>#REF!</v>
      </c>
      <c r="E694" s="20" t="str">
        <f t="shared" si="1270"/>
        <v>#REF!</v>
      </c>
      <c r="F694" s="22" t="str">
        <f t="shared" si="2"/>
        <v>#REF!</v>
      </c>
      <c r="G694" s="20" t="str">
        <f t="shared" ref="G694:I694" si="2076">#REF!</f>
        <v>#REF!</v>
      </c>
      <c r="H694" s="20" t="str">
        <f t="shared" si="2076"/>
        <v>#REF!</v>
      </c>
      <c r="I694" s="20" t="str">
        <f t="shared" si="2076"/>
        <v>#REF!</v>
      </c>
      <c r="J694" s="20" t="str">
        <f t="shared" si="1272"/>
        <v>#REF!</v>
      </c>
      <c r="K694" s="20" t="str">
        <f t="shared" ref="K694:L694" si="2077">#REF!</f>
        <v>#REF!</v>
      </c>
      <c r="L694" s="20" t="str">
        <f t="shared" si="2077"/>
        <v>#REF!</v>
      </c>
    </row>
    <row r="695">
      <c r="A695" s="20" t="str">
        <f t="shared" si="1267"/>
        <v>#REF!</v>
      </c>
      <c r="B695" s="20" t="str">
        <f t="shared" si="1268"/>
        <v>#REF!</v>
      </c>
      <c r="C695" s="20" t="str">
        <f t="shared" ref="C695:D695" si="2078">#REF!</f>
        <v>#REF!</v>
      </c>
      <c r="D695" s="20" t="str">
        <f t="shared" si="2078"/>
        <v>#REF!</v>
      </c>
      <c r="E695" s="20" t="str">
        <f t="shared" si="1270"/>
        <v>#REF!</v>
      </c>
      <c r="F695" s="22" t="str">
        <f t="shared" si="2"/>
        <v>#REF!</v>
      </c>
      <c r="G695" s="20" t="str">
        <f t="shared" ref="G695:I695" si="2079">#REF!</f>
        <v>#REF!</v>
      </c>
      <c r="H695" s="20" t="str">
        <f t="shared" si="2079"/>
        <v>#REF!</v>
      </c>
      <c r="I695" s="20" t="str">
        <f t="shared" si="2079"/>
        <v>#REF!</v>
      </c>
      <c r="J695" s="20" t="str">
        <f t="shared" si="1272"/>
        <v>#REF!</v>
      </c>
      <c r="K695" s="20" t="str">
        <f t="shared" ref="K695:L695" si="2080">#REF!</f>
        <v>#REF!</v>
      </c>
      <c r="L695" s="20" t="str">
        <f t="shared" si="2080"/>
        <v>#REF!</v>
      </c>
    </row>
    <row r="696">
      <c r="A696" s="20" t="str">
        <f t="shared" si="1267"/>
        <v>#REF!</v>
      </c>
      <c r="B696" s="20" t="str">
        <f t="shared" si="1268"/>
        <v>#REF!</v>
      </c>
      <c r="C696" s="20" t="str">
        <f t="shared" ref="C696:D696" si="2081">#REF!</f>
        <v>#REF!</v>
      </c>
      <c r="D696" s="20" t="str">
        <f t="shared" si="2081"/>
        <v>#REF!</v>
      </c>
      <c r="E696" s="20" t="str">
        <f t="shared" si="1270"/>
        <v>#REF!</v>
      </c>
      <c r="F696" s="22" t="str">
        <f t="shared" si="2"/>
        <v>#REF!</v>
      </c>
      <c r="G696" s="20" t="str">
        <f t="shared" ref="G696:I696" si="2082">#REF!</f>
        <v>#REF!</v>
      </c>
      <c r="H696" s="20" t="str">
        <f t="shared" si="2082"/>
        <v>#REF!</v>
      </c>
      <c r="I696" s="20" t="str">
        <f t="shared" si="2082"/>
        <v>#REF!</v>
      </c>
      <c r="J696" s="20" t="str">
        <f t="shared" si="1272"/>
        <v>#REF!</v>
      </c>
      <c r="K696" s="20" t="str">
        <f t="shared" ref="K696:L696" si="2083">#REF!</f>
        <v>#REF!</v>
      </c>
      <c r="L696" s="20" t="str">
        <f t="shared" si="2083"/>
        <v>#REF!</v>
      </c>
    </row>
    <row r="697">
      <c r="A697" s="20" t="str">
        <f t="shared" si="1267"/>
        <v>#REF!</v>
      </c>
      <c r="B697" s="20" t="str">
        <f t="shared" si="1268"/>
        <v>#REF!</v>
      </c>
      <c r="C697" s="20" t="str">
        <f t="shared" ref="C697:D697" si="2084">#REF!</f>
        <v>#REF!</v>
      </c>
      <c r="D697" s="20" t="str">
        <f t="shared" si="2084"/>
        <v>#REF!</v>
      </c>
      <c r="E697" s="20" t="str">
        <f t="shared" si="1270"/>
        <v>#REF!</v>
      </c>
      <c r="F697" s="22" t="str">
        <f t="shared" si="2"/>
        <v>#REF!</v>
      </c>
      <c r="G697" s="20" t="str">
        <f t="shared" ref="G697:I697" si="2085">#REF!</f>
        <v>#REF!</v>
      </c>
      <c r="H697" s="20" t="str">
        <f t="shared" si="2085"/>
        <v>#REF!</v>
      </c>
      <c r="I697" s="20" t="str">
        <f t="shared" si="2085"/>
        <v>#REF!</v>
      </c>
      <c r="J697" s="20" t="str">
        <f t="shared" si="1272"/>
        <v>#REF!</v>
      </c>
      <c r="K697" s="20" t="str">
        <f t="shared" ref="K697:L697" si="2086">#REF!</f>
        <v>#REF!</v>
      </c>
      <c r="L697" s="20" t="str">
        <f t="shared" si="2086"/>
        <v>#REF!</v>
      </c>
    </row>
    <row r="698">
      <c r="A698" s="20" t="str">
        <f t="shared" si="1267"/>
        <v>#REF!</v>
      </c>
      <c r="B698" s="20" t="str">
        <f t="shared" si="1268"/>
        <v>#REF!</v>
      </c>
      <c r="C698" s="20" t="str">
        <f t="shared" ref="C698:D698" si="2087">#REF!</f>
        <v>#REF!</v>
      </c>
      <c r="D698" s="20" t="str">
        <f t="shared" si="2087"/>
        <v>#REF!</v>
      </c>
      <c r="E698" s="20" t="str">
        <f t="shared" si="1270"/>
        <v>#REF!</v>
      </c>
      <c r="F698" s="22" t="str">
        <f t="shared" si="2"/>
        <v>#REF!</v>
      </c>
      <c r="G698" s="20" t="str">
        <f t="shared" ref="G698:I698" si="2088">#REF!</f>
        <v>#REF!</v>
      </c>
      <c r="H698" s="20" t="str">
        <f t="shared" si="2088"/>
        <v>#REF!</v>
      </c>
      <c r="I698" s="20" t="str">
        <f t="shared" si="2088"/>
        <v>#REF!</v>
      </c>
      <c r="J698" s="20" t="str">
        <f t="shared" si="1272"/>
        <v>#REF!</v>
      </c>
      <c r="K698" s="20" t="str">
        <f t="shared" ref="K698:L698" si="2089">#REF!</f>
        <v>#REF!</v>
      </c>
      <c r="L698" s="20" t="str">
        <f t="shared" si="2089"/>
        <v>#REF!</v>
      </c>
    </row>
    <row r="699">
      <c r="A699" s="20" t="str">
        <f t="shared" si="1267"/>
        <v>#REF!</v>
      </c>
      <c r="B699" s="20" t="str">
        <f t="shared" si="1268"/>
        <v>#REF!</v>
      </c>
      <c r="C699" s="20" t="str">
        <f t="shared" ref="C699:D699" si="2090">#REF!</f>
        <v>#REF!</v>
      </c>
      <c r="D699" s="20" t="str">
        <f t="shared" si="2090"/>
        <v>#REF!</v>
      </c>
      <c r="E699" s="20" t="str">
        <f t="shared" si="1270"/>
        <v>#REF!</v>
      </c>
      <c r="F699" s="22" t="str">
        <f t="shared" si="2"/>
        <v>#REF!</v>
      </c>
      <c r="G699" s="20" t="str">
        <f t="shared" ref="G699:I699" si="2091">#REF!</f>
        <v>#REF!</v>
      </c>
      <c r="H699" s="20" t="str">
        <f t="shared" si="2091"/>
        <v>#REF!</v>
      </c>
      <c r="I699" s="20" t="str">
        <f t="shared" si="2091"/>
        <v>#REF!</v>
      </c>
      <c r="J699" s="20" t="str">
        <f t="shared" si="1272"/>
        <v>#REF!</v>
      </c>
      <c r="K699" s="20" t="str">
        <f t="shared" ref="K699:L699" si="2092">#REF!</f>
        <v>#REF!</v>
      </c>
      <c r="L699" s="20" t="str">
        <f t="shared" si="2092"/>
        <v>#REF!</v>
      </c>
    </row>
    <row r="700">
      <c r="A700" s="20" t="str">
        <f t="shared" si="1267"/>
        <v>#REF!</v>
      </c>
      <c r="B700" s="20" t="str">
        <f t="shared" si="1268"/>
        <v>#REF!</v>
      </c>
      <c r="C700" s="20" t="str">
        <f t="shared" ref="C700:D700" si="2093">#REF!</f>
        <v>#REF!</v>
      </c>
      <c r="D700" s="20" t="str">
        <f t="shared" si="2093"/>
        <v>#REF!</v>
      </c>
      <c r="E700" s="20" t="str">
        <f t="shared" si="1270"/>
        <v>#REF!</v>
      </c>
      <c r="F700" s="22" t="str">
        <f t="shared" si="2"/>
        <v>#REF!</v>
      </c>
      <c r="G700" s="20" t="str">
        <f t="shared" ref="G700:I700" si="2094">#REF!</f>
        <v>#REF!</v>
      </c>
      <c r="H700" s="20" t="str">
        <f t="shared" si="2094"/>
        <v>#REF!</v>
      </c>
      <c r="I700" s="20" t="str">
        <f t="shared" si="2094"/>
        <v>#REF!</v>
      </c>
      <c r="J700" s="20" t="str">
        <f t="shared" si="1272"/>
        <v>#REF!</v>
      </c>
      <c r="K700" s="20" t="str">
        <f t="shared" ref="K700:L700" si="2095">#REF!</f>
        <v>#REF!</v>
      </c>
      <c r="L700" s="20" t="str">
        <f t="shared" si="2095"/>
        <v>#REF!</v>
      </c>
    </row>
    <row r="701">
      <c r="A701" s="20" t="str">
        <f t="shared" si="1267"/>
        <v>#REF!</v>
      </c>
      <c r="B701" s="20" t="str">
        <f t="shared" si="1268"/>
        <v>#REF!</v>
      </c>
      <c r="C701" s="20" t="str">
        <f t="shared" ref="C701:D701" si="2096">#REF!</f>
        <v>#REF!</v>
      </c>
      <c r="D701" s="20" t="str">
        <f t="shared" si="2096"/>
        <v>#REF!</v>
      </c>
      <c r="E701" s="20" t="str">
        <f t="shared" si="1270"/>
        <v>#REF!</v>
      </c>
      <c r="F701" s="22" t="str">
        <f t="shared" si="2"/>
        <v>#REF!</v>
      </c>
      <c r="G701" s="20" t="str">
        <f t="shared" ref="G701:I701" si="2097">#REF!</f>
        <v>#REF!</v>
      </c>
      <c r="H701" s="20" t="str">
        <f t="shared" si="2097"/>
        <v>#REF!</v>
      </c>
      <c r="I701" s="20" t="str">
        <f t="shared" si="2097"/>
        <v>#REF!</v>
      </c>
      <c r="J701" s="20" t="str">
        <f t="shared" si="1272"/>
        <v>#REF!</v>
      </c>
      <c r="K701" s="20" t="str">
        <f t="shared" ref="K701:L701" si="2098">#REF!</f>
        <v>#REF!</v>
      </c>
      <c r="L701" s="20" t="str">
        <f t="shared" si="2098"/>
        <v>#REF!</v>
      </c>
    </row>
    <row r="702">
      <c r="A702" s="20" t="str">
        <f t="shared" si="1267"/>
        <v>#REF!</v>
      </c>
      <c r="B702" s="20" t="str">
        <f t="shared" si="1268"/>
        <v>#REF!</v>
      </c>
      <c r="C702" s="20" t="str">
        <f t="shared" ref="C702:D702" si="2099">#REF!</f>
        <v>#REF!</v>
      </c>
      <c r="D702" s="20" t="str">
        <f t="shared" si="2099"/>
        <v>#REF!</v>
      </c>
      <c r="E702" s="20" t="str">
        <f t="shared" si="1270"/>
        <v>#REF!</v>
      </c>
      <c r="F702" s="22" t="str">
        <f t="shared" si="2"/>
        <v>#REF!</v>
      </c>
      <c r="G702" s="20" t="str">
        <f t="shared" ref="G702:I702" si="2100">#REF!</f>
        <v>#REF!</v>
      </c>
      <c r="H702" s="20" t="str">
        <f t="shared" si="2100"/>
        <v>#REF!</v>
      </c>
      <c r="I702" s="20" t="str">
        <f t="shared" si="2100"/>
        <v>#REF!</v>
      </c>
      <c r="J702" s="20" t="str">
        <f t="shared" si="1272"/>
        <v>#REF!</v>
      </c>
      <c r="K702" s="20" t="str">
        <f t="shared" ref="K702:L702" si="2101">#REF!</f>
        <v>#REF!</v>
      </c>
      <c r="L702" s="20" t="str">
        <f t="shared" si="2101"/>
        <v>#REF!</v>
      </c>
    </row>
    <row r="703">
      <c r="A703" s="20" t="str">
        <f t="shared" si="1267"/>
        <v>#REF!</v>
      </c>
      <c r="B703" s="20" t="str">
        <f t="shared" si="1268"/>
        <v>#REF!</v>
      </c>
      <c r="C703" s="20" t="str">
        <f t="shared" ref="C703:D703" si="2102">#REF!</f>
        <v>#REF!</v>
      </c>
      <c r="D703" s="20" t="str">
        <f t="shared" si="2102"/>
        <v>#REF!</v>
      </c>
      <c r="E703" s="20" t="str">
        <f t="shared" si="1270"/>
        <v>#REF!</v>
      </c>
      <c r="F703" s="22" t="str">
        <f t="shared" si="2"/>
        <v>#REF!</v>
      </c>
      <c r="G703" s="20" t="str">
        <f t="shared" ref="G703:I703" si="2103">#REF!</f>
        <v>#REF!</v>
      </c>
      <c r="H703" s="20" t="str">
        <f t="shared" si="2103"/>
        <v>#REF!</v>
      </c>
      <c r="I703" s="20" t="str">
        <f t="shared" si="2103"/>
        <v>#REF!</v>
      </c>
      <c r="J703" s="20" t="str">
        <f t="shared" si="1272"/>
        <v>#REF!</v>
      </c>
      <c r="K703" s="20" t="str">
        <f t="shared" ref="K703:L703" si="2104">#REF!</f>
        <v>#REF!</v>
      </c>
      <c r="L703" s="20" t="str">
        <f t="shared" si="2104"/>
        <v>#REF!</v>
      </c>
    </row>
    <row r="704">
      <c r="A704" s="20" t="str">
        <f t="shared" si="1267"/>
        <v>#REF!</v>
      </c>
      <c r="B704" s="20" t="str">
        <f t="shared" si="1268"/>
        <v>#REF!</v>
      </c>
      <c r="C704" s="20" t="str">
        <f t="shared" ref="C704:D704" si="2105">#REF!</f>
        <v>#REF!</v>
      </c>
      <c r="D704" s="20" t="str">
        <f t="shared" si="2105"/>
        <v>#REF!</v>
      </c>
      <c r="E704" s="20" t="str">
        <f t="shared" si="1270"/>
        <v>#REF!</v>
      </c>
      <c r="F704" s="22" t="str">
        <f t="shared" si="2"/>
        <v>#REF!</v>
      </c>
      <c r="G704" s="20" t="str">
        <f t="shared" ref="G704:I704" si="2106">#REF!</f>
        <v>#REF!</v>
      </c>
      <c r="H704" s="20" t="str">
        <f t="shared" si="2106"/>
        <v>#REF!</v>
      </c>
      <c r="I704" s="20" t="str">
        <f t="shared" si="2106"/>
        <v>#REF!</v>
      </c>
      <c r="J704" s="20" t="str">
        <f t="shared" si="1272"/>
        <v>#REF!</v>
      </c>
      <c r="K704" s="20" t="str">
        <f t="shared" ref="K704:L704" si="2107">#REF!</f>
        <v>#REF!</v>
      </c>
      <c r="L704" s="20" t="str">
        <f t="shared" si="2107"/>
        <v>#REF!</v>
      </c>
    </row>
    <row r="705">
      <c r="A705" s="20" t="str">
        <f t="shared" si="1267"/>
        <v>#REF!</v>
      </c>
      <c r="B705" s="20" t="str">
        <f t="shared" si="1268"/>
        <v>#REF!</v>
      </c>
      <c r="C705" s="20" t="str">
        <f t="shared" ref="C705:D705" si="2108">#REF!</f>
        <v>#REF!</v>
      </c>
      <c r="D705" s="20" t="str">
        <f t="shared" si="2108"/>
        <v>#REF!</v>
      </c>
      <c r="E705" s="20" t="str">
        <f t="shared" si="1270"/>
        <v>#REF!</v>
      </c>
      <c r="F705" s="22" t="str">
        <f t="shared" si="2"/>
        <v>#REF!</v>
      </c>
      <c r="G705" s="20" t="str">
        <f t="shared" ref="G705:I705" si="2109">#REF!</f>
        <v>#REF!</v>
      </c>
      <c r="H705" s="20" t="str">
        <f t="shared" si="2109"/>
        <v>#REF!</v>
      </c>
      <c r="I705" s="20" t="str">
        <f t="shared" si="2109"/>
        <v>#REF!</v>
      </c>
      <c r="J705" s="20" t="str">
        <f t="shared" si="1272"/>
        <v>#REF!</v>
      </c>
      <c r="K705" s="20" t="str">
        <f t="shared" ref="K705:L705" si="2110">#REF!</f>
        <v>#REF!</v>
      </c>
      <c r="L705" s="20" t="str">
        <f t="shared" si="2110"/>
        <v>#REF!</v>
      </c>
    </row>
    <row r="706">
      <c r="A706" s="20" t="str">
        <f t="shared" si="1267"/>
        <v>#REF!</v>
      </c>
      <c r="B706" s="20" t="str">
        <f t="shared" si="1268"/>
        <v>#REF!</v>
      </c>
      <c r="C706" s="20" t="str">
        <f t="shared" ref="C706:D706" si="2111">#REF!</f>
        <v>#REF!</v>
      </c>
      <c r="D706" s="20" t="str">
        <f t="shared" si="2111"/>
        <v>#REF!</v>
      </c>
      <c r="E706" s="20" t="str">
        <f t="shared" si="1270"/>
        <v>#REF!</v>
      </c>
      <c r="F706" s="22" t="str">
        <f t="shared" si="2"/>
        <v>#REF!</v>
      </c>
      <c r="G706" s="20" t="str">
        <f t="shared" ref="G706:I706" si="2112">#REF!</f>
        <v>#REF!</v>
      </c>
      <c r="H706" s="20" t="str">
        <f t="shared" si="2112"/>
        <v>#REF!</v>
      </c>
      <c r="I706" s="20" t="str">
        <f t="shared" si="2112"/>
        <v>#REF!</v>
      </c>
      <c r="J706" s="20" t="str">
        <f t="shared" si="1272"/>
        <v>#REF!</v>
      </c>
      <c r="K706" s="20" t="str">
        <f t="shared" ref="K706:L706" si="2113">#REF!</f>
        <v>#REF!</v>
      </c>
      <c r="L706" s="20" t="str">
        <f t="shared" si="2113"/>
        <v>#REF!</v>
      </c>
    </row>
    <row r="707">
      <c r="A707" s="20" t="str">
        <f t="shared" si="1267"/>
        <v>#REF!</v>
      </c>
      <c r="B707" s="20" t="str">
        <f t="shared" si="1268"/>
        <v>#REF!</v>
      </c>
      <c r="C707" s="20" t="str">
        <f t="shared" ref="C707:D707" si="2114">#REF!</f>
        <v>#REF!</v>
      </c>
      <c r="D707" s="20" t="str">
        <f t="shared" si="2114"/>
        <v>#REF!</v>
      </c>
      <c r="E707" s="20" t="str">
        <f t="shared" si="1270"/>
        <v>#REF!</v>
      </c>
      <c r="F707" s="22" t="str">
        <f t="shared" si="2"/>
        <v>#REF!</v>
      </c>
      <c r="G707" s="20" t="str">
        <f t="shared" ref="G707:I707" si="2115">#REF!</f>
        <v>#REF!</v>
      </c>
      <c r="H707" s="20" t="str">
        <f t="shared" si="2115"/>
        <v>#REF!</v>
      </c>
      <c r="I707" s="20" t="str">
        <f t="shared" si="2115"/>
        <v>#REF!</v>
      </c>
      <c r="J707" s="20" t="str">
        <f t="shared" si="1272"/>
        <v>#REF!</v>
      </c>
      <c r="K707" s="20" t="str">
        <f t="shared" ref="K707:L707" si="2116">#REF!</f>
        <v>#REF!</v>
      </c>
      <c r="L707" s="20" t="str">
        <f t="shared" si="2116"/>
        <v>#REF!</v>
      </c>
    </row>
    <row r="708">
      <c r="A708" s="20" t="str">
        <f t="shared" si="1267"/>
        <v>#REF!</v>
      </c>
      <c r="B708" s="20" t="str">
        <f t="shared" si="1268"/>
        <v>#REF!</v>
      </c>
      <c r="C708" s="20" t="str">
        <f t="shared" ref="C708:D708" si="2117">#REF!</f>
        <v>#REF!</v>
      </c>
      <c r="D708" s="20" t="str">
        <f t="shared" si="2117"/>
        <v>#REF!</v>
      </c>
      <c r="E708" s="20" t="str">
        <f t="shared" si="1270"/>
        <v>#REF!</v>
      </c>
      <c r="F708" s="22" t="str">
        <f t="shared" si="2"/>
        <v>#REF!</v>
      </c>
      <c r="G708" s="20" t="str">
        <f t="shared" ref="G708:I708" si="2118">#REF!</f>
        <v>#REF!</v>
      </c>
      <c r="H708" s="20" t="str">
        <f t="shared" si="2118"/>
        <v>#REF!</v>
      </c>
      <c r="I708" s="20" t="str">
        <f t="shared" si="2118"/>
        <v>#REF!</v>
      </c>
      <c r="J708" s="20" t="str">
        <f t="shared" si="1272"/>
        <v>#REF!</v>
      </c>
      <c r="K708" s="20" t="str">
        <f t="shared" ref="K708:L708" si="2119">#REF!</f>
        <v>#REF!</v>
      </c>
      <c r="L708" s="20" t="str">
        <f t="shared" si="2119"/>
        <v>#REF!</v>
      </c>
    </row>
    <row r="709">
      <c r="A709" s="20" t="str">
        <f t="shared" si="1267"/>
        <v>#REF!</v>
      </c>
      <c r="B709" s="20" t="str">
        <f t="shared" si="1268"/>
        <v>#REF!</v>
      </c>
      <c r="C709" s="20" t="str">
        <f t="shared" ref="C709:D709" si="2120">#REF!</f>
        <v>#REF!</v>
      </c>
      <c r="D709" s="20" t="str">
        <f t="shared" si="2120"/>
        <v>#REF!</v>
      </c>
      <c r="E709" s="20" t="str">
        <f t="shared" si="1270"/>
        <v>#REF!</v>
      </c>
      <c r="F709" s="22" t="str">
        <f t="shared" si="2"/>
        <v>#REF!</v>
      </c>
      <c r="G709" s="20" t="str">
        <f t="shared" ref="G709:I709" si="2121">#REF!</f>
        <v>#REF!</v>
      </c>
      <c r="H709" s="20" t="str">
        <f t="shared" si="2121"/>
        <v>#REF!</v>
      </c>
      <c r="I709" s="20" t="str">
        <f t="shared" si="2121"/>
        <v>#REF!</v>
      </c>
      <c r="J709" s="20" t="str">
        <f t="shared" si="1272"/>
        <v>#REF!</v>
      </c>
      <c r="K709" s="20" t="str">
        <f t="shared" ref="K709:L709" si="2122">#REF!</f>
        <v>#REF!</v>
      </c>
      <c r="L709" s="20" t="str">
        <f t="shared" si="2122"/>
        <v>#REF!</v>
      </c>
    </row>
    <row r="710">
      <c r="A710" s="20" t="str">
        <f t="shared" si="1267"/>
        <v>#REF!</v>
      </c>
      <c r="B710" s="20" t="str">
        <f t="shared" si="1268"/>
        <v>#REF!</v>
      </c>
      <c r="C710" s="20" t="str">
        <f t="shared" ref="C710:D710" si="2123">#REF!</f>
        <v>#REF!</v>
      </c>
      <c r="D710" s="20" t="str">
        <f t="shared" si="2123"/>
        <v>#REF!</v>
      </c>
      <c r="E710" s="20" t="str">
        <f t="shared" si="1270"/>
        <v>#REF!</v>
      </c>
      <c r="F710" s="22" t="str">
        <f t="shared" si="2"/>
        <v>#REF!</v>
      </c>
      <c r="G710" s="20" t="str">
        <f t="shared" ref="G710:I710" si="2124">#REF!</f>
        <v>#REF!</v>
      </c>
      <c r="H710" s="20" t="str">
        <f t="shared" si="2124"/>
        <v>#REF!</v>
      </c>
      <c r="I710" s="20" t="str">
        <f t="shared" si="2124"/>
        <v>#REF!</v>
      </c>
      <c r="J710" s="20" t="str">
        <f t="shared" si="1272"/>
        <v>#REF!</v>
      </c>
      <c r="K710" s="20" t="str">
        <f t="shared" ref="K710:L710" si="2125">#REF!</f>
        <v>#REF!</v>
      </c>
      <c r="L710" s="20" t="str">
        <f t="shared" si="2125"/>
        <v>#REF!</v>
      </c>
    </row>
    <row r="711">
      <c r="A711" s="20" t="str">
        <f t="shared" si="1267"/>
        <v>#REF!</v>
      </c>
      <c r="B711" s="20" t="str">
        <f t="shared" si="1268"/>
        <v>#REF!</v>
      </c>
      <c r="C711" s="20" t="str">
        <f t="shared" ref="C711:D711" si="2126">#REF!</f>
        <v>#REF!</v>
      </c>
      <c r="D711" s="20" t="str">
        <f t="shared" si="2126"/>
        <v>#REF!</v>
      </c>
      <c r="E711" s="20" t="str">
        <f t="shared" si="1270"/>
        <v>#REF!</v>
      </c>
      <c r="F711" s="22" t="str">
        <f t="shared" si="2"/>
        <v>#REF!</v>
      </c>
      <c r="G711" s="20" t="str">
        <f t="shared" ref="G711:I711" si="2127">#REF!</f>
        <v>#REF!</v>
      </c>
      <c r="H711" s="20" t="str">
        <f t="shared" si="2127"/>
        <v>#REF!</v>
      </c>
      <c r="I711" s="20" t="str">
        <f t="shared" si="2127"/>
        <v>#REF!</v>
      </c>
      <c r="J711" s="20" t="str">
        <f t="shared" si="1272"/>
        <v>#REF!</v>
      </c>
      <c r="K711" s="20" t="str">
        <f t="shared" ref="K711:L711" si="2128">#REF!</f>
        <v>#REF!</v>
      </c>
      <c r="L711" s="20" t="str">
        <f t="shared" si="2128"/>
        <v>#REF!</v>
      </c>
    </row>
    <row r="712">
      <c r="A712" s="20" t="str">
        <f t="shared" si="1267"/>
        <v>#REF!</v>
      </c>
      <c r="B712" s="20" t="str">
        <f t="shared" si="1268"/>
        <v>#REF!</v>
      </c>
      <c r="C712" s="20" t="str">
        <f t="shared" ref="C712:D712" si="2129">#REF!</f>
        <v>#REF!</v>
      </c>
      <c r="D712" s="20" t="str">
        <f t="shared" si="2129"/>
        <v>#REF!</v>
      </c>
      <c r="E712" s="20" t="str">
        <f t="shared" si="1270"/>
        <v>#REF!</v>
      </c>
      <c r="F712" s="22" t="str">
        <f t="shared" si="2"/>
        <v>#REF!</v>
      </c>
      <c r="G712" s="20" t="str">
        <f t="shared" ref="G712:I712" si="2130">#REF!</f>
        <v>#REF!</v>
      </c>
      <c r="H712" s="20" t="str">
        <f t="shared" si="2130"/>
        <v>#REF!</v>
      </c>
      <c r="I712" s="20" t="str">
        <f t="shared" si="2130"/>
        <v>#REF!</v>
      </c>
      <c r="J712" s="20" t="str">
        <f t="shared" si="1272"/>
        <v>#REF!</v>
      </c>
      <c r="K712" s="20" t="str">
        <f t="shared" ref="K712:L712" si="2131">#REF!</f>
        <v>#REF!</v>
      </c>
      <c r="L712" s="20" t="str">
        <f t="shared" si="2131"/>
        <v>#REF!</v>
      </c>
    </row>
    <row r="713">
      <c r="A713" s="20" t="str">
        <f t="shared" si="1267"/>
        <v>#REF!</v>
      </c>
      <c r="B713" s="20" t="str">
        <f t="shared" si="1268"/>
        <v>#REF!</v>
      </c>
      <c r="C713" s="20" t="str">
        <f t="shared" ref="C713:D713" si="2132">#REF!</f>
        <v>#REF!</v>
      </c>
      <c r="D713" s="20" t="str">
        <f t="shared" si="2132"/>
        <v>#REF!</v>
      </c>
      <c r="E713" s="20" t="str">
        <f t="shared" si="1270"/>
        <v>#REF!</v>
      </c>
      <c r="F713" s="22" t="str">
        <f t="shared" si="2"/>
        <v>#REF!</v>
      </c>
      <c r="G713" s="20" t="str">
        <f t="shared" ref="G713:I713" si="2133">#REF!</f>
        <v>#REF!</v>
      </c>
      <c r="H713" s="20" t="str">
        <f t="shared" si="2133"/>
        <v>#REF!</v>
      </c>
      <c r="I713" s="20" t="str">
        <f t="shared" si="2133"/>
        <v>#REF!</v>
      </c>
      <c r="J713" s="20" t="str">
        <f t="shared" si="1272"/>
        <v>#REF!</v>
      </c>
      <c r="K713" s="20" t="str">
        <f t="shared" ref="K713:L713" si="2134">#REF!</f>
        <v>#REF!</v>
      </c>
      <c r="L713" s="20" t="str">
        <f t="shared" si="2134"/>
        <v>#REF!</v>
      </c>
    </row>
    <row r="714">
      <c r="A714" s="20" t="str">
        <f t="shared" si="1267"/>
        <v>#REF!</v>
      </c>
      <c r="B714" s="20" t="str">
        <f t="shared" si="1268"/>
        <v>#REF!</v>
      </c>
      <c r="C714" s="20" t="str">
        <f t="shared" ref="C714:D714" si="2135">#REF!</f>
        <v>#REF!</v>
      </c>
      <c r="D714" s="20" t="str">
        <f t="shared" si="2135"/>
        <v>#REF!</v>
      </c>
      <c r="E714" s="20" t="str">
        <f t="shared" si="1270"/>
        <v>#REF!</v>
      </c>
      <c r="F714" s="22" t="str">
        <f t="shared" si="2"/>
        <v>#REF!</v>
      </c>
      <c r="G714" s="20" t="str">
        <f t="shared" ref="G714:I714" si="2136">#REF!</f>
        <v>#REF!</v>
      </c>
      <c r="H714" s="20" t="str">
        <f t="shared" si="2136"/>
        <v>#REF!</v>
      </c>
      <c r="I714" s="20" t="str">
        <f t="shared" si="2136"/>
        <v>#REF!</v>
      </c>
      <c r="J714" s="20" t="str">
        <f t="shared" si="1272"/>
        <v>#REF!</v>
      </c>
      <c r="K714" s="20" t="str">
        <f t="shared" ref="K714:L714" si="2137">#REF!</f>
        <v>#REF!</v>
      </c>
      <c r="L714" s="20" t="str">
        <f t="shared" si="2137"/>
        <v>#REF!</v>
      </c>
    </row>
    <row r="715">
      <c r="A715" s="20" t="str">
        <f t="shared" si="1267"/>
        <v>#REF!</v>
      </c>
      <c r="B715" s="20" t="str">
        <f t="shared" si="1268"/>
        <v>#REF!</v>
      </c>
      <c r="C715" s="20" t="str">
        <f t="shared" ref="C715:D715" si="2138">#REF!</f>
        <v>#REF!</v>
      </c>
      <c r="D715" s="20" t="str">
        <f t="shared" si="2138"/>
        <v>#REF!</v>
      </c>
      <c r="E715" s="20" t="str">
        <f t="shared" si="1270"/>
        <v>#REF!</v>
      </c>
      <c r="F715" s="22" t="str">
        <f t="shared" si="2"/>
        <v>#REF!</v>
      </c>
      <c r="G715" s="20" t="str">
        <f t="shared" ref="G715:I715" si="2139">#REF!</f>
        <v>#REF!</v>
      </c>
      <c r="H715" s="20" t="str">
        <f t="shared" si="2139"/>
        <v>#REF!</v>
      </c>
      <c r="I715" s="20" t="str">
        <f t="shared" si="2139"/>
        <v>#REF!</v>
      </c>
      <c r="J715" s="20" t="str">
        <f t="shared" si="1272"/>
        <v>#REF!</v>
      </c>
      <c r="K715" s="20" t="str">
        <f t="shared" ref="K715:L715" si="2140">#REF!</f>
        <v>#REF!</v>
      </c>
      <c r="L715" s="20" t="str">
        <f t="shared" si="2140"/>
        <v>#REF!</v>
      </c>
    </row>
    <row r="716">
      <c r="A716" s="20" t="str">
        <f t="shared" si="1267"/>
        <v>#REF!</v>
      </c>
      <c r="B716" s="20" t="str">
        <f t="shared" si="1268"/>
        <v>#REF!</v>
      </c>
      <c r="C716" s="20" t="str">
        <f t="shared" ref="C716:D716" si="2141">#REF!</f>
        <v>#REF!</v>
      </c>
      <c r="D716" s="20" t="str">
        <f t="shared" si="2141"/>
        <v>#REF!</v>
      </c>
      <c r="E716" s="20" t="str">
        <f t="shared" si="1270"/>
        <v>#REF!</v>
      </c>
      <c r="F716" s="22" t="str">
        <f t="shared" si="2"/>
        <v>#REF!</v>
      </c>
      <c r="G716" s="20" t="str">
        <f t="shared" ref="G716:I716" si="2142">#REF!</f>
        <v>#REF!</v>
      </c>
      <c r="H716" s="20" t="str">
        <f t="shared" si="2142"/>
        <v>#REF!</v>
      </c>
      <c r="I716" s="20" t="str">
        <f t="shared" si="2142"/>
        <v>#REF!</v>
      </c>
      <c r="J716" s="20" t="str">
        <f t="shared" si="1272"/>
        <v>#REF!</v>
      </c>
      <c r="K716" s="20" t="str">
        <f t="shared" ref="K716:L716" si="2143">#REF!</f>
        <v>#REF!</v>
      </c>
      <c r="L716" s="20" t="str">
        <f t="shared" si="2143"/>
        <v>#REF!</v>
      </c>
    </row>
    <row r="717">
      <c r="A717" s="20" t="str">
        <f t="shared" si="1267"/>
        <v>#REF!</v>
      </c>
      <c r="B717" s="20" t="str">
        <f t="shared" si="1268"/>
        <v>#REF!</v>
      </c>
      <c r="C717" s="20" t="str">
        <f t="shared" ref="C717:D717" si="2144">#REF!</f>
        <v>#REF!</v>
      </c>
      <c r="D717" s="20" t="str">
        <f t="shared" si="2144"/>
        <v>#REF!</v>
      </c>
      <c r="E717" s="20" t="str">
        <f t="shared" si="1270"/>
        <v>#REF!</v>
      </c>
      <c r="F717" s="22" t="str">
        <f t="shared" si="2"/>
        <v>#REF!</v>
      </c>
      <c r="G717" s="20" t="str">
        <f t="shared" ref="G717:I717" si="2145">#REF!</f>
        <v>#REF!</v>
      </c>
      <c r="H717" s="20" t="str">
        <f t="shared" si="2145"/>
        <v>#REF!</v>
      </c>
      <c r="I717" s="20" t="str">
        <f t="shared" si="2145"/>
        <v>#REF!</v>
      </c>
      <c r="J717" s="20" t="str">
        <f t="shared" si="1272"/>
        <v>#REF!</v>
      </c>
      <c r="K717" s="20" t="str">
        <f t="shared" ref="K717:L717" si="2146">#REF!</f>
        <v>#REF!</v>
      </c>
      <c r="L717" s="20" t="str">
        <f t="shared" si="2146"/>
        <v>#REF!</v>
      </c>
    </row>
    <row r="718">
      <c r="A718" s="20" t="str">
        <f t="shared" si="1267"/>
        <v>#REF!</v>
      </c>
      <c r="B718" s="20" t="str">
        <f t="shared" si="1268"/>
        <v>#REF!</v>
      </c>
      <c r="C718" s="20" t="str">
        <f t="shared" ref="C718:D718" si="2147">#REF!</f>
        <v>#REF!</v>
      </c>
      <c r="D718" s="20" t="str">
        <f t="shared" si="2147"/>
        <v>#REF!</v>
      </c>
      <c r="E718" s="20" t="str">
        <f t="shared" si="1270"/>
        <v>#REF!</v>
      </c>
      <c r="F718" s="22" t="str">
        <f t="shared" si="2"/>
        <v>#REF!</v>
      </c>
      <c r="G718" s="20" t="str">
        <f t="shared" ref="G718:I718" si="2148">#REF!</f>
        <v>#REF!</v>
      </c>
      <c r="H718" s="20" t="str">
        <f t="shared" si="2148"/>
        <v>#REF!</v>
      </c>
      <c r="I718" s="20" t="str">
        <f t="shared" si="2148"/>
        <v>#REF!</v>
      </c>
      <c r="J718" s="20" t="str">
        <f t="shared" si="1272"/>
        <v>#REF!</v>
      </c>
      <c r="K718" s="20" t="str">
        <f t="shared" ref="K718:L718" si="2149">#REF!</f>
        <v>#REF!</v>
      </c>
      <c r="L718" s="20" t="str">
        <f t="shared" si="2149"/>
        <v>#REF!</v>
      </c>
    </row>
    <row r="719">
      <c r="A719" s="20" t="str">
        <f t="shared" si="1267"/>
        <v>#REF!</v>
      </c>
      <c r="B719" s="20" t="str">
        <f t="shared" si="1268"/>
        <v>#REF!</v>
      </c>
      <c r="C719" s="20" t="str">
        <f t="shared" ref="C719:D719" si="2150">#REF!</f>
        <v>#REF!</v>
      </c>
      <c r="D719" s="20" t="str">
        <f t="shared" si="2150"/>
        <v>#REF!</v>
      </c>
      <c r="E719" s="20" t="str">
        <f t="shared" si="1270"/>
        <v>#REF!</v>
      </c>
      <c r="F719" s="22" t="str">
        <f t="shared" si="2"/>
        <v>#REF!</v>
      </c>
      <c r="G719" s="20" t="str">
        <f t="shared" ref="G719:I719" si="2151">#REF!</f>
        <v>#REF!</v>
      </c>
      <c r="H719" s="20" t="str">
        <f t="shared" si="2151"/>
        <v>#REF!</v>
      </c>
      <c r="I719" s="20" t="str">
        <f t="shared" si="2151"/>
        <v>#REF!</v>
      </c>
      <c r="J719" s="20" t="str">
        <f t="shared" si="1272"/>
        <v>#REF!</v>
      </c>
      <c r="K719" s="20" t="str">
        <f t="shared" ref="K719:L719" si="2152">#REF!</f>
        <v>#REF!</v>
      </c>
      <c r="L719" s="20" t="str">
        <f t="shared" si="2152"/>
        <v>#REF!</v>
      </c>
    </row>
    <row r="720">
      <c r="A720" s="20" t="str">
        <f t="shared" si="1267"/>
        <v>#REF!</v>
      </c>
      <c r="B720" s="20" t="str">
        <f t="shared" si="1268"/>
        <v>#REF!</v>
      </c>
      <c r="C720" s="20" t="str">
        <f t="shared" ref="C720:D720" si="2153">#REF!</f>
        <v>#REF!</v>
      </c>
      <c r="D720" s="20" t="str">
        <f t="shared" si="2153"/>
        <v>#REF!</v>
      </c>
      <c r="E720" s="20" t="str">
        <f t="shared" si="1270"/>
        <v>#REF!</v>
      </c>
      <c r="F720" s="22" t="str">
        <f t="shared" si="2"/>
        <v>#REF!</v>
      </c>
      <c r="G720" s="20" t="str">
        <f t="shared" ref="G720:I720" si="2154">#REF!</f>
        <v>#REF!</v>
      </c>
      <c r="H720" s="20" t="str">
        <f t="shared" si="2154"/>
        <v>#REF!</v>
      </c>
      <c r="I720" s="20" t="str">
        <f t="shared" si="2154"/>
        <v>#REF!</v>
      </c>
      <c r="J720" s="20" t="str">
        <f t="shared" si="1272"/>
        <v>#REF!</v>
      </c>
      <c r="K720" s="20" t="str">
        <f t="shared" ref="K720:L720" si="2155">#REF!</f>
        <v>#REF!</v>
      </c>
      <c r="L720" s="20" t="str">
        <f t="shared" si="2155"/>
        <v>#REF!</v>
      </c>
    </row>
    <row r="721">
      <c r="A721" s="20" t="str">
        <f t="shared" si="1267"/>
        <v>#REF!</v>
      </c>
      <c r="B721" s="20" t="str">
        <f t="shared" si="1268"/>
        <v>#REF!</v>
      </c>
      <c r="C721" s="20" t="str">
        <f t="shared" ref="C721:D721" si="2156">#REF!</f>
        <v>#REF!</v>
      </c>
      <c r="D721" s="20" t="str">
        <f t="shared" si="2156"/>
        <v>#REF!</v>
      </c>
      <c r="E721" s="20" t="str">
        <f t="shared" si="1270"/>
        <v>#REF!</v>
      </c>
      <c r="F721" s="22" t="str">
        <f t="shared" si="2"/>
        <v>#REF!</v>
      </c>
      <c r="G721" s="20" t="str">
        <f t="shared" ref="G721:I721" si="2157">#REF!</f>
        <v>#REF!</v>
      </c>
      <c r="H721" s="20" t="str">
        <f t="shared" si="2157"/>
        <v>#REF!</v>
      </c>
      <c r="I721" s="20" t="str">
        <f t="shared" si="2157"/>
        <v>#REF!</v>
      </c>
      <c r="J721" s="20" t="str">
        <f t="shared" si="1272"/>
        <v>#REF!</v>
      </c>
      <c r="K721" s="20" t="str">
        <f t="shared" ref="K721:L721" si="2158">#REF!</f>
        <v>#REF!</v>
      </c>
      <c r="L721" s="20" t="str">
        <f t="shared" si="2158"/>
        <v>#REF!</v>
      </c>
    </row>
    <row r="722">
      <c r="A722" s="20" t="str">
        <f t="shared" si="1267"/>
        <v>#REF!</v>
      </c>
      <c r="B722" s="20" t="str">
        <f t="shared" si="1268"/>
        <v>#REF!</v>
      </c>
      <c r="C722" s="20" t="str">
        <f t="shared" ref="C722:D722" si="2159">#REF!</f>
        <v>#REF!</v>
      </c>
      <c r="D722" s="20" t="str">
        <f t="shared" si="2159"/>
        <v>#REF!</v>
      </c>
      <c r="E722" s="20" t="str">
        <f t="shared" si="1270"/>
        <v>#REF!</v>
      </c>
      <c r="F722" s="22" t="str">
        <f t="shared" si="2"/>
        <v>#REF!</v>
      </c>
      <c r="G722" s="20" t="str">
        <f t="shared" ref="G722:I722" si="2160">#REF!</f>
        <v>#REF!</v>
      </c>
      <c r="H722" s="20" t="str">
        <f t="shared" si="2160"/>
        <v>#REF!</v>
      </c>
      <c r="I722" s="20" t="str">
        <f t="shared" si="2160"/>
        <v>#REF!</v>
      </c>
      <c r="J722" s="20" t="str">
        <f t="shared" si="1272"/>
        <v>#REF!</v>
      </c>
      <c r="K722" s="20" t="str">
        <f t="shared" ref="K722:L722" si="2161">#REF!</f>
        <v>#REF!</v>
      </c>
      <c r="L722" s="20" t="str">
        <f t="shared" si="2161"/>
        <v>#REF!</v>
      </c>
    </row>
    <row r="723">
      <c r="A723" s="20" t="str">
        <f t="shared" si="1267"/>
        <v>#REF!</v>
      </c>
      <c r="B723" s="20" t="str">
        <f t="shared" si="1268"/>
        <v>#REF!</v>
      </c>
      <c r="C723" s="20" t="str">
        <f t="shared" ref="C723:D723" si="2162">#REF!</f>
        <v>#REF!</v>
      </c>
      <c r="D723" s="20" t="str">
        <f t="shared" si="2162"/>
        <v>#REF!</v>
      </c>
      <c r="E723" s="20" t="str">
        <f t="shared" si="1270"/>
        <v>#REF!</v>
      </c>
      <c r="F723" s="22" t="str">
        <f t="shared" si="2"/>
        <v>#REF!</v>
      </c>
      <c r="G723" s="20" t="str">
        <f t="shared" ref="G723:I723" si="2163">#REF!</f>
        <v>#REF!</v>
      </c>
      <c r="H723" s="20" t="str">
        <f t="shared" si="2163"/>
        <v>#REF!</v>
      </c>
      <c r="I723" s="20" t="str">
        <f t="shared" si="2163"/>
        <v>#REF!</v>
      </c>
      <c r="J723" s="20" t="str">
        <f t="shared" si="1272"/>
        <v>#REF!</v>
      </c>
      <c r="K723" s="20" t="str">
        <f t="shared" ref="K723:L723" si="2164">#REF!</f>
        <v>#REF!</v>
      </c>
      <c r="L723" s="20" t="str">
        <f t="shared" si="2164"/>
        <v>#REF!</v>
      </c>
    </row>
    <row r="724">
      <c r="A724" s="20" t="str">
        <f t="shared" si="1267"/>
        <v>#REF!</v>
      </c>
      <c r="B724" s="20" t="str">
        <f t="shared" si="1268"/>
        <v>#REF!</v>
      </c>
      <c r="C724" s="20" t="str">
        <f t="shared" ref="C724:D724" si="2165">#REF!</f>
        <v>#REF!</v>
      </c>
      <c r="D724" s="20" t="str">
        <f t="shared" si="2165"/>
        <v>#REF!</v>
      </c>
      <c r="E724" s="20" t="str">
        <f t="shared" si="1270"/>
        <v>#REF!</v>
      </c>
      <c r="F724" s="22" t="str">
        <f t="shared" si="2"/>
        <v>#REF!</v>
      </c>
      <c r="G724" s="20" t="str">
        <f t="shared" ref="G724:I724" si="2166">#REF!</f>
        <v>#REF!</v>
      </c>
      <c r="H724" s="20" t="str">
        <f t="shared" si="2166"/>
        <v>#REF!</v>
      </c>
      <c r="I724" s="20" t="str">
        <f t="shared" si="2166"/>
        <v>#REF!</v>
      </c>
      <c r="J724" s="20" t="str">
        <f t="shared" si="1272"/>
        <v>#REF!</v>
      </c>
      <c r="K724" s="20" t="str">
        <f t="shared" ref="K724:L724" si="2167">#REF!</f>
        <v>#REF!</v>
      </c>
      <c r="L724" s="20" t="str">
        <f t="shared" si="2167"/>
        <v>#REF!</v>
      </c>
    </row>
    <row r="725">
      <c r="A725" s="20" t="str">
        <f t="shared" si="1267"/>
        <v>#REF!</v>
      </c>
      <c r="B725" s="20" t="str">
        <f t="shared" si="1268"/>
        <v>#REF!</v>
      </c>
      <c r="C725" s="20" t="str">
        <f t="shared" ref="C725:D725" si="2168">#REF!</f>
        <v>#REF!</v>
      </c>
      <c r="D725" s="20" t="str">
        <f t="shared" si="2168"/>
        <v>#REF!</v>
      </c>
      <c r="E725" s="20" t="str">
        <f t="shared" si="1270"/>
        <v>#REF!</v>
      </c>
      <c r="F725" s="22" t="str">
        <f t="shared" si="2"/>
        <v>#REF!</v>
      </c>
      <c r="G725" s="20" t="str">
        <f t="shared" ref="G725:I725" si="2169">#REF!</f>
        <v>#REF!</v>
      </c>
      <c r="H725" s="20" t="str">
        <f t="shared" si="2169"/>
        <v>#REF!</v>
      </c>
      <c r="I725" s="20" t="str">
        <f t="shared" si="2169"/>
        <v>#REF!</v>
      </c>
      <c r="J725" s="20" t="str">
        <f t="shared" si="1272"/>
        <v>#REF!</v>
      </c>
      <c r="K725" s="20" t="str">
        <f t="shared" ref="K725:L725" si="2170">#REF!</f>
        <v>#REF!</v>
      </c>
      <c r="L725" s="20" t="str">
        <f t="shared" si="2170"/>
        <v>#REF!</v>
      </c>
    </row>
    <row r="726">
      <c r="A726" s="20" t="str">
        <f t="shared" si="1267"/>
        <v>#REF!</v>
      </c>
      <c r="B726" s="20" t="str">
        <f t="shared" si="1268"/>
        <v>#REF!</v>
      </c>
      <c r="C726" s="20" t="str">
        <f t="shared" ref="C726:D726" si="2171">#REF!</f>
        <v>#REF!</v>
      </c>
      <c r="D726" s="20" t="str">
        <f t="shared" si="2171"/>
        <v>#REF!</v>
      </c>
      <c r="E726" s="20" t="str">
        <f t="shared" si="1270"/>
        <v>#REF!</v>
      </c>
      <c r="F726" s="22" t="str">
        <f t="shared" si="2"/>
        <v>#REF!</v>
      </c>
      <c r="G726" s="20" t="str">
        <f t="shared" ref="G726:I726" si="2172">#REF!</f>
        <v>#REF!</v>
      </c>
      <c r="H726" s="20" t="str">
        <f t="shared" si="2172"/>
        <v>#REF!</v>
      </c>
      <c r="I726" s="20" t="str">
        <f t="shared" si="2172"/>
        <v>#REF!</v>
      </c>
      <c r="J726" s="20" t="str">
        <f t="shared" si="1272"/>
        <v>#REF!</v>
      </c>
      <c r="K726" s="20" t="str">
        <f t="shared" ref="K726:L726" si="2173">#REF!</f>
        <v>#REF!</v>
      </c>
      <c r="L726" s="20" t="str">
        <f t="shared" si="2173"/>
        <v>#REF!</v>
      </c>
    </row>
    <row r="727">
      <c r="A727" s="20" t="str">
        <f t="shared" si="1267"/>
        <v>#REF!</v>
      </c>
      <c r="B727" s="20" t="str">
        <f t="shared" si="1268"/>
        <v>#REF!</v>
      </c>
      <c r="C727" s="20" t="str">
        <f t="shared" ref="C727:D727" si="2174">#REF!</f>
        <v>#REF!</v>
      </c>
      <c r="D727" s="20" t="str">
        <f t="shared" si="2174"/>
        <v>#REF!</v>
      </c>
      <c r="E727" s="20" t="str">
        <f t="shared" si="1270"/>
        <v>#REF!</v>
      </c>
      <c r="F727" s="22" t="str">
        <f t="shared" si="2"/>
        <v>#REF!</v>
      </c>
      <c r="G727" s="20" t="str">
        <f t="shared" ref="G727:I727" si="2175">#REF!</f>
        <v>#REF!</v>
      </c>
      <c r="H727" s="20" t="str">
        <f t="shared" si="2175"/>
        <v>#REF!</v>
      </c>
      <c r="I727" s="20" t="str">
        <f t="shared" si="2175"/>
        <v>#REF!</v>
      </c>
      <c r="J727" s="20" t="str">
        <f t="shared" si="1272"/>
        <v>#REF!</v>
      </c>
      <c r="K727" s="20" t="str">
        <f t="shared" ref="K727:L727" si="2176">#REF!</f>
        <v>#REF!</v>
      </c>
      <c r="L727" s="20" t="str">
        <f t="shared" si="2176"/>
        <v>#REF!</v>
      </c>
    </row>
    <row r="728">
      <c r="A728" s="20" t="str">
        <f t="shared" si="1267"/>
        <v>#REF!</v>
      </c>
      <c r="B728" s="20" t="str">
        <f t="shared" si="1268"/>
        <v>#REF!</v>
      </c>
      <c r="C728" s="20" t="str">
        <f t="shared" ref="C728:D728" si="2177">#REF!</f>
        <v>#REF!</v>
      </c>
      <c r="D728" s="20" t="str">
        <f t="shared" si="2177"/>
        <v>#REF!</v>
      </c>
      <c r="E728" s="20" t="str">
        <f t="shared" si="1270"/>
        <v>#REF!</v>
      </c>
      <c r="F728" s="22" t="str">
        <f t="shared" si="2"/>
        <v>#REF!</v>
      </c>
      <c r="G728" s="20" t="str">
        <f t="shared" ref="G728:I728" si="2178">#REF!</f>
        <v>#REF!</v>
      </c>
      <c r="H728" s="20" t="str">
        <f t="shared" si="2178"/>
        <v>#REF!</v>
      </c>
      <c r="I728" s="20" t="str">
        <f t="shared" si="2178"/>
        <v>#REF!</v>
      </c>
      <c r="J728" s="20" t="str">
        <f t="shared" si="1272"/>
        <v>#REF!</v>
      </c>
      <c r="K728" s="20" t="str">
        <f t="shared" ref="K728:L728" si="2179">#REF!</f>
        <v>#REF!</v>
      </c>
      <c r="L728" s="20" t="str">
        <f t="shared" si="2179"/>
        <v>#REF!</v>
      </c>
    </row>
    <row r="729">
      <c r="A729" s="20" t="str">
        <f t="shared" si="1267"/>
        <v>#REF!</v>
      </c>
      <c r="B729" s="20" t="str">
        <f t="shared" si="1268"/>
        <v>#REF!</v>
      </c>
      <c r="C729" s="20" t="str">
        <f t="shared" ref="C729:D729" si="2180">#REF!</f>
        <v>#REF!</v>
      </c>
      <c r="D729" s="20" t="str">
        <f t="shared" si="2180"/>
        <v>#REF!</v>
      </c>
      <c r="E729" s="20" t="str">
        <f t="shared" si="1270"/>
        <v>#REF!</v>
      </c>
      <c r="F729" s="22" t="str">
        <f t="shared" si="2"/>
        <v>#REF!</v>
      </c>
      <c r="G729" s="20" t="str">
        <f t="shared" ref="G729:I729" si="2181">#REF!</f>
        <v>#REF!</v>
      </c>
      <c r="H729" s="20" t="str">
        <f t="shared" si="2181"/>
        <v>#REF!</v>
      </c>
      <c r="I729" s="20" t="str">
        <f t="shared" si="2181"/>
        <v>#REF!</v>
      </c>
      <c r="J729" s="20" t="str">
        <f t="shared" si="1272"/>
        <v>#REF!</v>
      </c>
      <c r="K729" s="20" t="str">
        <f t="shared" ref="K729:L729" si="2182">#REF!</f>
        <v>#REF!</v>
      </c>
      <c r="L729" s="20" t="str">
        <f t="shared" si="2182"/>
        <v>#REF!</v>
      </c>
    </row>
    <row r="730">
      <c r="A730" s="20" t="str">
        <f t="shared" si="1267"/>
        <v>#REF!</v>
      </c>
      <c r="B730" s="20" t="str">
        <f t="shared" si="1268"/>
        <v>#REF!</v>
      </c>
      <c r="C730" s="20" t="str">
        <f t="shared" ref="C730:D730" si="2183">#REF!</f>
        <v>#REF!</v>
      </c>
      <c r="D730" s="20" t="str">
        <f t="shared" si="2183"/>
        <v>#REF!</v>
      </c>
      <c r="E730" s="20" t="str">
        <f t="shared" si="1270"/>
        <v>#REF!</v>
      </c>
      <c r="F730" s="22" t="str">
        <f t="shared" si="2"/>
        <v>#REF!</v>
      </c>
      <c r="G730" s="20" t="str">
        <f t="shared" ref="G730:I730" si="2184">#REF!</f>
        <v>#REF!</v>
      </c>
      <c r="H730" s="20" t="str">
        <f t="shared" si="2184"/>
        <v>#REF!</v>
      </c>
      <c r="I730" s="20" t="str">
        <f t="shared" si="2184"/>
        <v>#REF!</v>
      </c>
      <c r="J730" s="20" t="str">
        <f t="shared" si="1272"/>
        <v>#REF!</v>
      </c>
      <c r="K730" s="20" t="str">
        <f t="shared" ref="K730:L730" si="2185">#REF!</f>
        <v>#REF!</v>
      </c>
      <c r="L730" s="20" t="str">
        <f t="shared" si="2185"/>
        <v>#REF!</v>
      </c>
    </row>
    <row r="731">
      <c r="A731" s="20" t="str">
        <f t="shared" si="1267"/>
        <v>#REF!</v>
      </c>
      <c r="B731" s="20" t="str">
        <f t="shared" si="1268"/>
        <v>#REF!</v>
      </c>
      <c r="C731" s="20" t="str">
        <f t="shared" ref="C731:D731" si="2186">#REF!</f>
        <v>#REF!</v>
      </c>
      <c r="D731" s="20" t="str">
        <f t="shared" si="2186"/>
        <v>#REF!</v>
      </c>
      <c r="E731" s="20" t="str">
        <f t="shared" si="1270"/>
        <v>#REF!</v>
      </c>
      <c r="F731" s="22" t="str">
        <f t="shared" si="2"/>
        <v>#REF!</v>
      </c>
      <c r="G731" s="20" t="str">
        <f t="shared" ref="G731:I731" si="2187">#REF!</f>
        <v>#REF!</v>
      </c>
      <c r="H731" s="20" t="str">
        <f t="shared" si="2187"/>
        <v>#REF!</v>
      </c>
      <c r="I731" s="20" t="str">
        <f t="shared" si="2187"/>
        <v>#REF!</v>
      </c>
      <c r="J731" s="20" t="str">
        <f t="shared" si="1272"/>
        <v>#REF!</v>
      </c>
      <c r="K731" s="20" t="str">
        <f t="shared" ref="K731:L731" si="2188">#REF!</f>
        <v>#REF!</v>
      </c>
      <c r="L731" s="20" t="str">
        <f t="shared" si="2188"/>
        <v>#REF!</v>
      </c>
    </row>
    <row r="732">
      <c r="A732" s="20" t="str">
        <f t="shared" si="1267"/>
        <v>#REF!</v>
      </c>
      <c r="B732" s="20" t="str">
        <f t="shared" si="1268"/>
        <v>#REF!</v>
      </c>
      <c r="C732" s="20" t="str">
        <f t="shared" ref="C732:D732" si="2189">#REF!</f>
        <v>#REF!</v>
      </c>
      <c r="D732" s="20" t="str">
        <f t="shared" si="2189"/>
        <v>#REF!</v>
      </c>
      <c r="E732" s="20" t="str">
        <f t="shared" si="1270"/>
        <v>#REF!</v>
      </c>
      <c r="F732" s="22" t="str">
        <f t="shared" si="2"/>
        <v>#REF!</v>
      </c>
      <c r="G732" s="20" t="str">
        <f t="shared" ref="G732:I732" si="2190">#REF!</f>
        <v>#REF!</v>
      </c>
      <c r="H732" s="20" t="str">
        <f t="shared" si="2190"/>
        <v>#REF!</v>
      </c>
      <c r="I732" s="20" t="str">
        <f t="shared" si="2190"/>
        <v>#REF!</v>
      </c>
      <c r="J732" s="20" t="str">
        <f t="shared" si="1272"/>
        <v>#REF!</v>
      </c>
      <c r="K732" s="20" t="str">
        <f t="shared" ref="K732:L732" si="2191">#REF!</f>
        <v>#REF!</v>
      </c>
      <c r="L732" s="20" t="str">
        <f t="shared" si="2191"/>
        <v>#REF!</v>
      </c>
    </row>
    <row r="733">
      <c r="A733" s="20" t="str">
        <f t="shared" si="1267"/>
        <v>#REF!</v>
      </c>
      <c r="B733" s="20" t="str">
        <f t="shared" si="1268"/>
        <v>#REF!</v>
      </c>
      <c r="C733" s="20" t="str">
        <f t="shared" ref="C733:D733" si="2192">#REF!</f>
        <v>#REF!</v>
      </c>
      <c r="D733" s="20" t="str">
        <f t="shared" si="2192"/>
        <v>#REF!</v>
      </c>
      <c r="E733" s="20" t="str">
        <f t="shared" si="1270"/>
        <v>#REF!</v>
      </c>
      <c r="F733" s="22" t="str">
        <f t="shared" si="2"/>
        <v>#REF!</v>
      </c>
      <c r="G733" s="20" t="str">
        <f t="shared" ref="G733:I733" si="2193">#REF!</f>
        <v>#REF!</v>
      </c>
      <c r="H733" s="20" t="str">
        <f t="shared" si="2193"/>
        <v>#REF!</v>
      </c>
      <c r="I733" s="20" t="str">
        <f t="shared" si="2193"/>
        <v>#REF!</v>
      </c>
      <c r="J733" s="20" t="str">
        <f t="shared" si="1272"/>
        <v>#REF!</v>
      </c>
      <c r="K733" s="20" t="str">
        <f t="shared" ref="K733:L733" si="2194">#REF!</f>
        <v>#REF!</v>
      </c>
      <c r="L733" s="20" t="str">
        <f t="shared" si="2194"/>
        <v>#REF!</v>
      </c>
    </row>
    <row r="734">
      <c r="A734" s="20" t="str">
        <f t="shared" si="1267"/>
        <v>#REF!</v>
      </c>
      <c r="B734" s="20" t="str">
        <f t="shared" si="1268"/>
        <v>#REF!</v>
      </c>
      <c r="C734" s="20" t="str">
        <f t="shared" ref="C734:D734" si="2195">#REF!</f>
        <v>#REF!</v>
      </c>
      <c r="D734" s="20" t="str">
        <f t="shared" si="2195"/>
        <v>#REF!</v>
      </c>
      <c r="E734" s="20" t="str">
        <f t="shared" si="1270"/>
        <v>#REF!</v>
      </c>
      <c r="F734" s="22" t="str">
        <f t="shared" si="2"/>
        <v>#REF!</v>
      </c>
      <c r="G734" s="20" t="str">
        <f t="shared" ref="G734:I734" si="2196">#REF!</f>
        <v>#REF!</v>
      </c>
      <c r="H734" s="20" t="str">
        <f t="shared" si="2196"/>
        <v>#REF!</v>
      </c>
      <c r="I734" s="20" t="str">
        <f t="shared" si="2196"/>
        <v>#REF!</v>
      </c>
      <c r="J734" s="20" t="str">
        <f t="shared" si="1272"/>
        <v>#REF!</v>
      </c>
      <c r="K734" s="20" t="str">
        <f t="shared" ref="K734:L734" si="2197">#REF!</f>
        <v>#REF!</v>
      </c>
      <c r="L734" s="20" t="str">
        <f t="shared" si="2197"/>
        <v>#REF!</v>
      </c>
    </row>
    <row r="735">
      <c r="A735" s="20" t="str">
        <f t="shared" si="1267"/>
        <v>#REF!</v>
      </c>
      <c r="B735" s="20" t="str">
        <f t="shared" si="1268"/>
        <v>#REF!</v>
      </c>
      <c r="C735" s="20" t="str">
        <f t="shared" ref="C735:D735" si="2198">#REF!</f>
        <v>#REF!</v>
      </c>
      <c r="D735" s="20" t="str">
        <f t="shared" si="2198"/>
        <v>#REF!</v>
      </c>
      <c r="E735" s="20" t="str">
        <f t="shared" si="1270"/>
        <v>#REF!</v>
      </c>
      <c r="F735" s="22" t="str">
        <f t="shared" si="2"/>
        <v>#REF!</v>
      </c>
      <c r="G735" s="20" t="str">
        <f t="shared" ref="G735:I735" si="2199">#REF!</f>
        <v>#REF!</v>
      </c>
      <c r="H735" s="20" t="str">
        <f t="shared" si="2199"/>
        <v>#REF!</v>
      </c>
      <c r="I735" s="20" t="str">
        <f t="shared" si="2199"/>
        <v>#REF!</v>
      </c>
      <c r="J735" s="20" t="str">
        <f t="shared" si="1272"/>
        <v>#REF!</v>
      </c>
      <c r="K735" s="20" t="str">
        <f t="shared" ref="K735:L735" si="2200">#REF!</f>
        <v>#REF!</v>
      </c>
      <c r="L735" s="20" t="str">
        <f t="shared" si="2200"/>
        <v>#REF!</v>
      </c>
    </row>
    <row r="736">
      <c r="A736" s="20" t="str">
        <f t="shared" si="1267"/>
        <v>#REF!</v>
      </c>
      <c r="B736" s="20" t="str">
        <f t="shared" si="1268"/>
        <v>#REF!</v>
      </c>
      <c r="C736" s="20" t="str">
        <f t="shared" ref="C736:D736" si="2201">#REF!</f>
        <v>#REF!</v>
      </c>
      <c r="D736" s="20" t="str">
        <f t="shared" si="2201"/>
        <v>#REF!</v>
      </c>
      <c r="E736" s="20" t="str">
        <f t="shared" si="1270"/>
        <v>#REF!</v>
      </c>
      <c r="F736" s="22" t="str">
        <f t="shared" si="2"/>
        <v>#REF!</v>
      </c>
      <c r="G736" s="20" t="str">
        <f t="shared" ref="G736:I736" si="2202">#REF!</f>
        <v>#REF!</v>
      </c>
      <c r="H736" s="20" t="str">
        <f t="shared" si="2202"/>
        <v>#REF!</v>
      </c>
      <c r="I736" s="20" t="str">
        <f t="shared" si="2202"/>
        <v>#REF!</v>
      </c>
      <c r="J736" s="20" t="str">
        <f t="shared" si="1272"/>
        <v>#REF!</v>
      </c>
      <c r="K736" s="20" t="str">
        <f t="shared" ref="K736:L736" si="2203">#REF!</f>
        <v>#REF!</v>
      </c>
      <c r="L736" s="20" t="str">
        <f t="shared" si="2203"/>
        <v>#REF!</v>
      </c>
    </row>
    <row r="737">
      <c r="A737" s="20" t="str">
        <f t="shared" si="1267"/>
        <v>#REF!</v>
      </c>
      <c r="B737" s="20" t="str">
        <f t="shared" si="1268"/>
        <v>#REF!</v>
      </c>
      <c r="C737" s="20" t="str">
        <f t="shared" ref="C737:D737" si="2204">#REF!</f>
        <v>#REF!</v>
      </c>
      <c r="D737" s="20" t="str">
        <f t="shared" si="2204"/>
        <v>#REF!</v>
      </c>
      <c r="E737" s="20" t="str">
        <f t="shared" si="1270"/>
        <v>#REF!</v>
      </c>
      <c r="F737" s="22" t="str">
        <f t="shared" si="2"/>
        <v>#REF!</v>
      </c>
      <c r="G737" s="20" t="str">
        <f t="shared" ref="G737:I737" si="2205">#REF!</f>
        <v>#REF!</v>
      </c>
      <c r="H737" s="20" t="str">
        <f t="shared" si="2205"/>
        <v>#REF!</v>
      </c>
      <c r="I737" s="20" t="str">
        <f t="shared" si="2205"/>
        <v>#REF!</v>
      </c>
      <c r="J737" s="20" t="str">
        <f t="shared" si="1272"/>
        <v>#REF!</v>
      </c>
      <c r="K737" s="20" t="str">
        <f t="shared" ref="K737:L737" si="2206">#REF!</f>
        <v>#REF!</v>
      </c>
      <c r="L737" s="20" t="str">
        <f t="shared" si="2206"/>
        <v>#REF!</v>
      </c>
    </row>
    <row r="738">
      <c r="A738" s="20" t="str">
        <f t="shared" si="1267"/>
        <v>#REF!</v>
      </c>
      <c r="B738" s="20" t="str">
        <f t="shared" si="1268"/>
        <v>#REF!</v>
      </c>
      <c r="C738" s="20" t="str">
        <f t="shared" ref="C738:D738" si="2207">#REF!</f>
        <v>#REF!</v>
      </c>
      <c r="D738" s="20" t="str">
        <f t="shared" si="2207"/>
        <v>#REF!</v>
      </c>
      <c r="E738" s="20" t="str">
        <f t="shared" si="1270"/>
        <v>#REF!</v>
      </c>
      <c r="F738" s="22" t="str">
        <f t="shared" si="2"/>
        <v>#REF!</v>
      </c>
      <c r="G738" s="20" t="str">
        <f t="shared" ref="G738:I738" si="2208">#REF!</f>
        <v>#REF!</v>
      </c>
      <c r="H738" s="20" t="str">
        <f t="shared" si="2208"/>
        <v>#REF!</v>
      </c>
      <c r="I738" s="20" t="str">
        <f t="shared" si="2208"/>
        <v>#REF!</v>
      </c>
      <c r="J738" s="20" t="str">
        <f t="shared" si="1272"/>
        <v>#REF!</v>
      </c>
      <c r="K738" s="20" t="str">
        <f t="shared" ref="K738:L738" si="2209">#REF!</f>
        <v>#REF!</v>
      </c>
      <c r="L738" s="20" t="str">
        <f t="shared" si="2209"/>
        <v>#REF!</v>
      </c>
    </row>
    <row r="739">
      <c r="A739" s="20" t="str">
        <f t="shared" si="1267"/>
        <v>#REF!</v>
      </c>
      <c r="B739" s="20" t="str">
        <f t="shared" si="1268"/>
        <v>#REF!</v>
      </c>
      <c r="C739" s="20" t="str">
        <f t="shared" ref="C739:D739" si="2210">#REF!</f>
        <v>#REF!</v>
      </c>
      <c r="D739" s="20" t="str">
        <f t="shared" si="2210"/>
        <v>#REF!</v>
      </c>
      <c r="E739" s="20" t="str">
        <f t="shared" si="1270"/>
        <v>#REF!</v>
      </c>
      <c r="F739" s="22" t="str">
        <f t="shared" si="2"/>
        <v>#REF!</v>
      </c>
      <c r="G739" s="20" t="str">
        <f t="shared" ref="G739:I739" si="2211">#REF!</f>
        <v>#REF!</v>
      </c>
      <c r="H739" s="20" t="str">
        <f t="shared" si="2211"/>
        <v>#REF!</v>
      </c>
      <c r="I739" s="20" t="str">
        <f t="shared" si="2211"/>
        <v>#REF!</v>
      </c>
      <c r="J739" s="20" t="str">
        <f t="shared" si="1272"/>
        <v>#REF!</v>
      </c>
      <c r="K739" s="20" t="str">
        <f t="shared" ref="K739:L739" si="2212">#REF!</f>
        <v>#REF!</v>
      </c>
      <c r="L739" s="20" t="str">
        <f t="shared" si="2212"/>
        <v>#REF!</v>
      </c>
    </row>
    <row r="740">
      <c r="A740" s="20" t="str">
        <f t="shared" si="1267"/>
        <v>#REF!</v>
      </c>
      <c r="B740" s="20" t="str">
        <f t="shared" si="1268"/>
        <v>#REF!</v>
      </c>
      <c r="C740" s="20" t="str">
        <f t="shared" ref="C740:D740" si="2213">#REF!</f>
        <v>#REF!</v>
      </c>
      <c r="D740" s="20" t="str">
        <f t="shared" si="2213"/>
        <v>#REF!</v>
      </c>
      <c r="E740" s="20" t="str">
        <f t="shared" si="1270"/>
        <v>#REF!</v>
      </c>
      <c r="F740" s="22" t="str">
        <f t="shared" si="2"/>
        <v>#REF!</v>
      </c>
      <c r="G740" s="20" t="str">
        <f t="shared" ref="G740:I740" si="2214">#REF!</f>
        <v>#REF!</v>
      </c>
      <c r="H740" s="20" t="str">
        <f t="shared" si="2214"/>
        <v>#REF!</v>
      </c>
      <c r="I740" s="20" t="str">
        <f t="shared" si="2214"/>
        <v>#REF!</v>
      </c>
      <c r="J740" s="20" t="str">
        <f t="shared" si="1272"/>
        <v>#REF!</v>
      </c>
      <c r="K740" s="20" t="str">
        <f t="shared" ref="K740:L740" si="2215">#REF!</f>
        <v>#REF!</v>
      </c>
      <c r="L740" s="20" t="str">
        <f t="shared" si="2215"/>
        <v>#REF!</v>
      </c>
    </row>
    <row r="741">
      <c r="A741" s="20" t="str">
        <f t="shared" si="1267"/>
        <v>#REF!</v>
      </c>
      <c r="B741" s="20" t="str">
        <f t="shared" si="1268"/>
        <v>#REF!</v>
      </c>
      <c r="C741" s="20" t="str">
        <f t="shared" ref="C741:D741" si="2216">#REF!</f>
        <v>#REF!</v>
      </c>
      <c r="D741" s="20" t="str">
        <f t="shared" si="2216"/>
        <v>#REF!</v>
      </c>
      <c r="E741" s="20" t="str">
        <f t="shared" si="1270"/>
        <v>#REF!</v>
      </c>
      <c r="F741" s="22" t="str">
        <f t="shared" si="2"/>
        <v>#REF!</v>
      </c>
      <c r="G741" s="20" t="str">
        <f t="shared" ref="G741:I741" si="2217">#REF!</f>
        <v>#REF!</v>
      </c>
      <c r="H741" s="20" t="str">
        <f t="shared" si="2217"/>
        <v>#REF!</v>
      </c>
      <c r="I741" s="20" t="str">
        <f t="shared" si="2217"/>
        <v>#REF!</v>
      </c>
      <c r="J741" s="20" t="str">
        <f t="shared" si="1272"/>
        <v>#REF!</v>
      </c>
      <c r="K741" s="20" t="str">
        <f t="shared" ref="K741:L741" si="2218">#REF!</f>
        <v>#REF!</v>
      </c>
      <c r="L741" s="20" t="str">
        <f t="shared" si="2218"/>
        <v>#REF!</v>
      </c>
    </row>
    <row r="742">
      <c r="A742" s="20" t="str">
        <f t="shared" si="1267"/>
        <v>#REF!</v>
      </c>
      <c r="B742" s="20" t="str">
        <f t="shared" si="1268"/>
        <v>#REF!</v>
      </c>
      <c r="C742" s="20" t="str">
        <f t="shared" ref="C742:D742" si="2219">#REF!</f>
        <v>#REF!</v>
      </c>
      <c r="D742" s="20" t="str">
        <f t="shared" si="2219"/>
        <v>#REF!</v>
      </c>
      <c r="E742" s="20" t="str">
        <f t="shared" si="1270"/>
        <v>#REF!</v>
      </c>
      <c r="F742" s="22" t="str">
        <f t="shared" si="2"/>
        <v>#REF!</v>
      </c>
      <c r="G742" s="20" t="str">
        <f t="shared" ref="G742:I742" si="2220">#REF!</f>
        <v>#REF!</v>
      </c>
      <c r="H742" s="20" t="str">
        <f t="shared" si="2220"/>
        <v>#REF!</v>
      </c>
      <c r="I742" s="20" t="str">
        <f t="shared" si="2220"/>
        <v>#REF!</v>
      </c>
      <c r="J742" s="20" t="str">
        <f t="shared" si="1272"/>
        <v>#REF!</v>
      </c>
      <c r="K742" s="20" t="str">
        <f t="shared" ref="K742:L742" si="2221">#REF!</f>
        <v>#REF!</v>
      </c>
      <c r="L742" s="20" t="str">
        <f t="shared" si="2221"/>
        <v>#REF!</v>
      </c>
    </row>
    <row r="743">
      <c r="A743" s="20" t="str">
        <f t="shared" si="1267"/>
        <v>#REF!</v>
      </c>
      <c r="B743" s="20" t="str">
        <f t="shared" si="1268"/>
        <v>#REF!</v>
      </c>
      <c r="C743" s="20" t="str">
        <f t="shared" ref="C743:D743" si="2222">#REF!</f>
        <v>#REF!</v>
      </c>
      <c r="D743" s="20" t="str">
        <f t="shared" si="2222"/>
        <v>#REF!</v>
      </c>
      <c r="E743" s="20" t="str">
        <f t="shared" si="1270"/>
        <v>#REF!</v>
      </c>
      <c r="F743" s="22" t="str">
        <f t="shared" si="2"/>
        <v>#REF!</v>
      </c>
      <c r="G743" s="20" t="str">
        <f t="shared" ref="G743:I743" si="2223">#REF!</f>
        <v>#REF!</v>
      </c>
      <c r="H743" s="20" t="str">
        <f t="shared" si="2223"/>
        <v>#REF!</v>
      </c>
      <c r="I743" s="20" t="str">
        <f t="shared" si="2223"/>
        <v>#REF!</v>
      </c>
      <c r="J743" s="20" t="str">
        <f t="shared" si="1272"/>
        <v>#REF!</v>
      </c>
      <c r="K743" s="20" t="str">
        <f t="shared" ref="K743:L743" si="2224">#REF!</f>
        <v>#REF!</v>
      </c>
      <c r="L743" s="20" t="str">
        <f t="shared" si="2224"/>
        <v>#REF!</v>
      </c>
    </row>
    <row r="744">
      <c r="A744" s="20" t="str">
        <f t="shared" si="1267"/>
        <v>#REF!</v>
      </c>
      <c r="B744" s="20" t="str">
        <f t="shared" si="1268"/>
        <v>#REF!</v>
      </c>
      <c r="C744" s="20" t="str">
        <f t="shared" ref="C744:D744" si="2225">#REF!</f>
        <v>#REF!</v>
      </c>
      <c r="D744" s="20" t="str">
        <f t="shared" si="2225"/>
        <v>#REF!</v>
      </c>
      <c r="E744" s="20" t="str">
        <f t="shared" si="1270"/>
        <v>#REF!</v>
      </c>
      <c r="F744" s="22" t="str">
        <f t="shared" si="2"/>
        <v>#REF!</v>
      </c>
      <c r="G744" s="20" t="str">
        <f t="shared" ref="G744:I744" si="2226">#REF!</f>
        <v>#REF!</v>
      </c>
      <c r="H744" s="20" t="str">
        <f t="shared" si="2226"/>
        <v>#REF!</v>
      </c>
      <c r="I744" s="20" t="str">
        <f t="shared" si="2226"/>
        <v>#REF!</v>
      </c>
      <c r="J744" s="20" t="str">
        <f t="shared" si="1272"/>
        <v>#REF!</v>
      </c>
      <c r="K744" s="20" t="str">
        <f t="shared" ref="K744:L744" si="2227">#REF!</f>
        <v>#REF!</v>
      </c>
      <c r="L744" s="20" t="str">
        <f t="shared" si="2227"/>
        <v>#REF!</v>
      </c>
    </row>
    <row r="745">
      <c r="A745" s="20" t="str">
        <f t="shared" si="1267"/>
        <v>#REF!</v>
      </c>
      <c r="B745" s="20" t="str">
        <f t="shared" si="1268"/>
        <v>#REF!</v>
      </c>
      <c r="C745" s="20" t="str">
        <f t="shared" ref="C745:D745" si="2228">#REF!</f>
        <v>#REF!</v>
      </c>
      <c r="D745" s="20" t="str">
        <f t="shared" si="2228"/>
        <v>#REF!</v>
      </c>
      <c r="E745" s="20" t="str">
        <f t="shared" si="1270"/>
        <v>#REF!</v>
      </c>
      <c r="F745" s="22" t="str">
        <f t="shared" si="2"/>
        <v>#REF!</v>
      </c>
      <c r="G745" s="20" t="str">
        <f t="shared" ref="G745:I745" si="2229">#REF!</f>
        <v>#REF!</v>
      </c>
      <c r="H745" s="20" t="str">
        <f t="shared" si="2229"/>
        <v>#REF!</v>
      </c>
      <c r="I745" s="20" t="str">
        <f t="shared" si="2229"/>
        <v>#REF!</v>
      </c>
      <c r="J745" s="20" t="str">
        <f t="shared" si="1272"/>
        <v>#REF!</v>
      </c>
      <c r="K745" s="20" t="str">
        <f t="shared" ref="K745:L745" si="2230">#REF!</f>
        <v>#REF!</v>
      </c>
      <c r="L745" s="20" t="str">
        <f t="shared" si="2230"/>
        <v>#REF!</v>
      </c>
    </row>
    <row r="746">
      <c r="A746" s="20" t="str">
        <f t="shared" si="1267"/>
        <v>#REF!</v>
      </c>
      <c r="B746" s="20" t="str">
        <f t="shared" si="1268"/>
        <v>#REF!</v>
      </c>
      <c r="C746" s="20" t="str">
        <f t="shared" ref="C746:D746" si="2231">#REF!</f>
        <v>#REF!</v>
      </c>
      <c r="D746" s="20" t="str">
        <f t="shared" si="2231"/>
        <v>#REF!</v>
      </c>
      <c r="E746" s="20" t="str">
        <f t="shared" si="1270"/>
        <v>#REF!</v>
      </c>
      <c r="F746" s="22" t="str">
        <f t="shared" si="2"/>
        <v>#REF!</v>
      </c>
      <c r="G746" s="20" t="str">
        <f t="shared" ref="G746:I746" si="2232">#REF!</f>
        <v>#REF!</v>
      </c>
      <c r="H746" s="20" t="str">
        <f t="shared" si="2232"/>
        <v>#REF!</v>
      </c>
      <c r="I746" s="20" t="str">
        <f t="shared" si="2232"/>
        <v>#REF!</v>
      </c>
      <c r="J746" s="20" t="str">
        <f t="shared" si="1272"/>
        <v>#REF!</v>
      </c>
      <c r="K746" s="20" t="str">
        <f t="shared" ref="K746:L746" si="2233">#REF!</f>
        <v>#REF!</v>
      </c>
      <c r="L746" s="20" t="str">
        <f t="shared" si="2233"/>
        <v>#REF!</v>
      </c>
    </row>
    <row r="747">
      <c r="A747" s="20" t="str">
        <f t="shared" si="1267"/>
        <v>#REF!</v>
      </c>
      <c r="B747" s="20" t="str">
        <f t="shared" si="1268"/>
        <v>#REF!</v>
      </c>
      <c r="C747" s="20" t="str">
        <f t="shared" ref="C747:D747" si="2234">#REF!</f>
        <v>#REF!</v>
      </c>
      <c r="D747" s="20" t="str">
        <f t="shared" si="2234"/>
        <v>#REF!</v>
      </c>
      <c r="E747" s="20" t="str">
        <f t="shared" si="1270"/>
        <v>#REF!</v>
      </c>
      <c r="F747" s="22" t="str">
        <f t="shared" si="2"/>
        <v>#REF!</v>
      </c>
      <c r="G747" s="20" t="str">
        <f t="shared" ref="G747:I747" si="2235">#REF!</f>
        <v>#REF!</v>
      </c>
      <c r="H747" s="20" t="str">
        <f t="shared" si="2235"/>
        <v>#REF!</v>
      </c>
      <c r="I747" s="20" t="str">
        <f t="shared" si="2235"/>
        <v>#REF!</v>
      </c>
      <c r="J747" s="20" t="str">
        <f t="shared" si="1272"/>
        <v>#REF!</v>
      </c>
      <c r="K747" s="20" t="str">
        <f t="shared" ref="K747:L747" si="2236">#REF!</f>
        <v>#REF!</v>
      </c>
      <c r="L747" s="20" t="str">
        <f t="shared" si="2236"/>
        <v>#REF!</v>
      </c>
    </row>
    <row r="748">
      <c r="A748" s="20" t="str">
        <f t="shared" si="1267"/>
        <v>#REF!</v>
      </c>
      <c r="B748" s="20" t="str">
        <f t="shared" si="1268"/>
        <v>#REF!</v>
      </c>
      <c r="C748" s="20" t="str">
        <f t="shared" ref="C748:D748" si="2237">#REF!</f>
        <v>#REF!</v>
      </c>
      <c r="D748" s="20" t="str">
        <f t="shared" si="2237"/>
        <v>#REF!</v>
      </c>
      <c r="E748" s="20" t="str">
        <f t="shared" si="1270"/>
        <v>#REF!</v>
      </c>
      <c r="F748" s="22" t="str">
        <f t="shared" si="2"/>
        <v>#REF!</v>
      </c>
      <c r="G748" s="20" t="str">
        <f t="shared" ref="G748:I748" si="2238">#REF!</f>
        <v>#REF!</v>
      </c>
      <c r="H748" s="20" t="str">
        <f t="shared" si="2238"/>
        <v>#REF!</v>
      </c>
      <c r="I748" s="20" t="str">
        <f t="shared" si="2238"/>
        <v>#REF!</v>
      </c>
      <c r="J748" s="20" t="str">
        <f t="shared" si="1272"/>
        <v>#REF!</v>
      </c>
      <c r="K748" s="20" t="str">
        <f t="shared" ref="K748:L748" si="2239">#REF!</f>
        <v>#REF!</v>
      </c>
      <c r="L748" s="20" t="str">
        <f t="shared" si="2239"/>
        <v>#REF!</v>
      </c>
    </row>
    <row r="749">
      <c r="A749" s="20" t="str">
        <f t="shared" si="1267"/>
        <v>#REF!</v>
      </c>
      <c r="B749" s="20" t="str">
        <f t="shared" si="1268"/>
        <v>#REF!</v>
      </c>
      <c r="C749" s="20" t="str">
        <f t="shared" ref="C749:D749" si="2240">#REF!</f>
        <v>#REF!</v>
      </c>
      <c r="D749" s="20" t="str">
        <f t="shared" si="2240"/>
        <v>#REF!</v>
      </c>
      <c r="E749" s="20" t="str">
        <f t="shared" si="1270"/>
        <v>#REF!</v>
      </c>
      <c r="F749" s="22" t="str">
        <f t="shared" si="2"/>
        <v>#REF!</v>
      </c>
      <c r="G749" s="20" t="str">
        <f t="shared" ref="G749:I749" si="2241">#REF!</f>
        <v>#REF!</v>
      </c>
      <c r="H749" s="20" t="str">
        <f t="shared" si="2241"/>
        <v>#REF!</v>
      </c>
      <c r="I749" s="20" t="str">
        <f t="shared" si="2241"/>
        <v>#REF!</v>
      </c>
      <c r="J749" s="20" t="str">
        <f t="shared" si="1272"/>
        <v>#REF!</v>
      </c>
      <c r="K749" s="20" t="str">
        <f t="shared" ref="K749:L749" si="2242">#REF!</f>
        <v>#REF!</v>
      </c>
      <c r="L749" s="20" t="str">
        <f t="shared" si="2242"/>
        <v>#REF!</v>
      </c>
    </row>
    <row r="750">
      <c r="A750" s="20" t="str">
        <f t="shared" si="1267"/>
        <v>#REF!</v>
      </c>
      <c r="B750" s="20" t="str">
        <f t="shared" si="1268"/>
        <v>#REF!</v>
      </c>
      <c r="C750" s="20" t="str">
        <f t="shared" ref="C750:D750" si="2243">#REF!</f>
        <v>#REF!</v>
      </c>
      <c r="D750" s="20" t="str">
        <f t="shared" si="2243"/>
        <v>#REF!</v>
      </c>
      <c r="E750" s="20" t="str">
        <f t="shared" si="1270"/>
        <v>#REF!</v>
      </c>
      <c r="F750" s="22" t="str">
        <f t="shared" si="2"/>
        <v>#REF!</v>
      </c>
      <c r="G750" s="20" t="str">
        <f t="shared" ref="G750:I750" si="2244">#REF!</f>
        <v>#REF!</v>
      </c>
      <c r="H750" s="20" t="str">
        <f t="shared" si="2244"/>
        <v>#REF!</v>
      </c>
      <c r="I750" s="20" t="str">
        <f t="shared" si="2244"/>
        <v>#REF!</v>
      </c>
      <c r="J750" s="20" t="str">
        <f t="shared" si="1272"/>
        <v>#REF!</v>
      </c>
      <c r="K750" s="20" t="str">
        <f t="shared" ref="K750:L750" si="2245">#REF!</f>
        <v>#REF!</v>
      </c>
      <c r="L750" s="20" t="str">
        <f t="shared" si="2245"/>
        <v>#REF!</v>
      </c>
    </row>
    <row r="751">
      <c r="A751" s="20" t="str">
        <f t="shared" si="1267"/>
        <v>#REF!</v>
      </c>
      <c r="B751" s="20" t="str">
        <f t="shared" si="1268"/>
        <v>#REF!</v>
      </c>
      <c r="C751" s="20" t="str">
        <f t="shared" ref="C751:D751" si="2246">#REF!</f>
        <v>#REF!</v>
      </c>
      <c r="D751" s="20" t="str">
        <f t="shared" si="2246"/>
        <v>#REF!</v>
      </c>
      <c r="E751" s="20" t="str">
        <f t="shared" si="1270"/>
        <v>#REF!</v>
      </c>
      <c r="F751" s="22" t="str">
        <f t="shared" si="2"/>
        <v>#REF!</v>
      </c>
      <c r="G751" s="20" t="str">
        <f t="shared" ref="G751:I751" si="2247">#REF!</f>
        <v>#REF!</v>
      </c>
      <c r="H751" s="20" t="str">
        <f t="shared" si="2247"/>
        <v>#REF!</v>
      </c>
      <c r="I751" s="20" t="str">
        <f t="shared" si="2247"/>
        <v>#REF!</v>
      </c>
      <c r="J751" s="20" t="str">
        <f t="shared" si="1272"/>
        <v>#REF!</v>
      </c>
      <c r="K751" s="20" t="str">
        <f t="shared" ref="K751:L751" si="2248">#REF!</f>
        <v>#REF!</v>
      </c>
      <c r="L751" s="20" t="str">
        <f t="shared" si="2248"/>
        <v>#REF!</v>
      </c>
    </row>
    <row r="752">
      <c r="A752" s="20" t="str">
        <f t="shared" si="1267"/>
        <v>#REF!</v>
      </c>
      <c r="B752" s="20" t="str">
        <f t="shared" si="1268"/>
        <v>#REF!</v>
      </c>
      <c r="C752" s="20" t="str">
        <f t="shared" ref="C752:D752" si="2249">#REF!</f>
        <v>#REF!</v>
      </c>
      <c r="D752" s="20" t="str">
        <f t="shared" si="2249"/>
        <v>#REF!</v>
      </c>
      <c r="E752" s="20" t="str">
        <f t="shared" si="1270"/>
        <v>#REF!</v>
      </c>
      <c r="F752" s="22" t="str">
        <f t="shared" si="2"/>
        <v>#REF!</v>
      </c>
      <c r="G752" s="20" t="str">
        <f t="shared" ref="G752:I752" si="2250">#REF!</f>
        <v>#REF!</v>
      </c>
      <c r="H752" s="20" t="str">
        <f t="shared" si="2250"/>
        <v>#REF!</v>
      </c>
      <c r="I752" s="20" t="str">
        <f t="shared" si="2250"/>
        <v>#REF!</v>
      </c>
      <c r="J752" s="20" t="str">
        <f t="shared" si="1272"/>
        <v>#REF!</v>
      </c>
      <c r="K752" s="20" t="str">
        <f t="shared" ref="K752:L752" si="2251">#REF!</f>
        <v>#REF!</v>
      </c>
      <c r="L752" s="20" t="str">
        <f t="shared" si="2251"/>
        <v>#REF!</v>
      </c>
    </row>
    <row r="753">
      <c r="A753" s="20" t="str">
        <f t="shared" si="1267"/>
        <v>#REF!</v>
      </c>
      <c r="B753" s="20" t="str">
        <f t="shared" si="1268"/>
        <v>#REF!</v>
      </c>
      <c r="C753" s="20" t="str">
        <f t="shared" ref="C753:D753" si="2252">#REF!</f>
        <v>#REF!</v>
      </c>
      <c r="D753" s="20" t="str">
        <f t="shared" si="2252"/>
        <v>#REF!</v>
      </c>
      <c r="E753" s="20" t="str">
        <f t="shared" si="1270"/>
        <v>#REF!</v>
      </c>
      <c r="F753" s="22" t="str">
        <f t="shared" si="2"/>
        <v>#REF!</v>
      </c>
      <c r="G753" s="20" t="str">
        <f t="shared" ref="G753:I753" si="2253">#REF!</f>
        <v>#REF!</v>
      </c>
      <c r="H753" s="20" t="str">
        <f t="shared" si="2253"/>
        <v>#REF!</v>
      </c>
      <c r="I753" s="20" t="str">
        <f t="shared" si="2253"/>
        <v>#REF!</v>
      </c>
      <c r="J753" s="20" t="str">
        <f t="shared" si="1272"/>
        <v>#REF!</v>
      </c>
      <c r="K753" s="20" t="str">
        <f t="shared" ref="K753:L753" si="2254">#REF!</f>
        <v>#REF!</v>
      </c>
      <c r="L753" s="20" t="str">
        <f t="shared" si="2254"/>
        <v>#REF!</v>
      </c>
    </row>
    <row r="754">
      <c r="A754" s="20" t="str">
        <f t="shared" si="1267"/>
        <v>#REF!</v>
      </c>
      <c r="B754" s="20" t="str">
        <f t="shared" si="1268"/>
        <v>#REF!</v>
      </c>
      <c r="C754" s="20" t="str">
        <f t="shared" ref="C754:D754" si="2255">#REF!</f>
        <v>#REF!</v>
      </c>
      <c r="D754" s="20" t="str">
        <f t="shared" si="2255"/>
        <v>#REF!</v>
      </c>
      <c r="E754" s="20" t="str">
        <f t="shared" si="1270"/>
        <v>#REF!</v>
      </c>
      <c r="F754" s="22" t="str">
        <f t="shared" si="2"/>
        <v>#REF!</v>
      </c>
      <c r="G754" s="20" t="str">
        <f t="shared" ref="G754:I754" si="2256">#REF!</f>
        <v>#REF!</v>
      </c>
      <c r="H754" s="20" t="str">
        <f t="shared" si="2256"/>
        <v>#REF!</v>
      </c>
      <c r="I754" s="20" t="str">
        <f t="shared" si="2256"/>
        <v>#REF!</v>
      </c>
      <c r="J754" s="20" t="str">
        <f t="shared" si="1272"/>
        <v>#REF!</v>
      </c>
      <c r="K754" s="20" t="str">
        <f t="shared" ref="K754:L754" si="2257">#REF!</f>
        <v>#REF!</v>
      </c>
      <c r="L754" s="20" t="str">
        <f t="shared" si="2257"/>
        <v>#REF!</v>
      </c>
    </row>
    <row r="755">
      <c r="A755" s="20" t="str">
        <f t="shared" si="1267"/>
        <v>#REF!</v>
      </c>
      <c r="B755" s="20" t="str">
        <f t="shared" si="1268"/>
        <v>#REF!</v>
      </c>
      <c r="C755" s="20" t="str">
        <f t="shared" ref="C755:D755" si="2258">#REF!</f>
        <v>#REF!</v>
      </c>
      <c r="D755" s="20" t="str">
        <f t="shared" si="2258"/>
        <v>#REF!</v>
      </c>
      <c r="E755" s="20" t="str">
        <f t="shared" si="1270"/>
        <v>#REF!</v>
      </c>
      <c r="F755" s="22" t="str">
        <f t="shared" si="2"/>
        <v>#REF!</v>
      </c>
      <c r="G755" s="20" t="str">
        <f t="shared" ref="G755:I755" si="2259">#REF!</f>
        <v>#REF!</v>
      </c>
      <c r="H755" s="20" t="str">
        <f t="shared" si="2259"/>
        <v>#REF!</v>
      </c>
      <c r="I755" s="20" t="str">
        <f t="shared" si="2259"/>
        <v>#REF!</v>
      </c>
      <c r="J755" s="20" t="str">
        <f t="shared" si="1272"/>
        <v>#REF!</v>
      </c>
      <c r="K755" s="20" t="str">
        <f t="shared" ref="K755:L755" si="2260">#REF!</f>
        <v>#REF!</v>
      </c>
      <c r="L755" s="20" t="str">
        <f t="shared" si="2260"/>
        <v>#REF!</v>
      </c>
    </row>
    <row r="756">
      <c r="A756" s="20" t="str">
        <f t="shared" si="1267"/>
        <v>#REF!</v>
      </c>
      <c r="B756" s="20" t="str">
        <f t="shared" si="1268"/>
        <v>#REF!</v>
      </c>
      <c r="C756" s="20" t="str">
        <f t="shared" ref="C756:D756" si="2261">#REF!</f>
        <v>#REF!</v>
      </c>
      <c r="D756" s="20" t="str">
        <f t="shared" si="2261"/>
        <v>#REF!</v>
      </c>
      <c r="E756" s="20" t="str">
        <f t="shared" si="1270"/>
        <v>#REF!</v>
      </c>
      <c r="F756" s="22" t="str">
        <f t="shared" si="2"/>
        <v>#REF!</v>
      </c>
      <c r="G756" s="20" t="str">
        <f t="shared" ref="G756:I756" si="2262">#REF!</f>
        <v>#REF!</v>
      </c>
      <c r="H756" s="20" t="str">
        <f t="shared" si="2262"/>
        <v>#REF!</v>
      </c>
      <c r="I756" s="20" t="str">
        <f t="shared" si="2262"/>
        <v>#REF!</v>
      </c>
      <c r="J756" s="20" t="str">
        <f t="shared" si="1272"/>
        <v>#REF!</v>
      </c>
      <c r="K756" s="20" t="str">
        <f t="shared" ref="K756:L756" si="2263">#REF!</f>
        <v>#REF!</v>
      </c>
      <c r="L756" s="20" t="str">
        <f t="shared" si="2263"/>
        <v>#REF!</v>
      </c>
    </row>
    <row r="757">
      <c r="A757" s="20" t="str">
        <f t="shared" si="1267"/>
        <v>#REF!</v>
      </c>
      <c r="B757" s="20" t="str">
        <f t="shared" si="1268"/>
        <v>#REF!</v>
      </c>
      <c r="C757" s="20" t="str">
        <f t="shared" ref="C757:D757" si="2264">#REF!</f>
        <v>#REF!</v>
      </c>
      <c r="D757" s="20" t="str">
        <f t="shared" si="2264"/>
        <v>#REF!</v>
      </c>
      <c r="E757" s="20" t="str">
        <f t="shared" si="1270"/>
        <v>#REF!</v>
      </c>
      <c r="F757" s="22" t="str">
        <f t="shared" si="2"/>
        <v>#REF!</v>
      </c>
      <c r="G757" s="20" t="str">
        <f t="shared" ref="G757:I757" si="2265">#REF!</f>
        <v>#REF!</v>
      </c>
      <c r="H757" s="20" t="str">
        <f t="shared" si="2265"/>
        <v>#REF!</v>
      </c>
      <c r="I757" s="20" t="str">
        <f t="shared" si="2265"/>
        <v>#REF!</v>
      </c>
      <c r="J757" s="20" t="str">
        <f t="shared" si="1272"/>
        <v>#REF!</v>
      </c>
      <c r="K757" s="20" t="str">
        <f t="shared" ref="K757:L757" si="2266">#REF!</f>
        <v>#REF!</v>
      </c>
      <c r="L757" s="20" t="str">
        <f t="shared" si="2266"/>
        <v>#REF!</v>
      </c>
    </row>
    <row r="758">
      <c r="A758" s="20" t="str">
        <f t="shared" si="1267"/>
        <v>#REF!</v>
      </c>
      <c r="B758" s="20" t="str">
        <f t="shared" si="1268"/>
        <v>#REF!</v>
      </c>
      <c r="C758" s="20" t="str">
        <f t="shared" ref="C758:D758" si="2267">#REF!</f>
        <v>#REF!</v>
      </c>
      <c r="D758" s="20" t="str">
        <f t="shared" si="2267"/>
        <v>#REF!</v>
      </c>
      <c r="E758" s="20" t="str">
        <f t="shared" si="1270"/>
        <v>#REF!</v>
      </c>
      <c r="F758" s="22" t="str">
        <f t="shared" si="2"/>
        <v>#REF!</v>
      </c>
      <c r="G758" s="20" t="str">
        <f t="shared" ref="G758:I758" si="2268">#REF!</f>
        <v>#REF!</v>
      </c>
      <c r="H758" s="20" t="str">
        <f t="shared" si="2268"/>
        <v>#REF!</v>
      </c>
      <c r="I758" s="20" t="str">
        <f t="shared" si="2268"/>
        <v>#REF!</v>
      </c>
      <c r="J758" s="20" t="str">
        <f t="shared" si="1272"/>
        <v>#REF!</v>
      </c>
      <c r="K758" s="20" t="str">
        <f t="shared" ref="K758:L758" si="2269">#REF!</f>
        <v>#REF!</v>
      </c>
      <c r="L758" s="20" t="str">
        <f t="shared" si="2269"/>
        <v>#REF!</v>
      </c>
    </row>
    <row r="759">
      <c r="A759" s="20" t="str">
        <f t="shared" si="1267"/>
        <v>#REF!</v>
      </c>
      <c r="B759" s="20" t="str">
        <f t="shared" si="1268"/>
        <v>#REF!</v>
      </c>
      <c r="C759" s="20" t="str">
        <f t="shared" ref="C759:D759" si="2270">#REF!</f>
        <v>#REF!</v>
      </c>
      <c r="D759" s="20" t="str">
        <f t="shared" si="2270"/>
        <v>#REF!</v>
      </c>
      <c r="E759" s="20" t="str">
        <f t="shared" si="1270"/>
        <v>#REF!</v>
      </c>
      <c r="F759" s="22" t="str">
        <f t="shared" si="2"/>
        <v>#REF!</v>
      </c>
      <c r="G759" s="20" t="str">
        <f t="shared" ref="G759:I759" si="2271">#REF!</f>
        <v>#REF!</v>
      </c>
      <c r="H759" s="20" t="str">
        <f t="shared" si="2271"/>
        <v>#REF!</v>
      </c>
      <c r="I759" s="20" t="str">
        <f t="shared" si="2271"/>
        <v>#REF!</v>
      </c>
      <c r="J759" s="20" t="str">
        <f t="shared" si="1272"/>
        <v>#REF!</v>
      </c>
      <c r="K759" s="20" t="str">
        <f t="shared" ref="K759:L759" si="2272">#REF!</f>
        <v>#REF!</v>
      </c>
      <c r="L759" s="20" t="str">
        <f t="shared" si="2272"/>
        <v>#REF!</v>
      </c>
    </row>
    <row r="760">
      <c r="A760" s="20" t="str">
        <f t="shared" si="1267"/>
        <v>#REF!</v>
      </c>
      <c r="B760" s="20" t="str">
        <f t="shared" si="1268"/>
        <v>#REF!</v>
      </c>
      <c r="C760" s="20" t="str">
        <f t="shared" ref="C760:D760" si="2273">#REF!</f>
        <v>#REF!</v>
      </c>
      <c r="D760" s="20" t="str">
        <f t="shared" si="2273"/>
        <v>#REF!</v>
      </c>
      <c r="E760" s="20" t="str">
        <f t="shared" si="1270"/>
        <v>#REF!</v>
      </c>
      <c r="F760" s="22" t="str">
        <f t="shared" si="2"/>
        <v>#REF!</v>
      </c>
      <c r="G760" s="20" t="str">
        <f t="shared" ref="G760:I760" si="2274">#REF!</f>
        <v>#REF!</v>
      </c>
      <c r="H760" s="20" t="str">
        <f t="shared" si="2274"/>
        <v>#REF!</v>
      </c>
      <c r="I760" s="20" t="str">
        <f t="shared" si="2274"/>
        <v>#REF!</v>
      </c>
      <c r="J760" s="20" t="str">
        <f t="shared" si="1272"/>
        <v>#REF!</v>
      </c>
      <c r="K760" s="20" t="str">
        <f t="shared" ref="K760:L760" si="2275">#REF!</f>
        <v>#REF!</v>
      </c>
      <c r="L760" s="20" t="str">
        <f t="shared" si="2275"/>
        <v>#REF!</v>
      </c>
    </row>
    <row r="761">
      <c r="A761" s="20" t="str">
        <f t="shared" si="1267"/>
        <v>#REF!</v>
      </c>
      <c r="B761" s="20" t="str">
        <f t="shared" si="1268"/>
        <v>#REF!</v>
      </c>
      <c r="C761" s="20" t="str">
        <f t="shared" ref="C761:D761" si="2276">#REF!</f>
        <v>#REF!</v>
      </c>
      <c r="D761" s="20" t="str">
        <f t="shared" si="2276"/>
        <v>#REF!</v>
      </c>
      <c r="E761" s="20" t="str">
        <f t="shared" si="1270"/>
        <v>#REF!</v>
      </c>
      <c r="F761" s="22" t="str">
        <f t="shared" si="2"/>
        <v>#REF!</v>
      </c>
      <c r="G761" s="20" t="str">
        <f t="shared" ref="G761:I761" si="2277">#REF!</f>
        <v>#REF!</v>
      </c>
      <c r="H761" s="20" t="str">
        <f t="shared" si="2277"/>
        <v>#REF!</v>
      </c>
      <c r="I761" s="20" t="str">
        <f t="shared" si="2277"/>
        <v>#REF!</v>
      </c>
      <c r="J761" s="20" t="str">
        <f t="shared" si="1272"/>
        <v>#REF!</v>
      </c>
      <c r="K761" s="20" t="str">
        <f t="shared" ref="K761:L761" si="2278">#REF!</f>
        <v>#REF!</v>
      </c>
      <c r="L761" s="20" t="str">
        <f t="shared" si="2278"/>
        <v>#REF!</v>
      </c>
    </row>
    <row r="762">
      <c r="A762" s="20" t="str">
        <f t="shared" si="1267"/>
        <v>#REF!</v>
      </c>
      <c r="B762" s="20" t="str">
        <f t="shared" si="1268"/>
        <v>#REF!</v>
      </c>
      <c r="C762" s="20" t="str">
        <f t="shared" ref="C762:D762" si="2279">#REF!</f>
        <v>#REF!</v>
      </c>
      <c r="D762" s="20" t="str">
        <f t="shared" si="2279"/>
        <v>#REF!</v>
      </c>
      <c r="E762" s="20" t="str">
        <f t="shared" si="1270"/>
        <v>#REF!</v>
      </c>
      <c r="F762" s="22" t="str">
        <f t="shared" si="2"/>
        <v>#REF!</v>
      </c>
      <c r="G762" s="20" t="str">
        <f t="shared" ref="G762:I762" si="2280">#REF!</f>
        <v>#REF!</v>
      </c>
      <c r="H762" s="20" t="str">
        <f t="shared" si="2280"/>
        <v>#REF!</v>
      </c>
      <c r="I762" s="20" t="str">
        <f t="shared" si="2280"/>
        <v>#REF!</v>
      </c>
      <c r="J762" s="20" t="str">
        <f t="shared" si="1272"/>
        <v>#REF!</v>
      </c>
      <c r="K762" s="20" t="str">
        <f t="shared" ref="K762:L762" si="2281">#REF!</f>
        <v>#REF!</v>
      </c>
      <c r="L762" s="20" t="str">
        <f t="shared" si="2281"/>
        <v>#REF!</v>
      </c>
    </row>
    <row r="763">
      <c r="A763" s="20" t="str">
        <f t="shared" si="1267"/>
        <v>#REF!</v>
      </c>
      <c r="B763" s="20" t="str">
        <f t="shared" si="1268"/>
        <v>#REF!</v>
      </c>
      <c r="C763" s="20" t="str">
        <f t="shared" ref="C763:D763" si="2282">#REF!</f>
        <v>#REF!</v>
      </c>
      <c r="D763" s="20" t="str">
        <f t="shared" si="2282"/>
        <v>#REF!</v>
      </c>
      <c r="E763" s="20" t="str">
        <f t="shared" si="1270"/>
        <v>#REF!</v>
      </c>
      <c r="F763" s="22" t="str">
        <f t="shared" si="2"/>
        <v>#REF!</v>
      </c>
      <c r="G763" s="20" t="str">
        <f t="shared" ref="G763:I763" si="2283">#REF!</f>
        <v>#REF!</v>
      </c>
      <c r="H763" s="20" t="str">
        <f t="shared" si="2283"/>
        <v>#REF!</v>
      </c>
      <c r="I763" s="20" t="str">
        <f t="shared" si="2283"/>
        <v>#REF!</v>
      </c>
      <c r="J763" s="20" t="str">
        <f t="shared" si="1272"/>
        <v>#REF!</v>
      </c>
      <c r="K763" s="20" t="str">
        <f t="shared" ref="K763:L763" si="2284">#REF!</f>
        <v>#REF!</v>
      </c>
      <c r="L763" s="20" t="str">
        <f t="shared" si="2284"/>
        <v>#REF!</v>
      </c>
    </row>
    <row r="764">
      <c r="A764" s="20" t="str">
        <f t="shared" si="1267"/>
        <v>#REF!</v>
      </c>
      <c r="B764" s="20" t="str">
        <f t="shared" si="1268"/>
        <v>#REF!</v>
      </c>
      <c r="C764" s="20" t="str">
        <f t="shared" ref="C764:D764" si="2285">#REF!</f>
        <v>#REF!</v>
      </c>
      <c r="D764" s="20" t="str">
        <f t="shared" si="2285"/>
        <v>#REF!</v>
      </c>
      <c r="E764" s="20" t="str">
        <f t="shared" si="1270"/>
        <v>#REF!</v>
      </c>
      <c r="F764" s="22" t="str">
        <f t="shared" si="2"/>
        <v>#REF!</v>
      </c>
      <c r="G764" s="20" t="str">
        <f t="shared" ref="G764:I764" si="2286">#REF!</f>
        <v>#REF!</v>
      </c>
      <c r="H764" s="20" t="str">
        <f t="shared" si="2286"/>
        <v>#REF!</v>
      </c>
      <c r="I764" s="20" t="str">
        <f t="shared" si="2286"/>
        <v>#REF!</v>
      </c>
      <c r="J764" s="20" t="str">
        <f t="shared" si="1272"/>
        <v>#REF!</v>
      </c>
      <c r="K764" s="20" t="str">
        <f t="shared" ref="K764:L764" si="2287">#REF!</f>
        <v>#REF!</v>
      </c>
      <c r="L764" s="20" t="str">
        <f t="shared" si="2287"/>
        <v>#REF!</v>
      </c>
    </row>
    <row r="765">
      <c r="A765" s="20" t="str">
        <f t="shared" si="1267"/>
        <v>#REF!</v>
      </c>
      <c r="B765" s="20" t="str">
        <f t="shared" si="1268"/>
        <v>#REF!</v>
      </c>
      <c r="C765" s="20" t="str">
        <f t="shared" ref="C765:D765" si="2288">#REF!</f>
        <v>#REF!</v>
      </c>
      <c r="D765" s="20" t="str">
        <f t="shared" si="2288"/>
        <v>#REF!</v>
      </c>
      <c r="E765" s="20" t="str">
        <f t="shared" si="1270"/>
        <v>#REF!</v>
      </c>
      <c r="F765" s="22" t="str">
        <f t="shared" si="2"/>
        <v>#REF!</v>
      </c>
      <c r="G765" s="20" t="str">
        <f t="shared" ref="G765:I765" si="2289">#REF!</f>
        <v>#REF!</v>
      </c>
      <c r="H765" s="20" t="str">
        <f t="shared" si="2289"/>
        <v>#REF!</v>
      </c>
      <c r="I765" s="20" t="str">
        <f t="shared" si="2289"/>
        <v>#REF!</v>
      </c>
      <c r="J765" s="20" t="str">
        <f t="shared" si="1272"/>
        <v>#REF!</v>
      </c>
      <c r="K765" s="20" t="str">
        <f t="shared" ref="K765:L765" si="2290">#REF!</f>
        <v>#REF!</v>
      </c>
      <c r="L765" s="20" t="str">
        <f t="shared" si="2290"/>
        <v>#REF!</v>
      </c>
    </row>
    <row r="766">
      <c r="A766" s="20" t="str">
        <f t="shared" si="1267"/>
        <v>#REF!</v>
      </c>
      <c r="B766" s="20" t="str">
        <f t="shared" si="1268"/>
        <v>#REF!</v>
      </c>
      <c r="C766" s="20" t="str">
        <f t="shared" ref="C766:D766" si="2291">#REF!</f>
        <v>#REF!</v>
      </c>
      <c r="D766" s="20" t="str">
        <f t="shared" si="2291"/>
        <v>#REF!</v>
      </c>
      <c r="E766" s="20" t="str">
        <f t="shared" si="1270"/>
        <v>#REF!</v>
      </c>
      <c r="F766" s="22" t="str">
        <f t="shared" si="2"/>
        <v>#REF!</v>
      </c>
      <c r="G766" s="20" t="str">
        <f t="shared" ref="G766:I766" si="2292">#REF!</f>
        <v>#REF!</v>
      </c>
      <c r="H766" s="20" t="str">
        <f t="shared" si="2292"/>
        <v>#REF!</v>
      </c>
      <c r="I766" s="20" t="str">
        <f t="shared" si="2292"/>
        <v>#REF!</v>
      </c>
      <c r="J766" s="20" t="str">
        <f t="shared" si="1272"/>
        <v>#REF!</v>
      </c>
      <c r="K766" s="20" t="str">
        <f t="shared" ref="K766:L766" si="2293">#REF!</f>
        <v>#REF!</v>
      </c>
      <c r="L766" s="20" t="str">
        <f t="shared" si="2293"/>
        <v>#REF!</v>
      </c>
    </row>
    <row r="767">
      <c r="A767" s="20" t="str">
        <f t="shared" si="1267"/>
        <v>#REF!</v>
      </c>
      <c r="B767" s="20" t="str">
        <f t="shared" si="1268"/>
        <v>#REF!</v>
      </c>
      <c r="C767" s="20" t="str">
        <f t="shared" ref="C767:D767" si="2294">#REF!</f>
        <v>#REF!</v>
      </c>
      <c r="D767" s="20" t="str">
        <f t="shared" si="2294"/>
        <v>#REF!</v>
      </c>
      <c r="E767" s="20" t="str">
        <f t="shared" si="1270"/>
        <v>#REF!</v>
      </c>
      <c r="F767" s="22" t="str">
        <f t="shared" si="2"/>
        <v>#REF!</v>
      </c>
      <c r="G767" s="20" t="str">
        <f t="shared" ref="G767:I767" si="2295">#REF!</f>
        <v>#REF!</v>
      </c>
      <c r="H767" s="20" t="str">
        <f t="shared" si="2295"/>
        <v>#REF!</v>
      </c>
      <c r="I767" s="20" t="str">
        <f t="shared" si="2295"/>
        <v>#REF!</v>
      </c>
      <c r="J767" s="20" t="str">
        <f t="shared" si="1272"/>
        <v>#REF!</v>
      </c>
      <c r="K767" s="20" t="str">
        <f t="shared" ref="K767:L767" si="2296">#REF!</f>
        <v>#REF!</v>
      </c>
      <c r="L767" s="20" t="str">
        <f t="shared" si="2296"/>
        <v>#REF!</v>
      </c>
    </row>
    <row r="768">
      <c r="A768" s="20" t="str">
        <f t="shared" si="1267"/>
        <v>#REF!</v>
      </c>
      <c r="B768" s="20" t="str">
        <f t="shared" si="1268"/>
        <v>#REF!</v>
      </c>
      <c r="C768" s="20" t="str">
        <f t="shared" ref="C768:D768" si="2297">#REF!</f>
        <v>#REF!</v>
      </c>
      <c r="D768" s="20" t="str">
        <f t="shared" si="2297"/>
        <v>#REF!</v>
      </c>
      <c r="E768" s="20" t="str">
        <f t="shared" si="1270"/>
        <v>#REF!</v>
      </c>
      <c r="F768" s="22" t="str">
        <f t="shared" si="2"/>
        <v>#REF!</v>
      </c>
      <c r="G768" s="20" t="str">
        <f t="shared" ref="G768:I768" si="2298">#REF!</f>
        <v>#REF!</v>
      </c>
      <c r="H768" s="20" t="str">
        <f t="shared" si="2298"/>
        <v>#REF!</v>
      </c>
      <c r="I768" s="20" t="str">
        <f t="shared" si="2298"/>
        <v>#REF!</v>
      </c>
      <c r="J768" s="20" t="str">
        <f t="shared" si="1272"/>
        <v>#REF!</v>
      </c>
      <c r="K768" s="20" t="str">
        <f t="shared" ref="K768:L768" si="2299">#REF!</f>
        <v>#REF!</v>
      </c>
      <c r="L768" s="20" t="str">
        <f t="shared" si="2299"/>
        <v>#REF!</v>
      </c>
    </row>
    <row r="769">
      <c r="A769" s="20" t="str">
        <f t="shared" si="1267"/>
        <v>#REF!</v>
      </c>
      <c r="B769" s="20" t="str">
        <f t="shared" si="1268"/>
        <v>#REF!</v>
      </c>
      <c r="C769" s="20" t="str">
        <f t="shared" ref="C769:D769" si="2300">#REF!</f>
        <v>#REF!</v>
      </c>
      <c r="D769" s="20" t="str">
        <f t="shared" si="2300"/>
        <v>#REF!</v>
      </c>
      <c r="E769" s="20" t="str">
        <f t="shared" si="1270"/>
        <v>#REF!</v>
      </c>
      <c r="F769" s="22" t="str">
        <f t="shared" si="2"/>
        <v>#REF!</v>
      </c>
      <c r="G769" s="20" t="str">
        <f t="shared" ref="G769:I769" si="2301">#REF!</f>
        <v>#REF!</v>
      </c>
      <c r="H769" s="20" t="str">
        <f t="shared" si="2301"/>
        <v>#REF!</v>
      </c>
      <c r="I769" s="20" t="str">
        <f t="shared" si="2301"/>
        <v>#REF!</v>
      </c>
      <c r="J769" s="20" t="str">
        <f t="shared" si="1272"/>
        <v>#REF!</v>
      </c>
      <c r="K769" s="20" t="str">
        <f t="shared" ref="K769:L769" si="2302">#REF!</f>
        <v>#REF!</v>
      </c>
      <c r="L769" s="20" t="str">
        <f t="shared" si="2302"/>
        <v>#REF!</v>
      </c>
    </row>
    <row r="770">
      <c r="A770" s="20" t="str">
        <f t="shared" si="1267"/>
        <v>#REF!</v>
      </c>
      <c r="B770" s="20" t="str">
        <f t="shared" si="1268"/>
        <v>#REF!</v>
      </c>
      <c r="C770" s="20" t="str">
        <f t="shared" ref="C770:D770" si="2303">#REF!</f>
        <v>#REF!</v>
      </c>
      <c r="D770" s="20" t="str">
        <f t="shared" si="2303"/>
        <v>#REF!</v>
      </c>
      <c r="E770" s="20" t="str">
        <f t="shared" si="1270"/>
        <v>#REF!</v>
      </c>
      <c r="F770" s="22" t="str">
        <f t="shared" si="2"/>
        <v>#REF!</v>
      </c>
      <c r="G770" s="20" t="str">
        <f t="shared" ref="G770:I770" si="2304">#REF!</f>
        <v>#REF!</v>
      </c>
      <c r="H770" s="20" t="str">
        <f t="shared" si="2304"/>
        <v>#REF!</v>
      </c>
      <c r="I770" s="20" t="str">
        <f t="shared" si="2304"/>
        <v>#REF!</v>
      </c>
      <c r="J770" s="20" t="str">
        <f t="shared" si="1272"/>
        <v>#REF!</v>
      </c>
      <c r="K770" s="20" t="str">
        <f t="shared" ref="K770:L770" si="2305">#REF!</f>
        <v>#REF!</v>
      </c>
      <c r="L770" s="20" t="str">
        <f t="shared" si="2305"/>
        <v>#REF!</v>
      </c>
    </row>
    <row r="771">
      <c r="A771" s="20" t="str">
        <f t="shared" si="1267"/>
        <v>#REF!</v>
      </c>
      <c r="B771" s="20" t="str">
        <f t="shared" si="1268"/>
        <v>#REF!</v>
      </c>
      <c r="C771" s="20" t="str">
        <f t="shared" ref="C771:D771" si="2306">#REF!</f>
        <v>#REF!</v>
      </c>
      <c r="D771" s="20" t="str">
        <f t="shared" si="2306"/>
        <v>#REF!</v>
      </c>
      <c r="E771" s="20" t="str">
        <f t="shared" si="1270"/>
        <v>#REF!</v>
      </c>
      <c r="F771" s="22" t="str">
        <f t="shared" si="2"/>
        <v>#REF!</v>
      </c>
      <c r="G771" s="20" t="str">
        <f t="shared" ref="G771:I771" si="2307">#REF!</f>
        <v>#REF!</v>
      </c>
      <c r="H771" s="20" t="str">
        <f t="shared" si="2307"/>
        <v>#REF!</v>
      </c>
      <c r="I771" s="20" t="str">
        <f t="shared" si="2307"/>
        <v>#REF!</v>
      </c>
      <c r="J771" s="20" t="str">
        <f t="shared" si="1272"/>
        <v>#REF!</v>
      </c>
      <c r="K771" s="20" t="str">
        <f t="shared" ref="K771:L771" si="2308">#REF!</f>
        <v>#REF!</v>
      </c>
      <c r="L771" s="20" t="str">
        <f t="shared" si="2308"/>
        <v>#REF!</v>
      </c>
    </row>
    <row r="772">
      <c r="A772" s="20" t="str">
        <f t="shared" si="1267"/>
        <v>#REF!</v>
      </c>
      <c r="B772" s="20" t="str">
        <f t="shared" si="1268"/>
        <v>#REF!</v>
      </c>
      <c r="C772" s="20" t="str">
        <f t="shared" ref="C772:D772" si="2309">#REF!</f>
        <v>#REF!</v>
      </c>
      <c r="D772" s="20" t="str">
        <f t="shared" si="2309"/>
        <v>#REF!</v>
      </c>
      <c r="E772" s="20" t="str">
        <f t="shared" si="1270"/>
        <v>#REF!</v>
      </c>
      <c r="F772" s="22" t="str">
        <f t="shared" si="2"/>
        <v>#REF!</v>
      </c>
      <c r="G772" s="20" t="str">
        <f t="shared" ref="G772:I772" si="2310">#REF!</f>
        <v>#REF!</v>
      </c>
      <c r="H772" s="20" t="str">
        <f t="shared" si="2310"/>
        <v>#REF!</v>
      </c>
      <c r="I772" s="20" t="str">
        <f t="shared" si="2310"/>
        <v>#REF!</v>
      </c>
      <c r="J772" s="20" t="str">
        <f t="shared" si="1272"/>
        <v>#REF!</v>
      </c>
      <c r="K772" s="20" t="str">
        <f t="shared" ref="K772:L772" si="2311">#REF!</f>
        <v>#REF!</v>
      </c>
      <c r="L772" s="20" t="str">
        <f t="shared" si="2311"/>
        <v>#REF!</v>
      </c>
    </row>
    <row r="773">
      <c r="A773" s="20" t="str">
        <f t="shared" si="1267"/>
        <v>#REF!</v>
      </c>
      <c r="B773" s="20" t="str">
        <f t="shared" si="1268"/>
        <v>#REF!</v>
      </c>
      <c r="C773" s="20" t="str">
        <f t="shared" ref="C773:D773" si="2312">#REF!</f>
        <v>#REF!</v>
      </c>
      <c r="D773" s="20" t="str">
        <f t="shared" si="2312"/>
        <v>#REF!</v>
      </c>
      <c r="E773" s="20" t="str">
        <f t="shared" si="1270"/>
        <v>#REF!</v>
      </c>
      <c r="F773" s="22" t="str">
        <f t="shared" si="2"/>
        <v>#REF!</v>
      </c>
      <c r="G773" s="20" t="str">
        <f t="shared" ref="G773:I773" si="2313">#REF!</f>
        <v>#REF!</v>
      </c>
      <c r="H773" s="20" t="str">
        <f t="shared" si="2313"/>
        <v>#REF!</v>
      </c>
      <c r="I773" s="20" t="str">
        <f t="shared" si="2313"/>
        <v>#REF!</v>
      </c>
      <c r="J773" s="20" t="str">
        <f t="shared" si="1272"/>
        <v>#REF!</v>
      </c>
      <c r="K773" s="20" t="str">
        <f t="shared" ref="K773:L773" si="2314">#REF!</f>
        <v>#REF!</v>
      </c>
      <c r="L773" s="20" t="str">
        <f t="shared" si="2314"/>
        <v>#REF!</v>
      </c>
    </row>
    <row r="774">
      <c r="A774" s="20" t="str">
        <f t="shared" si="1267"/>
        <v>#REF!</v>
      </c>
      <c r="B774" s="20" t="str">
        <f t="shared" si="1268"/>
        <v>#REF!</v>
      </c>
      <c r="C774" s="20" t="str">
        <f t="shared" ref="C774:D774" si="2315">#REF!</f>
        <v>#REF!</v>
      </c>
      <c r="D774" s="20" t="str">
        <f t="shared" si="2315"/>
        <v>#REF!</v>
      </c>
      <c r="E774" s="20" t="str">
        <f t="shared" si="1270"/>
        <v>#REF!</v>
      </c>
      <c r="F774" s="22" t="str">
        <f t="shared" si="2"/>
        <v>#REF!</v>
      </c>
      <c r="G774" s="20" t="str">
        <f t="shared" ref="G774:I774" si="2316">#REF!</f>
        <v>#REF!</v>
      </c>
      <c r="H774" s="20" t="str">
        <f t="shared" si="2316"/>
        <v>#REF!</v>
      </c>
      <c r="I774" s="20" t="str">
        <f t="shared" si="2316"/>
        <v>#REF!</v>
      </c>
      <c r="J774" s="20" t="str">
        <f t="shared" si="1272"/>
        <v>#REF!</v>
      </c>
      <c r="K774" s="20" t="str">
        <f t="shared" ref="K774:L774" si="2317">#REF!</f>
        <v>#REF!</v>
      </c>
      <c r="L774" s="20" t="str">
        <f t="shared" si="2317"/>
        <v>#REF!</v>
      </c>
    </row>
    <row r="775">
      <c r="A775" s="20" t="str">
        <f t="shared" si="1267"/>
        <v>#REF!</v>
      </c>
      <c r="B775" s="20" t="str">
        <f t="shared" si="1268"/>
        <v>#REF!</v>
      </c>
      <c r="C775" s="20" t="str">
        <f t="shared" ref="C775:D775" si="2318">#REF!</f>
        <v>#REF!</v>
      </c>
      <c r="D775" s="20" t="str">
        <f t="shared" si="2318"/>
        <v>#REF!</v>
      </c>
      <c r="E775" s="20" t="str">
        <f t="shared" si="1270"/>
        <v>#REF!</v>
      </c>
      <c r="F775" s="22" t="str">
        <f t="shared" si="2"/>
        <v>#REF!</v>
      </c>
      <c r="G775" s="20" t="str">
        <f t="shared" ref="G775:I775" si="2319">#REF!</f>
        <v>#REF!</v>
      </c>
      <c r="H775" s="20" t="str">
        <f t="shared" si="2319"/>
        <v>#REF!</v>
      </c>
      <c r="I775" s="20" t="str">
        <f t="shared" si="2319"/>
        <v>#REF!</v>
      </c>
      <c r="J775" s="20" t="str">
        <f t="shared" si="1272"/>
        <v>#REF!</v>
      </c>
      <c r="K775" s="20" t="str">
        <f t="shared" ref="K775:L775" si="2320">#REF!</f>
        <v>#REF!</v>
      </c>
      <c r="L775" s="20" t="str">
        <f t="shared" si="2320"/>
        <v>#REF!</v>
      </c>
    </row>
    <row r="776">
      <c r="A776" s="20" t="str">
        <f t="shared" si="1267"/>
        <v>#REF!</v>
      </c>
      <c r="B776" s="20" t="str">
        <f t="shared" si="1268"/>
        <v>#REF!</v>
      </c>
      <c r="C776" s="20" t="str">
        <f t="shared" ref="C776:D776" si="2321">#REF!</f>
        <v>#REF!</v>
      </c>
      <c r="D776" s="20" t="str">
        <f t="shared" si="2321"/>
        <v>#REF!</v>
      </c>
      <c r="E776" s="20" t="str">
        <f t="shared" si="1270"/>
        <v>#REF!</v>
      </c>
      <c r="F776" s="22" t="str">
        <f t="shared" si="2"/>
        <v>#REF!</v>
      </c>
      <c r="G776" s="20" t="str">
        <f t="shared" ref="G776:I776" si="2322">#REF!</f>
        <v>#REF!</v>
      </c>
      <c r="H776" s="20" t="str">
        <f t="shared" si="2322"/>
        <v>#REF!</v>
      </c>
      <c r="I776" s="20" t="str">
        <f t="shared" si="2322"/>
        <v>#REF!</v>
      </c>
      <c r="J776" s="20" t="str">
        <f t="shared" si="1272"/>
        <v>#REF!</v>
      </c>
      <c r="K776" s="20" t="str">
        <f t="shared" ref="K776:L776" si="2323">#REF!</f>
        <v>#REF!</v>
      </c>
      <c r="L776" s="20" t="str">
        <f t="shared" si="2323"/>
        <v>#REF!</v>
      </c>
    </row>
    <row r="777">
      <c r="A777" s="20" t="str">
        <f t="shared" si="1267"/>
        <v>#REF!</v>
      </c>
      <c r="B777" s="20" t="str">
        <f t="shared" si="1268"/>
        <v>#REF!</v>
      </c>
      <c r="C777" s="20" t="str">
        <f t="shared" ref="C777:D777" si="2324">#REF!</f>
        <v>#REF!</v>
      </c>
      <c r="D777" s="20" t="str">
        <f t="shared" si="2324"/>
        <v>#REF!</v>
      </c>
      <c r="E777" s="20" t="str">
        <f t="shared" si="1270"/>
        <v>#REF!</v>
      </c>
      <c r="F777" s="22" t="str">
        <f t="shared" si="2"/>
        <v>#REF!</v>
      </c>
      <c r="G777" s="20" t="str">
        <f t="shared" ref="G777:I777" si="2325">#REF!</f>
        <v>#REF!</v>
      </c>
      <c r="H777" s="20" t="str">
        <f t="shared" si="2325"/>
        <v>#REF!</v>
      </c>
      <c r="I777" s="20" t="str">
        <f t="shared" si="2325"/>
        <v>#REF!</v>
      </c>
      <c r="J777" s="20" t="str">
        <f t="shared" si="1272"/>
        <v>#REF!</v>
      </c>
      <c r="K777" s="20" t="str">
        <f t="shared" ref="K777:L777" si="2326">#REF!</f>
        <v>#REF!</v>
      </c>
      <c r="L777" s="20" t="str">
        <f t="shared" si="2326"/>
        <v>#REF!</v>
      </c>
    </row>
    <row r="778">
      <c r="A778" s="20" t="str">
        <f t="shared" si="1267"/>
        <v>#REF!</v>
      </c>
      <c r="B778" s="20" t="str">
        <f t="shared" si="1268"/>
        <v>#REF!</v>
      </c>
      <c r="C778" s="20" t="str">
        <f t="shared" ref="C778:D778" si="2327">#REF!</f>
        <v>#REF!</v>
      </c>
      <c r="D778" s="20" t="str">
        <f t="shared" si="2327"/>
        <v>#REF!</v>
      </c>
      <c r="E778" s="20" t="str">
        <f t="shared" si="1270"/>
        <v>#REF!</v>
      </c>
      <c r="F778" s="22" t="str">
        <f t="shared" si="2"/>
        <v>#REF!</v>
      </c>
      <c r="G778" s="20" t="str">
        <f t="shared" ref="G778:I778" si="2328">#REF!</f>
        <v>#REF!</v>
      </c>
      <c r="H778" s="20" t="str">
        <f t="shared" si="2328"/>
        <v>#REF!</v>
      </c>
      <c r="I778" s="20" t="str">
        <f t="shared" si="2328"/>
        <v>#REF!</v>
      </c>
      <c r="J778" s="20" t="str">
        <f t="shared" si="1272"/>
        <v>#REF!</v>
      </c>
      <c r="K778" s="20" t="str">
        <f t="shared" ref="K778:L778" si="2329">#REF!</f>
        <v>#REF!</v>
      </c>
      <c r="L778" s="20" t="str">
        <f t="shared" si="2329"/>
        <v>#REF!</v>
      </c>
    </row>
    <row r="779">
      <c r="A779" s="20" t="str">
        <f t="shared" si="1267"/>
        <v>#REF!</v>
      </c>
      <c r="B779" s="20" t="str">
        <f t="shared" si="1268"/>
        <v>#REF!</v>
      </c>
      <c r="C779" s="20" t="str">
        <f t="shared" ref="C779:D779" si="2330">#REF!</f>
        <v>#REF!</v>
      </c>
      <c r="D779" s="20" t="str">
        <f t="shared" si="2330"/>
        <v>#REF!</v>
      </c>
      <c r="E779" s="20" t="str">
        <f t="shared" si="1270"/>
        <v>#REF!</v>
      </c>
      <c r="F779" s="22" t="str">
        <f t="shared" si="2"/>
        <v>#REF!</v>
      </c>
      <c r="G779" s="20" t="str">
        <f t="shared" ref="G779:I779" si="2331">#REF!</f>
        <v>#REF!</v>
      </c>
      <c r="H779" s="20" t="str">
        <f t="shared" si="2331"/>
        <v>#REF!</v>
      </c>
      <c r="I779" s="20" t="str">
        <f t="shared" si="2331"/>
        <v>#REF!</v>
      </c>
      <c r="J779" s="20" t="str">
        <f t="shared" si="1272"/>
        <v>#REF!</v>
      </c>
      <c r="K779" s="20" t="str">
        <f t="shared" ref="K779:L779" si="2332">#REF!</f>
        <v>#REF!</v>
      </c>
      <c r="L779" s="20" t="str">
        <f t="shared" si="2332"/>
        <v>#REF!</v>
      </c>
    </row>
    <row r="780">
      <c r="A780" s="20" t="str">
        <f t="shared" si="1267"/>
        <v>#REF!</v>
      </c>
      <c r="B780" s="20" t="str">
        <f t="shared" si="1268"/>
        <v>#REF!</v>
      </c>
      <c r="C780" s="20" t="str">
        <f t="shared" ref="C780:D780" si="2333">#REF!</f>
        <v>#REF!</v>
      </c>
      <c r="D780" s="20" t="str">
        <f t="shared" si="2333"/>
        <v>#REF!</v>
      </c>
      <c r="E780" s="20" t="str">
        <f t="shared" si="1270"/>
        <v>#REF!</v>
      </c>
      <c r="F780" s="22" t="str">
        <f t="shared" si="2"/>
        <v>#REF!</v>
      </c>
      <c r="G780" s="20" t="str">
        <f t="shared" ref="G780:I780" si="2334">#REF!</f>
        <v>#REF!</v>
      </c>
      <c r="H780" s="20" t="str">
        <f t="shared" si="2334"/>
        <v>#REF!</v>
      </c>
      <c r="I780" s="20" t="str">
        <f t="shared" si="2334"/>
        <v>#REF!</v>
      </c>
      <c r="J780" s="20" t="str">
        <f t="shared" si="1272"/>
        <v>#REF!</v>
      </c>
      <c r="K780" s="20" t="str">
        <f t="shared" ref="K780:L780" si="2335">#REF!</f>
        <v>#REF!</v>
      </c>
      <c r="L780" s="20" t="str">
        <f t="shared" si="2335"/>
        <v>#REF!</v>
      </c>
    </row>
    <row r="781">
      <c r="A781" s="20" t="str">
        <f t="shared" si="1267"/>
        <v>#REF!</v>
      </c>
      <c r="B781" s="20" t="str">
        <f t="shared" si="1268"/>
        <v>#REF!</v>
      </c>
      <c r="C781" s="20" t="str">
        <f t="shared" ref="C781:D781" si="2336">#REF!</f>
        <v>#REF!</v>
      </c>
      <c r="D781" s="20" t="str">
        <f t="shared" si="2336"/>
        <v>#REF!</v>
      </c>
      <c r="E781" s="20" t="str">
        <f t="shared" si="1270"/>
        <v>#REF!</v>
      </c>
      <c r="F781" s="22" t="str">
        <f t="shared" si="2"/>
        <v>#REF!</v>
      </c>
      <c r="G781" s="20" t="str">
        <f t="shared" ref="G781:I781" si="2337">#REF!</f>
        <v>#REF!</v>
      </c>
      <c r="H781" s="20" t="str">
        <f t="shared" si="2337"/>
        <v>#REF!</v>
      </c>
      <c r="I781" s="20" t="str">
        <f t="shared" si="2337"/>
        <v>#REF!</v>
      </c>
      <c r="J781" s="20" t="str">
        <f t="shared" si="1272"/>
        <v>#REF!</v>
      </c>
      <c r="K781" s="20" t="str">
        <f t="shared" ref="K781:L781" si="2338">#REF!</f>
        <v>#REF!</v>
      </c>
      <c r="L781" s="20" t="str">
        <f t="shared" si="2338"/>
        <v>#REF!</v>
      </c>
    </row>
    <row r="782">
      <c r="A782" s="20" t="str">
        <f t="shared" si="1267"/>
        <v>#REF!</v>
      </c>
      <c r="B782" s="20" t="str">
        <f t="shared" si="1268"/>
        <v>#REF!</v>
      </c>
      <c r="C782" s="20" t="str">
        <f t="shared" ref="C782:D782" si="2339">#REF!</f>
        <v>#REF!</v>
      </c>
      <c r="D782" s="20" t="str">
        <f t="shared" si="2339"/>
        <v>#REF!</v>
      </c>
      <c r="E782" s="20" t="str">
        <f t="shared" si="1270"/>
        <v>#REF!</v>
      </c>
      <c r="F782" s="22" t="str">
        <f t="shared" si="2"/>
        <v>#REF!</v>
      </c>
      <c r="G782" s="20" t="str">
        <f t="shared" ref="G782:I782" si="2340">#REF!</f>
        <v>#REF!</v>
      </c>
      <c r="H782" s="20" t="str">
        <f t="shared" si="2340"/>
        <v>#REF!</v>
      </c>
      <c r="I782" s="20" t="str">
        <f t="shared" si="2340"/>
        <v>#REF!</v>
      </c>
      <c r="J782" s="20" t="str">
        <f t="shared" si="1272"/>
        <v>#REF!</v>
      </c>
      <c r="K782" s="20" t="str">
        <f t="shared" ref="K782:L782" si="2341">#REF!</f>
        <v>#REF!</v>
      </c>
      <c r="L782" s="20" t="str">
        <f t="shared" si="2341"/>
        <v>#REF!</v>
      </c>
    </row>
    <row r="783">
      <c r="A783" s="20" t="str">
        <f t="shared" si="1267"/>
        <v>#REF!</v>
      </c>
      <c r="B783" s="20" t="str">
        <f t="shared" si="1268"/>
        <v>#REF!</v>
      </c>
      <c r="C783" s="20" t="str">
        <f t="shared" ref="C783:D783" si="2342">#REF!</f>
        <v>#REF!</v>
      </c>
      <c r="D783" s="20" t="str">
        <f t="shared" si="2342"/>
        <v>#REF!</v>
      </c>
      <c r="E783" s="20" t="str">
        <f t="shared" si="1270"/>
        <v>#REF!</v>
      </c>
      <c r="F783" s="22" t="str">
        <f t="shared" si="2"/>
        <v>#REF!</v>
      </c>
      <c r="G783" s="20" t="str">
        <f t="shared" ref="G783:I783" si="2343">#REF!</f>
        <v>#REF!</v>
      </c>
      <c r="H783" s="20" t="str">
        <f t="shared" si="2343"/>
        <v>#REF!</v>
      </c>
      <c r="I783" s="20" t="str">
        <f t="shared" si="2343"/>
        <v>#REF!</v>
      </c>
      <c r="J783" s="20" t="str">
        <f t="shared" si="1272"/>
        <v>#REF!</v>
      </c>
      <c r="K783" s="20" t="str">
        <f t="shared" ref="K783:L783" si="2344">#REF!</f>
        <v>#REF!</v>
      </c>
      <c r="L783" s="20" t="str">
        <f t="shared" si="2344"/>
        <v>#REF!</v>
      </c>
    </row>
    <row r="784">
      <c r="A784" s="20" t="str">
        <f t="shared" si="1267"/>
        <v>#REF!</v>
      </c>
      <c r="B784" s="20" t="str">
        <f t="shared" si="1268"/>
        <v>#REF!</v>
      </c>
      <c r="C784" s="20" t="str">
        <f t="shared" ref="C784:D784" si="2345">#REF!</f>
        <v>#REF!</v>
      </c>
      <c r="D784" s="20" t="str">
        <f t="shared" si="2345"/>
        <v>#REF!</v>
      </c>
      <c r="E784" s="20" t="str">
        <f t="shared" si="1270"/>
        <v>#REF!</v>
      </c>
      <c r="F784" s="22" t="str">
        <f t="shared" si="2"/>
        <v>#REF!</v>
      </c>
      <c r="G784" s="20" t="str">
        <f t="shared" ref="G784:I784" si="2346">#REF!</f>
        <v>#REF!</v>
      </c>
      <c r="H784" s="20" t="str">
        <f t="shared" si="2346"/>
        <v>#REF!</v>
      </c>
      <c r="I784" s="20" t="str">
        <f t="shared" si="2346"/>
        <v>#REF!</v>
      </c>
      <c r="J784" s="20" t="str">
        <f t="shared" si="1272"/>
        <v>#REF!</v>
      </c>
      <c r="K784" s="20" t="str">
        <f t="shared" ref="K784:L784" si="2347">#REF!</f>
        <v>#REF!</v>
      </c>
      <c r="L784" s="20" t="str">
        <f t="shared" si="2347"/>
        <v>#REF!</v>
      </c>
    </row>
    <row r="785">
      <c r="A785" s="20" t="str">
        <f t="shared" si="1267"/>
        <v>#REF!</v>
      </c>
      <c r="B785" s="20" t="str">
        <f t="shared" si="1268"/>
        <v>#REF!</v>
      </c>
      <c r="C785" s="20" t="str">
        <f t="shared" ref="C785:D785" si="2348">#REF!</f>
        <v>#REF!</v>
      </c>
      <c r="D785" s="20" t="str">
        <f t="shared" si="2348"/>
        <v>#REF!</v>
      </c>
      <c r="E785" s="20" t="str">
        <f t="shared" si="1270"/>
        <v>#REF!</v>
      </c>
      <c r="F785" s="22" t="str">
        <f t="shared" si="2"/>
        <v>#REF!</v>
      </c>
      <c r="G785" s="20" t="str">
        <f t="shared" ref="G785:I785" si="2349">#REF!</f>
        <v>#REF!</v>
      </c>
      <c r="H785" s="20" t="str">
        <f t="shared" si="2349"/>
        <v>#REF!</v>
      </c>
      <c r="I785" s="20" t="str">
        <f t="shared" si="2349"/>
        <v>#REF!</v>
      </c>
      <c r="J785" s="20" t="str">
        <f t="shared" si="1272"/>
        <v>#REF!</v>
      </c>
      <c r="K785" s="20" t="str">
        <f t="shared" ref="K785:L785" si="2350">#REF!</f>
        <v>#REF!</v>
      </c>
      <c r="L785" s="20" t="str">
        <f t="shared" si="2350"/>
        <v>#REF!</v>
      </c>
    </row>
    <row r="786">
      <c r="A786" s="20" t="str">
        <f t="shared" si="1267"/>
        <v>#REF!</v>
      </c>
      <c r="B786" s="20" t="str">
        <f t="shared" si="1268"/>
        <v>#REF!</v>
      </c>
      <c r="C786" s="20" t="str">
        <f t="shared" ref="C786:D786" si="2351">#REF!</f>
        <v>#REF!</v>
      </c>
      <c r="D786" s="20" t="str">
        <f t="shared" si="2351"/>
        <v>#REF!</v>
      </c>
      <c r="E786" s="20" t="str">
        <f t="shared" si="1270"/>
        <v>#REF!</v>
      </c>
      <c r="F786" s="22" t="str">
        <f t="shared" si="2"/>
        <v>#REF!</v>
      </c>
      <c r="G786" s="20" t="str">
        <f t="shared" ref="G786:I786" si="2352">#REF!</f>
        <v>#REF!</v>
      </c>
      <c r="H786" s="20" t="str">
        <f t="shared" si="2352"/>
        <v>#REF!</v>
      </c>
      <c r="I786" s="20" t="str">
        <f t="shared" si="2352"/>
        <v>#REF!</v>
      </c>
      <c r="J786" s="20" t="str">
        <f t="shared" si="1272"/>
        <v>#REF!</v>
      </c>
      <c r="K786" s="20" t="str">
        <f t="shared" ref="K786:L786" si="2353">#REF!</f>
        <v>#REF!</v>
      </c>
      <c r="L786" s="20" t="str">
        <f t="shared" si="2353"/>
        <v>#REF!</v>
      </c>
    </row>
    <row r="787">
      <c r="A787" s="20" t="str">
        <f t="shared" si="1267"/>
        <v>#REF!</v>
      </c>
      <c r="B787" s="20" t="str">
        <f t="shared" si="1268"/>
        <v>#REF!</v>
      </c>
      <c r="C787" s="20" t="str">
        <f t="shared" ref="C787:D787" si="2354">#REF!</f>
        <v>#REF!</v>
      </c>
      <c r="D787" s="20" t="str">
        <f t="shared" si="2354"/>
        <v>#REF!</v>
      </c>
      <c r="E787" s="20" t="str">
        <f t="shared" si="1270"/>
        <v>#REF!</v>
      </c>
      <c r="F787" s="22" t="str">
        <f t="shared" si="2"/>
        <v>#REF!</v>
      </c>
      <c r="G787" s="20" t="str">
        <f t="shared" ref="G787:I787" si="2355">#REF!</f>
        <v>#REF!</v>
      </c>
      <c r="H787" s="20" t="str">
        <f t="shared" si="2355"/>
        <v>#REF!</v>
      </c>
      <c r="I787" s="20" t="str">
        <f t="shared" si="2355"/>
        <v>#REF!</v>
      </c>
      <c r="J787" s="20" t="str">
        <f t="shared" si="1272"/>
        <v>#REF!</v>
      </c>
      <c r="K787" s="20" t="str">
        <f t="shared" ref="K787:L787" si="2356">#REF!</f>
        <v>#REF!</v>
      </c>
      <c r="L787" s="20" t="str">
        <f t="shared" si="2356"/>
        <v>#REF!</v>
      </c>
    </row>
    <row r="788">
      <c r="A788" s="20" t="str">
        <f t="shared" si="1267"/>
        <v>#REF!</v>
      </c>
      <c r="B788" s="20" t="str">
        <f t="shared" si="1268"/>
        <v>#REF!</v>
      </c>
      <c r="C788" s="20" t="str">
        <f t="shared" ref="C788:D788" si="2357">#REF!</f>
        <v>#REF!</v>
      </c>
      <c r="D788" s="20" t="str">
        <f t="shared" si="2357"/>
        <v>#REF!</v>
      </c>
      <c r="E788" s="20" t="str">
        <f t="shared" si="1270"/>
        <v>#REF!</v>
      </c>
      <c r="F788" s="22" t="str">
        <f t="shared" si="2"/>
        <v>#REF!</v>
      </c>
      <c r="G788" s="20" t="str">
        <f t="shared" ref="G788:I788" si="2358">#REF!</f>
        <v>#REF!</v>
      </c>
      <c r="H788" s="20" t="str">
        <f t="shared" si="2358"/>
        <v>#REF!</v>
      </c>
      <c r="I788" s="20" t="str">
        <f t="shared" si="2358"/>
        <v>#REF!</v>
      </c>
      <c r="J788" s="20" t="str">
        <f t="shared" si="1272"/>
        <v>#REF!</v>
      </c>
      <c r="K788" s="20" t="str">
        <f t="shared" ref="K788:L788" si="2359">#REF!</f>
        <v>#REF!</v>
      </c>
      <c r="L788" s="20" t="str">
        <f t="shared" si="2359"/>
        <v>#REF!</v>
      </c>
    </row>
    <row r="789">
      <c r="A789" s="20" t="str">
        <f t="shared" si="1267"/>
        <v>#REF!</v>
      </c>
      <c r="B789" s="20" t="str">
        <f t="shared" si="1268"/>
        <v>#REF!</v>
      </c>
      <c r="C789" s="20" t="str">
        <f t="shared" ref="C789:D789" si="2360">#REF!</f>
        <v>#REF!</v>
      </c>
      <c r="D789" s="20" t="str">
        <f t="shared" si="2360"/>
        <v>#REF!</v>
      </c>
      <c r="E789" s="20" t="str">
        <f t="shared" si="1270"/>
        <v>#REF!</v>
      </c>
      <c r="F789" s="22" t="str">
        <f t="shared" si="2"/>
        <v>#REF!</v>
      </c>
      <c r="G789" s="20" t="str">
        <f t="shared" ref="G789:I789" si="2361">#REF!</f>
        <v>#REF!</v>
      </c>
      <c r="H789" s="20" t="str">
        <f t="shared" si="2361"/>
        <v>#REF!</v>
      </c>
      <c r="I789" s="20" t="str">
        <f t="shared" si="2361"/>
        <v>#REF!</v>
      </c>
      <c r="J789" s="20" t="str">
        <f t="shared" si="1272"/>
        <v>#REF!</v>
      </c>
      <c r="K789" s="20" t="str">
        <f t="shared" ref="K789:L789" si="2362">#REF!</f>
        <v>#REF!</v>
      </c>
      <c r="L789" s="20" t="str">
        <f t="shared" si="2362"/>
        <v>#REF!</v>
      </c>
    </row>
    <row r="790">
      <c r="A790" s="20" t="str">
        <f t="shared" si="1267"/>
        <v>#REF!</v>
      </c>
      <c r="B790" s="20" t="str">
        <f t="shared" si="1268"/>
        <v>#REF!</v>
      </c>
      <c r="C790" s="20" t="str">
        <f t="shared" ref="C790:D790" si="2363">#REF!</f>
        <v>#REF!</v>
      </c>
      <c r="D790" s="20" t="str">
        <f t="shared" si="2363"/>
        <v>#REF!</v>
      </c>
      <c r="E790" s="20" t="str">
        <f t="shared" si="1270"/>
        <v>#REF!</v>
      </c>
      <c r="F790" s="22" t="str">
        <f t="shared" si="2"/>
        <v>#REF!</v>
      </c>
      <c r="G790" s="20" t="str">
        <f t="shared" ref="G790:I790" si="2364">#REF!</f>
        <v>#REF!</v>
      </c>
      <c r="H790" s="20" t="str">
        <f t="shared" si="2364"/>
        <v>#REF!</v>
      </c>
      <c r="I790" s="20" t="str">
        <f t="shared" si="2364"/>
        <v>#REF!</v>
      </c>
      <c r="J790" s="20" t="str">
        <f t="shared" si="1272"/>
        <v>#REF!</v>
      </c>
      <c r="K790" s="20" t="str">
        <f t="shared" ref="K790:L790" si="2365">#REF!</f>
        <v>#REF!</v>
      </c>
      <c r="L790" s="20" t="str">
        <f t="shared" si="2365"/>
        <v>#REF!</v>
      </c>
    </row>
    <row r="791">
      <c r="A791" s="20" t="str">
        <f t="shared" si="1267"/>
        <v>#REF!</v>
      </c>
      <c r="B791" s="20" t="str">
        <f t="shared" si="1268"/>
        <v>#REF!</v>
      </c>
      <c r="C791" s="20" t="str">
        <f t="shared" ref="C791:D791" si="2366">#REF!</f>
        <v>#REF!</v>
      </c>
      <c r="D791" s="20" t="str">
        <f t="shared" si="2366"/>
        <v>#REF!</v>
      </c>
      <c r="E791" s="20" t="str">
        <f t="shared" si="1270"/>
        <v>#REF!</v>
      </c>
      <c r="F791" s="22" t="str">
        <f t="shared" si="2"/>
        <v>#REF!</v>
      </c>
      <c r="G791" s="20" t="str">
        <f t="shared" ref="G791:I791" si="2367">#REF!</f>
        <v>#REF!</v>
      </c>
      <c r="H791" s="20" t="str">
        <f t="shared" si="2367"/>
        <v>#REF!</v>
      </c>
      <c r="I791" s="20" t="str">
        <f t="shared" si="2367"/>
        <v>#REF!</v>
      </c>
      <c r="J791" s="20" t="str">
        <f t="shared" si="1272"/>
        <v>#REF!</v>
      </c>
      <c r="K791" s="20" t="str">
        <f t="shared" ref="K791:L791" si="2368">#REF!</f>
        <v>#REF!</v>
      </c>
      <c r="L791" s="20" t="str">
        <f t="shared" si="2368"/>
        <v>#REF!</v>
      </c>
    </row>
    <row r="792">
      <c r="A792" s="20" t="str">
        <f t="shared" si="1267"/>
        <v>#REF!</v>
      </c>
      <c r="B792" s="20" t="str">
        <f t="shared" si="1268"/>
        <v>#REF!</v>
      </c>
      <c r="C792" s="20" t="str">
        <f t="shared" ref="C792:D792" si="2369">#REF!</f>
        <v>#REF!</v>
      </c>
      <c r="D792" s="20" t="str">
        <f t="shared" si="2369"/>
        <v>#REF!</v>
      </c>
      <c r="E792" s="20" t="str">
        <f t="shared" si="1270"/>
        <v>#REF!</v>
      </c>
      <c r="F792" s="22" t="str">
        <f t="shared" si="2"/>
        <v>#REF!</v>
      </c>
      <c r="G792" s="20" t="str">
        <f t="shared" ref="G792:I792" si="2370">#REF!</f>
        <v>#REF!</v>
      </c>
      <c r="H792" s="20" t="str">
        <f t="shared" si="2370"/>
        <v>#REF!</v>
      </c>
      <c r="I792" s="20" t="str">
        <f t="shared" si="2370"/>
        <v>#REF!</v>
      </c>
      <c r="J792" s="20" t="str">
        <f t="shared" si="1272"/>
        <v>#REF!</v>
      </c>
      <c r="K792" s="20" t="str">
        <f t="shared" ref="K792:L792" si="2371">#REF!</f>
        <v>#REF!</v>
      </c>
      <c r="L792" s="20" t="str">
        <f t="shared" si="2371"/>
        <v>#REF!</v>
      </c>
    </row>
    <row r="793">
      <c r="A793" s="20" t="str">
        <f t="shared" si="1267"/>
        <v>#REF!</v>
      </c>
      <c r="B793" s="20" t="str">
        <f t="shared" si="1268"/>
        <v>#REF!</v>
      </c>
      <c r="C793" s="20" t="str">
        <f t="shared" ref="C793:D793" si="2372">#REF!</f>
        <v>#REF!</v>
      </c>
      <c r="D793" s="20" t="str">
        <f t="shared" si="2372"/>
        <v>#REF!</v>
      </c>
      <c r="E793" s="20" t="str">
        <f t="shared" si="1270"/>
        <v>#REF!</v>
      </c>
      <c r="F793" s="22" t="str">
        <f t="shared" si="2"/>
        <v>#REF!</v>
      </c>
      <c r="G793" s="20" t="str">
        <f t="shared" ref="G793:I793" si="2373">#REF!</f>
        <v>#REF!</v>
      </c>
      <c r="H793" s="20" t="str">
        <f t="shared" si="2373"/>
        <v>#REF!</v>
      </c>
      <c r="I793" s="20" t="str">
        <f t="shared" si="2373"/>
        <v>#REF!</v>
      </c>
      <c r="J793" s="20" t="str">
        <f t="shared" si="1272"/>
        <v>#REF!</v>
      </c>
      <c r="K793" s="20" t="str">
        <f t="shared" ref="K793:L793" si="2374">#REF!</f>
        <v>#REF!</v>
      </c>
      <c r="L793" s="20" t="str">
        <f t="shared" si="2374"/>
        <v>#REF!</v>
      </c>
    </row>
    <row r="794">
      <c r="A794" s="20" t="str">
        <f t="shared" si="1267"/>
        <v>#REF!</v>
      </c>
      <c r="B794" s="20" t="str">
        <f t="shared" si="1268"/>
        <v>#REF!</v>
      </c>
      <c r="C794" s="20" t="str">
        <f t="shared" ref="C794:D794" si="2375">#REF!</f>
        <v>#REF!</v>
      </c>
      <c r="D794" s="20" t="str">
        <f t="shared" si="2375"/>
        <v>#REF!</v>
      </c>
      <c r="E794" s="20" t="str">
        <f t="shared" si="1270"/>
        <v>#REF!</v>
      </c>
      <c r="F794" s="22" t="str">
        <f t="shared" si="2"/>
        <v>#REF!</v>
      </c>
      <c r="G794" s="20" t="str">
        <f t="shared" ref="G794:I794" si="2376">#REF!</f>
        <v>#REF!</v>
      </c>
      <c r="H794" s="20" t="str">
        <f t="shared" si="2376"/>
        <v>#REF!</v>
      </c>
      <c r="I794" s="20" t="str">
        <f t="shared" si="2376"/>
        <v>#REF!</v>
      </c>
      <c r="J794" s="20" t="str">
        <f t="shared" si="1272"/>
        <v>#REF!</v>
      </c>
      <c r="K794" s="20" t="str">
        <f t="shared" ref="K794:L794" si="2377">#REF!</f>
        <v>#REF!</v>
      </c>
      <c r="L794" s="20" t="str">
        <f t="shared" si="2377"/>
        <v>#REF!</v>
      </c>
    </row>
    <row r="795">
      <c r="A795" s="20" t="str">
        <f t="shared" si="1267"/>
        <v>#REF!</v>
      </c>
      <c r="B795" s="20" t="str">
        <f t="shared" si="1268"/>
        <v>#REF!</v>
      </c>
      <c r="C795" s="20" t="str">
        <f t="shared" ref="C795:D795" si="2378">#REF!</f>
        <v>#REF!</v>
      </c>
      <c r="D795" s="20" t="str">
        <f t="shared" si="2378"/>
        <v>#REF!</v>
      </c>
      <c r="E795" s="20" t="str">
        <f t="shared" si="1270"/>
        <v>#REF!</v>
      </c>
      <c r="F795" s="22" t="str">
        <f t="shared" si="2"/>
        <v>#REF!</v>
      </c>
      <c r="G795" s="20" t="str">
        <f t="shared" ref="G795:I795" si="2379">#REF!</f>
        <v>#REF!</v>
      </c>
      <c r="H795" s="20" t="str">
        <f t="shared" si="2379"/>
        <v>#REF!</v>
      </c>
      <c r="I795" s="20" t="str">
        <f t="shared" si="2379"/>
        <v>#REF!</v>
      </c>
      <c r="J795" s="20" t="str">
        <f t="shared" si="1272"/>
        <v>#REF!</v>
      </c>
      <c r="K795" s="20" t="str">
        <f t="shared" ref="K795:L795" si="2380">#REF!</f>
        <v>#REF!</v>
      </c>
      <c r="L795" s="20" t="str">
        <f t="shared" si="2380"/>
        <v>#REF!</v>
      </c>
    </row>
    <row r="796">
      <c r="A796" s="20" t="str">
        <f t="shared" si="1267"/>
        <v>#REF!</v>
      </c>
      <c r="B796" s="20" t="str">
        <f t="shared" si="1268"/>
        <v>#REF!</v>
      </c>
      <c r="C796" s="20" t="str">
        <f t="shared" ref="C796:D796" si="2381">#REF!</f>
        <v>#REF!</v>
      </c>
      <c r="D796" s="20" t="str">
        <f t="shared" si="2381"/>
        <v>#REF!</v>
      </c>
      <c r="E796" s="20" t="str">
        <f t="shared" si="1270"/>
        <v>#REF!</v>
      </c>
      <c r="F796" s="22" t="str">
        <f t="shared" si="2"/>
        <v>#REF!</v>
      </c>
      <c r="G796" s="20" t="str">
        <f t="shared" ref="G796:I796" si="2382">#REF!</f>
        <v>#REF!</v>
      </c>
      <c r="H796" s="20" t="str">
        <f t="shared" si="2382"/>
        <v>#REF!</v>
      </c>
      <c r="I796" s="20" t="str">
        <f t="shared" si="2382"/>
        <v>#REF!</v>
      </c>
      <c r="J796" s="20" t="str">
        <f t="shared" si="1272"/>
        <v>#REF!</v>
      </c>
      <c r="K796" s="20" t="str">
        <f t="shared" ref="K796:L796" si="2383">#REF!</f>
        <v>#REF!</v>
      </c>
      <c r="L796" s="20" t="str">
        <f t="shared" si="2383"/>
        <v>#REF!</v>
      </c>
    </row>
    <row r="797">
      <c r="A797" s="20" t="str">
        <f t="shared" si="1267"/>
        <v>#REF!</v>
      </c>
      <c r="B797" s="20" t="str">
        <f t="shared" si="1268"/>
        <v>#REF!</v>
      </c>
      <c r="C797" s="20" t="str">
        <f t="shared" ref="C797:D797" si="2384">#REF!</f>
        <v>#REF!</v>
      </c>
      <c r="D797" s="20" t="str">
        <f t="shared" si="2384"/>
        <v>#REF!</v>
      </c>
      <c r="E797" s="20" t="str">
        <f t="shared" si="1270"/>
        <v>#REF!</v>
      </c>
      <c r="F797" s="22" t="str">
        <f t="shared" si="2"/>
        <v>#REF!</v>
      </c>
      <c r="G797" s="20" t="str">
        <f t="shared" ref="G797:I797" si="2385">#REF!</f>
        <v>#REF!</v>
      </c>
      <c r="H797" s="20" t="str">
        <f t="shared" si="2385"/>
        <v>#REF!</v>
      </c>
      <c r="I797" s="20" t="str">
        <f t="shared" si="2385"/>
        <v>#REF!</v>
      </c>
      <c r="J797" s="20" t="str">
        <f t="shared" si="1272"/>
        <v>#REF!</v>
      </c>
      <c r="K797" s="20" t="str">
        <f t="shared" ref="K797:L797" si="2386">#REF!</f>
        <v>#REF!</v>
      </c>
      <c r="L797" s="20" t="str">
        <f t="shared" si="2386"/>
        <v>#REF!</v>
      </c>
    </row>
    <row r="798">
      <c r="A798" s="20" t="str">
        <f t="shared" si="1267"/>
        <v>#REF!</v>
      </c>
      <c r="B798" s="20" t="str">
        <f t="shared" si="1268"/>
        <v>#REF!</v>
      </c>
      <c r="C798" s="20" t="str">
        <f t="shared" ref="C798:D798" si="2387">#REF!</f>
        <v>#REF!</v>
      </c>
      <c r="D798" s="20" t="str">
        <f t="shared" si="2387"/>
        <v>#REF!</v>
      </c>
      <c r="E798" s="20" t="str">
        <f t="shared" si="1270"/>
        <v>#REF!</v>
      </c>
      <c r="F798" s="22" t="str">
        <f t="shared" si="2"/>
        <v>#REF!</v>
      </c>
      <c r="G798" s="20" t="str">
        <f t="shared" ref="G798:I798" si="2388">#REF!</f>
        <v>#REF!</v>
      </c>
      <c r="H798" s="20" t="str">
        <f t="shared" si="2388"/>
        <v>#REF!</v>
      </c>
      <c r="I798" s="20" t="str">
        <f t="shared" si="2388"/>
        <v>#REF!</v>
      </c>
      <c r="J798" s="20" t="str">
        <f t="shared" si="1272"/>
        <v>#REF!</v>
      </c>
      <c r="K798" s="20" t="str">
        <f t="shared" ref="K798:L798" si="2389">#REF!</f>
        <v>#REF!</v>
      </c>
      <c r="L798" s="20" t="str">
        <f t="shared" si="2389"/>
        <v>#REF!</v>
      </c>
    </row>
    <row r="799">
      <c r="A799" s="20" t="str">
        <f t="shared" si="1267"/>
        <v>#REF!</v>
      </c>
      <c r="B799" s="20" t="str">
        <f t="shared" si="1268"/>
        <v>#REF!</v>
      </c>
      <c r="C799" s="20" t="str">
        <f t="shared" ref="C799:D799" si="2390">#REF!</f>
        <v>#REF!</v>
      </c>
      <c r="D799" s="20" t="str">
        <f t="shared" si="2390"/>
        <v>#REF!</v>
      </c>
      <c r="E799" s="20" t="str">
        <f t="shared" si="1270"/>
        <v>#REF!</v>
      </c>
      <c r="F799" s="22" t="str">
        <f t="shared" si="2"/>
        <v>#REF!</v>
      </c>
      <c r="G799" s="20" t="str">
        <f t="shared" ref="G799:I799" si="2391">#REF!</f>
        <v>#REF!</v>
      </c>
      <c r="H799" s="20" t="str">
        <f t="shared" si="2391"/>
        <v>#REF!</v>
      </c>
      <c r="I799" s="20" t="str">
        <f t="shared" si="2391"/>
        <v>#REF!</v>
      </c>
      <c r="J799" s="20" t="str">
        <f t="shared" si="1272"/>
        <v>#REF!</v>
      </c>
      <c r="K799" s="20" t="str">
        <f t="shared" ref="K799:L799" si="2392">#REF!</f>
        <v>#REF!</v>
      </c>
      <c r="L799" s="20" t="str">
        <f t="shared" si="2392"/>
        <v>#REF!</v>
      </c>
    </row>
    <row r="800">
      <c r="A800" s="20" t="str">
        <f t="shared" si="1267"/>
        <v>#REF!</v>
      </c>
      <c r="B800" s="20" t="str">
        <f t="shared" si="1268"/>
        <v>#REF!</v>
      </c>
      <c r="C800" s="20" t="str">
        <f t="shared" ref="C800:D800" si="2393">#REF!</f>
        <v>#REF!</v>
      </c>
      <c r="D800" s="20" t="str">
        <f t="shared" si="2393"/>
        <v>#REF!</v>
      </c>
      <c r="E800" s="20" t="str">
        <f t="shared" si="1270"/>
        <v>#REF!</v>
      </c>
      <c r="F800" s="22" t="str">
        <f t="shared" si="2"/>
        <v>#REF!</v>
      </c>
      <c r="G800" s="20" t="str">
        <f t="shared" ref="G800:I800" si="2394">#REF!</f>
        <v>#REF!</v>
      </c>
      <c r="H800" s="20" t="str">
        <f t="shared" si="2394"/>
        <v>#REF!</v>
      </c>
      <c r="I800" s="20" t="str">
        <f t="shared" si="2394"/>
        <v>#REF!</v>
      </c>
      <c r="J800" s="20" t="str">
        <f t="shared" si="1272"/>
        <v>#REF!</v>
      </c>
      <c r="K800" s="20" t="str">
        <f t="shared" ref="K800:L800" si="2395">#REF!</f>
        <v>#REF!</v>
      </c>
      <c r="L800" s="20" t="str">
        <f t="shared" si="2395"/>
        <v>#REF!</v>
      </c>
    </row>
    <row r="801">
      <c r="A801" s="20" t="str">
        <f t="shared" si="1267"/>
        <v>#REF!</v>
      </c>
      <c r="B801" s="20" t="str">
        <f t="shared" si="1268"/>
        <v>#REF!</v>
      </c>
      <c r="C801" s="20" t="str">
        <f t="shared" ref="C801:D801" si="2396">#REF!</f>
        <v>#REF!</v>
      </c>
      <c r="D801" s="20" t="str">
        <f t="shared" si="2396"/>
        <v>#REF!</v>
      </c>
      <c r="E801" s="20" t="str">
        <f t="shared" si="1270"/>
        <v>#REF!</v>
      </c>
      <c r="F801" s="22" t="str">
        <f t="shared" si="2"/>
        <v>#REF!</v>
      </c>
      <c r="G801" s="20" t="str">
        <f t="shared" ref="G801:I801" si="2397">#REF!</f>
        <v>#REF!</v>
      </c>
      <c r="H801" s="20" t="str">
        <f t="shared" si="2397"/>
        <v>#REF!</v>
      </c>
      <c r="I801" s="20" t="str">
        <f t="shared" si="2397"/>
        <v>#REF!</v>
      </c>
      <c r="J801" s="20" t="str">
        <f t="shared" si="1272"/>
        <v>#REF!</v>
      </c>
      <c r="K801" s="20" t="str">
        <f t="shared" ref="K801:L801" si="2398">#REF!</f>
        <v>#REF!</v>
      </c>
      <c r="L801" s="20" t="str">
        <f t="shared" si="2398"/>
        <v>#REF!</v>
      </c>
    </row>
    <row r="802">
      <c r="A802" s="20" t="str">
        <f t="shared" si="1267"/>
        <v>#REF!</v>
      </c>
      <c r="B802" s="20" t="str">
        <f t="shared" si="1268"/>
        <v>#REF!</v>
      </c>
      <c r="C802" s="20" t="str">
        <f t="shared" ref="C802:D802" si="2399">#REF!</f>
        <v>#REF!</v>
      </c>
      <c r="D802" s="20" t="str">
        <f t="shared" si="2399"/>
        <v>#REF!</v>
      </c>
      <c r="E802" s="20" t="str">
        <f t="shared" si="1270"/>
        <v>#REF!</v>
      </c>
      <c r="F802" s="22" t="str">
        <f t="shared" si="2"/>
        <v>#REF!</v>
      </c>
      <c r="G802" s="20" t="str">
        <f t="shared" ref="G802:I802" si="2400">#REF!</f>
        <v>#REF!</v>
      </c>
      <c r="H802" s="20" t="str">
        <f t="shared" si="2400"/>
        <v>#REF!</v>
      </c>
      <c r="I802" s="20" t="str">
        <f t="shared" si="2400"/>
        <v>#REF!</v>
      </c>
      <c r="J802" s="20" t="str">
        <f t="shared" si="1272"/>
        <v>#REF!</v>
      </c>
      <c r="K802" s="20" t="str">
        <f t="shared" ref="K802:L802" si="2401">#REF!</f>
        <v>#REF!</v>
      </c>
      <c r="L802" s="20" t="str">
        <f t="shared" si="2401"/>
        <v>#REF!</v>
      </c>
    </row>
    <row r="803">
      <c r="A803" s="20" t="str">
        <f t="shared" si="1267"/>
        <v>#REF!</v>
      </c>
      <c r="B803" s="20" t="str">
        <f t="shared" si="1268"/>
        <v>#REF!</v>
      </c>
      <c r="C803" s="20" t="str">
        <f t="shared" ref="C803:D803" si="2402">#REF!</f>
        <v>#REF!</v>
      </c>
      <c r="D803" s="20" t="str">
        <f t="shared" si="2402"/>
        <v>#REF!</v>
      </c>
      <c r="E803" s="20" t="str">
        <f t="shared" si="1270"/>
        <v>#REF!</v>
      </c>
      <c r="F803" s="22" t="str">
        <f t="shared" si="2"/>
        <v>#REF!</v>
      </c>
      <c r="G803" s="20" t="str">
        <f t="shared" ref="G803:I803" si="2403">#REF!</f>
        <v>#REF!</v>
      </c>
      <c r="H803" s="20" t="str">
        <f t="shared" si="2403"/>
        <v>#REF!</v>
      </c>
      <c r="I803" s="20" t="str">
        <f t="shared" si="2403"/>
        <v>#REF!</v>
      </c>
      <c r="J803" s="20" t="str">
        <f t="shared" si="1272"/>
        <v>#REF!</v>
      </c>
      <c r="K803" s="20" t="str">
        <f t="shared" ref="K803:L803" si="2404">#REF!</f>
        <v>#REF!</v>
      </c>
      <c r="L803" s="20" t="str">
        <f t="shared" si="2404"/>
        <v>#REF!</v>
      </c>
    </row>
    <row r="804">
      <c r="A804" s="20" t="str">
        <f t="shared" si="1267"/>
        <v>#REF!</v>
      </c>
      <c r="B804" s="20" t="str">
        <f t="shared" si="1268"/>
        <v>#REF!</v>
      </c>
      <c r="C804" s="20" t="str">
        <f t="shared" ref="C804:D804" si="2405">#REF!</f>
        <v>#REF!</v>
      </c>
      <c r="D804" s="20" t="str">
        <f t="shared" si="2405"/>
        <v>#REF!</v>
      </c>
      <c r="E804" s="20" t="str">
        <f t="shared" si="1270"/>
        <v>#REF!</v>
      </c>
      <c r="F804" s="22" t="str">
        <f t="shared" si="2"/>
        <v>#REF!</v>
      </c>
      <c r="G804" s="20" t="str">
        <f t="shared" ref="G804:I804" si="2406">#REF!</f>
        <v>#REF!</v>
      </c>
      <c r="H804" s="20" t="str">
        <f t="shared" si="2406"/>
        <v>#REF!</v>
      </c>
      <c r="I804" s="20" t="str">
        <f t="shared" si="2406"/>
        <v>#REF!</v>
      </c>
      <c r="J804" s="20" t="str">
        <f t="shared" si="1272"/>
        <v>#REF!</v>
      </c>
      <c r="K804" s="20" t="str">
        <f t="shared" ref="K804:L804" si="2407">#REF!</f>
        <v>#REF!</v>
      </c>
      <c r="L804" s="20" t="str">
        <f t="shared" si="2407"/>
        <v>#REF!</v>
      </c>
    </row>
    <row r="805">
      <c r="A805" s="20" t="str">
        <f t="shared" si="1267"/>
        <v>#REF!</v>
      </c>
      <c r="B805" s="20" t="str">
        <f t="shared" si="1268"/>
        <v>#REF!</v>
      </c>
      <c r="C805" s="20" t="str">
        <f t="shared" ref="C805:D805" si="2408">#REF!</f>
        <v>#REF!</v>
      </c>
      <c r="D805" s="20" t="str">
        <f t="shared" si="2408"/>
        <v>#REF!</v>
      </c>
      <c r="E805" s="20" t="str">
        <f t="shared" si="1270"/>
        <v>#REF!</v>
      </c>
      <c r="F805" s="22" t="str">
        <f t="shared" si="2"/>
        <v>#REF!</v>
      </c>
      <c r="G805" s="20" t="str">
        <f t="shared" ref="G805:I805" si="2409">#REF!</f>
        <v>#REF!</v>
      </c>
      <c r="H805" s="20" t="str">
        <f t="shared" si="2409"/>
        <v>#REF!</v>
      </c>
      <c r="I805" s="20" t="str">
        <f t="shared" si="2409"/>
        <v>#REF!</v>
      </c>
      <c r="J805" s="20" t="str">
        <f t="shared" si="1272"/>
        <v>#REF!</v>
      </c>
      <c r="K805" s="20" t="str">
        <f t="shared" ref="K805:L805" si="2410">#REF!</f>
        <v>#REF!</v>
      </c>
      <c r="L805" s="20" t="str">
        <f t="shared" si="2410"/>
        <v>#REF!</v>
      </c>
    </row>
    <row r="806">
      <c r="A806" s="20" t="str">
        <f t="shared" si="1267"/>
        <v>#REF!</v>
      </c>
      <c r="B806" s="20" t="str">
        <f t="shared" si="1268"/>
        <v>#REF!</v>
      </c>
      <c r="C806" s="20" t="str">
        <f t="shared" ref="C806:D806" si="2411">#REF!</f>
        <v>#REF!</v>
      </c>
      <c r="D806" s="20" t="str">
        <f t="shared" si="2411"/>
        <v>#REF!</v>
      </c>
      <c r="E806" s="20" t="str">
        <f t="shared" si="1270"/>
        <v>#REF!</v>
      </c>
      <c r="F806" s="22" t="str">
        <f t="shared" si="2"/>
        <v>#REF!</v>
      </c>
      <c r="G806" s="20" t="str">
        <f t="shared" ref="G806:I806" si="2412">#REF!</f>
        <v>#REF!</v>
      </c>
      <c r="H806" s="20" t="str">
        <f t="shared" si="2412"/>
        <v>#REF!</v>
      </c>
      <c r="I806" s="20" t="str">
        <f t="shared" si="2412"/>
        <v>#REF!</v>
      </c>
      <c r="J806" s="20" t="str">
        <f t="shared" si="1272"/>
        <v>#REF!</v>
      </c>
      <c r="K806" s="20" t="str">
        <f t="shared" ref="K806:L806" si="2413">#REF!</f>
        <v>#REF!</v>
      </c>
      <c r="L806" s="20" t="str">
        <f t="shared" si="2413"/>
        <v>#REF!</v>
      </c>
    </row>
    <row r="807">
      <c r="A807" s="20" t="str">
        <f t="shared" si="1267"/>
        <v>#REF!</v>
      </c>
      <c r="B807" s="20" t="str">
        <f t="shared" si="1268"/>
        <v>#REF!</v>
      </c>
      <c r="C807" s="20" t="str">
        <f t="shared" ref="C807:D807" si="2414">#REF!</f>
        <v>#REF!</v>
      </c>
      <c r="D807" s="20" t="str">
        <f t="shared" si="2414"/>
        <v>#REF!</v>
      </c>
      <c r="E807" s="20" t="str">
        <f t="shared" si="1270"/>
        <v>#REF!</v>
      </c>
      <c r="F807" s="22" t="str">
        <f t="shared" si="2"/>
        <v>#REF!</v>
      </c>
      <c r="G807" s="20" t="str">
        <f t="shared" ref="G807:I807" si="2415">#REF!</f>
        <v>#REF!</v>
      </c>
      <c r="H807" s="20" t="str">
        <f t="shared" si="2415"/>
        <v>#REF!</v>
      </c>
      <c r="I807" s="20" t="str">
        <f t="shared" si="2415"/>
        <v>#REF!</v>
      </c>
      <c r="J807" s="20" t="str">
        <f t="shared" si="1272"/>
        <v>#REF!</v>
      </c>
      <c r="K807" s="20" t="str">
        <f t="shared" ref="K807:L807" si="2416">#REF!</f>
        <v>#REF!</v>
      </c>
      <c r="L807" s="20" t="str">
        <f t="shared" si="2416"/>
        <v>#REF!</v>
      </c>
    </row>
    <row r="808">
      <c r="A808" s="20" t="str">
        <f t="shared" si="1267"/>
        <v>#REF!</v>
      </c>
      <c r="B808" s="20" t="str">
        <f t="shared" si="1268"/>
        <v>#REF!</v>
      </c>
      <c r="C808" s="20" t="str">
        <f t="shared" ref="C808:D808" si="2417">#REF!</f>
        <v>#REF!</v>
      </c>
      <c r="D808" s="20" t="str">
        <f t="shared" si="2417"/>
        <v>#REF!</v>
      </c>
      <c r="E808" s="20" t="str">
        <f t="shared" si="1270"/>
        <v>#REF!</v>
      </c>
      <c r="F808" s="22" t="str">
        <f t="shared" si="2"/>
        <v>#REF!</v>
      </c>
      <c r="G808" s="20" t="str">
        <f t="shared" ref="G808:I808" si="2418">#REF!</f>
        <v>#REF!</v>
      </c>
      <c r="H808" s="20" t="str">
        <f t="shared" si="2418"/>
        <v>#REF!</v>
      </c>
      <c r="I808" s="20" t="str">
        <f t="shared" si="2418"/>
        <v>#REF!</v>
      </c>
      <c r="J808" s="20" t="str">
        <f t="shared" si="1272"/>
        <v>#REF!</v>
      </c>
      <c r="K808" s="20" t="str">
        <f t="shared" ref="K808:L808" si="2419">#REF!</f>
        <v>#REF!</v>
      </c>
      <c r="L808" s="20" t="str">
        <f t="shared" si="2419"/>
        <v>#REF!</v>
      </c>
    </row>
    <row r="809">
      <c r="A809" s="20" t="str">
        <f t="shared" si="1267"/>
        <v>#REF!</v>
      </c>
      <c r="B809" s="20" t="str">
        <f t="shared" si="1268"/>
        <v>#REF!</v>
      </c>
      <c r="C809" s="20" t="str">
        <f t="shared" ref="C809:D809" si="2420">#REF!</f>
        <v>#REF!</v>
      </c>
      <c r="D809" s="20" t="str">
        <f t="shared" si="2420"/>
        <v>#REF!</v>
      </c>
      <c r="E809" s="20" t="str">
        <f t="shared" si="1270"/>
        <v>#REF!</v>
      </c>
      <c r="F809" s="22" t="str">
        <f t="shared" si="2"/>
        <v>#REF!</v>
      </c>
      <c r="G809" s="20" t="str">
        <f t="shared" ref="G809:I809" si="2421">#REF!</f>
        <v>#REF!</v>
      </c>
      <c r="H809" s="20" t="str">
        <f t="shared" si="2421"/>
        <v>#REF!</v>
      </c>
      <c r="I809" s="20" t="str">
        <f t="shared" si="2421"/>
        <v>#REF!</v>
      </c>
      <c r="J809" s="20" t="str">
        <f t="shared" si="1272"/>
        <v>#REF!</v>
      </c>
      <c r="K809" s="20" t="str">
        <f t="shared" ref="K809:L809" si="2422">#REF!</f>
        <v>#REF!</v>
      </c>
      <c r="L809" s="20" t="str">
        <f t="shared" si="2422"/>
        <v>#REF!</v>
      </c>
    </row>
    <row r="810">
      <c r="A810" s="20" t="str">
        <f t="shared" si="1267"/>
        <v>#REF!</v>
      </c>
      <c r="B810" s="20" t="str">
        <f t="shared" si="1268"/>
        <v>#REF!</v>
      </c>
      <c r="C810" s="20" t="str">
        <f t="shared" ref="C810:D810" si="2423">#REF!</f>
        <v>#REF!</v>
      </c>
      <c r="D810" s="20" t="str">
        <f t="shared" si="2423"/>
        <v>#REF!</v>
      </c>
      <c r="E810" s="20" t="str">
        <f t="shared" si="1270"/>
        <v>#REF!</v>
      </c>
      <c r="F810" s="22" t="str">
        <f t="shared" si="2"/>
        <v>#REF!</v>
      </c>
      <c r="G810" s="20" t="str">
        <f t="shared" ref="G810:I810" si="2424">#REF!</f>
        <v>#REF!</v>
      </c>
      <c r="H810" s="20" t="str">
        <f t="shared" si="2424"/>
        <v>#REF!</v>
      </c>
      <c r="I810" s="20" t="str">
        <f t="shared" si="2424"/>
        <v>#REF!</v>
      </c>
      <c r="J810" s="20" t="str">
        <f t="shared" si="1272"/>
        <v>#REF!</v>
      </c>
      <c r="K810" s="20" t="str">
        <f t="shared" ref="K810:L810" si="2425">#REF!</f>
        <v>#REF!</v>
      </c>
      <c r="L810" s="20" t="str">
        <f t="shared" si="2425"/>
        <v>#REF!</v>
      </c>
    </row>
    <row r="811">
      <c r="A811" s="20" t="str">
        <f t="shared" si="1267"/>
        <v>#REF!</v>
      </c>
      <c r="B811" s="20" t="str">
        <f t="shared" si="1268"/>
        <v>#REF!</v>
      </c>
      <c r="C811" s="20" t="str">
        <f t="shared" ref="C811:D811" si="2426">#REF!</f>
        <v>#REF!</v>
      </c>
      <c r="D811" s="20" t="str">
        <f t="shared" si="2426"/>
        <v>#REF!</v>
      </c>
      <c r="E811" s="20" t="str">
        <f t="shared" si="1270"/>
        <v>#REF!</v>
      </c>
      <c r="F811" s="22" t="str">
        <f t="shared" si="2"/>
        <v>#REF!</v>
      </c>
      <c r="G811" s="20" t="str">
        <f t="shared" ref="G811:I811" si="2427">#REF!</f>
        <v>#REF!</v>
      </c>
      <c r="H811" s="20" t="str">
        <f t="shared" si="2427"/>
        <v>#REF!</v>
      </c>
      <c r="I811" s="20" t="str">
        <f t="shared" si="2427"/>
        <v>#REF!</v>
      </c>
      <c r="J811" s="20" t="str">
        <f t="shared" si="1272"/>
        <v>#REF!</v>
      </c>
      <c r="K811" s="20" t="str">
        <f t="shared" ref="K811:L811" si="2428">#REF!</f>
        <v>#REF!</v>
      </c>
      <c r="L811" s="20" t="str">
        <f t="shared" si="2428"/>
        <v>#REF!</v>
      </c>
    </row>
    <row r="812">
      <c r="A812" s="20" t="str">
        <f t="shared" si="1267"/>
        <v>#REF!</v>
      </c>
      <c r="B812" s="20" t="str">
        <f t="shared" si="1268"/>
        <v>#REF!</v>
      </c>
      <c r="C812" s="20" t="str">
        <f t="shared" ref="C812:D812" si="2429">#REF!</f>
        <v>#REF!</v>
      </c>
      <c r="D812" s="20" t="str">
        <f t="shared" si="2429"/>
        <v>#REF!</v>
      </c>
      <c r="E812" s="20" t="str">
        <f t="shared" si="1270"/>
        <v>#REF!</v>
      </c>
      <c r="F812" s="22" t="str">
        <f t="shared" si="2"/>
        <v>#REF!</v>
      </c>
      <c r="G812" s="20" t="str">
        <f t="shared" ref="G812:I812" si="2430">#REF!</f>
        <v>#REF!</v>
      </c>
      <c r="H812" s="20" t="str">
        <f t="shared" si="2430"/>
        <v>#REF!</v>
      </c>
      <c r="I812" s="20" t="str">
        <f t="shared" si="2430"/>
        <v>#REF!</v>
      </c>
      <c r="J812" s="20" t="str">
        <f t="shared" si="1272"/>
        <v>#REF!</v>
      </c>
      <c r="K812" s="20" t="str">
        <f t="shared" ref="K812:L812" si="2431">#REF!</f>
        <v>#REF!</v>
      </c>
      <c r="L812" s="20" t="str">
        <f t="shared" si="2431"/>
        <v>#REF!</v>
      </c>
    </row>
    <row r="813">
      <c r="A813" s="20" t="str">
        <f t="shared" si="1267"/>
        <v>#REF!</v>
      </c>
      <c r="B813" s="20" t="str">
        <f t="shared" si="1268"/>
        <v>#REF!</v>
      </c>
      <c r="C813" s="20" t="str">
        <f t="shared" ref="C813:D813" si="2432">#REF!</f>
        <v>#REF!</v>
      </c>
      <c r="D813" s="20" t="str">
        <f t="shared" si="2432"/>
        <v>#REF!</v>
      </c>
      <c r="E813" s="20" t="str">
        <f t="shared" si="1270"/>
        <v>#REF!</v>
      </c>
      <c r="F813" s="22" t="str">
        <f t="shared" si="2"/>
        <v>#REF!</v>
      </c>
      <c r="G813" s="20" t="str">
        <f t="shared" ref="G813:I813" si="2433">#REF!</f>
        <v>#REF!</v>
      </c>
      <c r="H813" s="20" t="str">
        <f t="shared" si="2433"/>
        <v>#REF!</v>
      </c>
      <c r="I813" s="20" t="str">
        <f t="shared" si="2433"/>
        <v>#REF!</v>
      </c>
      <c r="J813" s="20" t="str">
        <f t="shared" si="1272"/>
        <v>#REF!</v>
      </c>
      <c r="K813" s="20" t="str">
        <f t="shared" ref="K813:L813" si="2434">#REF!</f>
        <v>#REF!</v>
      </c>
      <c r="L813" s="20" t="str">
        <f t="shared" si="2434"/>
        <v>#REF!</v>
      </c>
    </row>
    <row r="814">
      <c r="A814" s="20" t="str">
        <f t="shared" si="1267"/>
        <v>#REF!</v>
      </c>
      <c r="B814" s="20" t="str">
        <f t="shared" si="1268"/>
        <v>#REF!</v>
      </c>
      <c r="C814" s="20" t="str">
        <f t="shared" ref="C814:D814" si="2435">#REF!</f>
        <v>#REF!</v>
      </c>
      <c r="D814" s="20" t="str">
        <f t="shared" si="2435"/>
        <v>#REF!</v>
      </c>
      <c r="E814" s="20" t="str">
        <f t="shared" si="1270"/>
        <v>#REF!</v>
      </c>
      <c r="F814" s="22" t="str">
        <f t="shared" si="2"/>
        <v>#REF!</v>
      </c>
      <c r="G814" s="20" t="str">
        <f t="shared" ref="G814:I814" si="2436">#REF!</f>
        <v>#REF!</v>
      </c>
      <c r="H814" s="20" t="str">
        <f t="shared" si="2436"/>
        <v>#REF!</v>
      </c>
      <c r="I814" s="20" t="str">
        <f t="shared" si="2436"/>
        <v>#REF!</v>
      </c>
      <c r="J814" s="20" t="str">
        <f t="shared" si="1272"/>
        <v>#REF!</v>
      </c>
      <c r="K814" s="20" t="str">
        <f t="shared" ref="K814:L814" si="2437">#REF!</f>
        <v>#REF!</v>
      </c>
      <c r="L814" s="20" t="str">
        <f t="shared" si="2437"/>
        <v>#REF!</v>
      </c>
    </row>
    <row r="815">
      <c r="A815" s="20" t="str">
        <f t="shared" si="1267"/>
        <v>#REF!</v>
      </c>
      <c r="B815" s="20" t="str">
        <f t="shared" si="1268"/>
        <v>#REF!</v>
      </c>
      <c r="C815" s="20" t="str">
        <f t="shared" ref="C815:D815" si="2438">#REF!</f>
        <v>#REF!</v>
      </c>
      <c r="D815" s="20" t="str">
        <f t="shared" si="2438"/>
        <v>#REF!</v>
      </c>
      <c r="E815" s="20" t="str">
        <f t="shared" si="1270"/>
        <v>#REF!</v>
      </c>
      <c r="F815" s="22" t="str">
        <f t="shared" si="2"/>
        <v>#REF!</v>
      </c>
      <c r="G815" s="20" t="str">
        <f t="shared" ref="G815:I815" si="2439">#REF!</f>
        <v>#REF!</v>
      </c>
      <c r="H815" s="20" t="str">
        <f t="shared" si="2439"/>
        <v>#REF!</v>
      </c>
      <c r="I815" s="20" t="str">
        <f t="shared" si="2439"/>
        <v>#REF!</v>
      </c>
      <c r="J815" s="20" t="str">
        <f t="shared" si="1272"/>
        <v>#REF!</v>
      </c>
      <c r="K815" s="20" t="str">
        <f t="shared" ref="K815:L815" si="2440">#REF!</f>
        <v>#REF!</v>
      </c>
      <c r="L815" s="20" t="str">
        <f t="shared" si="2440"/>
        <v>#REF!</v>
      </c>
    </row>
    <row r="816">
      <c r="A816" s="20" t="str">
        <f t="shared" si="1267"/>
        <v>#REF!</v>
      </c>
      <c r="B816" s="20" t="str">
        <f t="shared" si="1268"/>
        <v>#REF!</v>
      </c>
      <c r="C816" s="20" t="str">
        <f t="shared" ref="C816:D816" si="2441">#REF!</f>
        <v>#REF!</v>
      </c>
      <c r="D816" s="20" t="str">
        <f t="shared" si="2441"/>
        <v>#REF!</v>
      </c>
      <c r="E816" s="20" t="str">
        <f t="shared" si="1270"/>
        <v>#REF!</v>
      </c>
      <c r="F816" s="22" t="str">
        <f t="shared" si="2"/>
        <v>#REF!</v>
      </c>
      <c r="G816" s="20" t="str">
        <f t="shared" ref="G816:I816" si="2442">#REF!</f>
        <v>#REF!</v>
      </c>
      <c r="H816" s="20" t="str">
        <f t="shared" si="2442"/>
        <v>#REF!</v>
      </c>
      <c r="I816" s="20" t="str">
        <f t="shared" si="2442"/>
        <v>#REF!</v>
      </c>
      <c r="J816" s="20" t="str">
        <f t="shared" si="1272"/>
        <v>#REF!</v>
      </c>
      <c r="K816" s="20" t="str">
        <f t="shared" ref="K816:L816" si="2443">#REF!</f>
        <v>#REF!</v>
      </c>
      <c r="L816" s="20" t="str">
        <f t="shared" si="2443"/>
        <v>#REF!</v>
      </c>
    </row>
    <row r="817">
      <c r="A817" s="20" t="str">
        <f t="shared" si="1267"/>
        <v>#REF!</v>
      </c>
      <c r="B817" s="20" t="str">
        <f t="shared" si="1268"/>
        <v>#REF!</v>
      </c>
      <c r="C817" s="20" t="str">
        <f t="shared" ref="C817:D817" si="2444">#REF!</f>
        <v>#REF!</v>
      </c>
      <c r="D817" s="20" t="str">
        <f t="shared" si="2444"/>
        <v>#REF!</v>
      </c>
      <c r="E817" s="20" t="str">
        <f t="shared" si="1270"/>
        <v>#REF!</v>
      </c>
      <c r="F817" s="22" t="str">
        <f t="shared" si="2"/>
        <v>#REF!</v>
      </c>
      <c r="G817" s="20" t="str">
        <f t="shared" ref="G817:I817" si="2445">#REF!</f>
        <v>#REF!</v>
      </c>
      <c r="H817" s="20" t="str">
        <f t="shared" si="2445"/>
        <v>#REF!</v>
      </c>
      <c r="I817" s="20" t="str">
        <f t="shared" si="2445"/>
        <v>#REF!</v>
      </c>
      <c r="J817" s="20" t="str">
        <f t="shared" si="1272"/>
        <v>#REF!</v>
      </c>
      <c r="K817" s="20" t="str">
        <f t="shared" ref="K817:L817" si="2446">#REF!</f>
        <v>#REF!</v>
      </c>
      <c r="L817" s="20" t="str">
        <f t="shared" si="2446"/>
        <v>#REF!</v>
      </c>
    </row>
    <row r="818">
      <c r="A818" s="20" t="str">
        <f t="shared" si="1267"/>
        <v>#REF!</v>
      </c>
      <c r="B818" s="20" t="str">
        <f t="shared" si="1268"/>
        <v>#REF!</v>
      </c>
      <c r="C818" s="20" t="str">
        <f t="shared" ref="C818:D818" si="2447">#REF!</f>
        <v>#REF!</v>
      </c>
      <c r="D818" s="20" t="str">
        <f t="shared" si="2447"/>
        <v>#REF!</v>
      </c>
      <c r="E818" s="20" t="str">
        <f t="shared" si="1270"/>
        <v>#REF!</v>
      </c>
      <c r="F818" s="22" t="str">
        <f t="shared" si="2"/>
        <v>#REF!</v>
      </c>
      <c r="G818" s="20" t="str">
        <f t="shared" ref="G818:I818" si="2448">#REF!</f>
        <v>#REF!</v>
      </c>
      <c r="H818" s="20" t="str">
        <f t="shared" si="2448"/>
        <v>#REF!</v>
      </c>
      <c r="I818" s="20" t="str">
        <f t="shared" si="2448"/>
        <v>#REF!</v>
      </c>
      <c r="J818" s="20" t="str">
        <f t="shared" si="1272"/>
        <v>#REF!</v>
      </c>
      <c r="K818" s="20" t="str">
        <f t="shared" ref="K818:L818" si="2449">#REF!</f>
        <v>#REF!</v>
      </c>
      <c r="L818" s="20" t="str">
        <f t="shared" si="2449"/>
        <v>#REF!</v>
      </c>
    </row>
    <row r="819">
      <c r="A819" s="20" t="str">
        <f t="shared" si="1267"/>
        <v>#REF!</v>
      </c>
      <c r="B819" s="20" t="str">
        <f t="shared" si="1268"/>
        <v>#REF!</v>
      </c>
      <c r="C819" s="20" t="str">
        <f t="shared" ref="C819:D819" si="2450">#REF!</f>
        <v>#REF!</v>
      </c>
      <c r="D819" s="20" t="str">
        <f t="shared" si="2450"/>
        <v>#REF!</v>
      </c>
      <c r="E819" s="20" t="str">
        <f t="shared" si="1270"/>
        <v>#REF!</v>
      </c>
      <c r="F819" s="22" t="str">
        <f t="shared" si="2"/>
        <v>#REF!</v>
      </c>
      <c r="G819" s="20" t="str">
        <f t="shared" ref="G819:I819" si="2451">#REF!</f>
        <v>#REF!</v>
      </c>
      <c r="H819" s="20" t="str">
        <f t="shared" si="2451"/>
        <v>#REF!</v>
      </c>
      <c r="I819" s="20" t="str">
        <f t="shared" si="2451"/>
        <v>#REF!</v>
      </c>
      <c r="J819" s="20" t="str">
        <f t="shared" si="1272"/>
        <v>#REF!</v>
      </c>
      <c r="K819" s="20" t="str">
        <f t="shared" ref="K819:L819" si="2452">#REF!</f>
        <v>#REF!</v>
      </c>
      <c r="L819" s="20" t="str">
        <f t="shared" si="2452"/>
        <v>#REF!</v>
      </c>
    </row>
    <row r="820">
      <c r="A820" s="20" t="str">
        <f t="shared" si="1267"/>
        <v>#REF!</v>
      </c>
      <c r="B820" s="20" t="str">
        <f t="shared" si="1268"/>
        <v>#REF!</v>
      </c>
      <c r="C820" s="20" t="str">
        <f t="shared" ref="C820:D820" si="2453">#REF!</f>
        <v>#REF!</v>
      </c>
      <c r="D820" s="20" t="str">
        <f t="shared" si="2453"/>
        <v>#REF!</v>
      </c>
      <c r="E820" s="20" t="str">
        <f t="shared" si="1270"/>
        <v>#REF!</v>
      </c>
      <c r="F820" s="22" t="str">
        <f t="shared" si="2"/>
        <v>#REF!</v>
      </c>
      <c r="G820" s="20" t="str">
        <f t="shared" ref="G820:I820" si="2454">#REF!</f>
        <v>#REF!</v>
      </c>
      <c r="H820" s="20" t="str">
        <f t="shared" si="2454"/>
        <v>#REF!</v>
      </c>
      <c r="I820" s="20" t="str">
        <f t="shared" si="2454"/>
        <v>#REF!</v>
      </c>
      <c r="J820" s="20" t="str">
        <f t="shared" si="1272"/>
        <v>#REF!</v>
      </c>
      <c r="K820" s="20" t="str">
        <f t="shared" ref="K820:L820" si="2455">#REF!</f>
        <v>#REF!</v>
      </c>
      <c r="L820" s="20" t="str">
        <f t="shared" si="2455"/>
        <v>#REF!</v>
      </c>
    </row>
    <row r="821">
      <c r="A821" s="20" t="str">
        <f t="shared" si="1267"/>
        <v>#REF!</v>
      </c>
      <c r="B821" s="20" t="str">
        <f t="shared" si="1268"/>
        <v>#REF!</v>
      </c>
      <c r="C821" s="20" t="str">
        <f t="shared" ref="C821:D821" si="2456">#REF!</f>
        <v>#REF!</v>
      </c>
      <c r="D821" s="20" t="str">
        <f t="shared" si="2456"/>
        <v>#REF!</v>
      </c>
      <c r="E821" s="20" t="str">
        <f t="shared" si="1270"/>
        <v>#REF!</v>
      </c>
      <c r="F821" s="22" t="str">
        <f t="shared" si="2"/>
        <v>#REF!</v>
      </c>
      <c r="G821" s="20" t="str">
        <f t="shared" ref="G821:I821" si="2457">#REF!</f>
        <v>#REF!</v>
      </c>
      <c r="H821" s="20" t="str">
        <f t="shared" si="2457"/>
        <v>#REF!</v>
      </c>
      <c r="I821" s="20" t="str">
        <f t="shared" si="2457"/>
        <v>#REF!</v>
      </c>
      <c r="J821" s="20" t="str">
        <f t="shared" si="1272"/>
        <v>#REF!</v>
      </c>
      <c r="K821" s="20" t="str">
        <f t="shared" ref="K821:L821" si="2458">#REF!</f>
        <v>#REF!</v>
      </c>
      <c r="L821" s="20" t="str">
        <f t="shared" si="2458"/>
        <v>#REF!</v>
      </c>
    </row>
    <row r="822">
      <c r="A822" s="20" t="str">
        <f t="shared" si="1267"/>
        <v>#REF!</v>
      </c>
      <c r="B822" s="20" t="str">
        <f t="shared" si="1268"/>
        <v>#REF!</v>
      </c>
      <c r="C822" s="20" t="str">
        <f t="shared" ref="C822:D822" si="2459">#REF!</f>
        <v>#REF!</v>
      </c>
      <c r="D822" s="20" t="str">
        <f t="shared" si="2459"/>
        <v>#REF!</v>
      </c>
      <c r="E822" s="20" t="str">
        <f t="shared" si="1270"/>
        <v>#REF!</v>
      </c>
      <c r="F822" s="22" t="str">
        <f t="shared" si="2"/>
        <v>#REF!</v>
      </c>
      <c r="G822" s="20" t="str">
        <f t="shared" ref="G822:I822" si="2460">#REF!</f>
        <v>#REF!</v>
      </c>
      <c r="H822" s="20" t="str">
        <f t="shared" si="2460"/>
        <v>#REF!</v>
      </c>
      <c r="I822" s="20" t="str">
        <f t="shared" si="2460"/>
        <v>#REF!</v>
      </c>
      <c r="J822" s="20" t="str">
        <f t="shared" si="1272"/>
        <v>#REF!</v>
      </c>
      <c r="K822" s="20" t="str">
        <f t="shared" ref="K822:L822" si="2461">#REF!</f>
        <v>#REF!</v>
      </c>
      <c r="L822" s="20" t="str">
        <f t="shared" si="2461"/>
        <v>#REF!</v>
      </c>
    </row>
    <row r="823">
      <c r="A823" s="20" t="str">
        <f t="shared" si="1267"/>
        <v>#REF!</v>
      </c>
      <c r="B823" s="20" t="str">
        <f t="shared" si="1268"/>
        <v>#REF!</v>
      </c>
      <c r="C823" s="20" t="str">
        <f t="shared" ref="C823:D823" si="2462">#REF!</f>
        <v>#REF!</v>
      </c>
      <c r="D823" s="20" t="str">
        <f t="shared" si="2462"/>
        <v>#REF!</v>
      </c>
      <c r="E823" s="20" t="str">
        <f t="shared" si="1270"/>
        <v>#REF!</v>
      </c>
      <c r="F823" s="22" t="str">
        <f t="shared" si="2"/>
        <v>#REF!</v>
      </c>
      <c r="G823" s="20" t="str">
        <f t="shared" ref="G823:I823" si="2463">#REF!</f>
        <v>#REF!</v>
      </c>
      <c r="H823" s="20" t="str">
        <f t="shared" si="2463"/>
        <v>#REF!</v>
      </c>
      <c r="I823" s="20" t="str">
        <f t="shared" si="2463"/>
        <v>#REF!</v>
      </c>
      <c r="J823" s="20" t="str">
        <f t="shared" si="1272"/>
        <v>#REF!</v>
      </c>
      <c r="K823" s="20" t="str">
        <f t="shared" ref="K823:L823" si="2464">#REF!</f>
        <v>#REF!</v>
      </c>
      <c r="L823" s="20" t="str">
        <f t="shared" si="2464"/>
        <v>#REF!</v>
      </c>
    </row>
    <row r="824">
      <c r="A824" s="20" t="str">
        <f t="shared" si="1267"/>
        <v>#REF!</v>
      </c>
      <c r="B824" s="20" t="str">
        <f t="shared" si="1268"/>
        <v>#REF!</v>
      </c>
      <c r="C824" s="20" t="str">
        <f t="shared" ref="C824:D824" si="2465">#REF!</f>
        <v>#REF!</v>
      </c>
      <c r="D824" s="20" t="str">
        <f t="shared" si="2465"/>
        <v>#REF!</v>
      </c>
      <c r="E824" s="20" t="str">
        <f t="shared" si="1270"/>
        <v>#REF!</v>
      </c>
      <c r="F824" s="22" t="str">
        <f t="shared" si="2"/>
        <v>#REF!</v>
      </c>
      <c r="G824" s="20" t="str">
        <f t="shared" ref="G824:I824" si="2466">#REF!</f>
        <v>#REF!</v>
      </c>
      <c r="H824" s="20" t="str">
        <f t="shared" si="2466"/>
        <v>#REF!</v>
      </c>
      <c r="I824" s="20" t="str">
        <f t="shared" si="2466"/>
        <v>#REF!</v>
      </c>
      <c r="J824" s="20" t="str">
        <f t="shared" si="1272"/>
        <v>#REF!</v>
      </c>
      <c r="K824" s="20" t="str">
        <f t="shared" ref="K824:L824" si="2467">#REF!</f>
        <v>#REF!</v>
      </c>
      <c r="L824" s="20" t="str">
        <f t="shared" si="2467"/>
        <v>#REF!</v>
      </c>
    </row>
    <row r="825">
      <c r="A825" s="20" t="str">
        <f t="shared" si="1267"/>
        <v>#REF!</v>
      </c>
      <c r="B825" s="20" t="str">
        <f t="shared" si="1268"/>
        <v>#REF!</v>
      </c>
      <c r="C825" s="20" t="str">
        <f t="shared" ref="C825:D825" si="2468">#REF!</f>
        <v>#REF!</v>
      </c>
      <c r="D825" s="20" t="str">
        <f t="shared" si="2468"/>
        <v>#REF!</v>
      </c>
      <c r="E825" s="20" t="str">
        <f t="shared" si="1270"/>
        <v>#REF!</v>
      </c>
      <c r="F825" s="22" t="str">
        <f t="shared" si="2"/>
        <v>#REF!</v>
      </c>
      <c r="G825" s="20" t="str">
        <f t="shared" ref="G825:I825" si="2469">#REF!</f>
        <v>#REF!</v>
      </c>
      <c r="H825" s="20" t="str">
        <f t="shared" si="2469"/>
        <v>#REF!</v>
      </c>
      <c r="I825" s="20" t="str">
        <f t="shared" si="2469"/>
        <v>#REF!</v>
      </c>
      <c r="J825" s="20" t="str">
        <f t="shared" si="1272"/>
        <v>#REF!</v>
      </c>
      <c r="K825" s="20" t="str">
        <f t="shared" ref="K825:L825" si="2470">#REF!</f>
        <v>#REF!</v>
      </c>
      <c r="L825" s="20" t="str">
        <f t="shared" si="2470"/>
        <v>#REF!</v>
      </c>
    </row>
    <row r="826">
      <c r="A826" s="20" t="str">
        <f t="shared" si="1267"/>
        <v>#REF!</v>
      </c>
      <c r="B826" s="20" t="str">
        <f t="shared" si="1268"/>
        <v>#REF!</v>
      </c>
      <c r="C826" s="20" t="str">
        <f t="shared" ref="C826:D826" si="2471">#REF!</f>
        <v>#REF!</v>
      </c>
      <c r="D826" s="20" t="str">
        <f t="shared" si="2471"/>
        <v>#REF!</v>
      </c>
      <c r="E826" s="20" t="str">
        <f t="shared" si="1270"/>
        <v>#REF!</v>
      </c>
      <c r="F826" s="22" t="str">
        <f t="shared" si="2"/>
        <v>#REF!</v>
      </c>
      <c r="G826" s="20" t="str">
        <f t="shared" ref="G826:I826" si="2472">#REF!</f>
        <v>#REF!</v>
      </c>
      <c r="H826" s="20" t="str">
        <f t="shared" si="2472"/>
        <v>#REF!</v>
      </c>
      <c r="I826" s="20" t="str">
        <f t="shared" si="2472"/>
        <v>#REF!</v>
      </c>
      <c r="J826" s="20" t="str">
        <f t="shared" si="1272"/>
        <v>#REF!</v>
      </c>
      <c r="K826" s="20" t="str">
        <f t="shared" ref="K826:L826" si="2473">#REF!</f>
        <v>#REF!</v>
      </c>
      <c r="L826" s="20" t="str">
        <f t="shared" si="2473"/>
        <v>#REF!</v>
      </c>
    </row>
    <row r="827">
      <c r="A827" s="20" t="str">
        <f t="shared" si="1267"/>
        <v>#REF!</v>
      </c>
      <c r="B827" s="20" t="str">
        <f t="shared" si="1268"/>
        <v>#REF!</v>
      </c>
      <c r="C827" s="20" t="str">
        <f t="shared" ref="C827:D827" si="2474">#REF!</f>
        <v>#REF!</v>
      </c>
      <c r="D827" s="20" t="str">
        <f t="shared" si="2474"/>
        <v>#REF!</v>
      </c>
      <c r="E827" s="20" t="str">
        <f t="shared" si="1270"/>
        <v>#REF!</v>
      </c>
      <c r="F827" s="22" t="str">
        <f t="shared" si="2"/>
        <v>#REF!</v>
      </c>
      <c r="G827" s="20" t="str">
        <f t="shared" ref="G827:I827" si="2475">#REF!</f>
        <v>#REF!</v>
      </c>
      <c r="H827" s="20" t="str">
        <f t="shared" si="2475"/>
        <v>#REF!</v>
      </c>
      <c r="I827" s="20" t="str">
        <f t="shared" si="2475"/>
        <v>#REF!</v>
      </c>
      <c r="J827" s="20" t="str">
        <f t="shared" si="1272"/>
        <v>#REF!</v>
      </c>
      <c r="K827" s="20" t="str">
        <f t="shared" ref="K827:L827" si="2476">#REF!</f>
        <v>#REF!</v>
      </c>
      <c r="L827" s="20" t="str">
        <f t="shared" si="2476"/>
        <v>#REF!</v>
      </c>
    </row>
    <row r="828">
      <c r="A828" s="20" t="str">
        <f t="shared" si="1267"/>
        <v>#REF!</v>
      </c>
      <c r="B828" s="20" t="str">
        <f t="shared" si="1268"/>
        <v>#REF!</v>
      </c>
      <c r="C828" s="20" t="str">
        <f t="shared" ref="C828:D828" si="2477">#REF!</f>
        <v>#REF!</v>
      </c>
      <c r="D828" s="20" t="str">
        <f t="shared" si="2477"/>
        <v>#REF!</v>
      </c>
      <c r="E828" s="20" t="str">
        <f t="shared" si="1270"/>
        <v>#REF!</v>
      </c>
      <c r="F828" s="22" t="str">
        <f t="shared" si="2"/>
        <v>#REF!</v>
      </c>
      <c r="G828" s="20" t="str">
        <f t="shared" ref="G828:I828" si="2478">#REF!</f>
        <v>#REF!</v>
      </c>
      <c r="H828" s="20" t="str">
        <f t="shared" si="2478"/>
        <v>#REF!</v>
      </c>
      <c r="I828" s="20" t="str">
        <f t="shared" si="2478"/>
        <v>#REF!</v>
      </c>
      <c r="J828" s="20" t="str">
        <f t="shared" si="1272"/>
        <v>#REF!</v>
      </c>
      <c r="K828" s="20" t="str">
        <f t="shared" ref="K828:L828" si="2479">#REF!</f>
        <v>#REF!</v>
      </c>
      <c r="L828" s="20" t="str">
        <f t="shared" si="2479"/>
        <v>#REF!</v>
      </c>
    </row>
    <row r="829">
      <c r="A829" s="20" t="str">
        <f t="shared" si="1267"/>
        <v>#REF!</v>
      </c>
      <c r="B829" s="20" t="str">
        <f t="shared" si="1268"/>
        <v>#REF!</v>
      </c>
      <c r="C829" s="20" t="str">
        <f t="shared" ref="C829:D829" si="2480">#REF!</f>
        <v>#REF!</v>
      </c>
      <c r="D829" s="20" t="str">
        <f t="shared" si="2480"/>
        <v>#REF!</v>
      </c>
      <c r="E829" s="20" t="str">
        <f t="shared" si="1270"/>
        <v>#REF!</v>
      </c>
      <c r="F829" s="22" t="str">
        <f t="shared" si="2"/>
        <v>#REF!</v>
      </c>
      <c r="G829" s="20" t="str">
        <f t="shared" ref="G829:I829" si="2481">#REF!</f>
        <v>#REF!</v>
      </c>
      <c r="H829" s="20" t="str">
        <f t="shared" si="2481"/>
        <v>#REF!</v>
      </c>
      <c r="I829" s="20" t="str">
        <f t="shared" si="2481"/>
        <v>#REF!</v>
      </c>
      <c r="J829" s="20" t="str">
        <f t="shared" si="1272"/>
        <v>#REF!</v>
      </c>
      <c r="K829" s="20" t="str">
        <f t="shared" ref="K829:L829" si="2482">#REF!</f>
        <v>#REF!</v>
      </c>
      <c r="L829" s="20" t="str">
        <f t="shared" si="2482"/>
        <v>#REF!</v>
      </c>
    </row>
    <row r="830">
      <c r="A830" s="20" t="str">
        <f t="shared" si="1267"/>
        <v>#REF!</v>
      </c>
      <c r="B830" s="20" t="str">
        <f t="shared" si="1268"/>
        <v>#REF!</v>
      </c>
      <c r="C830" s="20" t="str">
        <f t="shared" ref="C830:D830" si="2483">#REF!</f>
        <v>#REF!</v>
      </c>
      <c r="D830" s="20" t="str">
        <f t="shared" si="2483"/>
        <v>#REF!</v>
      </c>
      <c r="E830" s="20" t="str">
        <f t="shared" si="1270"/>
        <v>#REF!</v>
      </c>
      <c r="F830" s="22" t="str">
        <f t="shared" si="2"/>
        <v>#REF!</v>
      </c>
      <c r="G830" s="20" t="str">
        <f t="shared" ref="G830:I830" si="2484">#REF!</f>
        <v>#REF!</v>
      </c>
      <c r="H830" s="20" t="str">
        <f t="shared" si="2484"/>
        <v>#REF!</v>
      </c>
      <c r="I830" s="20" t="str">
        <f t="shared" si="2484"/>
        <v>#REF!</v>
      </c>
      <c r="J830" s="20" t="str">
        <f t="shared" si="1272"/>
        <v>#REF!</v>
      </c>
      <c r="K830" s="20" t="str">
        <f t="shared" ref="K830:L830" si="2485">#REF!</f>
        <v>#REF!</v>
      </c>
      <c r="L830" s="20" t="str">
        <f t="shared" si="2485"/>
        <v>#REF!</v>
      </c>
    </row>
    <row r="831">
      <c r="A831" s="20" t="str">
        <f t="shared" si="1267"/>
        <v>#REF!</v>
      </c>
      <c r="B831" s="20" t="str">
        <f t="shared" si="1268"/>
        <v>#REF!</v>
      </c>
      <c r="C831" s="20" t="str">
        <f t="shared" ref="C831:D831" si="2486">#REF!</f>
        <v>#REF!</v>
      </c>
      <c r="D831" s="20" t="str">
        <f t="shared" si="2486"/>
        <v>#REF!</v>
      </c>
      <c r="E831" s="20" t="str">
        <f t="shared" si="1270"/>
        <v>#REF!</v>
      </c>
      <c r="F831" s="22" t="str">
        <f t="shared" si="2"/>
        <v>#REF!</v>
      </c>
      <c r="G831" s="20" t="str">
        <f t="shared" ref="G831:I831" si="2487">#REF!</f>
        <v>#REF!</v>
      </c>
      <c r="H831" s="20" t="str">
        <f t="shared" si="2487"/>
        <v>#REF!</v>
      </c>
      <c r="I831" s="20" t="str">
        <f t="shared" si="2487"/>
        <v>#REF!</v>
      </c>
      <c r="J831" s="20" t="str">
        <f t="shared" si="1272"/>
        <v>#REF!</v>
      </c>
      <c r="K831" s="20" t="str">
        <f t="shared" ref="K831:L831" si="2488">#REF!</f>
        <v>#REF!</v>
      </c>
      <c r="L831" s="20" t="str">
        <f t="shared" si="2488"/>
        <v>#REF!</v>
      </c>
    </row>
    <row r="832">
      <c r="A832" s="20" t="str">
        <f t="shared" si="1267"/>
        <v>#REF!</v>
      </c>
      <c r="B832" s="20" t="str">
        <f t="shared" si="1268"/>
        <v>#REF!</v>
      </c>
      <c r="C832" s="20" t="str">
        <f t="shared" ref="C832:D832" si="2489">#REF!</f>
        <v>#REF!</v>
      </c>
      <c r="D832" s="20" t="str">
        <f t="shared" si="2489"/>
        <v>#REF!</v>
      </c>
      <c r="E832" s="20" t="str">
        <f t="shared" si="1270"/>
        <v>#REF!</v>
      </c>
      <c r="F832" s="22" t="str">
        <f t="shared" si="2"/>
        <v>#REF!</v>
      </c>
      <c r="G832" s="20" t="str">
        <f t="shared" ref="G832:I832" si="2490">#REF!</f>
        <v>#REF!</v>
      </c>
      <c r="H832" s="20" t="str">
        <f t="shared" si="2490"/>
        <v>#REF!</v>
      </c>
      <c r="I832" s="20" t="str">
        <f t="shared" si="2490"/>
        <v>#REF!</v>
      </c>
      <c r="J832" s="20" t="str">
        <f t="shared" si="1272"/>
        <v>#REF!</v>
      </c>
      <c r="K832" s="20" t="str">
        <f t="shared" ref="K832:L832" si="2491">#REF!</f>
        <v>#REF!</v>
      </c>
      <c r="L832" s="20" t="str">
        <f t="shared" si="2491"/>
        <v>#REF!</v>
      </c>
    </row>
    <row r="833">
      <c r="A833" s="20" t="str">
        <f t="shared" si="1267"/>
        <v>#REF!</v>
      </c>
      <c r="B833" s="20" t="str">
        <f t="shared" si="1268"/>
        <v>#REF!</v>
      </c>
      <c r="C833" s="20" t="str">
        <f t="shared" ref="C833:D833" si="2492">#REF!</f>
        <v>#REF!</v>
      </c>
      <c r="D833" s="20" t="str">
        <f t="shared" si="2492"/>
        <v>#REF!</v>
      </c>
      <c r="E833" s="20" t="str">
        <f t="shared" si="1270"/>
        <v>#REF!</v>
      </c>
      <c r="F833" s="22" t="str">
        <f t="shared" si="2"/>
        <v>#REF!</v>
      </c>
      <c r="G833" s="20" t="str">
        <f t="shared" ref="G833:I833" si="2493">#REF!</f>
        <v>#REF!</v>
      </c>
      <c r="H833" s="20" t="str">
        <f t="shared" si="2493"/>
        <v>#REF!</v>
      </c>
      <c r="I833" s="20" t="str">
        <f t="shared" si="2493"/>
        <v>#REF!</v>
      </c>
      <c r="J833" s="20" t="str">
        <f t="shared" si="1272"/>
        <v>#REF!</v>
      </c>
      <c r="K833" s="20" t="str">
        <f t="shared" ref="K833:L833" si="2494">#REF!</f>
        <v>#REF!</v>
      </c>
      <c r="L833" s="20" t="str">
        <f t="shared" si="2494"/>
        <v>#REF!</v>
      </c>
    </row>
    <row r="834">
      <c r="A834" s="20" t="str">
        <f t="shared" si="1267"/>
        <v>#REF!</v>
      </c>
      <c r="B834" s="20" t="str">
        <f t="shared" si="1268"/>
        <v>#REF!</v>
      </c>
      <c r="C834" s="20" t="str">
        <f t="shared" ref="C834:D834" si="2495">#REF!</f>
        <v>#REF!</v>
      </c>
      <c r="D834" s="20" t="str">
        <f t="shared" si="2495"/>
        <v>#REF!</v>
      </c>
      <c r="E834" s="20" t="str">
        <f t="shared" si="1270"/>
        <v>#REF!</v>
      </c>
      <c r="F834" s="22" t="str">
        <f t="shared" si="2"/>
        <v>#REF!</v>
      </c>
      <c r="G834" s="20" t="str">
        <f t="shared" ref="G834:I834" si="2496">#REF!</f>
        <v>#REF!</v>
      </c>
      <c r="H834" s="20" t="str">
        <f t="shared" si="2496"/>
        <v>#REF!</v>
      </c>
      <c r="I834" s="20" t="str">
        <f t="shared" si="2496"/>
        <v>#REF!</v>
      </c>
      <c r="J834" s="20" t="str">
        <f t="shared" si="1272"/>
        <v>#REF!</v>
      </c>
      <c r="K834" s="20" t="str">
        <f t="shared" ref="K834:L834" si="2497">#REF!</f>
        <v>#REF!</v>
      </c>
      <c r="L834" s="20" t="str">
        <f t="shared" si="2497"/>
        <v>#REF!</v>
      </c>
    </row>
    <row r="835">
      <c r="A835" s="20" t="str">
        <f t="shared" si="1267"/>
        <v>#REF!</v>
      </c>
      <c r="B835" s="20" t="str">
        <f t="shared" si="1268"/>
        <v>#REF!</v>
      </c>
      <c r="C835" s="20" t="str">
        <f t="shared" ref="C835:D835" si="2498">#REF!</f>
        <v>#REF!</v>
      </c>
      <c r="D835" s="20" t="str">
        <f t="shared" si="2498"/>
        <v>#REF!</v>
      </c>
      <c r="E835" s="20" t="str">
        <f t="shared" si="1270"/>
        <v>#REF!</v>
      </c>
      <c r="F835" s="22" t="str">
        <f t="shared" si="2"/>
        <v>#REF!</v>
      </c>
      <c r="G835" s="20" t="str">
        <f t="shared" ref="G835:I835" si="2499">#REF!</f>
        <v>#REF!</v>
      </c>
      <c r="H835" s="20" t="str">
        <f t="shared" si="2499"/>
        <v>#REF!</v>
      </c>
      <c r="I835" s="20" t="str">
        <f t="shared" si="2499"/>
        <v>#REF!</v>
      </c>
      <c r="J835" s="20" t="str">
        <f t="shared" si="1272"/>
        <v>#REF!</v>
      </c>
      <c r="K835" s="20" t="str">
        <f t="shared" ref="K835:L835" si="2500">#REF!</f>
        <v>#REF!</v>
      </c>
      <c r="L835" s="20" t="str">
        <f t="shared" si="2500"/>
        <v>#REF!</v>
      </c>
    </row>
    <row r="836">
      <c r="A836" s="20" t="str">
        <f t="shared" si="1267"/>
        <v>#REF!</v>
      </c>
      <c r="B836" s="20" t="str">
        <f t="shared" si="1268"/>
        <v>#REF!</v>
      </c>
      <c r="C836" s="20" t="str">
        <f t="shared" ref="C836:D836" si="2501">#REF!</f>
        <v>#REF!</v>
      </c>
      <c r="D836" s="20" t="str">
        <f t="shared" si="2501"/>
        <v>#REF!</v>
      </c>
      <c r="E836" s="20" t="str">
        <f t="shared" si="1270"/>
        <v>#REF!</v>
      </c>
      <c r="F836" s="22" t="str">
        <f t="shared" si="2"/>
        <v>#REF!</v>
      </c>
      <c r="G836" s="20" t="str">
        <f t="shared" ref="G836:I836" si="2502">#REF!</f>
        <v>#REF!</v>
      </c>
      <c r="H836" s="20" t="str">
        <f t="shared" si="2502"/>
        <v>#REF!</v>
      </c>
      <c r="I836" s="20" t="str">
        <f t="shared" si="2502"/>
        <v>#REF!</v>
      </c>
      <c r="J836" s="20" t="str">
        <f t="shared" si="1272"/>
        <v>#REF!</v>
      </c>
      <c r="K836" s="20" t="str">
        <f t="shared" ref="K836:L836" si="2503">#REF!</f>
        <v>#REF!</v>
      </c>
      <c r="L836" s="20" t="str">
        <f t="shared" si="2503"/>
        <v>#REF!</v>
      </c>
    </row>
    <row r="837">
      <c r="A837" s="20" t="str">
        <f t="shared" si="1267"/>
        <v>#REF!</v>
      </c>
      <c r="B837" s="20" t="str">
        <f t="shared" si="1268"/>
        <v>#REF!</v>
      </c>
      <c r="C837" s="20" t="str">
        <f t="shared" ref="C837:D837" si="2504">#REF!</f>
        <v>#REF!</v>
      </c>
      <c r="D837" s="20" t="str">
        <f t="shared" si="2504"/>
        <v>#REF!</v>
      </c>
      <c r="E837" s="20" t="str">
        <f t="shared" si="1270"/>
        <v>#REF!</v>
      </c>
      <c r="F837" s="22" t="str">
        <f t="shared" si="2"/>
        <v>#REF!</v>
      </c>
      <c r="G837" s="20" t="str">
        <f t="shared" ref="G837:I837" si="2505">#REF!</f>
        <v>#REF!</v>
      </c>
      <c r="H837" s="20" t="str">
        <f t="shared" si="2505"/>
        <v>#REF!</v>
      </c>
      <c r="I837" s="20" t="str">
        <f t="shared" si="2505"/>
        <v>#REF!</v>
      </c>
      <c r="J837" s="20" t="str">
        <f t="shared" si="1272"/>
        <v>#REF!</v>
      </c>
      <c r="K837" s="20" t="str">
        <f t="shared" ref="K837:L837" si="2506">#REF!</f>
        <v>#REF!</v>
      </c>
      <c r="L837" s="20" t="str">
        <f t="shared" si="2506"/>
        <v>#REF!</v>
      </c>
    </row>
    <row r="838">
      <c r="A838" s="20" t="str">
        <f t="shared" si="1267"/>
        <v>#REF!</v>
      </c>
      <c r="B838" s="20" t="str">
        <f t="shared" si="1268"/>
        <v>#REF!</v>
      </c>
      <c r="C838" s="20" t="str">
        <f t="shared" ref="C838:D838" si="2507">#REF!</f>
        <v>#REF!</v>
      </c>
      <c r="D838" s="20" t="str">
        <f t="shared" si="2507"/>
        <v>#REF!</v>
      </c>
      <c r="E838" s="20" t="str">
        <f t="shared" si="1270"/>
        <v>#REF!</v>
      </c>
      <c r="F838" s="22" t="str">
        <f t="shared" si="2"/>
        <v>#REF!</v>
      </c>
      <c r="G838" s="20" t="str">
        <f t="shared" ref="G838:I838" si="2508">#REF!</f>
        <v>#REF!</v>
      </c>
      <c r="H838" s="20" t="str">
        <f t="shared" si="2508"/>
        <v>#REF!</v>
      </c>
      <c r="I838" s="20" t="str">
        <f t="shared" si="2508"/>
        <v>#REF!</v>
      </c>
      <c r="J838" s="20" t="str">
        <f t="shared" si="1272"/>
        <v>#REF!</v>
      </c>
      <c r="K838" s="20" t="str">
        <f t="shared" ref="K838:L838" si="2509">#REF!</f>
        <v>#REF!</v>
      </c>
      <c r="L838" s="20" t="str">
        <f t="shared" si="2509"/>
        <v>#REF!</v>
      </c>
    </row>
    <row r="839">
      <c r="A839" s="20" t="str">
        <f t="shared" si="1267"/>
        <v>#REF!</v>
      </c>
      <c r="B839" s="20" t="str">
        <f t="shared" si="1268"/>
        <v>#REF!</v>
      </c>
      <c r="C839" s="20" t="str">
        <f t="shared" ref="C839:D839" si="2510">#REF!</f>
        <v>#REF!</v>
      </c>
      <c r="D839" s="20" t="str">
        <f t="shared" si="2510"/>
        <v>#REF!</v>
      </c>
      <c r="E839" s="20" t="str">
        <f t="shared" si="1270"/>
        <v>#REF!</v>
      </c>
      <c r="F839" s="22" t="str">
        <f t="shared" si="2"/>
        <v>#REF!</v>
      </c>
      <c r="G839" s="20" t="str">
        <f t="shared" ref="G839:I839" si="2511">#REF!</f>
        <v>#REF!</v>
      </c>
      <c r="H839" s="20" t="str">
        <f t="shared" si="2511"/>
        <v>#REF!</v>
      </c>
      <c r="I839" s="20" t="str">
        <f t="shared" si="2511"/>
        <v>#REF!</v>
      </c>
      <c r="J839" s="20" t="str">
        <f t="shared" si="1272"/>
        <v>#REF!</v>
      </c>
      <c r="K839" s="20" t="str">
        <f t="shared" ref="K839:L839" si="2512">#REF!</f>
        <v>#REF!</v>
      </c>
      <c r="L839" s="20" t="str">
        <f t="shared" si="2512"/>
        <v>#REF!</v>
      </c>
    </row>
    <row r="840">
      <c r="A840" s="20" t="str">
        <f t="shared" si="1267"/>
        <v>#REF!</v>
      </c>
      <c r="B840" s="20" t="str">
        <f t="shared" si="1268"/>
        <v>#REF!</v>
      </c>
      <c r="C840" s="20" t="str">
        <f t="shared" ref="C840:D840" si="2513">#REF!</f>
        <v>#REF!</v>
      </c>
      <c r="D840" s="20" t="str">
        <f t="shared" si="2513"/>
        <v>#REF!</v>
      </c>
      <c r="E840" s="20" t="str">
        <f t="shared" si="1270"/>
        <v>#REF!</v>
      </c>
      <c r="F840" s="22" t="str">
        <f t="shared" si="2"/>
        <v>#REF!</v>
      </c>
      <c r="G840" s="20" t="str">
        <f t="shared" ref="G840:I840" si="2514">#REF!</f>
        <v>#REF!</v>
      </c>
      <c r="H840" s="20" t="str">
        <f t="shared" si="2514"/>
        <v>#REF!</v>
      </c>
      <c r="I840" s="20" t="str">
        <f t="shared" si="2514"/>
        <v>#REF!</v>
      </c>
      <c r="J840" s="20" t="str">
        <f t="shared" si="1272"/>
        <v>#REF!</v>
      </c>
      <c r="K840" s="20" t="str">
        <f t="shared" ref="K840:L840" si="2515">#REF!</f>
        <v>#REF!</v>
      </c>
      <c r="L840" s="20" t="str">
        <f t="shared" si="2515"/>
        <v>#REF!</v>
      </c>
    </row>
    <row r="841">
      <c r="A841" s="20" t="str">
        <f t="shared" si="1267"/>
        <v>#REF!</v>
      </c>
      <c r="B841" s="20" t="str">
        <f t="shared" si="1268"/>
        <v>#REF!</v>
      </c>
      <c r="C841" s="20" t="str">
        <f t="shared" ref="C841:D841" si="2516">#REF!</f>
        <v>#REF!</v>
      </c>
      <c r="D841" s="20" t="str">
        <f t="shared" si="2516"/>
        <v>#REF!</v>
      </c>
      <c r="E841" s="20" t="str">
        <f t="shared" si="1270"/>
        <v>#REF!</v>
      </c>
      <c r="F841" s="22" t="str">
        <f t="shared" si="2"/>
        <v>#REF!</v>
      </c>
      <c r="G841" s="20" t="str">
        <f t="shared" ref="G841:I841" si="2517">#REF!</f>
        <v>#REF!</v>
      </c>
      <c r="H841" s="20" t="str">
        <f t="shared" si="2517"/>
        <v>#REF!</v>
      </c>
      <c r="I841" s="20" t="str">
        <f t="shared" si="2517"/>
        <v>#REF!</v>
      </c>
      <c r="J841" s="20" t="str">
        <f t="shared" si="1272"/>
        <v>#REF!</v>
      </c>
      <c r="K841" s="20" t="str">
        <f t="shared" ref="K841:L841" si="2518">#REF!</f>
        <v>#REF!</v>
      </c>
      <c r="L841" s="20" t="str">
        <f t="shared" si="2518"/>
        <v>#REF!</v>
      </c>
    </row>
    <row r="842">
      <c r="A842" s="20" t="str">
        <f t="shared" si="1267"/>
        <v>#REF!</v>
      </c>
      <c r="B842" s="20" t="str">
        <f t="shared" si="1268"/>
        <v>#REF!</v>
      </c>
      <c r="C842" s="20" t="str">
        <f t="shared" ref="C842:D842" si="2519">#REF!</f>
        <v>#REF!</v>
      </c>
      <c r="D842" s="20" t="str">
        <f t="shared" si="2519"/>
        <v>#REF!</v>
      </c>
      <c r="E842" s="20" t="str">
        <f t="shared" si="1270"/>
        <v>#REF!</v>
      </c>
      <c r="F842" s="22" t="str">
        <f t="shared" si="2"/>
        <v>#REF!</v>
      </c>
      <c r="G842" s="20" t="str">
        <f t="shared" ref="G842:I842" si="2520">#REF!</f>
        <v>#REF!</v>
      </c>
      <c r="H842" s="20" t="str">
        <f t="shared" si="2520"/>
        <v>#REF!</v>
      </c>
      <c r="I842" s="20" t="str">
        <f t="shared" si="2520"/>
        <v>#REF!</v>
      </c>
      <c r="J842" s="20" t="str">
        <f t="shared" si="1272"/>
        <v>#REF!</v>
      </c>
      <c r="K842" s="20" t="str">
        <f t="shared" ref="K842:L842" si="2521">#REF!</f>
        <v>#REF!</v>
      </c>
      <c r="L842" s="20" t="str">
        <f t="shared" si="2521"/>
        <v>#REF!</v>
      </c>
    </row>
    <row r="843">
      <c r="A843" s="20" t="str">
        <f t="shared" si="1267"/>
        <v>#REF!</v>
      </c>
      <c r="B843" s="20" t="str">
        <f t="shared" si="1268"/>
        <v>#REF!</v>
      </c>
      <c r="C843" s="20" t="str">
        <f t="shared" ref="C843:D843" si="2522">#REF!</f>
        <v>#REF!</v>
      </c>
      <c r="D843" s="20" t="str">
        <f t="shared" si="2522"/>
        <v>#REF!</v>
      </c>
      <c r="E843" s="20" t="str">
        <f t="shared" si="1270"/>
        <v>#REF!</v>
      </c>
      <c r="F843" s="22" t="str">
        <f t="shared" si="2"/>
        <v>#REF!</v>
      </c>
      <c r="G843" s="20" t="str">
        <f t="shared" ref="G843:I843" si="2523">#REF!</f>
        <v>#REF!</v>
      </c>
      <c r="H843" s="20" t="str">
        <f t="shared" si="2523"/>
        <v>#REF!</v>
      </c>
      <c r="I843" s="20" t="str">
        <f t="shared" si="2523"/>
        <v>#REF!</v>
      </c>
      <c r="J843" s="20" t="str">
        <f t="shared" si="1272"/>
        <v>#REF!</v>
      </c>
      <c r="K843" s="20" t="str">
        <f t="shared" ref="K843:L843" si="2524">#REF!</f>
        <v>#REF!</v>
      </c>
      <c r="L843" s="20" t="str">
        <f t="shared" si="2524"/>
        <v>#REF!</v>
      </c>
    </row>
    <row r="844">
      <c r="A844" s="20" t="str">
        <f t="shared" si="1267"/>
        <v>#REF!</v>
      </c>
      <c r="B844" s="20" t="str">
        <f t="shared" si="1268"/>
        <v>#REF!</v>
      </c>
      <c r="C844" s="20" t="str">
        <f t="shared" ref="C844:D844" si="2525">#REF!</f>
        <v>#REF!</v>
      </c>
      <c r="D844" s="20" t="str">
        <f t="shared" si="2525"/>
        <v>#REF!</v>
      </c>
      <c r="E844" s="20" t="str">
        <f t="shared" si="1270"/>
        <v>#REF!</v>
      </c>
      <c r="F844" s="22" t="str">
        <f t="shared" si="2"/>
        <v>#REF!</v>
      </c>
      <c r="G844" s="20" t="str">
        <f t="shared" ref="G844:I844" si="2526">#REF!</f>
        <v>#REF!</v>
      </c>
      <c r="H844" s="20" t="str">
        <f t="shared" si="2526"/>
        <v>#REF!</v>
      </c>
      <c r="I844" s="20" t="str">
        <f t="shared" si="2526"/>
        <v>#REF!</v>
      </c>
      <c r="J844" s="20" t="str">
        <f t="shared" si="1272"/>
        <v>#REF!</v>
      </c>
      <c r="K844" s="20" t="str">
        <f t="shared" ref="K844:L844" si="2527">#REF!</f>
        <v>#REF!</v>
      </c>
      <c r="L844" s="20" t="str">
        <f t="shared" si="2527"/>
        <v>#REF!</v>
      </c>
    </row>
    <row r="845">
      <c r="A845" s="20" t="str">
        <f t="shared" si="1267"/>
        <v>#REF!</v>
      </c>
      <c r="B845" s="20" t="str">
        <f t="shared" si="1268"/>
        <v>#REF!</v>
      </c>
      <c r="C845" s="20" t="str">
        <f t="shared" ref="C845:D845" si="2528">#REF!</f>
        <v>#REF!</v>
      </c>
      <c r="D845" s="20" t="str">
        <f t="shared" si="2528"/>
        <v>#REF!</v>
      </c>
      <c r="E845" s="20" t="str">
        <f t="shared" si="1270"/>
        <v>#REF!</v>
      </c>
      <c r="F845" s="22" t="str">
        <f t="shared" si="2"/>
        <v>#REF!</v>
      </c>
      <c r="G845" s="20" t="str">
        <f t="shared" ref="G845:I845" si="2529">#REF!</f>
        <v>#REF!</v>
      </c>
      <c r="H845" s="20" t="str">
        <f t="shared" si="2529"/>
        <v>#REF!</v>
      </c>
      <c r="I845" s="20" t="str">
        <f t="shared" si="2529"/>
        <v>#REF!</v>
      </c>
      <c r="J845" s="20" t="str">
        <f t="shared" si="1272"/>
        <v>#REF!</v>
      </c>
      <c r="K845" s="20" t="str">
        <f t="shared" ref="K845:L845" si="2530">#REF!</f>
        <v>#REF!</v>
      </c>
      <c r="L845" s="20" t="str">
        <f t="shared" si="2530"/>
        <v>#REF!</v>
      </c>
    </row>
    <row r="846">
      <c r="A846" s="20" t="str">
        <f t="shared" si="1267"/>
        <v>#REF!</v>
      </c>
      <c r="B846" s="20" t="str">
        <f t="shared" si="1268"/>
        <v>#REF!</v>
      </c>
      <c r="C846" s="20" t="str">
        <f t="shared" ref="C846:D846" si="2531">#REF!</f>
        <v>#REF!</v>
      </c>
      <c r="D846" s="20" t="str">
        <f t="shared" si="2531"/>
        <v>#REF!</v>
      </c>
      <c r="E846" s="20" t="str">
        <f t="shared" si="1270"/>
        <v>#REF!</v>
      </c>
      <c r="F846" s="22" t="str">
        <f t="shared" si="2"/>
        <v>#REF!</v>
      </c>
      <c r="G846" s="20" t="str">
        <f t="shared" ref="G846:I846" si="2532">#REF!</f>
        <v>#REF!</v>
      </c>
      <c r="H846" s="20" t="str">
        <f t="shared" si="2532"/>
        <v>#REF!</v>
      </c>
      <c r="I846" s="20" t="str">
        <f t="shared" si="2532"/>
        <v>#REF!</v>
      </c>
      <c r="J846" s="20" t="str">
        <f t="shared" si="1272"/>
        <v>#REF!</v>
      </c>
      <c r="K846" s="20" t="str">
        <f t="shared" ref="K846:L846" si="2533">#REF!</f>
        <v>#REF!</v>
      </c>
      <c r="L846" s="20" t="str">
        <f t="shared" si="2533"/>
        <v>#REF!</v>
      </c>
    </row>
    <row r="847">
      <c r="A847" s="20" t="str">
        <f t="shared" si="1267"/>
        <v>#REF!</v>
      </c>
      <c r="B847" s="20" t="str">
        <f t="shared" si="1268"/>
        <v>#REF!</v>
      </c>
      <c r="C847" s="20" t="str">
        <f t="shared" ref="C847:D847" si="2534">#REF!</f>
        <v>#REF!</v>
      </c>
      <c r="D847" s="20" t="str">
        <f t="shared" si="2534"/>
        <v>#REF!</v>
      </c>
      <c r="E847" s="20" t="str">
        <f t="shared" si="1270"/>
        <v>#REF!</v>
      </c>
      <c r="F847" s="22" t="str">
        <f t="shared" si="2"/>
        <v>#REF!</v>
      </c>
      <c r="G847" s="20" t="str">
        <f t="shared" ref="G847:I847" si="2535">#REF!</f>
        <v>#REF!</v>
      </c>
      <c r="H847" s="20" t="str">
        <f t="shared" si="2535"/>
        <v>#REF!</v>
      </c>
      <c r="I847" s="20" t="str">
        <f t="shared" si="2535"/>
        <v>#REF!</v>
      </c>
      <c r="J847" s="20" t="str">
        <f t="shared" si="1272"/>
        <v>#REF!</v>
      </c>
      <c r="K847" s="20" t="str">
        <f t="shared" ref="K847:L847" si="2536">#REF!</f>
        <v>#REF!</v>
      </c>
      <c r="L847" s="20" t="str">
        <f t="shared" si="2536"/>
        <v>#REF!</v>
      </c>
    </row>
    <row r="848">
      <c r="A848" s="20" t="str">
        <f t="shared" si="1267"/>
        <v>#REF!</v>
      </c>
      <c r="B848" s="20" t="str">
        <f t="shared" si="1268"/>
        <v>#REF!</v>
      </c>
      <c r="C848" s="20" t="str">
        <f t="shared" ref="C848:D848" si="2537">#REF!</f>
        <v>#REF!</v>
      </c>
      <c r="D848" s="20" t="str">
        <f t="shared" si="2537"/>
        <v>#REF!</v>
      </c>
      <c r="E848" s="20" t="str">
        <f t="shared" si="1270"/>
        <v>#REF!</v>
      </c>
      <c r="F848" s="22" t="str">
        <f t="shared" si="2"/>
        <v>#REF!</v>
      </c>
      <c r="G848" s="20" t="str">
        <f t="shared" ref="G848:I848" si="2538">#REF!</f>
        <v>#REF!</v>
      </c>
      <c r="H848" s="20" t="str">
        <f t="shared" si="2538"/>
        <v>#REF!</v>
      </c>
      <c r="I848" s="20" t="str">
        <f t="shared" si="2538"/>
        <v>#REF!</v>
      </c>
      <c r="J848" s="20" t="str">
        <f t="shared" si="1272"/>
        <v>#REF!</v>
      </c>
      <c r="K848" s="20" t="str">
        <f t="shared" ref="K848:L848" si="2539">#REF!</f>
        <v>#REF!</v>
      </c>
      <c r="L848" s="20" t="str">
        <f t="shared" si="2539"/>
        <v>#REF!</v>
      </c>
    </row>
    <row r="849">
      <c r="A849" s="20" t="str">
        <f t="shared" si="1267"/>
        <v>#REF!</v>
      </c>
      <c r="B849" s="20" t="str">
        <f t="shared" si="1268"/>
        <v>#REF!</v>
      </c>
      <c r="C849" s="20" t="str">
        <f t="shared" ref="C849:D849" si="2540">#REF!</f>
        <v>#REF!</v>
      </c>
      <c r="D849" s="20" t="str">
        <f t="shared" si="2540"/>
        <v>#REF!</v>
      </c>
      <c r="E849" s="20" t="str">
        <f t="shared" si="1270"/>
        <v>#REF!</v>
      </c>
      <c r="F849" s="22" t="str">
        <f t="shared" si="2"/>
        <v>#REF!</v>
      </c>
      <c r="G849" s="20" t="str">
        <f t="shared" ref="G849:I849" si="2541">#REF!</f>
        <v>#REF!</v>
      </c>
      <c r="H849" s="20" t="str">
        <f t="shared" si="2541"/>
        <v>#REF!</v>
      </c>
      <c r="I849" s="20" t="str">
        <f t="shared" si="2541"/>
        <v>#REF!</v>
      </c>
      <c r="J849" s="20" t="str">
        <f t="shared" si="1272"/>
        <v>#REF!</v>
      </c>
      <c r="K849" s="20" t="str">
        <f t="shared" ref="K849:L849" si="2542">#REF!</f>
        <v>#REF!</v>
      </c>
      <c r="L849" s="20" t="str">
        <f t="shared" si="2542"/>
        <v>#REF!</v>
      </c>
    </row>
    <row r="850">
      <c r="A850" s="20" t="str">
        <f t="shared" si="1267"/>
        <v>#REF!</v>
      </c>
      <c r="B850" s="20" t="str">
        <f t="shared" si="1268"/>
        <v>#REF!</v>
      </c>
      <c r="C850" s="20" t="str">
        <f t="shared" ref="C850:D850" si="2543">#REF!</f>
        <v>#REF!</v>
      </c>
      <c r="D850" s="20" t="str">
        <f t="shared" si="2543"/>
        <v>#REF!</v>
      </c>
      <c r="E850" s="20" t="str">
        <f t="shared" si="1270"/>
        <v>#REF!</v>
      </c>
      <c r="F850" s="22" t="str">
        <f t="shared" si="2"/>
        <v>#REF!</v>
      </c>
      <c r="G850" s="20" t="str">
        <f t="shared" ref="G850:I850" si="2544">#REF!</f>
        <v>#REF!</v>
      </c>
      <c r="H850" s="20" t="str">
        <f t="shared" si="2544"/>
        <v>#REF!</v>
      </c>
      <c r="I850" s="20" t="str">
        <f t="shared" si="2544"/>
        <v>#REF!</v>
      </c>
      <c r="J850" s="20" t="str">
        <f t="shared" si="1272"/>
        <v>#REF!</v>
      </c>
      <c r="K850" s="20" t="str">
        <f t="shared" ref="K850:L850" si="2545">#REF!</f>
        <v>#REF!</v>
      </c>
      <c r="L850" s="20" t="str">
        <f t="shared" si="2545"/>
        <v>#REF!</v>
      </c>
    </row>
    <row r="851">
      <c r="A851" s="20" t="str">
        <f t="shared" si="1267"/>
        <v>#REF!</v>
      </c>
      <c r="B851" s="20" t="str">
        <f t="shared" si="1268"/>
        <v>#REF!</v>
      </c>
      <c r="C851" s="20" t="str">
        <f t="shared" ref="C851:D851" si="2546">#REF!</f>
        <v>#REF!</v>
      </c>
      <c r="D851" s="20" t="str">
        <f t="shared" si="2546"/>
        <v>#REF!</v>
      </c>
      <c r="E851" s="20" t="str">
        <f t="shared" si="1270"/>
        <v>#REF!</v>
      </c>
      <c r="F851" s="22" t="str">
        <f t="shared" si="2"/>
        <v>#REF!</v>
      </c>
      <c r="G851" s="20" t="str">
        <f t="shared" ref="G851:I851" si="2547">#REF!</f>
        <v>#REF!</v>
      </c>
      <c r="H851" s="20" t="str">
        <f t="shared" si="2547"/>
        <v>#REF!</v>
      </c>
      <c r="I851" s="20" t="str">
        <f t="shared" si="2547"/>
        <v>#REF!</v>
      </c>
      <c r="J851" s="20" t="str">
        <f t="shared" si="1272"/>
        <v>#REF!</v>
      </c>
      <c r="K851" s="20" t="str">
        <f t="shared" ref="K851:L851" si="2548">#REF!</f>
        <v>#REF!</v>
      </c>
      <c r="L851" s="20" t="str">
        <f t="shared" si="2548"/>
        <v>#REF!</v>
      </c>
    </row>
    <row r="852">
      <c r="A852" s="20" t="str">
        <f t="shared" si="1267"/>
        <v>#REF!</v>
      </c>
      <c r="B852" s="20" t="str">
        <f t="shared" si="1268"/>
        <v>#REF!</v>
      </c>
      <c r="C852" s="20" t="str">
        <f t="shared" ref="C852:D852" si="2549">#REF!</f>
        <v>#REF!</v>
      </c>
      <c r="D852" s="20" t="str">
        <f t="shared" si="2549"/>
        <v>#REF!</v>
      </c>
      <c r="E852" s="20" t="str">
        <f t="shared" si="1270"/>
        <v>#REF!</v>
      </c>
      <c r="F852" s="22" t="str">
        <f t="shared" si="2"/>
        <v>#REF!</v>
      </c>
      <c r="G852" s="20" t="str">
        <f t="shared" ref="G852:I852" si="2550">#REF!</f>
        <v>#REF!</v>
      </c>
      <c r="H852" s="20" t="str">
        <f t="shared" si="2550"/>
        <v>#REF!</v>
      </c>
      <c r="I852" s="20" t="str">
        <f t="shared" si="2550"/>
        <v>#REF!</v>
      </c>
      <c r="J852" s="20" t="str">
        <f t="shared" si="1272"/>
        <v>#REF!</v>
      </c>
      <c r="K852" s="20" t="str">
        <f t="shared" ref="K852:L852" si="2551">#REF!</f>
        <v>#REF!</v>
      </c>
      <c r="L852" s="20" t="str">
        <f t="shared" si="2551"/>
        <v>#REF!</v>
      </c>
    </row>
    <row r="853">
      <c r="A853" s="20" t="str">
        <f t="shared" si="1267"/>
        <v>#REF!</v>
      </c>
      <c r="B853" s="20" t="str">
        <f t="shared" si="1268"/>
        <v>#REF!</v>
      </c>
      <c r="C853" s="20" t="str">
        <f t="shared" ref="C853:D853" si="2552">#REF!</f>
        <v>#REF!</v>
      </c>
      <c r="D853" s="20" t="str">
        <f t="shared" si="2552"/>
        <v>#REF!</v>
      </c>
      <c r="E853" s="20" t="str">
        <f t="shared" si="1270"/>
        <v>#REF!</v>
      </c>
      <c r="F853" s="22" t="str">
        <f t="shared" si="2"/>
        <v>#REF!</v>
      </c>
      <c r="G853" s="20" t="str">
        <f t="shared" ref="G853:I853" si="2553">#REF!</f>
        <v>#REF!</v>
      </c>
      <c r="H853" s="20" t="str">
        <f t="shared" si="2553"/>
        <v>#REF!</v>
      </c>
      <c r="I853" s="20" t="str">
        <f t="shared" si="2553"/>
        <v>#REF!</v>
      </c>
      <c r="J853" s="20" t="str">
        <f t="shared" si="1272"/>
        <v>#REF!</v>
      </c>
      <c r="K853" s="20" t="str">
        <f t="shared" ref="K853:L853" si="2554">#REF!</f>
        <v>#REF!</v>
      </c>
      <c r="L853" s="20" t="str">
        <f t="shared" si="2554"/>
        <v>#REF!</v>
      </c>
    </row>
    <row r="854">
      <c r="A854" s="20" t="str">
        <f t="shared" si="1267"/>
        <v>#REF!</v>
      </c>
      <c r="B854" s="20" t="str">
        <f t="shared" si="1268"/>
        <v>#REF!</v>
      </c>
      <c r="C854" s="20" t="str">
        <f t="shared" ref="C854:D854" si="2555">#REF!</f>
        <v>#REF!</v>
      </c>
      <c r="D854" s="20" t="str">
        <f t="shared" si="2555"/>
        <v>#REF!</v>
      </c>
      <c r="E854" s="20" t="str">
        <f t="shared" si="1270"/>
        <v>#REF!</v>
      </c>
      <c r="F854" s="22" t="str">
        <f t="shared" si="2"/>
        <v>#REF!</v>
      </c>
      <c r="G854" s="20" t="str">
        <f t="shared" ref="G854:I854" si="2556">#REF!</f>
        <v>#REF!</v>
      </c>
      <c r="H854" s="20" t="str">
        <f t="shared" si="2556"/>
        <v>#REF!</v>
      </c>
      <c r="I854" s="20" t="str">
        <f t="shared" si="2556"/>
        <v>#REF!</v>
      </c>
      <c r="J854" s="20" t="str">
        <f t="shared" si="1272"/>
        <v>#REF!</v>
      </c>
      <c r="K854" s="20" t="str">
        <f t="shared" ref="K854:L854" si="2557">#REF!</f>
        <v>#REF!</v>
      </c>
      <c r="L854" s="20" t="str">
        <f t="shared" si="2557"/>
        <v>#REF!</v>
      </c>
    </row>
    <row r="855">
      <c r="A855" s="20" t="str">
        <f t="shared" si="1267"/>
        <v>#REF!</v>
      </c>
      <c r="B855" s="20" t="str">
        <f t="shared" si="1268"/>
        <v>#REF!</v>
      </c>
      <c r="C855" s="20" t="str">
        <f t="shared" ref="C855:D855" si="2558">#REF!</f>
        <v>#REF!</v>
      </c>
      <c r="D855" s="20" t="str">
        <f t="shared" si="2558"/>
        <v>#REF!</v>
      </c>
      <c r="E855" s="20" t="str">
        <f t="shared" si="1270"/>
        <v>#REF!</v>
      </c>
      <c r="F855" s="22" t="str">
        <f t="shared" si="2"/>
        <v>#REF!</v>
      </c>
      <c r="G855" s="20" t="str">
        <f t="shared" ref="G855:I855" si="2559">#REF!</f>
        <v>#REF!</v>
      </c>
      <c r="H855" s="20" t="str">
        <f t="shared" si="2559"/>
        <v>#REF!</v>
      </c>
      <c r="I855" s="20" t="str">
        <f t="shared" si="2559"/>
        <v>#REF!</v>
      </c>
      <c r="J855" s="20" t="str">
        <f t="shared" si="1272"/>
        <v>#REF!</v>
      </c>
      <c r="K855" s="20" t="str">
        <f t="shared" ref="K855:L855" si="2560">#REF!</f>
        <v>#REF!</v>
      </c>
      <c r="L855" s="20" t="str">
        <f t="shared" si="2560"/>
        <v>#REF!</v>
      </c>
    </row>
    <row r="856">
      <c r="A856" s="20" t="str">
        <f t="shared" si="1267"/>
        <v>#REF!</v>
      </c>
      <c r="B856" s="20" t="str">
        <f t="shared" si="1268"/>
        <v>#REF!</v>
      </c>
      <c r="C856" s="20" t="str">
        <f t="shared" ref="C856:D856" si="2561">#REF!</f>
        <v>#REF!</v>
      </c>
      <c r="D856" s="20" t="str">
        <f t="shared" si="2561"/>
        <v>#REF!</v>
      </c>
      <c r="E856" s="20" t="str">
        <f t="shared" si="1270"/>
        <v>#REF!</v>
      </c>
      <c r="F856" s="22" t="str">
        <f t="shared" si="2"/>
        <v>#REF!</v>
      </c>
      <c r="G856" s="20" t="str">
        <f t="shared" ref="G856:I856" si="2562">#REF!</f>
        <v>#REF!</v>
      </c>
      <c r="H856" s="20" t="str">
        <f t="shared" si="2562"/>
        <v>#REF!</v>
      </c>
      <c r="I856" s="20" t="str">
        <f t="shared" si="2562"/>
        <v>#REF!</v>
      </c>
      <c r="J856" s="20" t="str">
        <f t="shared" si="1272"/>
        <v>#REF!</v>
      </c>
      <c r="K856" s="20" t="str">
        <f t="shared" ref="K856:L856" si="2563">#REF!</f>
        <v>#REF!</v>
      </c>
      <c r="L856" s="20" t="str">
        <f t="shared" si="2563"/>
        <v>#REF!</v>
      </c>
    </row>
    <row r="857">
      <c r="A857" s="20" t="str">
        <f t="shared" si="1267"/>
        <v>#REF!</v>
      </c>
      <c r="B857" s="20" t="str">
        <f t="shared" si="1268"/>
        <v>#REF!</v>
      </c>
      <c r="C857" s="20" t="str">
        <f t="shared" ref="C857:D857" si="2564">#REF!</f>
        <v>#REF!</v>
      </c>
      <c r="D857" s="20" t="str">
        <f t="shared" si="2564"/>
        <v>#REF!</v>
      </c>
      <c r="E857" s="20" t="str">
        <f t="shared" si="1270"/>
        <v>#REF!</v>
      </c>
      <c r="F857" s="22" t="str">
        <f t="shared" si="2"/>
        <v>#REF!</v>
      </c>
      <c r="G857" s="20" t="str">
        <f t="shared" ref="G857:I857" si="2565">#REF!</f>
        <v>#REF!</v>
      </c>
      <c r="H857" s="20" t="str">
        <f t="shared" si="2565"/>
        <v>#REF!</v>
      </c>
      <c r="I857" s="20" t="str">
        <f t="shared" si="2565"/>
        <v>#REF!</v>
      </c>
      <c r="J857" s="20" t="str">
        <f t="shared" si="1272"/>
        <v>#REF!</v>
      </c>
      <c r="K857" s="20" t="str">
        <f t="shared" ref="K857:L857" si="2566">#REF!</f>
        <v>#REF!</v>
      </c>
      <c r="L857" s="20" t="str">
        <f t="shared" si="2566"/>
        <v>#REF!</v>
      </c>
    </row>
    <row r="858">
      <c r="A858" s="20" t="str">
        <f t="shared" si="1267"/>
        <v>#REF!</v>
      </c>
      <c r="B858" s="20" t="str">
        <f t="shared" si="1268"/>
        <v>#REF!</v>
      </c>
      <c r="C858" s="20" t="str">
        <f t="shared" ref="C858:D858" si="2567">#REF!</f>
        <v>#REF!</v>
      </c>
      <c r="D858" s="20" t="str">
        <f t="shared" si="2567"/>
        <v>#REF!</v>
      </c>
      <c r="E858" s="20" t="str">
        <f t="shared" si="1270"/>
        <v>#REF!</v>
      </c>
      <c r="F858" s="22" t="str">
        <f t="shared" si="2"/>
        <v>#REF!</v>
      </c>
      <c r="G858" s="20" t="str">
        <f t="shared" ref="G858:I858" si="2568">#REF!</f>
        <v>#REF!</v>
      </c>
      <c r="H858" s="20" t="str">
        <f t="shared" si="2568"/>
        <v>#REF!</v>
      </c>
      <c r="I858" s="20" t="str">
        <f t="shared" si="2568"/>
        <v>#REF!</v>
      </c>
      <c r="J858" s="20" t="str">
        <f t="shared" si="1272"/>
        <v>#REF!</v>
      </c>
      <c r="K858" s="20" t="str">
        <f t="shared" ref="K858:L858" si="2569">#REF!</f>
        <v>#REF!</v>
      </c>
      <c r="L858" s="20" t="str">
        <f t="shared" si="2569"/>
        <v>#REF!</v>
      </c>
    </row>
    <row r="859">
      <c r="A859" s="20" t="str">
        <f t="shared" si="1267"/>
        <v>#REF!</v>
      </c>
      <c r="B859" s="20" t="str">
        <f t="shared" si="1268"/>
        <v>#REF!</v>
      </c>
      <c r="C859" s="20" t="str">
        <f t="shared" ref="C859:D859" si="2570">#REF!</f>
        <v>#REF!</v>
      </c>
      <c r="D859" s="20" t="str">
        <f t="shared" si="2570"/>
        <v>#REF!</v>
      </c>
      <c r="E859" s="20" t="str">
        <f t="shared" si="1270"/>
        <v>#REF!</v>
      </c>
      <c r="F859" s="22" t="str">
        <f t="shared" si="2"/>
        <v>#REF!</v>
      </c>
      <c r="G859" s="20" t="str">
        <f t="shared" ref="G859:I859" si="2571">#REF!</f>
        <v>#REF!</v>
      </c>
      <c r="H859" s="20" t="str">
        <f t="shared" si="2571"/>
        <v>#REF!</v>
      </c>
      <c r="I859" s="20" t="str">
        <f t="shared" si="2571"/>
        <v>#REF!</v>
      </c>
      <c r="J859" s="20" t="str">
        <f t="shared" si="1272"/>
        <v>#REF!</v>
      </c>
      <c r="K859" s="20" t="str">
        <f t="shared" ref="K859:L859" si="2572">#REF!</f>
        <v>#REF!</v>
      </c>
      <c r="L859" s="20" t="str">
        <f t="shared" si="2572"/>
        <v>#REF!</v>
      </c>
    </row>
    <row r="860">
      <c r="A860" s="20" t="str">
        <f t="shared" si="1267"/>
        <v>#REF!</v>
      </c>
      <c r="B860" s="20" t="str">
        <f t="shared" si="1268"/>
        <v>#REF!</v>
      </c>
      <c r="C860" s="20" t="str">
        <f t="shared" ref="C860:D860" si="2573">#REF!</f>
        <v>#REF!</v>
      </c>
      <c r="D860" s="20" t="str">
        <f t="shared" si="2573"/>
        <v>#REF!</v>
      </c>
      <c r="E860" s="20" t="str">
        <f t="shared" si="1270"/>
        <v>#REF!</v>
      </c>
      <c r="F860" s="22" t="str">
        <f t="shared" si="2"/>
        <v>#REF!</v>
      </c>
      <c r="G860" s="20" t="str">
        <f t="shared" ref="G860:I860" si="2574">#REF!</f>
        <v>#REF!</v>
      </c>
      <c r="H860" s="20" t="str">
        <f t="shared" si="2574"/>
        <v>#REF!</v>
      </c>
      <c r="I860" s="20" t="str">
        <f t="shared" si="2574"/>
        <v>#REF!</v>
      </c>
      <c r="J860" s="20" t="str">
        <f t="shared" si="1272"/>
        <v>#REF!</v>
      </c>
      <c r="K860" s="20" t="str">
        <f t="shared" ref="K860:L860" si="2575">#REF!</f>
        <v>#REF!</v>
      </c>
      <c r="L860" s="20" t="str">
        <f t="shared" si="2575"/>
        <v>#REF!</v>
      </c>
    </row>
    <row r="861">
      <c r="A861" s="20" t="str">
        <f t="shared" si="1267"/>
        <v>#REF!</v>
      </c>
      <c r="B861" s="20" t="str">
        <f t="shared" si="1268"/>
        <v>#REF!</v>
      </c>
      <c r="C861" s="20" t="str">
        <f t="shared" ref="C861:D861" si="2576">#REF!</f>
        <v>#REF!</v>
      </c>
      <c r="D861" s="20" t="str">
        <f t="shared" si="2576"/>
        <v>#REF!</v>
      </c>
      <c r="E861" s="20" t="str">
        <f t="shared" si="1270"/>
        <v>#REF!</v>
      </c>
      <c r="F861" s="22" t="str">
        <f t="shared" si="2"/>
        <v>#REF!</v>
      </c>
      <c r="G861" s="20" t="str">
        <f t="shared" ref="G861:I861" si="2577">#REF!</f>
        <v>#REF!</v>
      </c>
      <c r="H861" s="20" t="str">
        <f t="shared" si="2577"/>
        <v>#REF!</v>
      </c>
      <c r="I861" s="20" t="str">
        <f t="shared" si="2577"/>
        <v>#REF!</v>
      </c>
      <c r="J861" s="20" t="str">
        <f t="shared" si="1272"/>
        <v>#REF!</v>
      </c>
      <c r="K861" s="20" t="str">
        <f t="shared" ref="K861:L861" si="2578">#REF!</f>
        <v>#REF!</v>
      </c>
      <c r="L861" s="20" t="str">
        <f t="shared" si="2578"/>
        <v>#REF!</v>
      </c>
    </row>
    <row r="862">
      <c r="A862" s="20" t="str">
        <f t="shared" si="1267"/>
        <v>#REF!</v>
      </c>
      <c r="B862" s="20" t="str">
        <f t="shared" si="1268"/>
        <v>#REF!</v>
      </c>
      <c r="C862" s="20" t="str">
        <f t="shared" ref="C862:D862" si="2579">#REF!</f>
        <v>#REF!</v>
      </c>
      <c r="D862" s="20" t="str">
        <f t="shared" si="2579"/>
        <v>#REF!</v>
      </c>
      <c r="E862" s="20" t="str">
        <f t="shared" si="1270"/>
        <v>#REF!</v>
      </c>
      <c r="F862" s="22" t="str">
        <f t="shared" si="2"/>
        <v>#REF!</v>
      </c>
      <c r="G862" s="20" t="str">
        <f t="shared" ref="G862:I862" si="2580">#REF!</f>
        <v>#REF!</v>
      </c>
      <c r="H862" s="20" t="str">
        <f t="shared" si="2580"/>
        <v>#REF!</v>
      </c>
      <c r="I862" s="20" t="str">
        <f t="shared" si="2580"/>
        <v>#REF!</v>
      </c>
      <c r="J862" s="20" t="str">
        <f t="shared" si="1272"/>
        <v>#REF!</v>
      </c>
      <c r="K862" s="20" t="str">
        <f t="shared" ref="K862:L862" si="2581">#REF!</f>
        <v>#REF!</v>
      </c>
      <c r="L862" s="20" t="str">
        <f t="shared" si="2581"/>
        <v>#REF!</v>
      </c>
    </row>
    <row r="863">
      <c r="A863" s="20" t="str">
        <f t="shared" si="1267"/>
        <v>#REF!</v>
      </c>
      <c r="B863" s="20" t="str">
        <f t="shared" si="1268"/>
        <v>#REF!</v>
      </c>
      <c r="C863" s="20" t="str">
        <f t="shared" ref="C863:D863" si="2582">#REF!</f>
        <v>#REF!</v>
      </c>
      <c r="D863" s="20" t="str">
        <f t="shared" si="2582"/>
        <v>#REF!</v>
      </c>
      <c r="E863" s="20" t="str">
        <f t="shared" si="1270"/>
        <v>#REF!</v>
      </c>
      <c r="F863" s="22" t="str">
        <f t="shared" si="2"/>
        <v>#REF!</v>
      </c>
      <c r="G863" s="20" t="str">
        <f t="shared" ref="G863:I863" si="2583">#REF!</f>
        <v>#REF!</v>
      </c>
      <c r="H863" s="20" t="str">
        <f t="shared" si="2583"/>
        <v>#REF!</v>
      </c>
      <c r="I863" s="20" t="str">
        <f t="shared" si="2583"/>
        <v>#REF!</v>
      </c>
      <c r="J863" s="20" t="str">
        <f t="shared" si="1272"/>
        <v>#REF!</v>
      </c>
      <c r="K863" s="20" t="str">
        <f t="shared" ref="K863:L863" si="2584">#REF!</f>
        <v>#REF!</v>
      </c>
      <c r="L863" s="20" t="str">
        <f t="shared" si="2584"/>
        <v>#REF!</v>
      </c>
    </row>
    <row r="864">
      <c r="A864" s="20" t="str">
        <f t="shared" si="1267"/>
        <v>#REF!</v>
      </c>
      <c r="B864" s="20" t="str">
        <f t="shared" si="1268"/>
        <v>#REF!</v>
      </c>
      <c r="C864" s="20" t="str">
        <f t="shared" ref="C864:D864" si="2585">#REF!</f>
        <v>#REF!</v>
      </c>
      <c r="D864" s="20" t="str">
        <f t="shared" si="2585"/>
        <v>#REF!</v>
      </c>
      <c r="E864" s="20" t="str">
        <f t="shared" si="1270"/>
        <v>#REF!</v>
      </c>
      <c r="F864" s="22" t="str">
        <f t="shared" si="2"/>
        <v>#REF!</v>
      </c>
      <c r="G864" s="20" t="str">
        <f t="shared" ref="G864:I864" si="2586">#REF!</f>
        <v>#REF!</v>
      </c>
      <c r="H864" s="20" t="str">
        <f t="shared" si="2586"/>
        <v>#REF!</v>
      </c>
      <c r="I864" s="20" t="str">
        <f t="shared" si="2586"/>
        <v>#REF!</v>
      </c>
      <c r="J864" s="20" t="str">
        <f t="shared" si="1272"/>
        <v>#REF!</v>
      </c>
      <c r="K864" s="20" t="str">
        <f t="shared" ref="K864:L864" si="2587">#REF!</f>
        <v>#REF!</v>
      </c>
      <c r="L864" s="20" t="str">
        <f t="shared" si="2587"/>
        <v>#REF!</v>
      </c>
    </row>
    <row r="865">
      <c r="A865" s="20" t="str">
        <f t="shared" si="1267"/>
        <v>#REF!</v>
      </c>
      <c r="B865" s="20" t="str">
        <f t="shared" si="1268"/>
        <v>#REF!</v>
      </c>
      <c r="C865" s="20" t="str">
        <f t="shared" ref="C865:D865" si="2588">#REF!</f>
        <v>#REF!</v>
      </c>
      <c r="D865" s="20" t="str">
        <f t="shared" si="2588"/>
        <v>#REF!</v>
      </c>
      <c r="E865" s="20" t="str">
        <f t="shared" si="1270"/>
        <v>#REF!</v>
      </c>
      <c r="F865" s="22" t="str">
        <f t="shared" si="2"/>
        <v>#REF!</v>
      </c>
      <c r="G865" s="20" t="str">
        <f t="shared" ref="G865:I865" si="2589">#REF!</f>
        <v>#REF!</v>
      </c>
      <c r="H865" s="20" t="str">
        <f t="shared" si="2589"/>
        <v>#REF!</v>
      </c>
      <c r="I865" s="20" t="str">
        <f t="shared" si="2589"/>
        <v>#REF!</v>
      </c>
      <c r="J865" s="20" t="str">
        <f t="shared" si="1272"/>
        <v>#REF!</v>
      </c>
      <c r="K865" s="20" t="str">
        <f t="shared" ref="K865:L865" si="2590">#REF!</f>
        <v>#REF!</v>
      </c>
      <c r="L865" s="20" t="str">
        <f t="shared" si="2590"/>
        <v>#REF!</v>
      </c>
    </row>
    <row r="866">
      <c r="A866" s="20" t="str">
        <f t="shared" si="1267"/>
        <v>#REF!</v>
      </c>
      <c r="B866" s="20" t="str">
        <f t="shared" si="1268"/>
        <v>#REF!</v>
      </c>
      <c r="C866" s="20" t="str">
        <f t="shared" ref="C866:D866" si="2591">#REF!</f>
        <v>#REF!</v>
      </c>
      <c r="D866" s="20" t="str">
        <f t="shared" si="2591"/>
        <v>#REF!</v>
      </c>
      <c r="E866" s="20" t="str">
        <f t="shared" si="1270"/>
        <v>#REF!</v>
      </c>
      <c r="F866" s="22" t="str">
        <f t="shared" si="2"/>
        <v>#REF!</v>
      </c>
      <c r="G866" s="20" t="str">
        <f t="shared" ref="G866:I866" si="2592">#REF!</f>
        <v>#REF!</v>
      </c>
      <c r="H866" s="20" t="str">
        <f t="shared" si="2592"/>
        <v>#REF!</v>
      </c>
      <c r="I866" s="20" t="str">
        <f t="shared" si="2592"/>
        <v>#REF!</v>
      </c>
      <c r="J866" s="20" t="str">
        <f t="shared" si="1272"/>
        <v>#REF!</v>
      </c>
      <c r="K866" s="20" t="str">
        <f t="shared" ref="K866:L866" si="2593">#REF!</f>
        <v>#REF!</v>
      </c>
      <c r="L866" s="20" t="str">
        <f t="shared" si="2593"/>
        <v>#REF!</v>
      </c>
    </row>
    <row r="867">
      <c r="A867" s="20" t="str">
        <f t="shared" si="1267"/>
        <v>#REF!</v>
      </c>
      <c r="B867" s="20" t="str">
        <f t="shared" si="1268"/>
        <v>#REF!</v>
      </c>
      <c r="C867" s="20" t="str">
        <f t="shared" ref="C867:D867" si="2594">#REF!</f>
        <v>#REF!</v>
      </c>
      <c r="D867" s="20" t="str">
        <f t="shared" si="2594"/>
        <v>#REF!</v>
      </c>
      <c r="E867" s="20" t="str">
        <f t="shared" si="1270"/>
        <v>#REF!</v>
      </c>
      <c r="F867" s="22" t="str">
        <f t="shared" si="2"/>
        <v>#REF!</v>
      </c>
      <c r="G867" s="20" t="str">
        <f t="shared" ref="G867:I867" si="2595">#REF!</f>
        <v>#REF!</v>
      </c>
      <c r="H867" s="20" t="str">
        <f t="shared" si="2595"/>
        <v>#REF!</v>
      </c>
      <c r="I867" s="20" t="str">
        <f t="shared" si="2595"/>
        <v>#REF!</v>
      </c>
      <c r="J867" s="20" t="str">
        <f t="shared" si="1272"/>
        <v>#REF!</v>
      </c>
      <c r="K867" s="20" t="str">
        <f t="shared" ref="K867:L867" si="2596">#REF!</f>
        <v>#REF!</v>
      </c>
      <c r="L867" s="20" t="str">
        <f t="shared" si="2596"/>
        <v>#REF!</v>
      </c>
    </row>
    <row r="868">
      <c r="A868" s="20" t="str">
        <f t="shared" si="1267"/>
        <v>#REF!</v>
      </c>
      <c r="B868" s="20" t="str">
        <f t="shared" si="1268"/>
        <v>#REF!</v>
      </c>
      <c r="C868" s="20" t="str">
        <f t="shared" ref="C868:D868" si="2597">#REF!</f>
        <v>#REF!</v>
      </c>
      <c r="D868" s="20" t="str">
        <f t="shared" si="2597"/>
        <v>#REF!</v>
      </c>
      <c r="E868" s="20" t="str">
        <f t="shared" si="1270"/>
        <v>#REF!</v>
      </c>
      <c r="F868" s="22" t="str">
        <f t="shared" si="2"/>
        <v>#REF!</v>
      </c>
      <c r="G868" s="20" t="str">
        <f t="shared" ref="G868:I868" si="2598">#REF!</f>
        <v>#REF!</v>
      </c>
      <c r="H868" s="20" t="str">
        <f t="shared" si="2598"/>
        <v>#REF!</v>
      </c>
      <c r="I868" s="20" t="str">
        <f t="shared" si="2598"/>
        <v>#REF!</v>
      </c>
      <c r="J868" s="20" t="str">
        <f t="shared" si="1272"/>
        <v>#REF!</v>
      </c>
      <c r="K868" s="20" t="str">
        <f t="shared" ref="K868:L868" si="2599">#REF!</f>
        <v>#REF!</v>
      </c>
      <c r="L868" s="20" t="str">
        <f t="shared" si="2599"/>
        <v>#REF!</v>
      </c>
    </row>
    <row r="869">
      <c r="A869" s="20" t="str">
        <f t="shared" si="1267"/>
        <v>#REF!</v>
      </c>
      <c r="B869" s="20" t="str">
        <f t="shared" si="1268"/>
        <v>#REF!</v>
      </c>
      <c r="C869" s="20" t="str">
        <f t="shared" ref="C869:D869" si="2600">#REF!</f>
        <v>#REF!</v>
      </c>
      <c r="D869" s="20" t="str">
        <f t="shared" si="2600"/>
        <v>#REF!</v>
      </c>
      <c r="E869" s="20" t="str">
        <f t="shared" si="1270"/>
        <v>#REF!</v>
      </c>
      <c r="F869" s="22" t="str">
        <f t="shared" si="2"/>
        <v>#REF!</v>
      </c>
      <c r="G869" s="20" t="str">
        <f t="shared" ref="G869:I869" si="2601">#REF!</f>
        <v>#REF!</v>
      </c>
      <c r="H869" s="20" t="str">
        <f t="shared" si="2601"/>
        <v>#REF!</v>
      </c>
      <c r="I869" s="20" t="str">
        <f t="shared" si="2601"/>
        <v>#REF!</v>
      </c>
      <c r="J869" s="20" t="str">
        <f t="shared" si="1272"/>
        <v>#REF!</v>
      </c>
      <c r="K869" s="20" t="str">
        <f t="shared" ref="K869:L869" si="2602">#REF!</f>
        <v>#REF!</v>
      </c>
      <c r="L869" s="20" t="str">
        <f t="shared" si="2602"/>
        <v>#REF!</v>
      </c>
    </row>
    <row r="870">
      <c r="A870" s="20" t="str">
        <f t="shared" si="1267"/>
        <v>#REF!</v>
      </c>
      <c r="B870" s="20" t="str">
        <f t="shared" si="1268"/>
        <v>#REF!</v>
      </c>
      <c r="C870" s="20" t="str">
        <f t="shared" ref="C870:D870" si="2603">#REF!</f>
        <v>#REF!</v>
      </c>
      <c r="D870" s="20" t="str">
        <f t="shared" si="2603"/>
        <v>#REF!</v>
      </c>
      <c r="E870" s="20" t="str">
        <f t="shared" si="1270"/>
        <v>#REF!</v>
      </c>
      <c r="F870" s="22" t="str">
        <f t="shared" si="2"/>
        <v>#REF!</v>
      </c>
      <c r="G870" s="20" t="str">
        <f t="shared" ref="G870:I870" si="2604">#REF!</f>
        <v>#REF!</v>
      </c>
      <c r="H870" s="20" t="str">
        <f t="shared" si="2604"/>
        <v>#REF!</v>
      </c>
      <c r="I870" s="20" t="str">
        <f t="shared" si="2604"/>
        <v>#REF!</v>
      </c>
      <c r="J870" s="20" t="str">
        <f t="shared" si="1272"/>
        <v>#REF!</v>
      </c>
      <c r="K870" s="20" t="str">
        <f t="shared" ref="K870:L870" si="2605">#REF!</f>
        <v>#REF!</v>
      </c>
      <c r="L870" s="20" t="str">
        <f t="shared" si="2605"/>
        <v>#REF!</v>
      </c>
    </row>
    <row r="871">
      <c r="A871" s="20" t="str">
        <f t="shared" si="1267"/>
        <v>#REF!</v>
      </c>
      <c r="B871" s="20" t="str">
        <f t="shared" si="1268"/>
        <v>#REF!</v>
      </c>
      <c r="C871" s="20" t="str">
        <f t="shared" ref="C871:D871" si="2606">#REF!</f>
        <v>#REF!</v>
      </c>
      <c r="D871" s="20" t="str">
        <f t="shared" si="2606"/>
        <v>#REF!</v>
      </c>
      <c r="E871" s="20" t="str">
        <f t="shared" si="1270"/>
        <v>#REF!</v>
      </c>
      <c r="F871" s="22" t="str">
        <f t="shared" si="2"/>
        <v>#REF!</v>
      </c>
      <c r="G871" s="20" t="str">
        <f t="shared" ref="G871:I871" si="2607">#REF!</f>
        <v>#REF!</v>
      </c>
      <c r="H871" s="20" t="str">
        <f t="shared" si="2607"/>
        <v>#REF!</v>
      </c>
      <c r="I871" s="20" t="str">
        <f t="shared" si="2607"/>
        <v>#REF!</v>
      </c>
      <c r="J871" s="20" t="str">
        <f t="shared" si="1272"/>
        <v>#REF!</v>
      </c>
      <c r="K871" s="20" t="str">
        <f t="shared" ref="K871:L871" si="2608">#REF!</f>
        <v>#REF!</v>
      </c>
      <c r="L871" s="20" t="str">
        <f t="shared" si="2608"/>
        <v>#REF!</v>
      </c>
    </row>
    <row r="872">
      <c r="A872" s="20" t="str">
        <f t="shared" si="1267"/>
        <v>#REF!</v>
      </c>
      <c r="B872" s="20" t="str">
        <f t="shared" si="1268"/>
        <v>#REF!</v>
      </c>
      <c r="C872" s="20" t="str">
        <f t="shared" ref="C872:D872" si="2609">#REF!</f>
        <v>#REF!</v>
      </c>
      <c r="D872" s="20" t="str">
        <f t="shared" si="2609"/>
        <v>#REF!</v>
      </c>
      <c r="E872" s="20" t="str">
        <f t="shared" si="1270"/>
        <v>#REF!</v>
      </c>
      <c r="F872" s="22" t="str">
        <f t="shared" si="2"/>
        <v>#REF!</v>
      </c>
      <c r="G872" s="20" t="str">
        <f t="shared" ref="G872:I872" si="2610">#REF!</f>
        <v>#REF!</v>
      </c>
      <c r="H872" s="20" t="str">
        <f t="shared" si="2610"/>
        <v>#REF!</v>
      </c>
      <c r="I872" s="20" t="str">
        <f t="shared" si="2610"/>
        <v>#REF!</v>
      </c>
      <c r="J872" s="20" t="str">
        <f t="shared" si="1272"/>
        <v>#REF!</v>
      </c>
      <c r="K872" s="20" t="str">
        <f t="shared" ref="K872:L872" si="2611">#REF!</f>
        <v>#REF!</v>
      </c>
      <c r="L872" s="20" t="str">
        <f t="shared" si="2611"/>
        <v>#REF!</v>
      </c>
    </row>
    <row r="873">
      <c r="A873" s="20" t="str">
        <f t="shared" si="1267"/>
        <v>#REF!</v>
      </c>
      <c r="B873" s="20" t="str">
        <f t="shared" si="1268"/>
        <v>#REF!</v>
      </c>
      <c r="C873" s="20" t="str">
        <f t="shared" ref="C873:D873" si="2612">#REF!</f>
        <v>#REF!</v>
      </c>
      <c r="D873" s="20" t="str">
        <f t="shared" si="2612"/>
        <v>#REF!</v>
      </c>
      <c r="E873" s="20" t="str">
        <f t="shared" si="1270"/>
        <v>#REF!</v>
      </c>
      <c r="F873" s="22" t="str">
        <f t="shared" si="2"/>
        <v>#REF!</v>
      </c>
      <c r="G873" s="20" t="str">
        <f t="shared" ref="G873:I873" si="2613">#REF!</f>
        <v>#REF!</v>
      </c>
      <c r="H873" s="20" t="str">
        <f t="shared" si="2613"/>
        <v>#REF!</v>
      </c>
      <c r="I873" s="20" t="str">
        <f t="shared" si="2613"/>
        <v>#REF!</v>
      </c>
      <c r="J873" s="20" t="str">
        <f t="shared" si="1272"/>
        <v>#REF!</v>
      </c>
      <c r="K873" s="20" t="str">
        <f t="shared" ref="K873:L873" si="2614">#REF!</f>
        <v>#REF!</v>
      </c>
      <c r="L873" s="20" t="str">
        <f t="shared" si="2614"/>
        <v>#REF!</v>
      </c>
    </row>
    <row r="874">
      <c r="A874" s="20" t="str">
        <f t="shared" si="1267"/>
        <v>#REF!</v>
      </c>
      <c r="B874" s="20" t="str">
        <f t="shared" si="1268"/>
        <v>#REF!</v>
      </c>
      <c r="C874" s="20" t="str">
        <f t="shared" ref="C874:D874" si="2615">#REF!</f>
        <v>#REF!</v>
      </c>
      <c r="D874" s="20" t="str">
        <f t="shared" si="2615"/>
        <v>#REF!</v>
      </c>
      <c r="E874" s="20" t="str">
        <f t="shared" si="1270"/>
        <v>#REF!</v>
      </c>
      <c r="F874" s="22" t="str">
        <f t="shared" si="2"/>
        <v>#REF!</v>
      </c>
      <c r="G874" s="20" t="str">
        <f t="shared" ref="G874:I874" si="2616">#REF!</f>
        <v>#REF!</v>
      </c>
      <c r="H874" s="20" t="str">
        <f t="shared" si="2616"/>
        <v>#REF!</v>
      </c>
      <c r="I874" s="20" t="str">
        <f t="shared" si="2616"/>
        <v>#REF!</v>
      </c>
      <c r="J874" s="20" t="str">
        <f t="shared" si="1272"/>
        <v>#REF!</v>
      </c>
      <c r="K874" s="20" t="str">
        <f t="shared" ref="K874:L874" si="2617">#REF!</f>
        <v>#REF!</v>
      </c>
      <c r="L874" s="20" t="str">
        <f t="shared" si="2617"/>
        <v>#REF!</v>
      </c>
    </row>
    <row r="875">
      <c r="A875" s="20" t="str">
        <f t="shared" si="1267"/>
        <v>#REF!</v>
      </c>
      <c r="B875" s="20" t="str">
        <f t="shared" si="1268"/>
        <v>#REF!</v>
      </c>
      <c r="C875" s="20" t="str">
        <f t="shared" ref="C875:D875" si="2618">#REF!</f>
        <v>#REF!</v>
      </c>
      <c r="D875" s="20" t="str">
        <f t="shared" si="2618"/>
        <v>#REF!</v>
      </c>
      <c r="E875" s="20" t="str">
        <f t="shared" si="1270"/>
        <v>#REF!</v>
      </c>
      <c r="F875" s="22" t="str">
        <f t="shared" si="2"/>
        <v>#REF!</v>
      </c>
      <c r="G875" s="20" t="str">
        <f t="shared" ref="G875:I875" si="2619">#REF!</f>
        <v>#REF!</v>
      </c>
      <c r="H875" s="20" t="str">
        <f t="shared" si="2619"/>
        <v>#REF!</v>
      </c>
      <c r="I875" s="20" t="str">
        <f t="shared" si="2619"/>
        <v>#REF!</v>
      </c>
      <c r="J875" s="20" t="str">
        <f t="shared" si="1272"/>
        <v>#REF!</v>
      </c>
      <c r="K875" s="20" t="str">
        <f t="shared" ref="K875:L875" si="2620">#REF!</f>
        <v>#REF!</v>
      </c>
      <c r="L875" s="20" t="str">
        <f t="shared" si="2620"/>
        <v>#REF!</v>
      </c>
    </row>
    <row r="876">
      <c r="A876" s="20" t="str">
        <f t="shared" si="1267"/>
        <v>#REF!</v>
      </c>
      <c r="B876" s="20" t="str">
        <f t="shared" si="1268"/>
        <v>#REF!</v>
      </c>
      <c r="C876" s="20" t="str">
        <f t="shared" ref="C876:D876" si="2621">#REF!</f>
        <v>#REF!</v>
      </c>
      <c r="D876" s="20" t="str">
        <f t="shared" si="2621"/>
        <v>#REF!</v>
      </c>
      <c r="E876" s="20" t="str">
        <f t="shared" si="1270"/>
        <v>#REF!</v>
      </c>
      <c r="F876" s="22" t="str">
        <f t="shared" si="2"/>
        <v>#REF!</v>
      </c>
      <c r="G876" s="20" t="str">
        <f t="shared" ref="G876:I876" si="2622">#REF!</f>
        <v>#REF!</v>
      </c>
      <c r="H876" s="20" t="str">
        <f t="shared" si="2622"/>
        <v>#REF!</v>
      </c>
      <c r="I876" s="20" t="str">
        <f t="shared" si="2622"/>
        <v>#REF!</v>
      </c>
      <c r="J876" s="20" t="str">
        <f t="shared" si="1272"/>
        <v>#REF!</v>
      </c>
      <c r="K876" s="20" t="str">
        <f t="shared" ref="K876:L876" si="2623">#REF!</f>
        <v>#REF!</v>
      </c>
      <c r="L876" s="20" t="str">
        <f t="shared" si="2623"/>
        <v>#REF!</v>
      </c>
    </row>
    <row r="877">
      <c r="A877" s="20" t="str">
        <f t="shared" si="1267"/>
        <v>#REF!</v>
      </c>
      <c r="B877" s="20" t="str">
        <f t="shared" si="1268"/>
        <v>#REF!</v>
      </c>
      <c r="C877" s="20" t="str">
        <f t="shared" ref="C877:D877" si="2624">#REF!</f>
        <v>#REF!</v>
      </c>
      <c r="D877" s="20" t="str">
        <f t="shared" si="2624"/>
        <v>#REF!</v>
      </c>
      <c r="E877" s="20" t="str">
        <f t="shared" si="1270"/>
        <v>#REF!</v>
      </c>
      <c r="F877" s="22" t="str">
        <f t="shared" si="2"/>
        <v>#REF!</v>
      </c>
      <c r="G877" s="20" t="str">
        <f t="shared" ref="G877:I877" si="2625">#REF!</f>
        <v>#REF!</v>
      </c>
      <c r="H877" s="20" t="str">
        <f t="shared" si="2625"/>
        <v>#REF!</v>
      </c>
      <c r="I877" s="20" t="str">
        <f t="shared" si="2625"/>
        <v>#REF!</v>
      </c>
      <c r="J877" s="20" t="str">
        <f t="shared" si="1272"/>
        <v>#REF!</v>
      </c>
      <c r="K877" s="20" t="str">
        <f t="shared" ref="K877:L877" si="2626">#REF!</f>
        <v>#REF!</v>
      </c>
      <c r="L877" s="20" t="str">
        <f t="shared" si="2626"/>
        <v>#REF!</v>
      </c>
    </row>
    <row r="878">
      <c r="A878" s="20" t="str">
        <f t="shared" si="1267"/>
        <v>#REF!</v>
      </c>
      <c r="B878" s="20" t="str">
        <f t="shared" si="1268"/>
        <v>#REF!</v>
      </c>
      <c r="C878" s="20" t="str">
        <f t="shared" ref="C878:D878" si="2627">#REF!</f>
        <v>#REF!</v>
      </c>
      <c r="D878" s="20" t="str">
        <f t="shared" si="2627"/>
        <v>#REF!</v>
      </c>
      <c r="E878" s="20" t="str">
        <f t="shared" si="1270"/>
        <v>#REF!</v>
      </c>
      <c r="F878" s="22" t="str">
        <f t="shared" si="2"/>
        <v>#REF!</v>
      </c>
      <c r="G878" s="20" t="str">
        <f t="shared" ref="G878:I878" si="2628">#REF!</f>
        <v>#REF!</v>
      </c>
      <c r="H878" s="20" t="str">
        <f t="shared" si="2628"/>
        <v>#REF!</v>
      </c>
      <c r="I878" s="20" t="str">
        <f t="shared" si="2628"/>
        <v>#REF!</v>
      </c>
      <c r="J878" s="20" t="str">
        <f t="shared" si="1272"/>
        <v>#REF!</v>
      </c>
      <c r="K878" s="20" t="str">
        <f t="shared" ref="K878:L878" si="2629">#REF!</f>
        <v>#REF!</v>
      </c>
      <c r="L878" s="20" t="str">
        <f t="shared" si="2629"/>
        <v>#REF!</v>
      </c>
    </row>
    <row r="879">
      <c r="A879" s="20" t="str">
        <f t="shared" si="1267"/>
        <v>#REF!</v>
      </c>
      <c r="B879" s="20" t="str">
        <f t="shared" si="1268"/>
        <v>#REF!</v>
      </c>
      <c r="C879" s="20" t="str">
        <f t="shared" ref="C879:D879" si="2630">#REF!</f>
        <v>#REF!</v>
      </c>
      <c r="D879" s="20" t="str">
        <f t="shared" si="2630"/>
        <v>#REF!</v>
      </c>
      <c r="E879" s="20" t="str">
        <f t="shared" si="1270"/>
        <v>#REF!</v>
      </c>
      <c r="F879" s="22" t="str">
        <f t="shared" si="2"/>
        <v>#REF!</v>
      </c>
      <c r="G879" s="20" t="str">
        <f t="shared" ref="G879:I879" si="2631">#REF!</f>
        <v>#REF!</v>
      </c>
      <c r="H879" s="20" t="str">
        <f t="shared" si="2631"/>
        <v>#REF!</v>
      </c>
      <c r="I879" s="20" t="str">
        <f t="shared" si="2631"/>
        <v>#REF!</v>
      </c>
      <c r="J879" s="20" t="str">
        <f t="shared" si="1272"/>
        <v>#REF!</v>
      </c>
      <c r="K879" s="20" t="str">
        <f t="shared" ref="K879:L879" si="2632">#REF!</f>
        <v>#REF!</v>
      </c>
      <c r="L879" s="20" t="str">
        <f t="shared" si="2632"/>
        <v>#REF!</v>
      </c>
    </row>
    <row r="880">
      <c r="A880" s="20" t="str">
        <f t="shared" si="1267"/>
        <v>#REF!</v>
      </c>
      <c r="B880" s="20" t="str">
        <f t="shared" si="1268"/>
        <v>#REF!</v>
      </c>
      <c r="C880" s="20" t="str">
        <f t="shared" ref="C880:D880" si="2633">#REF!</f>
        <v>#REF!</v>
      </c>
      <c r="D880" s="20" t="str">
        <f t="shared" si="2633"/>
        <v>#REF!</v>
      </c>
      <c r="E880" s="20" t="str">
        <f t="shared" si="1270"/>
        <v>#REF!</v>
      </c>
      <c r="F880" s="22" t="str">
        <f t="shared" si="2"/>
        <v>#REF!</v>
      </c>
      <c r="G880" s="20" t="str">
        <f t="shared" ref="G880:I880" si="2634">#REF!</f>
        <v>#REF!</v>
      </c>
      <c r="H880" s="20" t="str">
        <f t="shared" si="2634"/>
        <v>#REF!</v>
      </c>
      <c r="I880" s="20" t="str">
        <f t="shared" si="2634"/>
        <v>#REF!</v>
      </c>
      <c r="J880" s="20" t="str">
        <f t="shared" si="1272"/>
        <v>#REF!</v>
      </c>
      <c r="K880" s="20" t="str">
        <f t="shared" ref="K880:L880" si="2635">#REF!</f>
        <v>#REF!</v>
      </c>
      <c r="L880" s="20" t="str">
        <f t="shared" si="2635"/>
        <v>#REF!</v>
      </c>
    </row>
    <row r="881">
      <c r="A881" s="20" t="str">
        <f t="shared" si="1267"/>
        <v>#REF!</v>
      </c>
      <c r="B881" s="20" t="str">
        <f t="shared" si="1268"/>
        <v>#REF!</v>
      </c>
      <c r="C881" s="20" t="str">
        <f t="shared" ref="C881:D881" si="2636">#REF!</f>
        <v>#REF!</v>
      </c>
      <c r="D881" s="20" t="str">
        <f t="shared" si="2636"/>
        <v>#REF!</v>
      </c>
      <c r="E881" s="20" t="str">
        <f t="shared" si="1270"/>
        <v>#REF!</v>
      </c>
      <c r="F881" s="22" t="str">
        <f t="shared" si="2"/>
        <v>#REF!</v>
      </c>
      <c r="G881" s="20" t="str">
        <f t="shared" ref="G881:I881" si="2637">#REF!</f>
        <v>#REF!</v>
      </c>
      <c r="H881" s="20" t="str">
        <f t="shared" si="2637"/>
        <v>#REF!</v>
      </c>
      <c r="I881" s="20" t="str">
        <f t="shared" si="2637"/>
        <v>#REF!</v>
      </c>
      <c r="J881" s="20" t="str">
        <f t="shared" si="1272"/>
        <v>#REF!</v>
      </c>
      <c r="K881" s="20" t="str">
        <f t="shared" ref="K881:L881" si="2638">#REF!</f>
        <v>#REF!</v>
      </c>
      <c r="L881" s="20" t="str">
        <f t="shared" si="2638"/>
        <v>#REF!</v>
      </c>
    </row>
    <row r="882">
      <c r="A882" s="20" t="str">
        <f t="shared" si="1267"/>
        <v>#REF!</v>
      </c>
      <c r="B882" s="20" t="str">
        <f t="shared" si="1268"/>
        <v>#REF!</v>
      </c>
      <c r="C882" s="20" t="str">
        <f t="shared" ref="C882:D882" si="2639">#REF!</f>
        <v>#REF!</v>
      </c>
      <c r="D882" s="20" t="str">
        <f t="shared" si="2639"/>
        <v>#REF!</v>
      </c>
      <c r="E882" s="20" t="str">
        <f t="shared" si="1270"/>
        <v>#REF!</v>
      </c>
      <c r="F882" s="22" t="str">
        <f t="shared" si="2"/>
        <v>#REF!</v>
      </c>
      <c r="G882" s="20" t="str">
        <f t="shared" ref="G882:I882" si="2640">#REF!</f>
        <v>#REF!</v>
      </c>
      <c r="H882" s="20" t="str">
        <f t="shared" si="2640"/>
        <v>#REF!</v>
      </c>
      <c r="I882" s="20" t="str">
        <f t="shared" si="2640"/>
        <v>#REF!</v>
      </c>
      <c r="J882" s="20" t="str">
        <f t="shared" si="1272"/>
        <v>#REF!</v>
      </c>
      <c r="K882" s="20" t="str">
        <f t="shared" ref="K882:L882" si="2641">#REF!</f>
        <v>#REF!</v>
      </c>
      <c r="L882" s="20" t="str">
        <f t="shared" si="2641"/>
        <v>#REF!</v>
      </c>
    </row>
    <row r="883">
      <c r="A883" s="20" t="str">
        <f t="shared" si="1267"/>
        <v>#REF!</v>
      </c>
      <c r="B883" s="20" t="str">
        <f t="shared" si="1268"/>
        <v>#REF!</v>
      </c>
      <c r="C883" s="20" t="str">
        <f t="shared" ref="C883:D883" si="2642">#REF!</f>
        <v>#REF!</v>
      </c>
      <c r="D883" s="20" t="str">
        <f t="shared" si="2642"/>
        <v>#REF!</v>
      </c>
      <c r="E883" s="20" t="str">
        <f t="shared" si="1270"/>
        <v>#REF!</v>
      </c>
      <c r="F883" s="22" t="str">
        <f t="shared" si="2"/>
        <v>#REF!</v>
      </c>
      <c r="G883" s="20" t="str">
        <f t="shared" ref="G883:I883" si="2643">#REF!</f>
        <v>#REF!</v>
      </c>
      <c r="H883" s="20" t="str">
        <f t="shared" si="2643"/>
        <v>#REF!</v>
      </c>
      <c r="I883" s="20" t="str">
        <f t="shared" si="2643"/>
        <v>#REF!</v>
      </c>
      <c r="J883" s="20" t="str">
        <f t="shared" si="1272"/>
        <v>#REF!</v>
      </c>
      <c r="K883" s="20" t="str">
        <f t="shared" ref="K883:L883" si="2644">#REF!</f>
        <v>#REF!</v>
      </c>
      <c r="L883" s="20" t="str">
        <f t="shared" si="2644"/>
        <v>#REF!</v>
      </c>
    </row>
    <row r="884">
      <c r="A884" s="20" t="str">
        <f t="shared" si="1267"/>
        <v>#REF!</v>
      </c>
      <c r="B884" s="20" t="str">
        <f t="shared" si="1268"/>
        <v>#REF!</v>
      </c>
      <c r="C884" s="20" t="str">
        <f t="shared" ref="C884:D884" si="2645">#REF!</f>
        <v>#REF!</v>
      </c>
      <c r="D884" s="20" t="str">
        <f t="shared" si="2645"/>
        <v>#REF!</v>
      </c>
      <c r="E884" s="20" t="str">
        <f t="shared" si="1270"/>
        <v>#REF!</v>
      </c>
      <c r="F884" s="22" t="str">
        <f t="shared" si="2"/>
        <v>#REF!</v>
      </c>
      <c r="G884" s="20" t="str">
        <f t="shared" ref="G884:I884" si="2646">#REF!</f>
        <v>#REF!</v>
      </c>
      <c r="H884" s="20" t="str">
        <f t="shared" si="2646"/>
        <v>#REF!</v>
      </c>
      <c r="I884" s="20" t="str">
        <f t="shared" si="2646"/>
        <v>#REF!</v>
      </c>
      <c r="J884" s="20" t="str">
        <f t="shared" si="1272"/>
        <v>#REF!</v>
      </c>
      <c r="K884" s="20" t="str">
        <f t="shared" ref="K884:L884" si="2647">#REF!</f>
        <v>#REF!</v>
      </c>
      <c r="L884" s="20" t="str">
        <f t="shared" si="2647"/>
        <v>#REF!</v>
      </c>
    </row>
    <row r="885">
      <c r="A885" s="20" t="str">
        <f t="shared" si="1267"/>
        <v>#REF!</v>
      </c>
      <c r="B885" s="20" t="str">
        <f t="shared" si="1268"/>
        <v>#REF!</v>
      </c>
      <c r="C885" s="20" t="str">
        <f t="shared" ref="C885:D885" si="2648">#REF!</f>
        <v>#REF!</v>
      </c>
      <c r="D885" s="20" t="str">
        <f t="shared" si="2648"/>
        <v>#REF!</v>
      </c>
      <c r="E885" s="20" t="str">
        <f t="shared" si="1270"/>
        <v>#REF!</v>
      </c>
      <c r="F885" s="22" t="str">
        <f t="shared" si="2"/>
        <v>#REF!</v>
      </c>
      <c r="G885" s="20" t="str">
        <f t="shared" ref="G885:I885" si="2649">#REF!</f>
        <v>#REF!</v>
      </c>
      <c r="H885" s="20" t="str">
        <f t="shared" si="2649"/>
        <v>#REF!</v>
      </c>
      <c r="I885" s="20" t="str">
        <f t="shared" si="2649"/>
        <v>#REF!</v>
      </c>
      <c r="J885" s="20" t="str">
        <f t="shared" si="1272"/>
        <v>#REF!</v>
      </c>
      <c r="K885" s="20" t="str">
        <f t="shared" ref="K885:L885" si="2650">#REF!</f>
        <v>#REF!</v>
      </c>
      <c r="L885" s="20" t="str">
        <f t="shared" si="2650"/>
        <v>#REF!</v>
      </c>
    </row>
    <row r="886">
      <c r="A886" s="20" t="str">
        <f t="shared" si="1267"/>
        <v>#REF!</v>
      </c>
      <c r="B886" s="20" t="str">
        <f t="shared" si="1268"/>
        <v>#REF!</v>
      </c>
      <c r="C886" s="20" t="str">
        <f t="shared" ref="C886:D886" si="2651">#REF!</f>
        <v>#REF!</v>
      </c>
      <c r="D886" s="20" t="str">
        <f t="shared" si="2651"/>
        <v>#REF!</v>
      </c>
      <c r="E886" s="20" t="str">
        <f t="shared" si="1270"/>
        <v>#REF!</v>
      </c>
      <c r="F886" s="22" t="str">
        <f t="shared" si="2"/>
        <v>#REF!</v>
      </c>
      <c r="G886" s="20" t="str">
        <f t="shared" ref="G886:I886" si="2652">#REF!</f>
        <v>#REF!</v>
      </c>
      <c r="H886" s="20" t="str">
        <f t="shared" si="2652"/>
        <v>#REF!</v>
      </c>
      <c r="I886" s="20" t="str">
        <f t="shared" si="2652"/>
        <v>#REF!</v>
      </c>
      <c r="J886" s="20" t="str">
        <f t="shared" si="1272"/>
        <v>#REF!</v>
      </c>
      <c r="K886" s="20" t="str">
        <f t="shared" ref="K886:L886" si="2653">#REF!</f>
        <v>#REF!</v>
      </c>
      <c r="L886" s="20" t="str">
        <f t="shared" si="2653"/>
        <v>#REF!</v>
      </c>
    </row>
    <row r="887">
      <c r="A887" s="20" t="str">
        <f t="shared" si="1267"/>
        <v>#REF!</v>
      </c>
      <c r="B887" s="20" t="str">
        <f t="shared" si="1268"/>
        <v>#REF!</v>
      </c>
      <c r="C887" s="20" t="str">
        <f t="shared" ref="C887:D887" si="2654">#REF!</f>
        <v>#REF!</v>
      </c>
      <c r="D887" s="20" t="str">
        <f t="shared" si="2654"/>
        <v>#REF!</v>
      </c>
      <c r="E887" s="20" t="str">
        <f t="shared" si="1270"/>
        <v>#REF!</v>
      </c>
      <c r="F887" s="22" t="str">
        <f t="shared" si="2"/>
        <v>#REF!</v>
      </c>
      <c r="G887" s="20" t="str">
        <f t="shared" ref="G887:I887" si="2655">#REF!</f>
        <v>#REF!</v>
      </c>
      <c r="H887" s="20" t="str">
        <f t="shared" si="2655"/>
        <v>#REF!</v>
      </c>
      <c r="I887" s="20" t="str">
        <f t="shared" si="2655"/>
        <v>#REF!</v>
      </c>
      <c r="J887" s="20" t="str">
        <f t="shared" si="1272"/>
        <v>#REF!</v>
      </c>
      <c r="K887" s="20" t="str">
        <f t="shared" ref="K887:L887" si="2656">#REF!</f>
        <v>#REF!</v>
      </c>
      <c r="L887" s="20" t="str">
        <f t="shared" si="2656"/>
        <v>#REF!</v>
      </c>
    </row>
    <row r="888">
      <c r="A888" s="20" t="str">
        <f t="shared" si="1267"/>
        <v>#REF!</v>
      </c>
      <c r="B888" s="20" t="str">
        <f t="shared" si="1268"/>
        <v>#REF!</v>
      </c>
      <c r="C888" s="20" t="str">
        <f t="shared" ref="C888:D888" si="2657">#REF!</f>
        <v>#REF!</v>
      </c>
      <c r="D888" s="20" t="str">
        <f t="shared" si="2657"/>
        <v>#REF!</v>
      </c>
      <c r="E888" s="20" t="str">
        <f t="shared" si="1270"/>
        <v>#REF!</v>
      </c>
      <c r="F888" s="22" t="str">
        <f t="shared" si="2"/>
        <v>#REF!</v>
      </c>
      <c r="G888" s="20" t="str">
        <f t="shared" ref="G888:I888" si="2658">#REF!</f>
        <v>#REF!</v>
      </c>
      <c r="H888" s="20" t="str">
        <f t="shared" si="2658"/>
        <v>#REF!</v>
      </c>
      <c r="I888" s="20" t="str">
        <f t="shared" si="2658"/>
        <v>#REF!</v>
      </c>
      <c r="J888" s="20" t="str">
        <f t="shared" si="1272"/>
        <v>#REF!</v>
      </c>
      <c r="K888" s="20" t="str">
        <f t="shared" ref="K888:L888" si="2659">#REF!</f>
        <v>#REF!</v>
      </c>
      <c r="L888" s="20" t="str">
        <f t="shared" si="2659"/>
        <v>#REF!</v>
      </c>
    </row>
    <row r="889">
      <c r="A889" s="20" t="str">
        <f t="shared" si="1267"/>
        <v>#REF!</v>
      </c>
      <c r="B889" s="20" t="str">
        <f t="shared" si="1268"/>
        <v>#REF!</v>
      </c>
      <c r="C889" s="20" t="str">
        <f t="shared" ref="C889:D889" si="2660">#REF!</f>
        <v>#REF!</v>
      </c>
      <c r="D889" s="20" t="str">
        <f t="shared" si="2660"/>
        <v>#REF!</v>
      </c>
      <c r="E889" s="20" t="str">
        <f t="shared" si="1270"/>
        <v>#REF!</v>
      </c>
      <c r="F889" s="22" t="str">
        <f t="shared" si="2"/>
        <v>#REF!</v>
      </c>
      <c r="G889" s="20" t="str">
        <f t="shared" ref="G889:I889" si="2661">#REF!</f>
        <v>#REF!</v>
      </c>
      <c r="H889" s="20" t="str">
        <f t="shared" si="2661"/>
        <v>#REF!</v>
      </c>
      <c r="I889" s="20" t="str">
        <f t="shared" si="2661"/>
        <v>#REF!</v>
      </c>
      <c r="J889" s="20" t="str">
        <f t="shared" si="1272"/>
        <v>#REF!</v>
      </c>
      <c r="K889" s="20" t="str">
        <f t="shared" ref="K889:L889" si="2662">#REF!</f>
        <v>#REF!</v>
      </c>
      <c r="L889" s="20" t="str">
        <f t="shared" si="2662"/>
        <v>#REF!</v>
      </c>
    </row>
    <row r="890">
      <c r="A890" s="20" t="str">
        <f t="shared" si="1267"/>
        <v>#REF!</v>
      </c>
      <c r="B890" s="20" t="str">
        <f t="shared" si="1268"/>
        <v>#REF!</v>
      </c>
      <c r="C890" s="20" t="str">
        <f t="shared" ref="C890:D890" si="2663">#REF!</f>
        <v>#REF!</v>
      </c>
      <c r="D890" s="20" t="str">
        <f t="shared" si="2663"/>
        <v>#REF!</v>
      </c>
      <c r="E890" s="20" t="str">
        <f t="shared" si="1270"/>
        <v>#REF!</v>
      </c>
      <c r="F890" s="22" t="str">
        <f t="shared" si="2"/>
        <v>#REF!</v>
      </c>
      <c r="G890" s="20" t="str">
        <f t="shared" ref="G890:I890" si="2664">#REF!</f>
        <v>#REF!</v>
      </c>
      <c r="H890" s="20" t="str">
        <f t="shared" si="2664"/>
        <v>#REF!</v>
      </c>
      <c r="I890" s="20" t="str">
        <f t="shared" si="2664"/>
        <v>#REF!</v>
      </c>
      <c r="J890" s="20" t="str">
        <f t="shared" si="1272"/>
        <v>#REF!</v>
      </c>
      <c r="K890" s="20" t="str">
        <f t="shared" ref="K890:L890" si="2665">#REF!</f>
        <v>#REF!</v>
      </c>
      <c r="L890" s="20" t="str">
        <f t="shared" si="2665"/>
        <v>#REF!</v>
      </c>
    </row>
    <row r="891">
      <c r="A891" s="20" t="str">
        <f t="shared" si="1267"/>
        <v>#REF!</v>
      </c>
      <c r="B891" s="20" t="str">
        <f t="shared" si="1268"/>
        <v>#REF!</v>
      </c>
      <c r="C891" s="20" t="str">
        <f t="shared" ref="C891:D891" si="2666">#REF!</f>
        <v>#REF!</v>
      </c>
      <c r="D891" s="20" t="str">
        <f t="shared" si="2666"/>
        <v>#REF!</v>
      </c>
      <c r="E891" s="20" t="str">
        <f t="shared" si="1270"/>
        <v>#REF!</v>
      </c>
      <c r="F891" s="22" t="str">
        <f t="shared" si="2"/>
        <v>#REF!</v>
      </c>
      <c r="G891" s="20" t="str">
        <f t="shared" ref="G891:I891" si="2667">#REF!</f>
        <v>#REF!</v>
      </c>
      <c r="H891" s="20" t="str">
        <f t="shared" si="2667"/>
        <v>#REF!</v>
      </c>
      <c r="I891" s="20" t="str">
        <f t="shared" si="2667"/>
        <v>#REF!</v>
      </c>
      <c r="J891" s="20" t="str">
        <f t="shared" si="1272"/>
        <v>#REF!</v>
      </c>
      <c r="K891" s="20" t="str">
        <f t="shared" ref="K891:L891" si="2668">#REF!</f>
        <v>#REF!</v>
      </c>
      <c r="L891" s="20" t="str">
        <f t="shared" si="2668"/>
        <v>#REF!</v>
      </c>
    </row>
    <row r="892">
      <c r="A892" s="20" t="str">
        <f t="shared" si="1267"/>
        <v>#REF!</v>
      </c>
      <c r="B892" s="20" t="str">
        <f t="shared" si="1268"/>
        <v>#REF!</v>
      </c>
      <c r="C892" s="20" t="str">
        <f t="shared" ref="C892:D892" si="2669">#REF!</f>
        <v>#REF!</v>
      </c>
      <c r="D892" s="20" t="str">
        <f t="shared" si="2669"/>
        <v>#REF!</v>
      </c>
      <c r="E892" s="20" t="str">
        <f t="shared" si="1270"/>
        <v>#REF!</v>
      </c>
      <c r="F892" s="22" t="str">
        <f t="shared" si="2"/>
        <v>#REF!</v>
      </c>
      <c r="G892" s="20" t="str">
        <f t="shared" ref="G892:I892" si="2670">#REF!</f>
        <v>#REF!</v>
      </c>
      <c r="H892" s="20" t="str">
        <f t="shared" si="2670"/>
        <v>#REF!</v>
      </c>
      <c r="I892" s="20" t="str">
        <f t="shared" si="2670"/>
        <v>#REF!</v>
      </c>
      <c r="J892" s="20" t="str">
        <f t="shared" si="1272"/>
        <v>#REF!</v>
      </c>
      <c r="K892" s="20" t="str">
        <f t="shared" ref="K892:L892" si="2671">#REF!</f>
        <v>#REF!</v>
      </c>
      <c r="L892" s="20" t="str">
        <f t="shared" si="2671"/>
        <v>#REF!</v>
      </c>
    </row>
    <row r="893">
      <c r="A893" s="20" t="str">
        <f t="shared" si="1267"/>
        <v>#REF!</v>
      </c>
      <c r="B893" s="20" t="str">
        <f t="shared" si="1268"/>
        <v>#REF!</v>
      </c>
      <c r="C893" s="20" t="str">
        <f t="shared" ref="C893:D893" si="2672">#REF!</f>
        <v>#REF!</v>
      </c>
      <c r="D893" s="20" t="str">
        <f t="shared" si="2672"/>
        <v>#REF!</v>
      </c>
      <c r="E893" s="20" t="str">
        <f t="shared" si="1270"/>
        <v>#REF!</v>
      </c>
      <c r="F893" s="22" t="str">
        <f t="shared" si="2"/>
        <v>#REF!</v>
      </c>
      <c r="G893" s="20" t="str">
        <f t="shared" ref="G893:I893" si="2673">#REF!</f>
        <v>#REF!</v>
      </c>
      <c r="H893" s="20" t="str">
        <f t="shared" si="2673"/>
        <v>#REF!</v>
      </c>
      <c r="I893" s="20" t="str">
        <f t="shared" si="2673"/>
        <v>#REF!</v>
      </c>
      <c r="J893" s="20" t="str">
        <f t="shared" si="1272"/>
        <v>#REF!</v>
      </c>
      <c r="K893" s="20" t="str">
        <f t="shared" ref="K893:L893" si="2674">#REF!</f>
        <v>#REF!</v>
      </c>
      <c r="L893" s="20" t="str">
        <f t="shared" si="2674"/>
        <v>#REF!</v>
      </c>
    </row>
    <row r="894">
      <c r="A894" s="20" t="str">
        <f t="shared" si="1267"/>
        <v>#REF!</v>
      </c>
      <c r="B894" s="20" t="str">
        <f t="shared" si="1268"/>
        <v>#REF!</v>
      </c>
      <c r="C894" s="20" t="str">
        <f t="shared" ref="C894:D894" si="2675">#REF!</f>
        <v>#REF!</v>
      </c>
      <c r="D894" s="20" t="str">
        <f t="shared" si="2675"/>
        <v>#REF!</v>
      </c>
      <c r="E894" s="20" t="str">
        <f t="shared" si="1270"/>
        <v>#REF!</v>
      </c>
      <c r="F894" s="22" t="str">
        <f t="shared" si="2"/>
        <v>#REF!</v>
      </c>
      <c r="G894" s="20" t="str">
        <f t="shared" ref="G894:I894" si="2676">#REF!</f>
        <v>#REF!</v>
      </c>
      <c r="H894" s="20" t="str">
        <f t="shared" si="2676"/>
        <v>#REF!</v>
      </c>
      <c r="I894" s="20" t="str">
        <f t="shared" si="2676"/>
        <v>#REF!</v>
      </c>
      <c r="J894" s="20" t="str">
        <f t="shared" si="1272"/>
        <v>#REF!</v>
      </c>
      <c r="K894" s="20" t="str">
        <f t="shared" ref="K894:L894" si="2677">#REF!</f>
        <v>#REF!</v>
      </c>
      <c r="L894" s="20" t="str">
        <f t="shared" si="2677"/>
        <v>#REF!</v>
      </c>
    </row>
    <row r="895">
      <c r="A895" s="20" t="str">
        <f t="shared" si="1267"/>
        <v>#REF!</v>
      </c>
      <c r="B895" s="20" t="str">
        <f t="shared" si="1268"/>
        <v>#REF!</v>
      </c>
      <c r="C895" s="20" t="str">
        <f t="shared" ref="C895:D895" si="2678">#REF!</f>
        <v>#REF!</v>
      </c>
      <c r="D895" s="20" t="str">
        <f t="shared" si="2678"/>
        <v>#REF!</v>
      </c>
      <c r="E895" s="20" t="str">
        <f t="shared" si="1270"/>
        <v>#REF!</v>
      </c>
      <c r="F895" s="22" t="str">
        <f t="shared" si="2"/>
        <v>#REF!</v>
      </c>
      <c r="G895" s="20" t="str">
        <f t="shared" ref="G895:I895" si="2679">#REF!</f>
        <v>#REF!</v>
      </c>
      <c r="H895" s="20" t="str">
        <f t="shared" si="2679"/>
        <v>#REF!</v>
      </c>
      <c r="I895" s="20" t="str">
        <f t="shared" si="2679"/>
        <v>#REF!</v>
      </c>
      <c r="J895" s="20" t="str">
        <f t="shared" si="1272"/>
        <v>#REF!</v>
      </c>
      <c r="K895" s="20" t="str">
        <f t="shared" ref="K895:L895" si="2680">#REF!</f>
        <v>#REF!</v>
      </c>
      <c r="L895" s="20" t="str">
        <f t="shared" si="2680"/>
        <v>#REF!</v>
      </c>
    </row>
    <row r="896">
      <c r="A896" s="20" t="str">
        <f t="shared" si="1267"/>
        <v>#REF!</v>
      </c>
      <c r="B896" s="20" t="str">
        <f t="shared" si="1268"/>
        <v>#REF!</v>
      </c>
      <c r="C896" s="20" t="str">
        <f t="shared" ref="C896:D896" si="2681">#REF!</f>
        <v>#REF!</v>
      </c>
      <c r="D896" s="20" t="str">
        <f t="shared" si="2681"/>
        <v>#REF!</v>
      </c>
      <c r="E896" s="20" t="str">
        <f t="shared" si="1270"/>
        <v>#REF!</v>
      </c>
      <c r="F896" s="22" t="str">
        <f t="shared" si="2"/>
        <v>#REF!</v>
      </c>
      <c r="G896" s="20" t="str">
        <f t="shared" ref="G896:I896" si="2682">#REF!</f>
        <v>#REF!</v>
      </c>
      <c r="H896" s="20" t="str">
        <f t="shared" si="2682"/>
        <v>#REF!</v>
      </c>
      <c r="I896" s="20" t="str">
        <f t="shared" si="2682"/>
        <v>#REF!</v>
      </c>
      <c r="J896" s="20" t="str">
        <f t="shared" si="1272"/>
        <v>#REF!</v>
      </c>
      <c r="K896" s="20" t="str">
        <f t="shared" ref="K896:L896" si="2683">#REF!</f>
        <v>#REF!</v>
      </c>
      <c r="L896" s="20" t="str">
        <f t="shared" si="2683"/>
        <v>#REF!</v>
      </c>
    </row>
    <row r="897">
      <c r="A897" s="20" t="str">
        <f t="shared" si="1267"/>
        <v>#REF!</v>
      </c>
      <c r="B897" s="20" t="str">
        <f t="shared" si="1268"/>
        <v>#REF!</v>
      </c>
      <c r="C897" s="20" t="str">
        <f t="shared" ref="C897:D897" si="2684">#REF!</f>
        <v>#REF!</v>
      </c>
      <c r="D897" s="20" t="str">
        <f t="shared" si="2684"/>
        <v>#REF!</v>
      </c>
      <c r="E897" s="20" t="str">
        <f t="shared" si="1270"/>
        <v>#REF!</v>
      </c>
      <c r="F897" s="22" t="str">
        <f t="shared" si="2"/>
        <v>#REF!</v>
      </c>
      <c r="G897" s="20" t="str">
        <f t="shared" ref="G897:I897" si="2685">#REF!</f>
        <v>#REF!</v>
      </c>
      <c r="H897" s="20" t="str">
        <f t="shared" si="2685"/>
        <v>#REF!</v>
      </c>
      <c r="I897" s="20" t="str">
        <f t="shared" si="2685"/>
        <v>#REF!</v>
      </c>
      <c r="J897" s="20" t="str">
        <f t="shared" si="1272"/>
        <v>#REF!</v>
      </c>
      <c r="K897" s="20" t="str">
        <f t="shared" ref="K897:L897" si="2686">#REF!</f>
        <v>#REF!</v>
      </c>
      <c r="L897" s="20" t="str">
        <f t="shared" si="2686"/>
        <v>#REF!</v>
      </c>
    </row>
    <row r="898">
      <c r="A898" s="20" t="str">
        <f t="shared" si="1267"/>
        <v>#REF!</v>
      </c>
      <c r="B898" s="20" t="str">
        <f t="shared" si="1268"/>
        <v>#REF!</v>
      </c>
      <c r="C898" s="20" t="str">
        <f t="shared" ref="C898:D898" si="2687">#REF!</f>
        <v>#REF!</v>
      </c>
      <c r="D898" s="20" t="str">
        <f t="shared" si="2687"/>
        <v>#REF!</v>
      </c>
      <c r="E898" s="20" t="str">
        <f t="shared" si="1270"/>
        <v>#REF!</v>
      </c>
      <c r="F898" s="22" t="str">
        <f t="shared" si="2"/>
        <v>#REF!</v>
      </c>
      <c r="G898" s="20" t="str">
        <f t="shared" ref="G898:I898" si="2688">#REF!</f>
        <v>#REF!</v>
      </c>
      <c r="H898" s="20" t="str">
        <f t="shared" si="2688"/>
        <v>#REF!</v>
      </c>
      <c r="I898" s="20" t="str">
        <f t="shared" si="2688"/>
        <v>#REF!</v>
      </c>
      <c r="J898" s="20" t="str">
        <f t="shared" si="1272"/>
        <v>#REF!</v>
      </c>
      <c r="K898" s="20" t="str">
        <f t="shared" ref="K898:L898" si="2689">#REF!</f>
        <v>#REF!</v>
      </c>
      <c r="L898" s="20" t="str">
        <f t="shared" si="2689"/>
        <v>#REF!</v>
      </c>
    </row>
    <row r="899">
      <c r="A899" s="20" t="str">
        <f t="shared" si="1267"/>
        <v>#REF!</v>
      </c>
      <c r="B899" s="20" t="str">
        <f t="shared" si="1268"/>
        <v>#REF!</v>
      </c>
      <c r="C899" s="20" t="str">
        <f t="shared" ref="C899:D899" si="2690">#REF!</f>
        <v>#REF!</v>
      </c>
      <c r="D899" s="20" t="str">
        <f t="shared" si="2690"/>
        <v>#REF!</v>
      </c>
      <c r="E899" s="20" t="str">
        <f t="shared" si="1270"/>
        <v>#REF!</v>
      </c>
      <c r="F899" s="22" t="str">
        <f t="shared" si="2"/>
        <v>#REF!</v>
      </c>
      <c r="G899" s="20" t="str">
        <f t="shared" ref="G899:I899" si="2691">#REF!</f>
        <v>#REF!</v>
      </c>
      <c r="H899" s="20" t="str">
        <f t="shared" si="2691"/>
        <v>#REF!</v>
      </c>
      <c r="I899" s="20" t="str">
        <f t="shared" si="2691"/>
        <v>#REF!</v>
      </c>
      <c r="J899" s="20" t="str">
        <f t="shared" si="1272"/>
        <v>#REF!</v>
      </c>
      <c r="K899" s="20" t="str">
        <f t="shared" ref="K899:L899" si="2692">#REF!</f>
        <v>#REF!</v>
      </c>
      <c r="L899" s="20" t="str">
        <f t="shared" si="2692"/>
        <v>#REF!</v>
      </c>
    </row>
    <row r="900">
      <c r="A900" s="20" t="str">
        <f t="shared" si="1267"/>
        <v>#REF!</v>
      </c>
      <c r="B900" s="20" t="str">
        <f t="shared" si="1268"/>
        <v>#REF!</v>
      </c>
      <c r="C900" s="20" t="str">
        <f t="shared" ref="C900:D900" si="2693">#REF!</f>
        <v>#REF!</v>
      </c>
      <c r="D900" s="20" t="str">
        <f t="shared" si="2693"/>
        <v>#REF!</v>
      </c>
      <c r="E900" s="20" t="str">
        <f t="shared" si="1270"/>
        <v>#REF!</v>
      </c>
      <c r="F900" s="22" t="str">
        <f t="shared" si="2"/>
        <v>#REF!</v>
      </c>
      <c r="G900" s="20" t="str">
        <f t="shared" ref="G900:I900" si="2694">#REF!</f>
        <v>#REF!</v>
      </c>
      <c r="H900" s="20" t="str">
        <f t="shared" si="2694"/>
        <v>#REF!</v>
      </c>
      <c r="I900" s="20" t="str">
        <f t="shared" si="2694"/>
        <v>#REF!</v>
      </c>
      <c r="J900" s="20" t="str">
        <f t="shared" si="1272"/>
        <v>#REF!</v>
      </c>
      <c r="K900" s="20" t="str">
        <f t="shared" ref="K900:L900" si="2695">#REF!</f>
        <v>#REF!</v>
      </c>
      <c r="L900" s="20" t="str">
        <f t="shared" si="2695"/>
        <v>#REF!</v>
      </c>
    </row>
    <row r="901">
      <c r="A901" s="20" t="str">
        <f t="shared" si="1267"/>
        <v>#REF!</v>
      </c>
      <c r="B901" s="20" t="str">
        <f t="shared" si="1268"/>
        <v>#REF!</v>
      </c>
      <c r="C901" s="20" t="str">
        <f t="shared" ref="C901:D901" si="2696">#REF!</f>
        <v>#REF!</v>
      </c>
      <c r="D901" s="20" t="str">
        <f t="shared" si="2696"/>
        <v>#REF!</v>
      </c>
      <c r="E901" s="20" t="str">
        <f t="shared" si="1270"/>
        <v>#REF!</v>
      </c>
      <c r="F901" s="22" t="str">
        <f t="shared" si="2"/>
        <v>#REF!</v>
      </c>
      <c r="G901" s="20" t="str">
        <f t="shared" ref="G901:I901" si="2697">#REF!</f>
        <v>#REF!</v>
      </c>
      <c r="H901" s="20" t="str">
        <f t="shared" si="2697"/>
        <v>#REF!</v>
      </c>
      <c r="I901" s="20" t="str">
        <f t="shared" si="2697"/>
        <v>#REF!</v>
      </c>
      <c r="J901" s="20" t="str">
        <f t="shared" si="1272"/>
        <v>#REF!</v>
      </c>
      <c r="K901" s="20" t="str">
        <f t="shared" ref="K901:L901" si="2698">#REF!</f>
        <v>#REF!</v>
      </c>
      <c r="L901" s="20" t="str">
        <f t="shared" si="2698"/>
        <v>#REF!</v>
      </c>
    </row>
    <row r="902">
      <c r="A902" s="20" t="str">
        <f t="shared" si="1267"/>
        <v>#REF!</v>
      </c>
      <c r="B902" s="20" t="str">
        <f t="shared" si="1268"/>
        <v>#REF!</v>
      </c>
      <c r="C902" s="20" t="str">
        <f t="shared" ref="C902:D902" si="2699">#REF!</f>
        <v>#REF!</v>
      </c>
      <c r="D902" s="20" t="str">
        <f t="shared" si="2699"/>
        <v>#REF!</v>
      </c>
      <c r="E902" s="20" t="str">
        <f t="shared" si="1270"/>
        <v>#REF!</v>
      </c>
      <c r="F902" s="22" t="str">
        <f t="shared" si="2"/>
        <v>#REF!</v>
      </c>
      <c r="G902" s="20" t="str">
        <f t="shared" ref="G902:I902" si="2700">#REF!</f>
        <v>#REF!</v>
      </c>
      <c r="H902" s="20" t="str">
        <f t="shared" si="2700"/>
        <v>#REF!</v>
      </c>
      <c r="I902" s="20" t="str">
        <f t="shared" si="2700"/>
        <v>#REF!</v>
      </c>
      <c r="J902" s="20" t="str">
        <f t="shared" si="1272"/>
        <v>#REF!</v>
      </c>
      <c r="K902" s="20" t="str">
        <f t="shared" ref="K902:L902" si="2701">#REF!</f>
        <v>#REF!</v>
      </c>
      <c r="L902" s="20" t="str">
        <f t="shared" si="2701"/>
        <v>#REF!</v>
      </c>
    </row>
    <row r="903">
      <c r="A903" s="20" t="str">
        <f t="shared" si="1267"/>
        <v>#REF!</v>
      </c>
      <c r="B903" s="20" t="str">
        <f t="shared" si="1268"/>
        <v>#REF!</v>
      </c>
      <c r="C903" s="20" t="str">
        <f t="shared" ref="C903:D903" si="2702">#REF!</f>
        <v>#REF!</v>
      </c>
      <c r="D903" s="20" t="str">
        <f t="shared" si="2702"/>
        <v>#REF!</v>
      </c>
      <c r="E903" s="20" t="str">
        <f t="shared" si="1270"/>
        <v>#REF!</v>
      </c>
      <c r="F903" s="22" t="str">
        <f t="shared" si="2"/>
        <v>#REF!</v>
      </c>
      <c r="G903" s="20" t="str">
        <f t="shared" ref="G903:I903" si="2703">#REF!</f>
        <v>#REF!</v>
      </c>
      <c r="H903" s="20" t="str">
        <f t="shared" si="2703"/>
        <v>#REF!</v>
      </c>
      <c r="I903" s="20" t="str">
        <f t="shared" si="2703"/>
        <v>#REF!</v>
      </c>
      <c r="J903" s="20" t="str">
        <f t="shared" si="1272"/>
        <v>#REF!</v>
      </c>
      <c r="K903" s="20" t="str">
        <f t="shared" ref="K903:L903" si="2704">#REF!</f>
        <v>#REF!</v>
      </c>
      <c r="L903" s="20" t="str">
        <f t="shared" si="2704"/>
        <v>#REF!</v>
      </c>
    </row>
    <row r="904">
      <c r="A904" s="20" t="str">
        <f t="shared" si="1267"/>
        <v>#REF!</v>
      </c>
      <c r="B904" s="20" t="str">
        <f t="shared" si="1268"/>
        <v>#REF!</v>
      </c>
      <c r="C904" s="20" t="str">
        <f t="shared" ref="C904:D904" si="2705">#REF!</f>
        <v>#REF!</v>
      </c>
      <c r="D904" s="20" t="str">
        <f t="shared" si="2705"/>
        <v>#REF!</v>
      </c>
      <c r="E904" s="20" t="str">
        <f t="shared" si="1270"/>
        <v>#REF!</v>
      </c>
      <c r="F904" s="22" t="str">
        <f t="shared" si="2"/>
        <v>#REF!</v>
      </c>
      <c r="G904" s="20" t="str">
        <f t="shared" ref="G904:I904" si="2706">#REF!</f>
        <v>#REF!</v>
      </c>
      <c r="H904" s="20" t="str">
        <f t="shared" si="2706"/>
        <v>#REF!</v>
      </c>
      <c r="I904" s="20" t="str">
        <f t="shared" si="2706"/>
        <v>#REF!</v>
      </c>
      <c r="J904" s="20" t="str">
        <f t="shared" si="1272"/>
        <v>#REF!</v>
      </c>
      <c r="K904" s="20" t="str">
        <f t="shared" ref="K904:L904" si="2707">#REF!</f>
        <v>#REF!</v>
      </c>
      <c r="L904" s="20" t="str">
        <f t="shared" si="2707"/>
        <v>#REF!</v>
      </c>
    </row>
    <row r="905">
      <c r="A905" s="20" t="str">
        <f t="shared" si="1267"/>
        <v>#REF!</v>
      </c>
      <c r="B905" s="20" t="str">
        <f t="shared" si="1268"/>
        <v>#REF!</v>
      </c>
      <c r="C905" s="20" t="str">
        <f t="shared" ref="C905:D905" si="2708">#REF!</f>
        <v>#REF!</v>
      </c>
      <c r="D905" s="20" t="str">
        <f t="shared" si="2708"/>
        <v>#REF!</v>
      </c>
      <c r="E905" s="20" t="str">
        <f t="shared" si="1270"/>
        <v>#REF!</v>
      </c>
      <c r="F905" s="22" t="str">
        <f t="shared" si="2"/>
        <v>#REF!</v>
      </c>
      <c r="G905" s="20" t="str">
        <f t="shared" ref="G905:I905" si="2709">#REF!</f>
        <v>#REF!</v>
      </c>
      <c r="H905" s="20" t="str">
        <f t="shared" si="2709"/>
        <v>#REF!</v>
      </c>
      <c r="I905" s="20" t="str">
        <f t="shared" si="2709"/>
        <v>#REF!</v>
      </c>
      <c r="J905" s="20" t="str">
        <f t="shared" si="1272"/>
        <v>#REF!</v>
      </c>
      <c r="K905" s="20" t="str">
        <f t="shared" ref="K905:L905" si="2710">#REF!</f>
        <v>#REF!</v>
      </c>
      <c r="L905" s="20" t="str">
        <f t="shared" si="2710"/>
        <v>#REF!</v>
      </c>
    </row>
    <row r="906">
      <c r="A906" s="20" t="str">
        <f t="shared" si="1267"/>
        <v>#REF!</v>
      </c>
      <c r="B906" s="20" t="str">
        <f t="shared" si="1268"/>
        <v>#REF!</v>
      </c>
      <c r="C906" s="20" t="str">
        <f t="shared" ref="C906:D906" si="2711">#REF!</f>
        <v>#REF!</v>
      </c>
      <c r="D906" s="20" t="str">
        <f t="shared" si="2711"/>
        <v>#REF!</v>
      </c>
      <c r="E906" s="20" t="str">
        <f t="shared" si="1270"/>
        <v>#REF!</v>
      </c>
      <c r="F906" s="22" t="str">
        <f t="shared" si="2"/>
        <v>#REF!</v>
      </c>
      <c r="G906" s="20" t="str">
        <f t="shared" ref="G906:I906" si="2712">#REF!</f>
        <v>#REF!</v>
      </c>
      <c r="H906" s="20" t="str">
        <f t="shared" si="2712"/>
        <v>#REF!</v>
      </c>
      <c r="I906" s="20" t="str">
        <f t="shared" si="2712"/>
        <v>#REF!</v>
      </c>
      <c r="J906" s="20" t="str">
        <f t="shared" si="1272"/>
        <v>#REF!</v>
      </c>
      <c r="K906" s="20" t="str">
        <f t="shared" ref="K906:L906" si="2713">#REF!</f>
        <v>#REF!</v>
      </c>
      <c r="L906" s="20" t="str">
        <f t="shared" si="2713"/>
        <v>#REF!</v>
      </c>
    </row>
    <row r="907">
      <c r="A907" s="20" t="str">
        <f t="shared" si="1267"/>
        <v>#REF!</v>
      </c>
      <c r="B907" s="20" t="str">
        <f t="shared" si="1268"/>
        <v>#REF!</v>
      </c>
      <c r="C907" s="20" t="str">
        <f t="shared" ref="C907:D907" si="2714">#REF!</f>
        <v>#REF!</v>
      </c>
      <c r="D907" s="20" t="str">
        <f t="shared" si="2714"/>
        <v>#REF!</v>
      </c>
      <c r="E907" s="20" t="str">
        <f t="shared" si="1270"/>
        <v>#REF!</v>
      </c>
      <c r="F907" s="22" t="str">
        <f t="shared" si="2"/>
        <v>#REF!</v>
      </c>
      <c r="G907" s="20" t="str">
        <f t="shared" ref="G907:I907" si="2715">#REF!</f>
        <v>#REF!</v>
      </c>
      <c r="H907" s="20" t="str">
        <f t="shared" si="2715"/>
        <v>#REF!</v>
      </c>
      <c r="I907" s="20" t="str">
        <f t="shared" si="2715"/>
        <v>#REF!</v>
      </c>
      <c r="J907" s="20" t="str">
        <f t="shared" si="1272"/>
        <v>#REF!</v>
      </c>
      <c r="K907" s="20" t="str">
        <f t="shared" ref="K907:L907" si="2716">#REF!</f>
        <v>#REF!</v>
      </c>
      <c r="L907" s="20" t="str">
        <f t="shared" si="2716"/>
        <v>#REF!</v>
      </c>
    </row>
    <row r="908">
      <c r="A908" s="20" t="str">
        <f t="shared" si="1267"/>
        <v>#REF!</v>
      </c>
      <c r="B908" s="20" t="str">
        <f t="shared" si="1268"/>
        <v>#REF!</v>
      </c>
      <c r="C908" s="20" t="str">
        <f t="shared" ref="C908:D908" si="2717">#REF!</f>
        <v>#REF!</v>
      </c>
      <c r="D908" s="20" t="str">
        <f t="shared" si="2717"/>
        <v>#REF!</v>
      </c>
      <c r="E908" s="20" t="str">
        <f t="shared" si="1270"/>
        <v>#REF!</v>
      </c>
      <c r="F908" s="22" t="str">
        <f t="shared" si="2"/>
        <v>#REF!</v>
      </c>
      <c r="G908" s="20" t="str">
        <f t="shared" ref="G908:I908" si="2718">#REF!</f>
        <v>#REF!</v>
      </c>
      <c r="H908" s="20" t="str">
        <f t="shared" si="2718"/>
        <v>#REF!</v>
      </c>
      <c r="I908" s="20" t="str">
        <f t="shared" si="2718"/>
        <v>#REF!</v>
      </c>
      <c r="J908" s="20" t="str">
        <f t="shared" si="1272"/>
        <v>#REF!</v>
      </c>
      <c r="K908" s="20" t="str">
        <f t="shared" ref="K908:L908" si="2719">#REF!</f>
        <v>#REF!</v>
      </c>
      <c r="L908" s="20" t="str">
        <f t="shared" si="2719"/>
        <v>#REF!</v>
      </c>
    </row>
    <row r="909">
      <c r="A909" s="20" t="str">
        <f t="shared" si="1267"/>
        <v>#REF!</v>
      </c>
      <c r="B909" s="20" t="str">
        <f t="shared" si="1268"/>
        <v>#REF!</v>
      </c>
      <c r="C909" s="20" t="str">
        <f t="shared" ref="C909:D909" si="2720">#REF!</f>
        <v>#REF!</v>
      </c>
      <c r="D909" s="20" t="str">
        <f t="shared" si="2720"/>
        <v>#REF!</v>
      </c>
      <c r="E909" s="20" t="str">
        <f t="shared" si="1270"/>
        <v>#REF!</v>
      </c>
      <c r="F909" s="22" t="str">
        <f t="shared" si="2"/>
        <v>#REF!</v>
      </c>
      <c r="G909" s="20" t="str">
        <f t="shared" ref="G909:I909" si="2721">#REF!</f>
        <v>#REF!</v>
      </c>
      <c r="H909" s="20" t="str">
        <f t="shared" si="2721"/>
        <v>#REF!</v>
      </c>
      <c r="I909" s="20" t="str">
        <f t="shared" si="2721"/>
        <v>#REF!</v>
      </c>
      <c r="J909" s="20" t="str">
        <f t="shared" si="1272"/>
        <v>#REF!</v>
      </c>
      <c r="K909" s="20" t="str">
        <f t="shared" ref="K909:L909" si="2722">#REF!</f>
        <v>#REF!</v>
      </c>
      <c r="L909" s="20" t="str">
        <f t="shared" si="2722"/>
        <v>#REF!</v>
      </c>
    </row>
    <row r="910">
      <c r="A910" s="20" t="str">
        <f t="shared" si="1267"/>
        <v>#REF!</v>
      </c>
      <c r="B910" s="20" t="str">
        <f t="shared" si="1268"/>
        <v>#REF!</v>
      </c>
      <c r="C910" s="20" t="str">
        <f t="shared" ref="C910:D910" si="2723">#REF!</f>
        <v>#REF!</v>
      </c>
      <c r="D910" s="20" t="str">
        <f t="shared" si="2723"/>
        <v>#REF!</v>
      </c>
      <c r="E910" s="20" t="str">
        <f t="shared" si="1270"/>
        <v>#REF!</v>
      </c>
      <c r="F910" s="22" t="str">
        <f t="shared" si="2"/>
        <v>#REF!</v>
      </c>
      <c r="G910" s="20" t="str">
        <f t="shared" ref="G910:I910" si="2724">#REF!</f>
        <v>#REF!</v>
      </c>
      <c r="H910" s="20" t="str">
        <f t="shared" si="2724"/>
        <v>#REF!</v>
      </c>
      <c r="I910" s="20" t="str">
        <f t="shared" si="2724"/>
        <v>#REF!</v>
      </c>
      <c r="J910" s="20" t="str">
        <f t="shared" si="1272"/>
        <v>#REF!</v>
      </c>
      <c r="K910" s="20" t="str">
        <f t="shared" ref="K910:L910" si="2725">#REF!</f>
        <v>#REF!</v>
      </c>
      <c r="L910" s="20" t="str">
        <f t="shared" si="2725"/>
        <v>#REF!</v>
      </c>
    </row>
    <row r="911">
      <c r="A911" s="20" t="str">
        <f t="shared" si="1267"/>
        <v>#REF!</v>
      </c>
      <c r="B911" s="20" t="str">
        <f t="shared" si="1268"/>
        <v>#REF!</v>
      </c>
      <c r="C911" s="20" t="str">
        <f t="shared" ref="C911:D911" si="2726">#REF!</f>
        <v>#REF!</v>
      </c>
      <c r="D911" s="20" t="str">
        <f t="shared" si="2726"/>
        <v>#REF!</v>
      </c>
      <c r="E911" s="20" t="str">
        <f t="shared" si="1270"/>
        <v>#REF!</v>
      </c>
      <c r="F911" s="22" t="str">
        <f t="shared" si="2"/>
        <v>#REF!</v>
      </c>
      <c r="G911" s="20" t="str">
        <f t="shared" ref="G911:I911" si="2727">#REF!</f>
        <v>#REF!</v>
      </c>
      <c r="H911" s="20" t="str">
        <f t="shared" si="2727"/>
        <v>#REF!</v>
      </c>
      <c r="I911" s="20" t="str">
        <f t="shared" si="2727"/>
        <v>#REF!</v>
      </c>
      <c r="J911" s="20" t="str">
        <f t="shared" si="1272"/>
        <v>#REF!</v>
      </c>
      <c r="K911" s="20" t="str">
        <f t="shared" ref="K911:L911" si="2728">#REF!</f>
        <v>#REF!</v>
      </c>
      <c r="L911" s="20" t="str">
        <f t="shared" si="2728"/>
        <v>#REF!</v>
      </c>
    </row>
    <row r="912">
      <c r="A912" s="20" t="str">
        <f t="shared" si="1267"/>
        <v>#REF!</v>
      </c>
      <c r="B912" s="20" t="str">
        <f t="shared" si="1268"/>
        <v>#REF!</v>
      </c>
      <c r="C912" s="20" t="str">
        <f t="shared" ref="C912:D912" si="2729">#REF!</f>
        <v>#REF!</v>
      </c>
      <c r="D912" s="20" t="str">
        <f t="shared" si="2729"/>
        <v>#REF!</v>
      </c>
      <c r="E912" s="20" t="str">
        <f t="shared" si="1270"/>
        <v>#REF!</v>
      </c>
      <c r="F912" s="22" t="str">
        <f t="shared" si="2"/>
        <v>#REF!</v>
      </c>
      <c r="G912" s="20" t="str">
        <f t="shared" ref="G912:I912" si="2730">#REF!</f>
        <v>#REF!</v>
      </c>
      <c r="H912" s="20" t="str">
        <f t="shared" si="2730"/>
        <v>#REF!</v>
      </c>
      <c r="I912" s="20" t="str">
        <f t="shared" si="2730"/>
        <v>#REF!</v>
      </c>
      <c r="J912" s="20" t="str">
        <f t="shared" si="1272"/>
        <v>#REF!</v>
      </c>
      <c r="K912" s="20" t="str">
        <f t="shared" ref="K912:L912" si="2731">#REF!</f>
        <v>#REF!</v>
      </c>
      <c r="L912" s="20" t="str">
        <f t="shared" si="2731"/>
        <v>#REF!</v>
      </c>
    </row>
    <row r="913">
      <c r="A913" s="20" t="str">
        <f t="shared" si="1267"/>
        <v>#REF!</v>
      </c>
      <c r="B913" s="20" t="str">
        <f t="shared" si="1268"/>
        <v>#REF!</v>
      </c>
      <c r="C913" s="20" t="str">
        <f t="shared" ref="C913:D913" si="2732">#REF!</f>
        <v>#REF!</v>
      </c>
      <c r="D913" s="20" t="str">
        <f t="shared" si="2732"/>
        <v>#REF!</v>
      </c>
      <c r="E913" s="20" t="str">
        <f t="shared" si="1270"/>
        <v>#REF!</v>
      </c>
      <c r="F913" s="22" t="str">
        <f t="shared" si="2"/>
        <v>#REF!</v>
      </c>
      <c r="G913" s="20" t="str">
        <f t="shared" ref="G913:I913" si="2733">#REF!</f>
        <v>#REF!</v>
      </c>
      <c r="H913" s="20" t="str">
        <f t="shared" si="2733"/>
        <v>#REF!</v>
      </c>
      <c r="I913" s="20" t="str">
        <f t="shared" si="2733"/>
        <v>#REF!</v>
      </c>
      <c r="J913" s="20" t="str">
        <f t="shared" si="1272"/>
        <v>#REF!</v>
      </c>
      <c r="K913" s="20" t="str">
        <f t="shared" ref="K913:L913" si="2734">#REF!</f>
        <v>#REF!</v>
      </c>
      <c r="L913" s="20" t="str">
        <f t="shared" si="2734"/>
        <v>#REF!</v>
      </c>
    </row>
    <row r="914">
      <c r="A914" s="20" t="str">
        <f t="shared" si="1267"/>
        <v>#REF!</v>
      </c>
      <c r="B914" s="20" t="str">
        <f t="shared" si="1268"/>
        <v>#REF!</v>
      </c>
      <c r="C914" s="20" t="str">
        <f t="shared" ref="C914:D914" si="2735">#REF!</f>
        <v>#REF!</v>
      </c>
      <c r="D914" s="20" t="str">
        <f t="shared" si="2735"/>
        <v>#REF!</v>
      </c>
      <c r="E914" s="20" t="str">
        <f t="shared" si="1270"/>
        <v>#REF!</v>
      </c>
      <c r="F914" s="22" t="str">
        <f t="shared" si="2"/>
        <v>#REF!</v>
      </c>
      <c r="G914" s="20" t="str">
        <f t="shared" ref="G914:I914" si="2736">#REF!</f>
        <v>#REF!</v>
      </c>
      <c r="H914" s="20" t="str">
        <f t="shared" si="2736"/>
        <v>#REF!</v>
      </c>
      <c r="I914" s="20" t="str">
        <f t="shared" si="2736"/>
        <v>#REF!</v>
      </c>
      <c r="J914" s="20" t="str">
        <f t="shared" si="1272"/>
        <v>#REF!</v>
      </c>
      <c r="K914" s="20" t="str">
        <f t="shared" ref="K914:L914" si="2737">#REF!</f>
        <v>#REF!</v>
      </c>
      <c r="L914" s="20" t="str">
        <f t="shared" si="2737"/>
        <v>#REF!</v>
      </c>
    </row>
    <row r="915">
      <c r="A915" s="20" t="str">
        <f t="shared" si="1267"/>
        <v>#REF!</v>
      </c>
      <c r="B915" s="20" t="str">
        <f t="shared" si="1268"/>
        <v>#REF!</v>
      </c>
      <c r="C915" s="20" t="str">
        <f t="shared" ref="C915:D915" si="2738">#REF!</f>
        <v>#REF!</v>
      </c>
      <c r="D915" s="20" t="str">
        <f t="shared" si="2738"/>
        <v>#REF!</v>
      </c>
      <c r="E915" s="20" t="str">
        <f t="shared" si="1270"/>
        <v>#REF!</v>
      </c>
      <c r="F915" s="22" t="str">
        <f t="shared" si="2"/>
        <v>#REF!</v>
      </c>
      <c r="G915" s="20" t="str">
        <f t="shared" ref="G915:I915" si="2739">#REF!</f>
        <v>#REF!</v>
      </c>
      <c r="H915" s="20" t="str">
        <f t="shared" si="2739"/>
        <v>#REF!</v>
      </c>
      <c r="I915" s="20" t="str">
        <f t="shared" si="2739"/>
        <v>#REF!</v>
      </c>
      <c r="J915" s="20" t="str">
        <f t="shared" si="1272"/>
        <v>#REF!</v>
      </c>
      <c r="K915" s="20" t="str">
        <f t="shared" ref="K915:L915" si="2740">#REF!</f>
        <v>#REF!</v>
      </c>
      <c r="L915" s="20" t="str">
        <f t="shared" si="2740"/>
        <v>#REF!</v>
      </c>
    </row>
    <row r="916">
      <c r="A916" s="20" t="str">
        <f t="shared" si="1267"/>
        <v>#REF!</v>
      </c>
      <c r="B916" s="20" t="str">
        <f t="shared" si="1268"/>
        <v>#REF!</v>
      </c>
      <c r="C916" s="20" t="str">
        <f t="shared" ref="C916:D916" si="2741">#REF!</f>
        <v>#REF!</v>
      </c>
      <c r="D916" s="20" t="str">
        <f t="shared" si="2741"/>
        <v>#REF!</v>
      </c>
      <c r="E916" s="20" t="str">
        <f t="shared" si="1270"/>
        <v>#REF!</v>
      </c>
      <c r="F916" s="22" t="str">
        <f t="shared" si="2"/>
        <v>#REF!</v>
      </c>
      <c r="G916" s="20" t="str">
        <f t="shared" ref="G916:I916" si="2742">#REF!</f>
        <v>#REF!</v>
      </c>
      <c r="H916" s="20" t="str">
        <f t="shared" si="2742"/>
        <v>#REF!</v>
      </c>
      <c r="I916" s="20" t="str">
        <f t="shared" si="2742"/>
        <v>#REF!</v>
      </c>
      <c r="J916" s="20" t="str">
        <f t="shared" si="1272"/>
        <v>#REF!</v>
      </c>
      <c r="K916" s="20" t="str">
        <f t="shared" ref="K916:L916" si="2743">#REF!</f>
        <v>#REF!</v>
      </c>
      <c r="L916" s="20" t="str">
        <f t="shared" si="2743"/>
        <v>#REF!</v>
      </c>
    </row>
    <row r="917">
      <c r="A917" s="20" t="str">
        <f t="shared" si="1267"/>
        <v>#REF!</v>
      </c>
      <c r="B917" s="20" t="str">
        <f t="shared" si="1268"/>
        <v>#REF!</v>
      </c>
      <c r="C917" s="20" t="str">
        <f t="shared" ref="C917:D917" si="2744">#REF!</f>
        <v>#REF!</v>
      </c>
      <c r="D917" s="20" t="str">
        <f t="shared" si="2744"/>
        <v>#REF!</v>
      </c>
      <c r="E917" s="20" t="str">
        <f t="shared" si="1270"/>
        <v>#REF!</v>
      </c>
      <c r="F917" s="22" t="str">
        <f t="shared" si="2"/>
        <v>#REF!</v>
      </c>
      <c r="G917" s="20" t="str">
        <f t="shared" ref="G917:I917" si="2745">#REF!</f>
        <v>#REF!</v>
      </c>
      <c r="H917" s="20" t="str">
        <f t="shared" si="2745"/>
        <v>#REF!</v>
      </c>
      <c r="I917" s="20" t="str">
        <f t="shared" si="2745"/>
        <v>#REF!</v>
      </c>
      <c r="J917" s="20" t="str">
        <f t="shared" si="1272"/>
        <v>#REF!</v>
      </c>
      <c r="K917" s="20" t="str">
        <f t="shared" ref="K917:L917" si="2746">#REF!</f>
        <v>#REF!</v>
      </c>
      <c r="L917" s="20" t="str">
        <f t="shared" si="2746"/>
        <v>#REF!</v>
      </c>
    </row>
    <row r="918">
      <c r="A918" s="20" t="str">
        <f t="shared" si="1267"/>
        <v>#REF!</v>
      </c>
      <c r="B918" s="20" t="str">
        <f t="shared" si="1268"/>
        <v>#REF!</v>
      </c>
      <c r="C918" s="20" t="str">
        <f t="shared" ref="C918:D918" si="2747">#REF!</f>
        <v>#REF!</v>
      </c>
      <c r="D918" s="20" t="str">
        <f t="shared" si="2747"/>
        <v>#REF!</v>
      </c>
      <c r="E918" s="20" t="str">
        <f t="shared" si="1270"/>
        <v>#REF!</v>
      </c>
      <c r="F918" s="22" t="str">
        <f t="shared" si="2"/>
        <v>#REF!</v>
      </c>
      <c r="G918" s="20" t="str">
        <f t="shared" ref="G918:I918" si="2748">#REF!</f>
        <v>#REF!</v>
      </c>
      <c r="H918" s="20" t="str">
        <f t="shared" si="2748"/>
        <v>#REF!</v>
      </c>
      <c r="I918" s="20" t="str">
        <f t="shared" si="2748"/>
        <v>#REF!</v>
      </c>
      <c r="J918" s="20" t="str">
        <f t="shared" si="1272"/>
        <v>#REF!</v>
      </c>
      <c r="K918" s="20" t="str">
        <f t="shared" ref="K918:L918" si="2749">#REF!</f>
        <v>#REF!</v>
      </c>
      <c r="L918" s="20" t="str">
        <f t="shared" si="2749"/>
        <v>#REF!</v>
      </c>
    </row>
    <row r="919">
      <c r="A919" s="20" t="str">
        <f t="shared" si="1267"/>
        <v>#REF!</v>
      </c>
      <c r="B919" s="20" t="str">
        <f t="shared" si="1268"/>
        <v>#REF!</v>
      </c>
      <c r="C919" s="20" t="str">
        <f t="shared" ref="C919:D919" si="2750">#REF!</f>
        <v>#REF!</v>
      </c>
      <c r="D919" s="20" t="str">
        <f t="shared" si="2750"/>
        <v>#REF!</v>
      </c>
      <c r="E919" s="20" t="str">
        <f t="shared" si="1270"/>
        <v>#REF!</v>
      </c>
      <c r="F919" s="22" t="str">
        <f t="shared" si="2"/>
        <v>#REF!</v>
      </c>
      <c r="G919" s="20" t="str">
        <f t="shared" ref="G919:I919" si="2751">#REF!</f>
        <v>#REF!</v>
      </c>
      <c r="H919" s="20" t="str">
        <f t="shared" si="2751"/>
        <v>#REF!</v>
      </c>
      <c r="I919" s="20" t="str">
        <f t="shared" si="2751"/>
        <v>#REF!</v>
      </c>
      <c r="J919" s="20" t="str">
        <f t="shared" si="1272"/>
        <v>#REF!</v>
      </c>
      <c r="K919" s="20" t="str">
        <f t="shared" ref="K919:L919" si="2752">#REF!</f>
        <v>#REF!</v>
      </c>
      <c r="L919" s="20" t="str">
        <f t="shared" si="2752"/>
        <v>#REF!</v>
      </c>
    </row>
    <row r="920">
      <c r="A920" s="20" t="str">
        <f t="shared" si="1267"/>
        <v>#REF!</v>
      </c>
      <c r="B920" s="20" t="str">
        <f t="shared" si="1268"/>
        <v>#REF!</v>
      </c>
      <c r="C920" s="20" t="str">
        <f t="shared" ref="C920:D920" si="2753">#REF!</f>
        <v>#REF!</v>
      </c>
      <c r="D920" s="20" t="str">
        <f t="shared" si="2753"/>
        <v>#REF!</v>
      </c>
      <c r="E920" s="20" t="str">
        <f t="shared" si="1270"/>
        <v>#REF!</v>
      </c>
      <c r="F920" s="22" t="str">
        <f t="shared" si="2"/>
        <v>#REF!</v>
      </c>
      <c r="G920" s="20" t="str">
        <f t="shared" ref="G920:I920" si="2754">#REF!</f>
        <v>#REF!</v>
      </c>
      <c r="H920" s="20" t="str">
        <f t="shared" si="2754"/>
        <v>#REF!</v>
      </c>
      <c r="I920" s="20" t="str">
        <f t="shared" si="2754"/>
        <v>#REF!</v>
      </c>
      <c r="J920" s="20" t="str">
        <f t="shared" si="1272"/>
        <v>#REF!</v>
      </c>
      <c r="K920" s="20" t="str">
        <f t="shared" ref="K920:L920" si="2755">#REF!</f>
        <v>#REF!</v>
      </c>
      <c r="L920" s="20" t="str">
        <f t="shared" si="2755"/>
        <v>#REF!</v>
      </c>
    </row>
    <row r="921">
      <c r="A921" s="20" t="str">
        <f t="shared" si="1267"/>
        <v>#REF!</v>
      </c>
      <c r="B921" s="20" t="str">
        <f t="shared" si="1268"/>
        <v>#REF!</v>
      </c>
      <c r="C921" s="20" t="str">
        <f t="shared" ref="C921:D921" si="2756">#REF!</f>
        <v>#REF!</v>
      </c>
      <c r="D921" s="20" t="str">
        <f t="shared" si="2756"/>
        <v>#REF!</v>
      </c>
      <c r="E921" s="20" t="str">
        <f t="shared" si="1270"/>
        <v>#REF!</v>
      </c>
      <c r="F921" s="22" t="str">
        <f t="shared" si="2"/>
        <v>#REF!</v>
      </c>
      <c r="G921" s="20" t="str">
        <f t="shared" ref="G921:I921" si="2757">#REF!</f>
        <v>#REF!</v>
      </c>
      <c r="H921" s="20" t="str">
        <f t="shared" si="2757"/>
        <v>#REF!</v>
      </c>
      <c r="I921" s="20" t="str">
        <f t="shared" si="2757"/>
        <v>#REF!</v>
      </c>
      <c r="J921" s="20" t="str">
        <f t="shared" si="1272"/>
        <v>#REF!</v>
      </c>
      <c r="K921" s="20" t="str">
        <f t="shared" ref="K921:L921" si="2758">#REF!</f>
        <v>#REF!</v>
      </c>
      <c r="L921" s="20" t="str">
        <f t="shared" si="2758"/>
        <v>#REF!</v>
      </c>
    </row>
    <row r="922">
      <c r="A922" s="20" t="str">
        <f t="shared" si="1267"/>
        <v>#REF!</v>
      </c>
      <c r="B922" s="20" t="str">
        <f t="shared" si="1268"/>
        <v>#REF!</v>
      </c>
      <c r="C922" s="20" t="str">
        <f t="shared" ref="C922:D922" si="2759">#REF!</f>
        <v>#REF!</v>
      </c>
      <c r="D922" s="20" t="str">
        <f t="shared" si="2759"/>
        <v>#REF!</v>
      </c>
      <c r="E922" s="20" t="str">
        <f t="shared" si="1270"/>
        <v>#REF!</v>
      </c>
      <c r="F922" s="22" t="str">
        <f t="shared" si="2"/>
        <v>#REF!</v>
      </c>
      <c r="G922" s="20" t="str">
        <f t="shared" ref="G922:I922" si="2760">#REF!</f>
        <v>#REF!</v>
      </c>
      <c r="H922" s="20" t="str">
        <f t="shared" si="2760"/>
        <v>#REF!</v>
      </c>
      <c r="I922" s="20" t="str">
        <f t="shared" si="2760"/>
        <v>#REF!</v>
      </c>
      <c r="J922" s="20" t="str">
        <f t="shared" si="1272"/>
        <v>#REF!</v>
      </c>
      <c r="K922" s="20" t="str">
        <f t="shared" ref="K922:L922" si="2761">#REF!</f>
        <v>#REF!</v>
      </c>
      <c r="L922" s="20" t="str">
        <f t="shared" si="2761"/>
        <v>#REF!</v>
      </c>
    </row>
    <row r="923">
      <c r="A923" s="20" t="str">
        <f t="shared" si="1267"/>
        <v>#REF!</v>
      </c>
      <c r="B923" s="20" t="str">
        <f t="shared" si="1268"/>
        <v>#REF!</v>
      </c>
      <c r="C923" s="20" t="str">
        <f t="shared" ref="C923:D923" si="2762">#REF!</f>
        <v>#REF!</v>
      </c>
      <c r="D923" s="20" t="str">
        <f t="shared" si="2762"/>
        <v>#REF!</v>
      </c>
      <c r="E923" s="20" t="str">
        <f t="shared" si="1270"/>
        <v>#REF!</v>
      </c>
      <c r="F923" s="22" t="str">
        <f t="shared" si="2"/>
        <v>#REF!</v>
      </c>
      <c r="G923" s="20" t="str">
        <f t="shared" ref="G923:I923" si="2763">#REF!</f>
        <v>#REF!</v>
      </c>
      <c r="H923" s="20" t="str">
        <f t="shared" si="2763"/>
        <v>#REF!</v>
      </c>
      <c r="I923" s="20" t="str">
        <f t="shared" si="2763"/>
        <v>#REF!</v>
      </c>
      <c r="J923" s="20" t="str">
        <f t="shared" si="1272"/>
        <v>#REF!</v>
      </c>
      <c r="K923" s="20" t="str">
        <f t="shared" ref="K923:L923" si="2764">#REF!</f>
        <v>#REF!</v>
      </c>
      <c r="L923" s="20" t="str">
        <f t="shared" si="2764"/>
        <v>#REF!</v>
      </c>
    </row>
    <row r="924">
      <c r="A924" s="20" t="str">
        <f t="shared" si="1267"/>
        <v>#REF!</v>
      </c>
      <c r="B924" s="20" t="str">
        <f t="shared" si="1268"/>
        <v>#REF!</v>
      </c>
      <c r="C924" s="20" t="str">
        <f t="shared" ref="C924:D924" si="2765">#REF!</f>
        <v>#REF!</v>
      </c>
      <c r="D924" s="20" t="str">
        <f t="shared" si="2765"/>
        <v>#REF!</v>
      </c>
      <c r="E924" s="20" t="str">
        <f t="shared" si="1270"/>
        <v>#REF!</v>
      </c>
      <c r="F924" s="22" t="str">
        <f t="shared" si="2"/>
        <v>#REF!</v>
      </c>
      <c r="G924" s="20" t="str">
        <f t="shared" ref="G924:I924" si="2766">#REF!</f>
        <v>#REF!</v>
      </c>
      <c r="H924" s="20" t="str">
        <f t="shared" si="2766"/>
        <v>#REF!</v>
      </c>
      <c r="I924" s="20" t="str">
        <f t="shared" si="2766"/>
        <v>#REF!</v>
      </c>
      <c r="J924" s="20" t="str">
        <f t="shared" si="1272"/>
        <v>#REF!</v>
      </c>
      <c r="K924" s="20" t="str">
        <f t="shared" ref="K924:L924" si="2767">#REF!</f>
        <v>#REF!</v>
      </c>
      <c r="L924" s="20" t="str">
        <f t="shared" si="2767"/>
        <v>#REF!</v>
      </c>
    </row>
    <row r="925">
      <c r="A925" s="20" t="str">
        <f t="shared" si="1267"/>
        <v>#REF!</v>
      </c>
      <c r="B925" s="20" t="str">
        <f t="shared" si="1268"/>
        <v>#REF!</v>
      </c>
      <c r="C925" s="20" t="str">
        <f t="shared" ref="C925:D925" si="2768">#REF!</f>
        <v>#REF!</v>
      </c>
      <c r="D925" s="20" t="str">
        <f t="shared" si="2768"/>
        <v>#REF!</v>
      </c>
      <c r="E925" s="20" t="str">
        <f t="shared" si="1270"/>
        <v>#REF!</v>
      </c>
      <c r="F925" s="22" t="str">
        <f t="shared" si="2"/>
        <v>#REF!</v>
      </c>
      <c r="G925" s="20" t="str">
        <f t="shared" ref="G925:I925" si="2769">#REF!</f>
        <v>#REF!</v>
      </c>
      <c r="H925" s="20" t="str">
        <f t="shared" si="2769"/>
        <v>#REF!</v>
      </c>
      <c r="I925" s="20" t="str">
        <f t="shared" si="2769"/>
        <v>#REF!</v>
      </c>
      <c r="J925" s="20" t="str">
        <f t="shared" si="1272"/>
        <v>#REF!</v>
      </c>
      <c r="K925" s="20" t="str">
        <f t="shared" ref="K925:L925" si="2770">#REF!</f>
        <v>#REF!</v>
      </c>
      <c r="L925" s="20" t="str">
        <f t="shared" si="2770"/>
        <v>#REF!</v>
      </c>
    </row>
    <row r="926">
      <c r="A926" s="20" t="str">
        <f t="shared" si="1267"/>
        <v>#REF!</v>
      </c>
      <c r="B926" s="20" t="str">
        <f t="shared" si="1268"/>
        <v>#REF!</v>
      </c>
      <c r="C926" s="20" t="str">
        <f t="shared" ref="C926:D926" si="2771">#REF!</f>
        <v>#REF!</v>
      </c>
      <c r="D926" s="20" t="str">
        <f t="shared" si="2771"/>
        <v>#REF!</v>
      </c>
      <c r="E926" s="20" t="str">
        <f t="shared" si="1270"/>
        <v>#REF!</v>
      </c>
      <c r="F926" s="22" t="str">
        <f t="shared" si="2"/>
        <v>#REF!</v>
      </c>
      <c r="G926" s="20" t="str">
        <f t="shared" ref="G926:I926" si="2772">#REF!</f>
        <v>#REF!</v>
      </c>
      <c r="H926" s="20" t="str">
        <f t="shared" si="2772"/>
        <v>#REF!</v>
      </c>
      <c r="I926" s="20" t="str">
        <f t="shared" si="2772"/>
        <v>#REF!</v>
      </c>
      <c r="J926" s="20" t="str">
        <f t="shared" si="1272"/>
        <v>#REF!</v>
      </c>
      <c r="K926" s="20" t="str">
        <f t="shared" ref="K926:L926" si="2773">#REF!</f>
        <v>#REF!</v>
      </c>
      <c r="L926" s="20" t="str">
        <f t="shared" si="2773"/>
        <v>#REF!</v>
      </c>
    </row>
    <row r="927">
      <c r="A927" s="20" t="str">
        <f t="shared" si="1267"/>
        <v>#REF!</v>
      </c>
      <c r="B927" s="20" t="str">
        <f t="shared" si="1268"/>
        <v>#REF!</v>
      </c>
      <c r="C927" s="20" t="str">
        <f t="shared" ref="C927:D927" si="2774">#REF!</f>
        <v>#REF!</v>
      </c>
      <c r="D927" s="20" t="str">
        <f t="shared" si="2774"/>
        <v>#REF!</v>
      </c>
      <c r="E927" s="20" t="str">
        <f t="shared" si="1270"/>
        <v>#REF!</v>
      </c>
      <c r="F927" s="22" t="str">
        <f t="shared" si="2"/>
        <v>#REF!</v>
      </c>
      <c r="G927" s="20" t="str">
        <f t="shared" ref="G927:I927" si="2775">#REF!</f>
        <v>#REF!</v>
      </c>
      <c r="H927" s="20" t="str">
        <f t="shared" si="2775"/>
        <v>#REF!</v>
      </c>
      <c r="I927" s="20" t="str">
        <f t="shared" si="2775"/>
        <v>#REF!</v>
      </c>
      <c r="J927" s="20" t="str">
        <f t="shared" si="1272"/>
        <v>#REF!</v>
      </c>
      <c r="K927" s="20" t="str">
        <f t="shared" ref="K927:L927" si="2776">#REF!</f>
        <v>#REF!</v>
      </c>
      <c r="L927" s="20" t="str">
        <f t="shared" si="2776"/>
        <v>#REF!</v>
      </c>
    </row>
    <row r="928">
      <c r="A928" s="20" t="str">
        <f t="shared" si="1267"/>
        <v>#REF!</v>
      </c>
      <c r="B928" s="20" t="str">
        <f t="shared" si="1268"/>
        <v>#REF!</v>
      </c>
      <c r="C928" s="20" t="str">
        <f t="shared" ref="C928:D928" si="2777">#REF!</f>
        <v>#REF!</v>
      </c>
      <c r="D928" s="20" t="str">
        <f t="shared" si="2777"/>
        <v>#REF!</v>
      </c>
      <c r="E928" s="20" t="str">
        <f t="shared" si="1270"/>
        <v>#REF!</v>
      </c>
      <c r="F928" s="22" t="str">
        <f t="shared" si="2"/>
        <v>#REF!</v>
      </c>
      <c r="G928" s="20" t="str">
        <f t="shared" ref="G928:I928" si="2778">#REF!</f>
        <v>#REF!</v>
      </c>
      <c r="H928" s="20" t="str">
        <f t="shared" si="2778"/>
        <v>#REF!</v>
      </c>
      <c r="I928" s="20" t="str">
        <f t="shared" si="2778"/>
        <v>#REF!</v>
      </c>
      <c r="J928" s="20" t="str">
        <f t="shared" si="1272"/>
        <v>#REF!</v>
      </c>
      <c r="K928" s="20" t="str">
        <f t="shared" ref="K928:L928" si="2779">#REF!</f>
        <v>#REF!</v>
      </c>
      <c r="L928" s="20" t="str">
        <f t="shared" si="2779"/>
        <v>#REF!</v>
      </c>
    </row>
    <row r="929">
      <c r="A929" s="20" t="str">
        <f t="shared" si="1267"/>
        <v>#REF!</v>
      </c>
      <c r="B929" s="20" t="str">
        <f t="shared" si="1268"/>
        <v>#REF!</v>
      </c>
      <c r="C929" s="20" t="str">
        <f t="shared" ref="C929:D929" si="2780">#REF!</f>
        <v>#REF!</v>
      </c>
      <c r="D929" s="20" t="str">
        <f t="shared" si="2780"/>
        <v>#REF!</v>
      </c>
      <c r="E929" s="20" t="str">
        <f t="shared" si="1270"/>
        <v>#REF!</v>
      </c>
      <c r="F929" s="22" t="str">
        <f t="shared" si="2"/>
        <v>#REF!</v>
      </c>
      <c r="G929" s="20" t="str">
        <f t="shared" ref="G929:I929" si="2781">#REF!</f>
        <v>#REF!</v>
      </c>
      <c r="H929" s="20" t="str">
        <f t="shared" si="2781"/>
        <v>#REF!</v>
      </c>
      <c r="I929" s="20" t="str">
        <f t="shared" si="2781"/>
        <v>#REF!</v>
      </c>
      <c r="J929" s="20" t="str">
        <f t="shared" si="1272"/>
        <v>#REF!</v>
      </c>
      <c r="K929" s="20" t="str">
        <f t="shared" ref="K929:L929" si="2782">#REF!</f>
        <v>#REF!</v>
      </c>
      <c r="L929" s="20" t="str">
        <f t="shared" si="2782"/>
        <v>#REF!</v>
      </c>
    </row>
    <row r="930">
      <c r="A930" s="20" t="str">
        <f t="shared" si="1267"/>
        <v>#REF!</v>
      </c>
      <c r="B930" s="20" t="str">
        <f t="shared" si="1268"/>
        <v>#REF!</v>
      </c>
      <c r="C930" s="20" t="str">
        <f t="shared" ref="C930:D930" si="2783">#REF!</f>
        <v>#REF!</v>
      </c>
      <c r="D930" s="20" t="str">
        <f t="shared" si="2783"/>
        <v>#REF!</v>
      </c>
      <c r="E930" s="20" t="str">
        <f t="shared" si="1270"/>
        <v>#REF!</v>
      </c>
      <c r="F930" s="22" t="str">
        <f t="shared" si="2"/>
        <v>#REF!</v>
      </c>
      <c r="G930" s="20" t="str">
        <f t="shared" ref="G930:I930" si="2784">#REF!</f>
        <v>#REF!</v>
      </c>
      <c r="H930" s="20" t="str">
        <f t="shared" si="2784"/>
        <v>#REF!</v>
      </c>
      <c r="I930" s="20" t="str">
        <f t="shared" si="2784"/>
        <v>#REF!</v>
      </c>
      <c r="J930" s="20" t="str">
        <f t="shared" si="1272"/>
        <v>#REF!</v>
      </c>
      <c r="K930" s="20" t="str">
        <f t="shared" ref="K930:L930" si="2785">#REF!</f>
        <v>#REF!</v>
      </c>
      <c r="L930" s="20" t="str">
        <f t="shared" si="2785"/>
        <v>#REF!</v>
      </c>
    </row>
    <row r="931">
      <c r="A931" s="20" t="str">
        <f t="shared" si="1267"/>
        <v>#REF!</v>
      </c>
      <c r="B931" s="20" t="str">
        <f t="shared" si="1268"/>
        <v>#REF!</v>
      </c>
      <c r="C931" s="20" t="str">
        <f t="shared" ref="C931:D931" si="2786">#REF!</f>
        <v>#REF!</v>
      </c>
      <c r="D931" s="20" t="str">
        <f t="shared" si="2786"/>
        <v>#REF!</v>
      </c>
      <c r="E931" s="20" t="str">
        <f t="shared" si="1270"/>
        <v>#REF!</v>
      </c>
      <c r="F931" s="22" t="str">
        <f t="shared" si="2"/>
        <v>#REF!</v>
      </c>
      <c r="G931" s="20" t="str">
        <f t="shared" ref="G931:I931" si="2787">#REF!</f>
        <v>#REF!</v>
      </c>
      <c r="H931" s="20" t="str">
        <f t="shared" si="2787"/>
        <v>#REF!</v>
      </c>
      <c r="I931" s="20" t="str">
        <f t="shared" si="2787"/>
        <v>#REF!</v>
      </c>
      <c r="J931" s="20" t="str">
        <f t="shared" si="1272"/>
        <v>#REF!</v>
      </c>
      <c r="K931" s="20" t="str">
        <f t="shared" ref="K931:L931" si="2788">#REF!</f>
        <v>#REF!</v>
      </c>
      <c r="L931" s="20" t="str">
        <f t="shared" si="2788"/>
        <v>#REF!</v>
      </c>
    </row>
    <row r="932">
      <c r="A932" s="20" t="str">
        <f t="shared" si="1267"/>
        <v>#REF!</v>
      </c>
      <c r="B932" s="20" t="str">
        <f t="shared" si="1268"/>
        <v>#REF!</v>
      </c>
      <c r="C932" s="20" t="str">
        <f t="shared" ref="C932:D932" si="2789">#REF!</f>
        <v>#REF!</v>
      </c>
      <c r="D932" s="20" t="str">
        <f t="shared" si="2789"/>
        <v>#REF!</v>
      </c>
      <c r="E932" s="20" t="str">
        <f t="shared" si="1270"/>
        <v>#REF!</v>
      </c>
      <c r="F932" s="22" t="str">
        <f t="shared" si="2"/>
        <v>#REF!</v>
      </c>
      <c r="G932" s="20" t="str">
        <f t="shared" ref="G932:I932" si="2790">#REF!</f>
        <v>#REF!</v>
      </c>
      <c r="H932" s="20" t="str">
        <f t="shared" si="2790"/>
        <v>#REF!</v>
      </c>
      <c r="I932" s="20" t="str">
        <f t="shared" si="2790"/>
        <v>#REF!</v>
      </c>
      <c r="J932" s="20" t="str">
        <f t="shared" si="1272"/>
        <v>#REF!</v>
      </c>
      <c r="K932" s="20" t="str">
        <f t="shared" ref="K932:L932" si="2791">#REF!</f>
        <v>#REF!</v>
      </c>
      <c r="L932" s="20" t="str">
        <f t="shared" si="2791"/>
        <v>#REF!</v>
      </c>
    </row>
    <row r="933">
      <c r="A933" s="20" t="str">
        <f t="shared" si="1267"/>
        <v>#REF!</v>
      </c>
      <c r="B933" s="20" t="str">
        <f t="shared" si="1268"/>
        <v>#REF!</v>
      </c>
      <c r="C933" s="20" t="str">
        <f t="shared" ref="C933:D933" si="2792">#REF!</f>
        <v>#REF!</v>
      </c>
      <c r="D933" s="20" t="str">
        <f t="shared" si="2792"/>
        <v>#REF!</v>
      </c>
      <c r="E933" s="20" t="str">
        <f t="shared" si="1270"/>
        <v>#REF!</v>
      </c>
      <c r="F933" s="22" t="str">
        <f t="shared" si="2"/>
        <v>#REF!</v>
      </c>
      <c r="G933" s="20" t="str">
        <f t="shared" ref="G933:I933" si="2793">#REF!</f>
        <v>#REF!</v>
      </c>
      <c r="H933" s="20" t="str">
        <f t="shared" si="2793"/>
        <v>#REF!</v>
      </c>
      <c r="I933" s="20" t="str">
        <f t="shared" si="2793"/>
        <v>#REF!</v>
      </c>
      <c r="J933" s="20" t="str">
        <f t="shared" si="1272"/>
        <v>#REF!</v>
      </c>
      <c r="K933" s="20" t="str">
        <f t="shared" ref="K933:L933" si="2794">#REF!</f>
        <v>#REF!</v>
      </c>
      <c r="L933" s="20" t="str">
        <f t="shared" si="2794"/>
        <v>#REF!</v>
      </c>
    </row>
    <row r="934">
      <c r="A934" s="20" t="str">
        <f t="shared" si="1267"/>
        <v>#REF!</v>
      </c>
      <c r="B934" s="20" t="str">
        <f t="shared" si="1268"/>
        <v>#REF!</v>
      </c>
      <c r="C934" s="20" t="str">
        <f t="shared" ref="C934:D934" si="2795">#REF!</f>
        <v>#REF!</v>
      </c>
      <c r="D934" s="20" t="str">
        <f t="shared" si="2795"/>
        <v>#REF!</v>
      </c>
      <c r="E934" s="20" t="str">
        <f t="shared" si="1270"/>
        <v>#REF!</v>
      </c>
      <c r="F934" s="22" t="str">
        <f t="shared" si="2"/>
        <v>#REF!</v>
      </c>
      <c r="G934" s="20" t="str">
        <f t="shared" ref="G934:I934" si="2796">#REF!</f>
        <v>#REF!</v>
      </c>
      <c r="H934" s="20" t="str">
        <f t="shared" si="2796"/>
        <v>#REF!</v>
      </c>
      <c r="I934" s="20" t="str">
        <f t="shared" si="2796"/>
        <v>#REF!</v>
      </c>
      <c r="J934" s="20" t="str">
        <f t="shared" si="1272"/>
        <v>#REF!</v>
      </c>
      <c r="K934" s="20" t="str">
        <f t="shared" ref="K934:L934" si="2797">#REF!</f>
        <v>#REF!</v>
      </c>
      <c r="L934" s="20" t="str">
        <f t="shared" si="2797"/>
        <v>#REF!</v>
      </c>
    </row>
    <row r="935">
      <c r="A935" s="20" t="str">
        <f t="shared" si="1267"/>
        <v>#REF!</v>
      </c>
      <c r="B935" s="20" t="str">
        <f t="shared" si="1268"/>
        <v>#REF!</v>
      </c>
      <c r="C935" s="20" t="str">
        <f t="shared" ref="C935:D935" si="2798">#REF!</f>
        <v>#REF!</v>
      </c>
      <c r="D935" s="20" t="str">
        <f t="shared" si="2798"/>
        <v>#REF!</v>
      </c>
      <c r="E935" s="20" t="str">
        <f t="shared" si="1270"/>
        <v>#REF!</v>
      </c>
      <c r="F935" s="22" t="str">
        <f t="shared" si="2"/>
        <v>#REF!</v>
      </c>
      <c r="G935" s="20" t="str">
        <f t="shared" ref="G935:I935" si="2799">#REF!</f>
        <v>#REF!</v>
      </c>
      <c r="H935" s="20" t="str">
        <f t="shared" si="2799"/>
        <v>#REF!</v>
      </c>
      <c r="I935" s="20" t="str">
        <f t="shared" si="2799"/>
        <v>#REF!</v>
      </c>
      <c r="J935" s="20" t="str">
        <f t="shared" si="1272"/>
        <v>#REF!</v>
      </c>
      <c r="K935" s="20" t="str">
        <f t="shared" ref="K935:L935" si="2800">#REF!</f>
        <v>#REF!</v>
      </c>
      <c r="L935" s="20" t="str">
        <f t="shared" si="2800"/>
        <v>#REF!</v>
      </c>
    </row>
    <row r="936">
      <c r="A936" s="20" t="str">
        <f t="shared" si="1267"/>
        <v>#REF!</v>
      </c>
      <c r="B936" s="20" t="str">
        <f t="shared" si="1268"/>
        <v>#REF!</v>
      </c>
      <c r="C936" s="20" t="str">
        <f t="shared" ref="C936:D936" si="2801">#REF!</f>
        <v>#REF!</v>
      </c>
      <c r="D936" s="20" t="str">
        <f t="shared" si="2801"/>
        <v>#REF!</v>
      </c>
      <c r="E936" s="20" t="str">
        <f t="shared" si="1270"/>
        <v>#REF!</v>
      </c>
      <c r="F936" s="22" t="str">
        <f t="shared" si="2"/>
        <v>#REF!</v>
      </c>
      <c r="G936" s="20" t="str">
        <f t="shared" ref="G936:I936" si="2802">#REF!</f>
        <v>#REF!</v>
      </c>
      <c r="H936" s="20" t="str">
        <f t="shared" si="2802"/>
        <v>#REF!</v>
      </c>
      <c r="I936" s="20" t="str">
        <f t="shared" si="2802"/>
        <v>#REF!</v>
      </c>
      <c r="J936" s="20" t="str">
        <f t="shared" si="1272"/>
        <v>#REF!</v>
      </c>
      <c r="K936" s="20" t="str">
        <f t="shared" ref="K936:L936" si="2803">#REF!</f>
        <v>#REF!</v>
      </c>
      <c r="L936" s="20" t="str">
        <f t="shared" si="2803"/>
        <v>#REF!</v>
      </c>
    </row>
    <row r="937">
      <c r="A937" s="20" t="str">
        <f t="shared" si="1267"/>
        <v>#REF!</v>
      </c>
      <c r="B937" s="20" t="str">
        <f t="shared" si="1268"/>
        <v>#REF!</v>
      </c>
      <c r="C937" s="20" t="str">
        <f t="shared" ref="C937:D937" si="2804">#REF!</f>
        <v>#REF!</v>
      </c>
      <c r="D937" s="20" t="str">
        <f t="shared" si="2804"/>
        <v>#REF!</v>
      </c>
      <c r="E937" s="20" t="str">
        <f t="shared" si="1270"/>
        <v>#REF!</v>
      </c>
      <c r="F937" s="22" t="str">
        <f t="shared" si="2"/>
        <v>#REF!</v>
      </c>
      <c r="G937" s="20" t="str">
        <f t="shared" ref="G937:I937" si="2805">#REF!</f>
        <v>#REF!</v>
      </c>
      <c r="H937" s="20" t="str">
        <f t="shared" si="2805"/>
        <v>#REF!</v>
      </c>
      <c r="I937" s="20" t="str">
        <f t="shared" si="2805"/>
        <v>#REF!</v>
      </c>
      <c r="J937" s="20" t="str">
        <f t="shared" si="1272"/>
        <v>#REF!</v>
      </c>
      <c r="K937" s="20" t="str">
        <f t="shared" ref="K937:L937" si="2806">#REF!</f>
        <v>#REF!</v>
      </c>
      <c r="L937" s="20" t="str">
        <f t="shared" si="2806"/>
        <v>#REF!</v>
      </c>
    </row>
    <row r="938">
      <c r="A938" s="20" t="str">
        <f t="shared" si="1267"/>
        <v>#REF!</v>
      </c>
      <c r="B938" s="20" t="str">
        <f t="shared" si="1268"/>
        <v>#REF!</v>
      </c>
      <c r="C938" s="20" t="str">
        <f t="shared" ref="C938:D938" si="2807">#REF!</f>
        <v>#REF!</v>
      </c>
      <c r="D938" s="20" t="str">
        <f t="shared" si="2807"/>
        <v>#REF!</v>
      </c>
      <c r="E938" s="20" t="str">
        <f t="shared" si="1270"/>
        <v>#REF!</v>
      </c>
      <c r="F938" s="22" t="str">
        <f t="shared" si="2"/>
        <v>#REF!</v>
      </c>
      <c r="G938" s="20" t="str">
        <f t="shared" ref="G938:I938" si="2808">#REF!</f>
        <v>#REF!</v>
      </c>
      <c r="H938" s="20" t="str">
        <f t="shared" si="2808"/>
        <v>#REF!</v>
      </c>
      <c r="I938" s="20" t="str">
        <f t="shared" si="2808"/>
        <v>#REF!</v>
      </c>
      <c r="J938" s="20" t="str">
        <f t="shared" si="1272"/>
        <v>#REF!</v>
      </c>
      <c r="K938" s="20" t="str">
        <f t="shared" ref="K938:L938" si="2809">#REF!</f>
        <v>#REF!</v>
      </c>
      <c r="L938" s="20" t="str">
        <f t="shared" si="2809"/>
        <v>#REF!</v>
      </c>
    </row>
    <row r="939">
      <c r="A939" s="20" t="str">
        <f t="shared" si="1267"/>
        <v>#REF!</v>
      </c>
      <c r="B939" s="20" t="str">
        <f t="shared" si="1268"/>
        <v>#REF!</v>
      </c>
      <c r="C939" s="20" t="str">
        <f t="shared" ref="C939:D939" si="2810">#REF!</f>
        <v>#REF!</v>
      </c>
      <c r="D939" s="20" t="str">
        <f t="shared" si="2810"/>
        <v>#REF!</v>
      </c>
      <c r="E939" s="20" t="str">
        <f t="shared" si="1270"/>
        <v>#REF!</v>
      </c>
      <c r="F939" s="22" t="str">
        <f t="shared" si="2"/>
        <v>#REF!</v>
      </c>
      <c r="G939" s="20" t="str">
        <f t="shared" ref="G939:I939" si="2811">#REF!</f>
        <v>#REF!</v>
      </c>
      <c r="H939" s="20" t="str">
        <f t="shared" si="2811"/>
        <v>#REF!</v>
      </c>
      <c r="I939" s="20" t="str">
        <f t="shared" si="2811"/>
        <v>#REF!</v>
      </c>
      <c r="J939" s="20" t="str">
        <f t="shared" si="1272"/>
        <v>#REF!</v>
      </c>
      <c r="K939" s="20" t="str">
        <f t="shared" ref="K939:L939" si="2812">#REF!</f>
        <v>#REF!</v>
      </c>
      <c r="L939" s="20" t="str">
        <f t="shared" si="2812"/>
        <v>#REF!</v>
      </c>
    </row>
    <row r="940">
      <c r="A940" s="20" t="str">
        <f t="shared" si="1267"/>
        <v>#REF!</v>
      </c>
      <c r="B940" s="20" t="str">
        <f t="shared" si="1268"/>
        <v>#REF!</v>
      </c>
      <c r="C940" s="20" t="str">
        <f t="shared" ref="C940:D940" si="2813">#REF!</f>
        <v>#REF!</v>
      </c>
      <c r="D940" s="20" t="str">
        <f t="shared" si="2813"/>
        <v>#REF!</v>
      </c>
      <c r="E940" s="20" t="str">
        <f t="shared" si="1270"/>
        <v>#REF!</v>
      </c>
      <c r="F940" s="22" t="str">
        <f t="shared" si="2"/>
        <v>#REF!</v>
      </c>
      <c r="G940" s="20" t="str">
        <f t="shared" ref="G940:I940" si="2814">#REF!</f>
        <v>#REF!</v>
      </c>
      <c r="H940" s="20" t="str">
        <f t="shared" si="2814"/>
        <v>#REF!</v>
      </c>
      <c r="I940" s="20" t="str">
        <f t="shared" si="2814"/>
        <v>#REF!</v>
      </c>
      <c r="J940" s="20" t="str">
        <f t="shared" si="1272"/>
        <v>#REF!</v>
      </c>
      <c r="K940" s="20" t="str">
        <f t="shared" ref="K940:L940" si="2815">#REF!</f>
        <v>#REF!</v>
      </c>
      <c r="L940" s="20" t="str">
        <f t="shared" si="2815"/>
        <v>#REF!</v>
      </c>
    </row>
    <row r="941">
      <c r="A941" s="20" t="str">
        <f t="shared" si="1267"/>
        <v>#REF!</v>
      </c>
      <c r="B941" s="20" t="str">
        <f t="shared" si="1268"/>
        <v>#REF!</v>
      </c>
      <c r="C941" s="20" t="str">
        <f t="shared" ref="C941:D941" si="2816">#REF!</f>
        <v>#REF!</v>
      </c>
      <c r="D941" s="20" t="str">
        <f t="shared" si="2816"/>
        <v>#REF!</v>
      </c>
      <c r="E941" s="20" t="str">
        <f t="shared" si="1270"/>
        <v>#REF!</v>
      </c>
      <c r="F941" s="22" t="str">
        <f t="shared" si="2"/>
        <v>#REF!</v>
      </c>
      <c r="G941" s="20" t="str">
        <f t="shared" ref="G941:I941" si="2817">#REF!</f>
        <v>#REF!</v>
      </c>
      <c r="H941" s="20" t="str">
        <f t="shared" si="2817"/>
        <v>#REF!</v>
      </c>
      <c r="I941" s="20" t="str">
        <f t="shared" si="2817"/>
        <v>#REF!</v>
      </c>
      <c r="J941" s="20" t="str">
        <f t="shared" si="1272"/>
        <v>#REF!</v>
      </c>
      <c r="K941" s="20" t="str">
        <f t="shared" ref="K941:L941" si="2818">#REF!</f>
        <v>#REF!</v>
      </c>
      <c r="L941" s="20" t="str">
        <f t="shared" si="2818"/>
        <v>#REF!</v>
      </c>
    </row>
    <row r="942">
      <c r="A942" s="20" t="str">
        <f t="shared" si="1267"/>
        <v>#REF!</v>
      </c>
      <c r="B942" s="20" t="str">
        <f t="shared" si="1268"/>
        <v>#REF!</v>
      </c>
      <c r="C942" s="20" t="str">
        <f t="shared" ref="C942:D942" si="2819">#REF!</f>
        <v>#REF!</v>
      </c>
      <c r="D942" s="20" t="str">
        <f t="shared" si="2819"/>
        <v>#REF!</v>
      </c>
      <c r="E942" s="20" t="str">
        <f t="shared" si="1270"/>
        <v>#REF!</v>
      </c>
      <c r="F942" s="22" t="str">
        <f t="shared" si="2"/>
        <v>#REF!</v>
      </c>
      <c r="G942" s="20" t="str">
        <f t="shared" ref="G942:I942" si="2820">#REF!</f>
        <v>#REF!</v>
      </c>
      <c r="H942" s="20" t="str">
        <f t="shared" si="2820"/>
        <v>#REF!</v>
      </c>
      <c r="I942" s="20" t="str">
        <f t="shared" si="2820"/>
        <v>#REF!</v>
      </c>
      <c r="J942" s="20" t="str">
        <f t="shared" si="1272"/>
        <v>#REF!</v>
      </c>
      <c r="K942" s="20" t="str">
        <f t="shared" ref="K942:L942" si="2821">#REF!</f>
        <v>#REF!</v>
      </c>
      <c r="L942" s="20" t="str">
        <f t="shared" si="2821"/>
        <v>#REF!</v>
      </c>
    </row>
    <row r="943">
      <c r="A943" s="20" t="str">
        <f t="shared" si="1267"/>
        <v>#REF!</v>
      </c>
      <c r="B943" s="20" t="str">
        <f t="shared" si="1268"/>
        <v>#REF!</v>
      </c>
      <c r="C943" s="20" t="str">
        <f t="shared" ref="C943:D943" si="2822">#REF!</f>
        <v>#REF!</v>
      </c>
      <c r="D943" s="20" t="str">
        <f t="shared" si="2822"/>
        <v>#REF!</v>
      </c>
      <c r="E943" s="20" t="str">
        <f t="shared" si="1270"/>
        <v>#REF!</v>
      </c>
      <c r="F943" s="22" t="str">
        <f t="shared" si="2"/>
        <v>#REF!</v>
      </c>
      <c r="G943" s="20" t="str">
        <f t="shared" ref="G943:I943" si="2823">#REF!</f>
        <v>#REF!</v>
      </c>
      <c r="H943" s="20" t="str">
        <f t="shared" si="2823"/>
        <v>#REF!</v>
      </c>
      <c r="I943" s="20" t="str">
        <f t="shared" si="2823"/>
        <v>#REF!</v>
      </c>
      <c r="J943" s="20" t="str">
        <f t="shared" si="1272"/>
        <v>#REF!</v>
      </c>
      <c r="K943" s="20" t="str">
        <f t="shared" ref="K943:L943" si="2824">#REF!</f>
        <v>#REF!</v>
      </c>
      <c r="L943" s="20" t="str">
        <f t="shared" si="2824"/>
        <v>#REF!</v>
      </c>
    </row>
    <row r="944">
      <c r="A944" s="20" t="str">
        <f t="shared" si="1267"/>
        <v>#REF!</v>
      </c>
      <c r="B944" s="20" t="str">
        <f t="shared" si="1268"/>
        <v>#REF!</v>
      </c>
      <c r="C944" s="20" t="str">
        <f t="shared" ref="C944:D944" si="2825">#REF!</f>
        <v>#REF!</v>
      </c>
      <c r="D944" s="20" t="str">
        <f t="shared" si="2825"/>
        <v>#REF!</v>
      </c>
      <c r="E944" s="20" t="str">
        <f t="shared" si="1270"/>
        <v>#REF!</v>
      </c>
      <c r="F944" s="22" t="str">
        <f t="shared" si="2"/>
        <v>#REF!</v>
      </c>
      <c r="G944" s="20" t="str">
        <f t="shared" ref="G944:I944" si="2826">#REF!</f>
        <v>#REF!</v>
      </c>
      <c r="H944" s="20" t="str">
        <f t="shared" si="2826"/>
        <v>#REF!</v>
      </c>
      <c r="I944" s="20" t="str">
        <f t="shared" si="2826"/>
        <v>#REF!</v>
      </c>
      <c r="J944" s="20" t="str">
        <f t="shared" si="1272"/>
        <v>#REF!</v>
      </c>
      <c r="K944" s="20" t="str">
        <f t="shared" ref="K944:L944" si="2827">#REF!</f>
        <v>#REF!</v>
      </c>
      <c r="L944" s="20" t="str">
        <f t="shared" si="2827"/>
        <v>#REF!</v>
      </c>
    </row>
    <row r="945">
      <c r="A945" s="20" t="str">
        <f t="shared" si="1267"/>
        <v>#REF!</v>
      </c>
      <c r="B945" s="20" t="str">
        <f t="shared" si="1268"/>
        <v>#REF!</v>
      </c>
      <c r="C945" s="20" t="str">
        <f t="shared" ref="C945:D945" si="2828">#REF!</f>
        <v>#REF!</v>
      </c>
      <c r="D945" s="20" t="str">
        <f t="shared" si="2828"/>
        <v>#REF!</v>
      </c>
      <c r="E945" s="20" t="str">
        <f t="shared" si="1270"/>
        <v>#REF!</v>
      </c>
      <c r="F945" s="22" t="str">
        <f t="shared" si="2"/>
        <v>#REF!</v>
      </c>
      <c r="G945" s="20" t="str">
        <f t="shared" ref="G945:I945" si="2829">#REF!</f>
        <v>#REF!</v>
      </c>
      <c r="H945" s="20" t="str">
        <f t="shared" si="2829"/>
        <v>#REF!</v>
      </c>
      <c r="I945" s="20" t="str">
        <f t="shared" si="2829"/>
        <v>#REF!</v>
      </c>
      <c r="J945" s="20" t="str">
        <f t="shared" si="1272"/>
        <v>#REF!</v>
      </c>
      <c r="K945" s="20" t="str">
        <f t="shared" ref="K945:L945" si="2830">#REF!</f>
        <v>#REF!</v>
      </c>
      <c r="L945" s="20" t="str">
        <f t="shared" si="2830"/>
        <v>#REF!</v>
      </c>
    </row>
    <row r="946">
      <c r="A946" s="20" t="str">
        <f t="shared" si="1267"/>
        <v>#REF!</v>
      </c>
      <c r="B946" s="20" t="str">
        <f t="shared" si="1268"/>
        <v>#REF!</v>
      </c>
      <c r="C946" s="20" t="str">
        <f t="shared" ref="C946:D946" si="2831">#REF!</f>
        <v>#REF!</v>
      </c>
      <c r="D946" s="20" t="str">
        <f t="shared" si="2831"/>
        <v>#REF!</v>
      </c>
      <c r="E946" s="20" t="str">
        <f t="shared" si="1270"/>
        <v>#REF!</v>
      </c>
      <c r="F946" s="22" t="str">
        <f t="shared" si="2"/>
        <v>#REF!</v>
      </c>
      <c r="G946" s="20" t="str">
        <f t="shared" ref="G946:I946" si="2832">#REF!</f>
        <v>#REF!</v>
      </c>
      <c r="H946" s="20" t="str">
        <f t="shared" si="2832"/>
        <v>#REF!</v>
      </c>
      <c r="I946" s="20" t="str">
        <f t="shared" si="2832"/>
        <v>#REF!</v>
      </c>
      <c r="J946" s="20" t="str">
        <f t="shared" si="1272"/>
        <v>#REF!</v>
      </c>
      <c r="K946" s="20" t="str">
        <f t="shared" ref="K946:L946" si="2833">#REF!</f>
        <v>#REF!</v>
      </c>
      <c r="L946" s="20" t="str">
        <f t="shared" si="2833"/>
        <v>#REF!</v>
      </c>
    </row>
    <row r="947">
      <c r="A947" s="20" t="str">
        <f t="shared" si="1267"/>
        <v>#REF!</v>
      </c>
      <c r="B947" s="20" t="str">
        <f t="shared" si="1268"/>
        <v>#REF!</v>
      </c>
      <c r="C947" s="20" t="str">
        <f t="shared" ref="C947:D947" si="2834">#REF!</f>
        <v>#REF!</v>
      </c>
      <c r="D947" s="20" t="str">
        <f t="shared" si="2834"/>
        <v>#REF!</v>
      </c>
      <c r="E947" s="20" t="str">
        <f t="shared" si="1270"/>
        <v>#REF!</v>
      </c>
      <c r="F947" s="22" t="str">
        <f t="shared" si="2"/>
        <v>#REF!</v>
      </c>
      <c r="G947" s="20" t="str">
        <f t="shared" ref="G947:I947" si="2835">#REF!</f>
        <v>#REF!</v>
      </c>
      <c r="H947" s="20" t="str">
        <f t="shared" si="2835"/>
        <v>#REF!</v>
      </c>
      <c r="I947" s="20" t="str">
        <f t="shared" si="2835"/>
        <v>#REF!</v>
      </c>
      <c r="J947" s="20" t="str">
        <f t="shared" si="1272"/>
        <v>#REF!</v>
      </c>
      <c r="K947" s="20" t="str">
        <f t="shared" ref="K947:L947" si="2836">#REF!</f>
        <v>#REF!</v>
      </c>
      <c r="L947" s="20" t="str">
        <f t="shared" si="2836"/>
        <v>#REF!</v>
      </c>
    </row>
    <row r="948">
      <c r="A948" s="20" t="str">
        <f t="shared" si="1267"/>
        <v>#REF!</v>
      </c>
      <c r="B948" s="20" t="str">
        <f t="shared" si="1268"/>
        <v>#REF!</v>
      </c>
      <c r="C948" s="20" t="str">
        <f t="shared" ref="C948:D948" si="2837">#REF!</f>
        <v>#REF!</v>
      </c>
      <c r="D948" s="20" t="str">
        <f t="shared" si="2837"/>
        <v>#REF!</v>
      </c>
      <c r="E948" s="20" t="str">
        <f t="shared" si="1270"/>
        <v>#REF!</v>
      </c>
      <c r="F948" s="22" t="str">
        <f t="shared" si="2"/>
        <v>#REF!</v>
      </c>
      <c r="G948" s="20" t="str">
        <f t="shared" ref="G948:I948" si="2838">#REF!</f>
        <v>#REF!</v>
      </c>
      <c r="H948" s="20" t="str">
        <f t="shared" si="2838"/>
        <v>#REF!</v>
      </c>
      <c r="I948" s="20" t="str">
        <f t="shared" si="2838"/>
        <v>#REF!</v>
      </c>
      <c r="J948" s="20" t="str">
        <f t="shared" si="1272"/>
        <v>#REF!</v>
      </c>
      <c r="K948" s="20" t="str">
        <f t="shared" ref="K948:L948" si="2839">#REF!</f>
        <v>#REF!</v>
      </c>
      <c r="L948" s="20" t="str">
        <f t="shared" si="2839"/>
        <v>#REF!</v>
      </c>
    </row>
    <row r="949">
      <c r="A949" s="20" t="str">
        <f t="shared" si="1267"/>
        <v>#REF!</v>
      </c>
      <c r="B949" s="20" t="str">
        <f t="shared" si="1268"/>
        <v>#REF!</v>
      </c>
      <c r="C949" s="20" t="str">
        <f t="shared" ref="C949:D949" si="2840">#REF!</f>
        <v>#REF!</v>
      </c>
      <c r="D949" s="20" t="str">
        <f t="shared" si="2840"/>
        <v>#REF!</v>
      </c>
      <c r="E949" s="20" t="str">
        <f t="shared" si="1270"/>
        <v>#REF!</v>
      </c>
      <c r="F949" s="22" t="str">
        <f t="shared" si="2"/>
        <v>#REF!</v>
      </c>
      <c r="G949" s="20" t="str">
        <f t="shared" ref="G949:I949" si="2841">#REF!</f>
        <v>#REF!</v>
      </c>
      <c r="H949" s="20" t="str">
        <f t="shared" si="2841"/>
        <v>#REF!</v>
      </c>
      <c r="I949" s="20" t="str">
        <f t="shared" si="2841"/>
        <v>#REF!</v>
      </c>
      <c r="J949" s="20" t="str">
        <f t="shared" si="1272"/>
        <v>#REF!</v>
      </c>
      <c r="K949" s="20" t="str">
        <f t="shared" ref="K949:L949" si="2842">#REF!</f>
        <v>#REF!</v>
      </c>
      <c r="L949" s="20" t="str">
        <f t="shared" si="2842"/>
        <v>#REF!</v>
      </c>
    </row>
    <row r="950">
      <c r="A950" s="20" t="str">
        <f t="shared" si="1267"/>
        <v>#REF!</v>
      </c>
      <c r="B950" s="20" t="str">
        <f t="shared" si="1268"/>
        <v>#REF!</v>
      </c>
      <c r="C950" s="20" t="str">
        <f t="shared" ref="C950:D950" si="2843">#REF!</f>
        <v>#REF!</v>
      </c>
      <c r="D950" s="20" t="str">
        <f t="shared" si="2843"/>
        <v>#REF!</v>
      </c>
      <c r="E950" s="20" t="str">
        <f t="shared" si="1270"/>
        <v>#REF!</v>
      </c>
      <c r="F950" s="22" t="str">
        <f t="shared" si="2"/>
        <v>#REF!</v>
      </c>
      <c r="G950" s="20" t="str">
        <f t="shared" ref="G950:I950" si="2844">#REF!</f>
        <v>#REF!</v>
      </c>
      <c r="H950" s="20" t="str">
        <f t="shared" si="2844"/>
        <v>#REF!</v>
      </c>
      <c r="I950" s="20" t="str">
        <f t="shared" si="2844"/>
        <v>#REF!</v>
      </c>
      <c r="J950" s="20" t="str">
        <f t="shared" si="1272"/>
        <v>#REF!</v>
      </c>
      <c r="K950" s="20" t="str">
        <f t="shared" ref="K950:L950" si="2845">#REF!</f>
        <v>#REF!</v>
      </c>
      <c r="L950" s="20" t="str">
        <f t="shared" si="2845"/>
        <v>#REF!</v>
      </c>
    </row>
    <row r="951">
      <c r="A951" s="20" t="str">
        <f t="shared" si="1267"/>
        <v>#REF!</v>
      </c>
      <c r="B951" s="20" t="str">
        <f t="shared" si="1268"/>
        <v>#REF!</v>
      </c>
      <c r="C951" s="20" t="str">
        <f t="shared" ref="C951:D951" si="2846">#REF!</f>
        <v>#REF!</v>
      </c>
      <c r="D951" s="20" t="str">
        <f t="shared" si="2846"/>
        <v>#REF!</v>
      </c>
      <c r="E951" s="20" t="str">
        <f t="shared" si="1270"/>
        <v>#REF!</v>
      </c>
      <c r="F951" s="22" t="str">
        <f t="shared" si="2"/>
        <v>#REF!</v>
      </c>
      <c r="G951" s="20" t="str">
        <f t="shared" ref="G951:I951" si="2847">#REF!</f>
        <v>#REF!</v>
      </c>
      <c r="H951" s="20" t="str">
        <f t="shared" si="2847"/>
        <v>#REF!</v>
      </c>
      <c r="I951" s="20" t="str">
        <f t="shared" si="2847"/>
        <v>#REF!</v>
      </c>
      <c r="J951" s="20" t="str">
        <f t="shared" si="1272"/>
        <v>#REF!</v>
      </c>
      <c r="K951" s="20" t="str">
        <f t="shared" ref="K951:L951" si="2848">#REF!</f>
        <v>#REF!</v>
      </c>
      <c r="L951" s="20" t="str">
        <f t="shared" si="2848"/>
        <v>#REF!</v>
      </c>
    </row>
    <row r="952">
      <c r="A952" s="20" t="str">
        <f t="shared" si="1267"/>
        <v>#REF!</v>
      </c>
      <c r="B952" s="20" t="str">
        <f t="shared" si="1268"/>
        <v>#REF!</v>
      </c>
      <c r="C952" s="20" t="str">
        <f t="shared" ref="C952:D952" si="2849">#REF!</f>
        <v>#REF!</v>
      </c>
      <c r="D952" s="20" t="str">
        <f t="shared" si="2849"/>
        <v>#REF!</v>
      </c>
      <c r="E952" s="20" t="str">
        <f t="shared" si="1270"/>
        <v>#REF!</v>
      </c>
      <c r="F952" s="22" t="str">
        <f t="shared" si="2"/>
        <v>#REF!</v>
      </c>
      <c r="G952" s="20" t="str">
        <f t="shared" ref="G952:I952" si="2850">#REF!</f>
        <v>#REF!</v>
      </c>
      <c r="H952" s="20" t="str">
        <f t="shared" si="2850"/>
        <v>#REF!</v>
      </c>
      <c r="I952" s="20" t="str">
        <f t="shared" si="2850"/>
        <v>#REF!</v>
      </c>
      <c r="J952" s="20" t="str">
        <f t="shared" si="1272"/>
        <v>#REF!</v>
      </c>
      <c r="K952" s="20" t="str">
        <f t="shared" ref="K952:L952" si="2851">#REF!</f>
        <v>#REF!</v>
      </c>
      <c r="L952" s="20" t="str">
        <f t="shared" si="2851"/>
        <v>#REF!</v>
      </c>
    </row>
    <row r="953">
      <c r="A953" s="20" t="str">
        <f t="shared" si="1267"/>
        <v>#REF!</v>
      </c>
      <c r="B953" s="20" t="str">
        <f t="shared" si="1268"/>
        <v>#REF!</v>
      </c>
      <c r="C953" s="20" t="str">
        <f t="shared" ref="C953:D953" si="2852">#REF!</f>
        <v>#REF!</v>
      </c>
      <c r="D953" s="20" t="str">
        <f t="shared" si="2852"/>
        <v>#REF!</v>
      </c>
      <c r="E953" s="20" t="str">
        <f t="shared" si="1270"/>
        <v>#REF!</v>
      </c>
      <c r="F953" s="22" t="str">
        <f t="shared" si="2"/>
        <v>#REF!</v>
      </c>
      <c r="G953" s="20" t="str">
        <f t="shared" ref="G953:I953" si="2853">#REF!</f>
        <v>#REF!</v>
      </c>
      <c r="H953" s="20" t="str">
        <f t="shared" si="2853"/>
        <v>#REF!</v>
      </c>
      <c r="I953" s="20" t="str">
        <f t="shared" si="2853"/>
        <v>#REF!</v>
      </c>
      <c r="J953" s="20" t="str">
        <f t="shared" si="1272"/>
        <v>#REF!</v>
      </c>
      <c r="K953" s="20" t="str">
        <f t="shared" ref="K953:L953" si="2854">#REF!</f>
        <v>#REF!</v>
      </c>
      <c r="L953" s="20" t="str">
        <f t="shared" si="2854"/>
        <v>#REF!</v>
      </c>
    </row>
    <row r="954">
      <c r="A954" s="20" t="str">
        <f t="shared" si="1267"/>
        <v>#REF!</v>
      </c>
      <c r="B954" s="20" t="str">
        <f t="shared" si="1268"/>
        <v>#REF!</v>
      </c>
      <c r="C954" s="20" t="str">
        <f t="shared" ref="C954:D954" si="2855">#REF!</f>
        <v>#REF!</v>
      </c>
      <c r="D954" s="20" t="str">
        <f t="shared" si="2855"/>
        <v>#REF!</v>
      </c>
      <c r="E954" s="20" t="str">
        <f t="shared" si="1270"/>
        <v>#REF!</v>
      </c>
      <c r="F954" s="22" t="str">
        <f t="shared" si="2"/>
        <v>#REF!</v>
      </c>
      <c r="G954" s="20" t="str">
        <f t="shared" ref="G954:I954" si="2856">#REF!</f>
        <v>#REF!</v>
      </c>
      <c r="H954" s="20" t="str">
        <f t="shared" si="2856"/>
        <v>#REF!</v>
      </c>
      <c r="I954" s="20" t="str">
        <f t="shared" si="2856"/>
        <v>#REF!</v>
      </c>
      <c r="J954" s="20" t="str">
        <f t="shared" si="1272"/>
        <v>#REF!</v>
      </c>
      <c r="K954" s="20" t="str">
        <f t="shared" ref="K954:L954" si="2857">#REF!</f>
        <v>#REF!</v>
      </c>
      <c r="L954" s="20" t="str">
        <f t="shared" si="2857"/>
        <v>#REF!</v>
      </c>
    </row>
    <row r="955">
      <c r="A955" s="20" t="str">
        <f t="shared" si="1267"/>
        <v>#REF!</v>
      </c>
      <c r="B955" s="20" t="str">
        <f t="shared" si="1268"/>
        <v>#REF!</v>
      </c>
      <c r="C955" s="20" t="str">
        <f t="shared" ref="C955:D955" si="2858">#REF!</f>
        <v>#REF!</v>
      </c>
      <c r="D955" s="20" t="str">
        <f t="shared" si="2858"/>
        <v>#REF!</v>
      </c>
      <c r="E955" s="20" t="str">
        <f t="shared" si="1270"/>
        <v>#REF!</v>
      </c>
      <c r="F955" s="22" t="str">
        <f t="shared" si="2"/>
        <v>#REF!</v>
      </c>
      <c r="G955" s="20" t="str">
        <f t="shared" ref="G955:I955" si="2859">#REF!</f>
        <v>#REF!</v>
      </c>
      <c r="H955" s="20" t="str">
        <f t="shared" si="2859"/>
        <v>#REF!</v>
      </c>
      <c r="I955" s="20" t="str">
        <f t="shared" si="2859"/>
        <v>#REF!</v>
      </c>
      <c r="J955" s="20" t="str">
        <f t="shared" si="1272"/>
        <v>#REF!</v>
      </c>
      <c r="K955" s="20" t="str">
        <f t="shared" ref="K955:L955" si="2860">#REF!</f>
        <v>#REF!</v>
      </c>
      <c r="L955" s="20" t="str">
        <f t="shared" si="2860"/>
        <v>#REF!</v>
      </c>
    </row>
    <row r="956">
      <c r="A956" s="20" t="str">
        <f t="shared" si="1267"/>
        <v>#REF!</v>
      </c>
      <c r="B956" s="20" t="str">
        <f t="shared" si="1268"/>
        <v>#REF!</v>
      </c>
      <c r="C956" s="20" t="str">
        <f t="shared" ref="C956:D956" si="2861">#REF!</f>
        <v>#REF!</v>
      </c>
      <c r="D956" s="20" t="str">
        <f t="shared" si="2861"/>
        <v>#REF!</v>
      </c>
      <c r="E956" s="20" t="str">
        <f t="shared" si="1270"/>
        <v>#REF!</v>
      </c>
      <c r="F956" s="22" t="str">
        <f t="shared" si="2"/>
        <v>#REF!</v>
      </c>
      <c r="G956" s="20" t="str">
        <f t="shared" ref="G956:I956" si="2862">#REF!</f>
        <v>#REF!</v>
      </c>
      <c r="H956" s="20" t="str">
        <f t="shared" si="2862"/>
        <v>#REF!</v>
      </c>
      <c r="I956" s="20" t="str">
        <f t="shared" si="2862"/>
        <v>#REF!</v>
      </c>
      <c r="J956" s="20" t="str">
        <f t="shared" si="1272"/>
        <v>#REF!</v>
      </c>
      <c r="K956" s="20" t="str">
        <f t="shared" ref="K956:L956" si="2863">#REF!</f>
        <v>#REF!</v>
      </c>
      <c r="L956" s="20" t="str">
        <f t="shared" si="2863"/>
        <v>#REF!</v>
      </c>
    </row>
    <row r="957">
      <c r="A957" s="20" t="str">
        <f t="shared" si="1267"/>
        <v>#REF!</v>
      </c>
      <c r="B957" s="20" t="str">
        <f t="shared" si="1268"/>
        <v>#REF!</v>
      </c>
      <c r="C957" s="20" t="str">
        <f t="shared" ref="C957:D957" si="2864">#REF!</f>
        <v>#REF!</v>
      </c>
      <c r="D957" s="20" t="str">
        <f t="shared" si="2864"/>
        <v>#REF!</v>
      </c>
      <c r="E957" s="20" t="str">
        <f t="shared" si="1270"/>
        <v>#REF!</v>
      </c>
      <c r="F957" s="22" t="str">
        <f t="shared" si="2"/>
        <v>#REF!</v>
      </c>
      <c r="G957" s="20" t="str">
        <f t="shared" ref="G957:I957" si="2865">#REF!</f>
        <v>#REF!</v>
      </c>
      <c r="H957" s="20" t="str">
        <f t="shared" si="2865"/>
        <v>#REF!</v>
      </c>
      <c r="I957" s="20" t="str">
        <f t="shared" si="2865"/>
        <v>#REF!</v>
      </c>
      <c r="J957" s="20" t="str">
        <f t="shared" si="1272"/>
        <v>#REF!</v>
      </c>
      <c r="K957" s="20" t="str">
        <f t="shared" ref="K957:L957" si="2866">#REF!</f>
        <v>#REF!</v>
      </c>
      <c r="L957" s="20" t="str">
        <f t="shared" si="2866"/>
        <v>#REF!</v>
      </c>
    </row>
    <row r="958">
      <c r="A958" s="20" t="str">
        <f t="shared" si="1267"/>
        <v>#REF!</v>
      </c>
      <c r="B958" s="20" t="str">
        <f t="shared" si="1268"/>
        <v>#REF!</v>
      </c>
      <c r="C958" s="20" t="str">
        <f t="shared" ref="C958:D958" si="2867">#REF!</f>
        <v>#REF!</v>
      </c>
      <c r="D958" s="20" t="str">
        <f t="shared" si="2867"/>
        <v>#REF!</v>
      </c>
      <c r="E958" s="20" t="str">
        <f t="shared" si="1270"/>
        <v>#REF!</v>
      </c>
      <c r="F958" s="22" t="str">
        <f t="shared" si="2"/>
        <v>#REF!</v>
      </c>
      <c r="G958" s="20" t="str">
        <f t="shared" ref="G958:I958" si="2868">#REF!</f>
        <v>#REF!</v>
      </c>
      <c r="H958" s="20" t="str">
        <f t="shared" si="2868"/>
        <v>#REF!</v>
      </c>
      <c r="I958" s="20" t="str">
        <f t="shared" si="2868"/>
        <v>#REF!</v>
      </c>
      <c r="J958" s="20" t="str">
        <f t="shared" si="1272"/>
        <v>#REF!</v>
      </c>
      <c r="K958" s="20" t="str">
        <f t="shared" ref="K958:L958" si="2869">#REF!</f>
        <v>#REF!</v>
      </c>
      <c r="L958" s="20" t="str">
        <f t="shared" si="2869"/>
        <v>#REF!</v>
      </c>
    </row>
    <row r="959">
      <c r="A959" s="20" t="str">
        <f t="shared" si="1267"/>
        <v>#REF!</v>
      </c>
      <c r="B959" s="20" t="str">
        <f t="shared" si="1268"/>
        <v>#REF!</v>
      </c>
      <c r="C959" s="20" t="str">
        <f t="shared" ref="C959:D959" si="2870">#REF!</f>
        <v>#REF!</v>
      </c>
      <c r="D959" s="20" t="str">
        <f t="shared" si="2870"/>
        <v>#REF!</v>
      </c>
      <c r="E959" s="20" t="str">
        <f t="shared" si="1270"/>
        <v>#REF!</v>
      </c>
      <c r="F959" s="22" t="str">
        <f t="shared" si="2"/>
        <v>#REF!</v>
      </c>
      <c r="G959" s="20" t="str">
        <f t="shared" ref="G959:I959" si="2871">#REF!</f>
        <v>#REF!</v>
      </c>
      <c r="H959" s="20" t="str">
        <f t="shared" si="2871"/>
        <v>#REF!</v>
      </c>
      <c r="I959" s="20" t="str">
        <f t="shared" si="2871"/>
        <v>#REF!</v>
      </c>
      <c r="J959" s="20" t="str">
        <f t="shared" si="1272"/>
        <v>#REF!</v>
      </c>
      <c r="K959" s="20" t="str">
        <f t="shared" ref="K959:L959" si="2872">#REF!</f>
        <v>#REF!</v>
      </c>
      <c r="L959" s="20" t="str">
        <f t="shared" si="2872"/>
        <v>#REF!</v>
      </c>
    </row>
    <row r="960">
      <c r="A960" s="20" t="str">
        <f t="shared" si="1267"/>
        <v>#REF!</v>
      </c>
      <c r="B960" s="20" t="str">
        <f t="shared" si="1268"/>
        <v>#REF!</v>
      </c>
      <c r="C960" s="20" t="str">
        <f t="shared" ref="C960:D960" si="2873">#REF!</f>
        <v>#REF!</v>
      </c>
      <c r="D960" s="20" t="str">
        <f t="shared" si="2873"/>
        <v>#REF!</v>
      </c>
      <c r="E960" s="20" t="str">
        <f t="shared" si="1270"/>
        <v>#REF!</v>
      </c>
      <c r="F960" s="22" t="str">
        <f t="shared" si="2"/>
        <v>#REF!</v>
      </c>
      <c r="G960" s="20" t="str">
        <f t="shared" ref="G960:I960" si="2874">#REF!</f>
        <v>#REF!</v>
      </c>
      <c r="H960" s="20" t="str">
        <f t="shared" si="2874"/>
        <v>#REF!</v>
      </c>
      <c r="I960" s="20" t="str">
        <f t="shared" si="2874"/>
        <v>#REF!</v>
      </c>
      <c r="J960" s="20" t="str">
        <f t="shared" si="1272"/>
        <v>#REF!</v>
      </c>
      <c r="K960" s="20" t="str">
        <f t="shared" ref="K960:L960" si="2875">#REF!</f>
        <v>#REF!</v>
      </c>
      <c r="L960" s="20" t="str">
        <f t="shared" si="2875"/>
        <v>#REF!</v>
      </c>
    </row>
    <row r="961">
      <c r="A961" s="20" t="str">
        <f t="shared" si="1267"/>
        <v>#REF!</v>
      </c>
      <c r="B961" s="20" t="str">
        <f t="shared" si="1268"/>
        <v>#REF!</v>
      </c>
      <c r="C961" s="20" t="str">
        <f t="shared" ref="C961:D961" si="2876">#REF!</f>
        <v>#REF!</v>
      </c>
      <c r="D961" s="20" t="str">
        <f t="shared" si="2876"/>
        <v>#REF!</v>
      </c>
      <c r="E961" s="20" t="str">
        <f t="shared" si="1270"/>
        <v>#REF!</v>
      </c>
      <c r="F961" s="22" t="str">
        <f t="shared" si="2"/>
        <v>#REF!</v>
      </c>
      <c r="G961" s="20" t="str">
        <f t="shared" ref="G961:I961" si="2877">#REF!</f>
        <v>#REF!</v>
      </c>
      <c r="H961" s="20" t="str">
        <f t="shared" si="2877"/>
        <v>#REF!</v>
      </c>
      <c r="I961" s="20" t="str">
        <f t="shared" si="2877"/>
        <v>#REF!</v>
      </c>
      <c r="J961" s="20" t="str">
        <f t="shared" si="1272"/>
        <v>#REF!</v>
      </c>
      <c r="K961" s="20" t="str">
        <f t="shared" ref="K961:L961" si="2878">#REF!</f>
        <v>#REF!</v>
      </c>
      <c r="L961" s="20" t="str">
        <f t="shared" si="2878"/>
        <v>#REF!</v>
      </c>
    </row>
    <row r="962">
      <c r="A962" s="20" t="str">
        <f t="shared" si="1267"/>
        <v>#REF!</v>
      </c>
      <c r="B962" s="20" t="str">
        <f t="shared" si="1268"/>
        <v>#REF!</v>
      </c>
      <c r="C962" s="20" t="str">
        <f t="shared" ref="C962:D962" si="2879">#REF!</f>
        <v>#REF!</v>
      </c>
      <c r="D962" s="20" t="str">
        <f t="shared" si="2879"/>
        <v>#REF!</v>
      </c>
      <c r="E962" s="20" t="str">
        <f t="shared" si="1270"/>
        <v>#REF!</v>
      </c>
      <c r="F962" s="22" t="str">
        <f t="shared" si="2"/>
        <v>#REF!</v>
      </c>
      <c r="G962" s="20" t="str">
        <f t="shared" ref="G962:I962" si="2880">#REF!</f>
        <v>#REF!</v>
      </c>
      <c r="H962" s="20" t="str">
        <f t="shared" si="2880"/>
        <v>#REF!</v>
      </c>
      <c r="I962" s="20" t="str">
        <f t="shared" si="2880"/>
        <v>#REF!</v>
      </c>
      <c r="J962" s="20" t="str">
        <f t="shared" si="1272"/>
        <v>#REF!</v>
      </c>
      <c r="K962" s="20" t="str">
        <f t="shared" ref="K962:L962" si="2881">#REF!</f>
        <v>#REF!</v>
      </c>
      <c r="L962" s="20" t="str">
        <f t="shared" si="2881"/>
        <v>#REF!</v>
      </c>
    </row>
    <row r="963">
      <c r="A963" s="20" t="str">
        <f t="shared" si="1267"/>
        <v>#REF!</v>
      </c>
      <c r="B963" s="20" t="str">
        <f t="shared" si="1268"/>
        <v>#REF!</v>
      </c>
      <c r="C963" s="20" t="str">
        <f t="shared" ref="C963:D963" si="2882">#REF!</f>
        <v>#REF!</v>
      </c>
      <c r="D963" s="20" t="str">
        <f t="shared" si="2882"/>
        <v>#REF!</v>
      </c>
      <c r="E963" s="20" t="str">
        <f t="shared" si="1270"/>
        <v>#REF!</v>
      </c>
      <c r="F963" s="22" t="str">
        <f t="shared" si="2"/>
        <v>#REF!</v>
      </c>
      <c r="G963" s="20" t="str">
        <f t="shared" ref="G963:I963" si="2883">#REF!</f>
        <v>#REF!</v>
      </c>
      <c r="H963" s="20" t="str">
        <f t="shared" si="2883"/>
        <v>#REF!</v>
      </c>
      <c r="I963" s="20" t="str">
        <f t="shared" si="2883"/>
        <v>#REF!</v>
      </c>
      <c r="J963" s="20" t="str">
        <f t="shared" si="1272"/>
        <v>#REF!</v>
      </c>
      <c r="K963" s="20" t="str">
        <f t="shared" ref="K963:L963" si="2884">#REF!</f>
        <v>#REF!</v>
      </c>
      <c r="L963" s="20" t="str">
        <f t="shared" si="2884"/>
        <v>#REF!</v>
      </c>
    </row>
    <row r="964">
      <c r="A964" s="20" t="str">
        <f t="shared" si="1267"/>
        <v>#REF!</v>
      </c>
      <c r="B964" s="20" t="str">
        <f t="shared" si="1268"/>
        <v>#REF!</v>
      </c>
      <c r="C964" s="20" t="str">
        <f t="shared" ref="C964:D964" si="2885">#REF!</f>
        <v>#REF!</v>
      </c>
      <c r="D964" s="20" t="str">
        <f t="shared" si="2885"/>
        <v>#REF!</v>
      </c>
      <c r="E964" s="20" t="str">
        <f t="shared" si="1270"/>
        <v>#REF!</v>
      </c>
      <c r="F964" s="22" t="str">
        <f t="shared" si="2"/>
        <v>#REF!</v>
      </c>
      <c r="G964" s="20" t="str">
        <f t="shared" ref="G964:I964" si="2886">#REF!</f>
        <v>#REF!</v>
      </c>
      <c r="H964" s="20" t="str">
        <f t="shared" si="2886"/>
        <v>#REF!</v>
      </c>
      <c r="I964" s="20" t="str">
        <f t="shared" si="2886"/>
        <v>#REF!</v>
      </c>
      <c r="J964" s="20" t="str">
        <f t="shared" si="1272"/>
        <v>#REF!</v>
      </c>
      <c r="K964" s="20" t="str">
        <f t="shared" ref="K964:L964" si="2887">#REF!</f>
        <v>#REF!</v>
      </c>
      <c r="L964" s="20" t="str">
        <f t="shared" si="2887"/>
        <v>#REF!</v>
      </c>
    </row>
    <row r="965">
      <c r="A965" s="20" t="str">
        <f t="shared" si="1267"/>
        <v>#REF!</v>
      </c>
      <c r="B965" s="20" t="str">
        <f t="shared" si="1268"/>
        <v>#REF!</v>
      </c>
      <c r="C965" s="20" t="str">
        <f t="shared" ref="C965:D965" si="2888">#REF!</f>
        <v>#REF!</v>
      </c>
      <c r="D965" s="20" t="str">
        <f t="shared" si="2888"/>
        <v>#REF!</v>
      </c>
      <c r="E965" s="20" t="str">
        <f t="shared" si="1270"/>
        <v>#REF!</v>
      </c>
      <c r="F965" s="22" t="str">
        <f t="shared" si="2"/>
        <v>#REF!</v>
      </c>
      <c r="G965" s="20" t="str">
        <f t="shared" ref="G965:I965" si="2889">#REF!</f>
        <v>#REF!</v>
      </c>
      <c r="H965" s="20" t="str">
        <f t="shared" si="2889"/>
        <v>#REF!</v>
      </c>
      <c r="I965" s="20" t="str">
        <f t="shared" si="2889"/>
        <v>#REF!</v>
      </c>
      <c r="J965" s="20" t="str">
        <f t="shared" si="1272"/>
        <v>#REF!</v>
      </c>
      <c r="K965" s="20" t="str">
        <f t="shared" ref="K965:L965" si="2890">#REF!</f>
        <v>#REF!</v>
      </c>
      <c r="L965" s="20" t="str">
        <f t="shared" si="2890"/>
        <v>#REF!</v>
      </c>
    </row>
    <row r="966">
      <c r="A966" s="20" t="str">
        <f t="shared" si="1267"/>
        <v>#REF!</v>
      </c>
      <c r="B966" s="20" t="str">
        <f t="shared" si="1268"/>
        <v>#REF!</v>
      </c>
      <c r="C966" s="20" t="str">
        <f t="shared" ref="C966:D966" si="2891">#REF!</f>
        <v>#REF!</v>
      </c>
      <c r="D966" s="20" t="str">
        <f t="shared" si="2891"/>
        <v>#REF!</v>
      </c>
      <c r="E966" s="20" t="str">
        <f t="shared" si="1270"/>
        <v>#REF!</v>
      </c>
      <c r="F966" s="22" t="str">
        <f t="shared" si="2"/>
        <v>#REF!</v>
      </c>
      <c r="G966" s="20" t="str">
        <f t="shared" ref="G966:I966" si="2892">#REF!</f>
        <v>#REF!</v>
      </c>
      <c r="H966" s="20" t="str">
        <f t="shared" si="2892"/>
        <v>#REF!</v>
      </c>
      <c r="I966" s="20" t="str">
        <f t="shared" si="2892"/>
        <v>#REF!</v>
      </c>
      <c r="J966" s="20" t="str">
        <f t="shared" si="1272"/>
        <v>#REF!</v>
      </c>
      <c r="K966" s="20" t="str">
        <f t="shared" ref="K966:L966" si="2893">#REF!</f>
        <v>#REF!</v>
      </c>
      <c r="L966" s="20" t="str">
        <f t="shared" si="2893"/>
        <v>#REF!</v>
      </c>
    </row>
    <row r="967">
      <c r="A967" s="20" t="str">
        <f t="shared" si="1267"/>
        <v>#REF!</v>
      </c>
      <c r="B967" s="20" t="str">
        <f t="shared" si="1268"/>
        <v>#REF!</v>
      </c>
      <c r="C967" s="20" t="str">
        <f t="shared" ref="C967:D967" si="2894">#REF!</f>
        <v>#REF!</v>
      </c>
      <c r="D967" s="20" t="str">
        <f t="shared" si="2894"/>
        <v>#REF!</v>
      </c>
      <c r="E967" s="20" t="str">
        <f t="shared" si="1270"/>
        <v>#REF!</v>
      </c>
      <c r="F967" s="22" t="str">
        <f t="shared" si="2"/>
        <v>#REF!</v>
      </c>
      <c r="G967" s="20" t="str">
        <f t="shared" ref="G967:I967" si="2895">#REF!</f>
        <v>#REF!</v>
      </c>
      <c r="H967" s="20" t="str">
        <f t="shared" si="2895"/>
        <v>#REF!</v>
      </c>
      <c r="I967" s="20" t="str">
        <f t="shared" si="2895"/>
        <v>#REF!</v>
      </c>
      <c r="J967" s="20" t="str">
        <f t="shared" si="1272"/>
        <v>#REF!</v>
      </c>
      <c r="K967" s="20" t="str">
        <f t="shared" ref="K967:L967" si="2896">#REF!</f>
        <v>#REF!</v>
      </c>
      <c r="L967" s="20" t="str">
        <f t="shared" si="2896"/>
        <v>#REF!</v>
      </c>
    </row>
    <row r="968">
      <c r="A968" s="20" t="str">
        <f t="shared" si="1267"/>
        <v>#REF!</v>
      </c>
      <c r="B968" s="20" t="str">
        <f t="shared" si="1268"/>
        <v>#REF!</v>
      </c>
      <c r="C968" s="20" t="str">
        <f t="shared" ref="C968:D968" si="2897">#REF!</f>
        <v>#REF!</v>
      </c>
      <c r="D968" s="20" t="str">
        <f t="shared" si="2897"/>
        <v>#REF!</v>
      </c>
      <c r="E968" s="20" t="str">
        <f t="shared" si="1270"/>
        <v>#REF!</v>
      </c>
      <c r="F968" s="22" t="str">
        <f t="shared" si="2"/>
        <v>#REF!</v>
      </c>
      <c r="G968" s="20" t="str">
        <f t="shared" ref="G968:I968" si="2898">#REF!</f>
        <v>#REF!</v>
      </c>
      <c r="H968" s="20" t="str">
        <f t="shared" si="2898"/>
        <v>#REF!</v>
      </c>
      <c r="I968" s="20" t="str">
        <f t="shared" si="2898"/>
        <v>#REF!</v>
      </c>
      <c r="J968" s="20" t="str">
        <f t="shared" si="1272"/>
        <v>#REF!</v>
      </c>
      <c r="K968" s="20" t="str">
        <f t="shared" ref="K968:L968" si="2899">#REF!</f>
        <v>#REF!</v>
      </c>
      <c r="L968" s="20" t="str">
        <f t="shared" si="2899"/>
        <v>#REF!</v>
      </c>
    </row>
    <row r="969">
      <c r="A969" s="20" t="str">
        <f t="shared" si="1267"/>
        <v>#REF!</v>
      </c>
      <c r="B969" s="20" t="str">
        <f t="shared" si="1268"/>
        <v>#REF!</v>
      </c>
      <c r="C969" s="20" t="str">
        <f t="shared" ref="C969:D969" si="2900">#REF!</f>
        <v>#REF!</v>
      </c>
      <c r="D969" s="20" t="str">
        <f t="shared" si="2900"/>
        <v>#REF!</v>
      </c>
      <c r="E969" s="20" t="str">
        <f t="shared" si="1270"/>
        <v>#REF!</v>
      </c>
      <c r="F969" s="22" t="str">
        <f t="shared" si="2"/>
        <v>#REF!</v>
      </c>
      <c r="G969" s="20" t="str">
        <f t="shared" ref="G969:I969" si="2901">#REF!</f>
        <v>#REF!</v>
      </c>
      <c r="H969" s="20" t="str">
        <f t="shared" si="2901"/>
        <v>#REF!</v>
      </c>
      <c r="I969" s="20" t="str">
        <f t="shared" si="2901"/>
        <v>#REF!</v>
      </c>
      <c r="J969" s="20" t="str">
        <f t="shared" si="1272"/>
        <v>#REF!</v>
      </c>
      <c r="K969" s="20" t="str">
        <f t="shared" ref="K969:L969" si="2902">#REF!</f>
        <v>#REF!</v>
      </c>
      <c r="L969" s="20" t="str">
        <f t="shared" si="2902"/>
        <v>#REF!</v>
      </c>
    </row>
    <row r="970">
      <c r="A970" s="20" t="str">
        <f t="shared" si="1267"/>
        <v>#REF!</v>
      </c>
      <c r="B970" s="20" t="str">
        <f t="shared" si="1268"/>
        <v>#REF!</v>
      </c>
      <c r="C970" s="20" t="str">
        <f t="shared" ref="C970:D970" si="2903">#REF!</f>
        <v>#REF!</v>
      </c>
      <c r="D970" s="20" t="str">
        <f t="shared" si="2903"/>
        <v>#REF!</v>
      </c>
      <c r="E970" s="20" t="str">
        <f t="shared" si="1270"/>
        <v>#REF!</v>
      </c>
      <c r="F970" s="22" t="str">
        <f t="shared" si="2"/>
        <v>#REF!</v>
      </c>
      <c r="G970" s="20" t="str">
        <f t="shared" ref="G970:I970" si="2904">#REF!</f>
        <v>#REF!</v>
      </c>
      <c r="H970" s="20" t="str">
        <f t="shared" si="2904"/>
        <v>#REF!</v>
      </c>
      <c r="I970" s="20" t="str">
        <f t="shared" si="2904"/>
        <v>#REF!</v>
      </c>
      <c r="J970" s="20" t="str">
        <f t="shared" si="1272"/>
        <v>#REF!</v>
      </c>
      <c r="K970" s="20" t="str">
        <f t="shared" ref="K970:L970" si="2905">#REF!</f>
        <v>#REF!</v>
      </c>
      <c r="L970" s="20" t="str">
        <f t="shared" si="2905"/>
        <v>#REF!</v>
      </c>
    </row>
    <row r="971">
      <c r="A971" s="20" t="str">
        <f t="shared" si="1267"/>
        <v>#REF!</v>
      </c>
      <c r="B971" s="20" t="str">
        <f t="shared" si="1268"/>
        <v>#REF!</v>
      </c>
      <c r="C971" s="20" t="str">
        <f t="shared" ref="C971:D971" si="2906">#REF!</f>
        <v>#REF!</v>
      </c>
      <c r="D971" s="20" t="str">
        <f t="shared" si="2906"/>
        <v>#REF!</v>
      </c>
      <c r="E971" s="20" t="str">
        <f t="shared" si="1270"/>
        <v>#REF!</v>
      </c>
      <c r="F971" s="22" t="str">
        <f t="shared" si="2"/>
        <v>#REF!</v>
      </c>
      <c r="G971" s="20" t="str">
        <f t="shared" ref="G971:I971" si="2907">#REF!</f>
        <v>#REF!</v>
      </c>
      <c r="H971" s="20" t="str">
        <f t="shared" si="2907"/>
        <v>#REF!</v>
      </c>
      <c r="I971" s="20" t="str">
        <f t="shared" si="2907"/>
        <v>#REF!</v>
      </c>
      <c r="J971" s="20" t="str">
        <f t="shared" si="1272"/>
        <v>#REF!</v>
      </c>
      <c r="K971" s="20" t="str">
        <f t="shared" ref="K971:L971" si="2908">#REF!</f>
        <v>#REF!</v>
      </c>
      <c r="L971" s="20" t="str">
        <f t="shared" si="2908"/>
        <v>#REF!</v>
      </c>
    </row>
    <row r="972">
      <c r="A972" s="20" t="str">
        <f t="shared" si="1267"/>
        <v>#REF!</v>
      </c>
      <c r="B972" s="20" t="str">
        <f t="shared" si="1268"/>
        <v>#REF!</v>
      </c>
      <c r="C972" s="20" t="str">
        <f t="shared" ref="C972:D972" si="2909">#REF!</f>
        <v>#REF!</v>
      </c>
      <c r="D972" s="20" t="str">
        <f t="shared" si="2909"/>
        <v>#REF!</v>
      </c>
      <c r="E972" s="20" t="str">
        <f t="shared" si="1270"/>
        <v>#REF!</v>
      </c>
      <c r="F972" s="22" t="str">
        <f t="shared" si="2"/>
        <v>#REF!</v>
      </c>
      <c r="G972" s="20" t="str">
        <f t="shared" ref="G972:I972" si="2910">#REF!</f>
        <v>#REF!</v>
      </c>
      <c r="H972" s="20" t="str">
        <f t="shared" si="2910"/>
        <v>#REF!</v>
      </c>
      <c r="I972" s="20" t="str">
        <f t="shared" si="2910"/>
        <v>#REF!</v>
      </c>
      <c r="J972" s="20" t="str">
        <f t="shared" si="1272"/>
        <v>#REF!</v>
      </c>
      <c r="K972" s="20" t="str">
        <f t="shared" ref="K972:L972" si="2911">#REF!</f>
        <v>#REF!</v>
      </c>
      <c r="L972" s="20" t="str">
        <f t="shared" si="2911"/>
        <v>#REF!</v>
      </c>
    </row>
    <row r="973">
      <c r="A973" s="20" t="str">
        <f t="shared" si="1267"/>
        <v>#REF!</v>
      </c>
      <c r="B973" s="20" t="str">
        <f t="shared" si="1268"/>
        <v>#REF!</v>
      </c>
      <c r="C973" s="20" t="str">
        <f t="shared" ref="C973:D973" si="2912">#REF!</f>
        <v>#REF!</v>
      </c>
      <c r="D973" s="20" t="str">
        <f t="shared" si="2912"/>
        <v>#REF!</v>
      </c>
      <c r="E973" s="20" t="str">
        <f t="shared" si="1270"/>
        <v>#REF!</v>
      </c>
      <c r="F973" s="22" t="str">
        <f t="shared" si="2"/>
        <v>#REF!</v>
      </c>
      <c r="G973" s="20" t="str">
        <f t="shared" ref="G973:I973" si="2913">#REF!</f>
        <v>#REF!</v>
      </c>
      <c r="H973" s="20" t="str">
        <f t="shared" si="2913"/>
        <v>#REF!</v>
      </c>
      <c r="I973" s="20" t="str">
        <f t="shared" si="2913"/>
        <v>#REF!</v>
      </c>
      <c r="J973" s="20" t="str">
        <f t="shared" si="1272"/>
        <v>#REF!</v>
      </c>
      <c r="K973" s="20" t="str">
        <f t="shared" ref="K973:L973" si="2914">#REF!</f>
        <v>#REF!</v>
      </c>
      <c r="L973" s="20" t="str">
        <f t="shared" si="2914"/>
        <v>#REF!</v>
      </c>
    </row>
    <row r="974">
      <c r="A974" s="20" t="str">
        <f t="shared" si="1267"/>
        <v>#REF!</v>
      </c>
      <c r="B974" s="20" t="str">
        <f t="shared" si="1268"/>
        <v>#REF!</v>
      </c>
      <c r="C974" s="20" t="str">
        <f t="shared" ref="C974:D974" si="2915">#REF!</f>
        <v>#REF!</v>
      </c>
      <c r="D974" s="20" t="str">
        <f t="shared" si="2915"/>
        <v>#REF!</v>
      </c>
      <c r="E974" s="20" t="str">
        <f t="shared" si="1270"/>
        <v>#REF!</v>
      </c>
      <c r="F974" s="22" t="str">
        <f t="shared" si="2"/>
        <v>#REF!</v>
      </c>
      <c r="G974" s="20" t="str">
        <f t="shared" ref="G974:I974" si="2916">#REF!</f>
        <v>#REF!</v>
      </c>
      <c r="H974" s="20" t="str">
        <f t="shared" si="2916"/>
        <v>#REF!</v>
      </c>
      <c r="I974" s="20" t="str">
        <f t="shared" si="2916"/>
        <v>#REF!</v>
      </c>
      <c r="J974" s="20" t="str">
        <f t="shared" si="1272"/>
        <v>#REF!</v>
      </c>
      <c r="K974" s="20" t="str">
        <f t="shared" ref="K974:L974" si="2917">#REF!</f>
        <v>#REF!</v>
      </c>
      <c r="L974" s="20" t="str">
        <f t="shared" si="2917"/>
        <v>#REF!</v>
      </c>
    </row>
    <row r="975">
      <c r="A975" s="20" t="str">
        <f t="shared" si="1267"/>
        <v>#REF!</v>
      </c>
      <c r="B975" s="20" t="str">
        <f t="shared" si="1268"/>
        <v>#REF!</v>
      </c>
      <c r="C975" s="20" t="str">
        <f t="shared" ref="C975:D975" si="2918">#REF!</f>
        <v>#REF!</v>
      </c>
      <c r="D975" s="20" t="str">
        <f t="shared" si="2918"/>
        <v>#REF!</v>
      </c>
      <c r="E975" s="20" t="str">
        <f t="shared" si="1270"/>
        <v>#REF!</v>
      </c>
      <c r="F975" s="22" t="str">
        <f t="shared" si="2"/>
        <v>#REF!</v>
      </c>
      <c r="G975" s="20" t="str">
        <f t="shared" ref="G975:I975" si="2919">#REF!</f>
        <v>#REF!</v>
      </c>
      <c r="H975" s="20" t="str">
        <f t="shared" si="2919"/>
        <v>#REF!</v>
      </c>
      <c r="I975" s="20" t="str">
        <f t="shared" si="2919"/>
        <v>#REF!</v>
      </c>
      <c r="J975" s="20" t="str">
        <f t="shared" si="1272"/>
        <v>#REF!</v>
      </c>
      <c r="K975" s="20" t="str">
        <f t="shared" ref="K975:L975" si="2920">#REF!</f>
        <v>#REF!</v>
      </c>
      <c r="L975" s="20" t="str">
        <f t="shared" si="2920"/>
        <v>#REF!</v>
      </c>
    </row>
    <row r="976">
      <c r="A976" s="20" t="str">
        <f t="shared" si="1267"/>
        <v>#REF!</v>
      </c>
      <c r="B976" s="20" t="str">
        <f t="shared" si="1268"/>
        <v>#REF!</v>
      </c>
      <c r="C976" s="20" t="str">
        <f t="shared" ref="C976:D976" si="2921">#REF!</f>
        <v>#REF!</v>
      </c>
      <c r="D976" s="20" t="str">
        <f t="shared" si="2921"/>
        <v>#REF!</v>
      </c>
      <c r="E976" s="20" t="str">
        <f t="shared" si="1270"/>
        <v>#REF!</v>
      </c>
      <c r="F976" s="22" t="str">
        <f t="shared" si="2"/>
        <v>#REF!</v>
      </c>
      <c r="G976" s="20" t="str">
        <f t="shared" ref="G976:I976" si="2922">#REF!</f>
        <v>#REF!</v>
      </c>
      <c r="H976" s="20" t="str">
        <f t="shared" si="2922"/>
        <v>#REF!</v>
      </c>
      <c r="I976" s="20" t="str">
        <f t="shared" si="2922"/>
        <v>#REF!</v>
      </c>
      <c r="J976" s="20" t="str">
        <f t="shared" si="1272"/>
        <v>#REF!</v>
      </c>
      <c r="K976" s="20" t="str">
        <f t="shared" ref="K976:L976" si="2923">#REF!</f>
        <v>#REF!</v>
      </c>
      <c r="L976" s="20" t="str">
        <f t="shared" si="2923"/>
        <v>#REF!</v>
      </c>
    </row>
    <row r="977">
      <c r="A977" s="20" t="str">
        <f t="shared" si="1267"/>
        <v>#REF!</v>
      </c>
      <c r="B977" s="20" t="str">
        <f t="shared" si="1268"/>
        <v>#REF!</v>
      </c>
      <c r="C977" s="20" t="str">
        <f t="shared" ref="C977:D977" si="2924">#REF!</f>
        <v>#REF!</v>
      </c>
      <c r="D977" s="20" t="str">
        <f t="shared" si="2924"/>
        <v>#REF!</v>
      </c>
      <c r="E977" s="20" t="str">
        <f t="shared" si="1270"/>
        <v>#REF!</v>
      </c>
      <c r="F977" s="22" t="str">
        <f t="shared" si="2"/>
        <v>#REF!</v>
      </c>
      <c r="G977" s="20" t="str">
        <f t="shared" ref="G977:I977" si="2925">#REF!</f>
        <v>#REF!</v>
      </c>
      <c r="H977" s="20" t="str">
        <f t="shared" si="2925"/>
        <v>#REF!</v>
      </c>
      <c r="I977" s="20" t="str">
        <f t="shared" si="2925"/>
        <v>#REF!</v>
      </c>
      <c r="J977" s="20" t="str">
        <f t="shared" si="1272"/>
        <v>#REF!</v>
      </c>
      <c r="K977" s="20" t="str">
        <f t="shared" ref="K977:L977" si="2926">#REF!</f>
        <v>#REF!</v>
      </c>
      <c r="L977" s="20" t="str">
        <f t="shared" si="2926"/>
        <v>#REF!</v>
      </c>
    </row>
    <row r="978">
      <c r="A978" s="20" t="str">
        <f t="shared" si="1267"/>
        <v>#REF!</v>
      </c>
      <c r="B978" s="20" t="str">
        <f t="shared" si="1268"/>
        <v>#REF!</v>
      </c>
      <c r="C978" s="20" t="str">
        <f t="shared" ref="C978:D978" si="2927">#REF!</f>
        <v>#REF!</v>
      </c>
      <c r="D978" s="20" t="str">
        <f t="shared" si="2927"/>
        <v>#REF!</v>
      </c>
      <c r="E978" s="20" t="str">
        <f t="shared" si="1270"/>
        <v>#REF!</v>
      </c>
      <c r="F978" s="22" t="str">
        <f t="shared" si="2"/>
        <v>#REF!</v>
      </c>
      <c r="G978" s="20" t="str">
        <f t="shared" ref="G978:I978" si="2928">#REF!</f>
        <v>#REF!</v>
      </c>
      <c r="H978" s="20" t="str">
        <f t="shared" si="2928"/>
        <v>#REF!</v>
      </c>
      <c r="I978" s="20" t="str">
        <f t="shared" si="2928"/>
        <v>#REF!</v>
      </c>
      <c r="J978" s="20" t="str">
        <f t="shared" si="1272"/>
        <v>#REF!</v>
      </c>
      <c r="K978" s="20" t="str">
        <f t="shared" ref="K978:L978" si="2929">#REF!</f>
        <v>#REF!</v>
      </c>
      <c r="L978" s="20" t="str">
        <f t="shared" si="2929"/>
        <v>#REF!</v>
      </c>
    </row>
    <row r="979">
      <c r="A979" s="20" t="str">
        <f t="shared" si="1267"/>
        <v>#REF!</v>
      </c>
      <c r="B979" s="20" t="str">
        <f t="shared" si="1268"/>
        <v>#REF!</v>
      </c>
      <c r="C979" s="20" t="str">
        <f t="shared" ref="C979:D979" si="2930">#REF!</f>
        <v>#REF!</v>
      </c>
      <c r="D979" s="20" t="str">
        <f t="shared" si="2930"/>
        <v>#REF!</v>
      </c>
      <c r="E979" s="20" t="str">
        <f t="shared" si="1270"/>
        <v>#REF!</v>
      </c>
      <c r="F979" s="22" t="str">
        <f t="shared" si="2"/>
        <v>#REF!</v>
      </c>
      <c r="G979" s="20" t="str">
        <f t="shared" ref="G979:I979" si="2931">#REF!</f>
        <v>#REF!</v>
      </c>
      <c r="H979" s="20" t="str">
        <f t="shared" si="2931"/>
        <v>#REF!</v>
      </c>
      <c r="I979" s="20" t="str">
        <f t="shared" si="2931"/>
        <v>#REF!</v>
      </c>
      <c r="J979" s="20" t="str">
        <f t="shared" si="1272"/>
        <v>#REF!</v>
      </c>
      <c r="K979" s="20" t="str">
        <f t="shared" ref="K979:L979" si="2932">#REF!</f>
        <v>#REF!</v>
      </c>
      <c r="L979" s="20" t="str">
        <f t="shared" si="2932"/>
        <v>#REF!</v>
      </c>
    </row>
    <row r="980">
      <c r="A980" s="20" t="str">
        <f t="shared" si="1267"/>
        <v>#REF!</v>
      </c>
      <c r="B980" s="20" t="str">
        <f t="shared" si="1268"/>
        <v>#REF!</v>
      </c>
      <c r="C980" s="20" t="str">
        <f t="shared" ref="C980:D980" si="2933">#REF!</f>
        <v>#REF!</v>
      </c>
      <c r="D980" s="20" t="str">
        <f t="shared" si="2933"/>
        <v>#REF!</v>
      </c>
      <c r="E980" s="20" t="str">
        <f t="shared" si="1270"/>
        <v>#REF!</v>
      </c>
      <c r="F980" s="22" t="str">
        <f t="shared" si="2"/>
        <v>#REF!</v>
      </c>
      <c r="G980" s="20" t="str">
        <f t="shared" ref="G980:I980" si="2934">#REF!</f>
        <v>#REF!</v>
      </c>
      <c r="H980" s="20" t="str">
        <f t="shared" si="2934"/>
        <v>#REF!</v>
      </c>
      <c r="I980" s="20" t="str">
        <f t="shared" si="2934"/>
        <v>#REF!</v>
      </c>
      <c r="J980" s="20" t="str">
        <f t="shared" si="1272"/>
        <v>#REF!</v>
      </c>
      <c r="K980" s="20" t="str">
        <f t="shared" ref="K980:L980" si="2935">#REF!</f>
        <v>#REF!</v>
      </c>
      <c r="L980" s="20" t="str">
        <f t="shared" si="2935"/>
        <v>#REF!</v>
      </c>
    </row>
    <row r="981">
      <c r="A981" s="20" t="str">
        <f t="shared" si="1267"/>
        <v>#REF!</v>
      </c>
      <c r="B981" s="20" t="str">
        <f t="shared" si="1268"/>
        <v>#REF!</v>
      </c>
      <c r="C981" s="20" t="str">
        <f t="shared" ref="C981:D981" si="2936">#REF!</f>
        <v>#REF!</v>
      </c>
      <c r="D981" s="20" t="str">
        <f t="shared" si="2936"/>
        <v>#REF!</v>
      </c>
      <c r="E981" s="20" t="str">
        <f t="shared" si="1270"/>
        <v>#REF!</v>
      </c>
      <c r="F981" s="22" t="str">
        <f t="shared" si="2"/>
        <v>#REF!</v>
      </c>
      <c r="G981" s="20" t="str">
        <f t="shared" ref="G981:I981" si="2937">#REF!</f>
        <v>#REF!</v>
      </c>
      <c r="H981" s="20" t="str">
        <f t="shared" si="2937"/>
        <v>#REF!</v>
      </c>
      <c r="I981" s="20" t="str">
        <f t="shared" si="2937"/>
        <v>#REF!</v>
      </c>
      <c r="J981" s="20" t="str">
        <f t="shared" si="1272"/>
        <v>#REF!</v>
      </c>
      <c r="K981" s="20" t="str">
        <f t="shared" ref="K981:L981" si="2938">#REF!</f>
        <v>#REF!</v>
      </c>
      <c r="L981" s="20" t="str">
        <f t="shared" si="2938"/>
        <v>#REF!</v>
      </c>
    </row>
    <row r="982">
      <c r="A982" s="20" t="str">
        <f t="shared" si="1267"/>
        <v>#REF!</v>
      </c>
      <c r="B982" s="20" t="str">
        <f t="shared" si="1268"/>
        <v>#REF!</v>
      </c>
      <c r="C982" s="20" t="str">
        <f t="shared" ref="C982:D982" si="2939">#REF!</f>
        <v>#REF!</v>
      </c>
      <c r="D982" s="20" t="str">
        <f t="shared" si="2939"/>
        <v>#REF!</v>
      </c>
      <c r="E982" s="20" t="str">
        <f t="shared" si="1270"/>
        <v>#REF!</v>
      </c>
      <c r="F982" s="22" t="str">
        <f t="shared" si="2"/>
        <v>#REF!</v>
      </c>
      <c r="G982" s="20" t="str">
        <f t="shared" ref="G982:I982" si="2940">#REF!</f>
        <v>#REF!</v>
      </c>
      <c r="H982" s="20" t="str">
        <f t="shared" si="2940"/>
        <v>#REF!</v>
      </c>
      <c r="I982" s="20" t="str">
        <f t="shared" si="2940"/>
        <v>#REF!</v>
      </c>
      <c r="J982" s="20" t="str">
        <f t="shared" si="1272"/>
        <v>#REF!</v>
      </c>
      <c r="K982" s="20" t="str">
        <f t="shared" ref="K982:L982" si="2941">#REF!</f>
        <v>#REF!</v>
      </c>
      <c r="L982" s="20" t="str">
        <f t="shared" si="2941"/>
        <v>#REF!</v>
      </c>
    </row>
    <row r="983">
      <c r="A983" s="20" t="str">
        <f t="shared" si="1267"/>
        <v>#REF!</v>
      </c>
      <c r="B983" s="20" t="str">
        <f t="shared" si="1268"/>
        <v>#REF!</v>
      </c>
      <c r="C983" s="20" t="str">
        <f t="shared" ref="C983:D983" si="2942">#REF!</f>
        <v>#REF!</v>
      </c>
      <c r="D983" s="20" t="str">
        <f t="shared" si="2942"/>
        <v>#REF!</v>
      </c>
      <c r="E983" s="20" t="str">
        <f t="shared" si="1270"/>
        <v>#REF!</v>
      </c>
      <c r="F983" s="22" t="str">
        <f t="shared" si="2"/>
        <v>#REF!</v>
      </c>
      <c r="G983" s="20" t="str">
        <f t="shared" ref="G983:I983" si="2943">#REF!</f>
        <v>#REF!</v>
      </c>
      <c r="H983" s="20" t="str">
        <f t="shared" si="2943"/>
        <v>#REF!</v>
      </c>
      <c r="I983" s="20" t="str">
        <f t="shared" si="2943"/>
        <v>#REF!</v>
      </c>
      <c r="J983" s="20" t="str">
        <f t="shared" si="1272"/>
        <v>#REF!</v>
      </c>
      <c r="K983" s="20" t="str">
        <f t="shared" ref="K983:L983" si="2944">#REF!</f>
        <v>#REF!</v>
      </c>
      <c r="L983" s="20" t="str">
        <f t="shared" si="2944"/>
        <v>#REF!</v>
      </c>
    </row>
    <row r="984">
      <c r="A984" s="20" t="str">
        <f t="shared" si="1267"/>
        <v>#REF!</v>
      </c>
      <c r="B984" s="20" t="str">
        <f t="shared" si="1268"/>
        <v>#REF!</v>
      </c>
      <c r="C984" s="20" t="str">
        <f t="shared" ref="C984:D984" si="2945">#REF!</f>
        <v>#REF!</v>
      </c>
      <c r="D984" s="20" t="str">
        <f t="shared" si="2945"/>
        <v>#REF!</v>
      </c>
      <c r="E984" s="20" t="str">
        <f t="shared" si="1270"/>
        <v>#REF!</v>
      </c>
      <c r="F984" s="22" t="str">
        <f t="shared" si="2"/>
        <v>#REF!</v>
      </c>
      <c r="G984" s="20" t="str">
        <f t="shared" ref="G984:I984" si="2946">#REF!</f>
        <v>#REF!</v>
      </c>
      <c r="H984" s="20" t="str">
        <f t="shared" si="2946"/>
        <v>#REF!</v>
      </c>
      <c r="I984" s="20" t="str">
        <f t="shared" si="2946"/>
        <v>#REF!</v>
      </c>
      <c r="J984" s="20" t="str">
        <f t="shared" si="1272"/>
        <v>#REF!</v>
      </c>
      <c r="K984" s="20" t="str">
        <f t="shared" ref="K984:L984" si="2947">#REF!</f>
        <v>#REF!</v>
      </c>
      <c r="L984" s="20" t="str">
        <f t="shared" si="2947"/>
        <v>#REF!</v>
      </c>
    </row>
    <row r="985">
      <c r="A985" s="20" t="str">
        <f t="shared" si="1267"/>
        <v>#REF!</v>
      </c>
      <c r="B985" s="20" t="str">
        <f t="shared" si="1268"/>
        <v>#REF!</v>
      </c>
      <c r="C985" s="20" t="str">
        <f t="shared" ref="C985:D985" si="2948">#REF!</f>
        <v>#REF!</v>
      </c>
      <c r="D985" s="20" t="str">
        <f t="shared" si="2948"/>
        <v>#REF!</v>
      </c>
      <c r="E985" s="20" t="str">
        <f t="shared" si="1270"/>
        <v>#REF!</v>
      </c>
      <c r="F985" s="22" t="str">
        <f t="shared" si="2"/>
        <v>#REF!</v>
      </c>
      <c r="G985" s="20" t="str">
        <f t="shared" ref="G985:I985" si="2949">#REF!</f>
        <v>#REF!</v>
      </c>
      <c r="H985" s="20" t="str">
        <f t="shared" si="2949"/>
        <v>#REF!</v>
      </c>
      <c r="I985" s="20" t="str">
        <f t="shared" si="2949"/>
        <v>#REF!</v>
      </c>
      <c r="J985" s="20" t="str">
        <f t="shared" si="1272"/>
        <v>#REF!</v>
      </c>
      <c r="K985" s="20" t="str">
        <f t="shared" ref="K985:L985" si="2950">#REF!</f>
        <v>#REF!</v>
      </c>
      <c r="L985" s="20" t="str">
        <f t="shared" si="2950"/>
        <v>#REF!</v>
      </c>
    </row>
    <row r="986">
      <c r="A986" s="20" t="str">
        <f t="shared" si="1267"/>
        <v>#REF!</v>
      </c>
      <c r="B986" s="20" t="str">
        <f t="shared" si="1268"/>
        <v>#REF!</v>
      </c>
      <c r="C986" s="20" t="str">
        <f t="shared" ref="C986:D986" si="2951">#REF!</f>
        <v>#REF!</v>
      </c>
      <c r="D986" s="20" t="str">
        <f t="shared" si="2951"/>
        <v>#REF!</v>
      </c>
      <c r="E986" s="20" t="str">
        <f t="shared" si="1270"/>
        <v>#REF!</v>
      </c>
      <c r="F986" s="22" t="str">
        <f t="shared" si="2"/>
        <v>#REF!</v>
      </c>
      <c r="G986" s="20" t="str">
        <f t="shared" ref="G986:I986" si="2952">#REF!</f>
        <v>#REF!</v>
      </c>
      <c r="H986" s="20" t="str">
        <f t="shared" si="2952"/>
        <v>#REF!</v>
      </c>
      <c r="I986" s="20" t="str">
        <f t="shared" si="2952"/>
        <v>#REF!</v>
      </c>
      <c r="J986" s="20" t="str">
        <f t="shared" si="1272"/>
        <v>#REF!</v>
      </c>
      <c r="K986" s="20" t="str">
        <f t="shared" ref="K986:L986" si="2953">#REF!</f>
        <v>#REF!</v>
      </c>
      <c r="L986" s="20" t="str">
        <f t="shared" si="2953"/>
        <v>#REF!</v>
      </c>
    </row>
    <row r="987">
      <c r="A987" s="20" t="str">
        <f t="shared" si="1267"/>
        <v>#REF!</v>
      </c>
      <c r="B987" s="20" t="str">
        <f t="shared" si="1268"/>
        <v>#REF!</v>
      </c>
      <c r="C987" s="20" t="str">
        <f t="shared" ref="C987:D987" si="2954">#REF!</f>
        <v>#REF!</v>
      </c>
      <c r="D987" s="20" t="str">
        <f t="shared" si="2954"/>
        <v>#REF!</v>
      </c>
      <c r="E987" s="20" t="str">
        <f t="shared" si="1270"/>
        <v>#REF!</v>
      </c>
      <c r="F987" s="22" t="str">
        <f t="shared" si="2"/>
        <v>#REF!</v>
      </c>
      <c r="G987" s="20" t="str">
        <f t="shared" ref="G987:I987" si="2955">#REF!</f>
        <v>#REF!</v>
      </c>
      <c r="H987" s="20" t="str">
        <f t="shared" si="2955"/>
        <v>#REF!</v>
      </c>
      <c r="I987" s="20" t="str">
        <f t="shared" si="2955"/>
        <v>#REF!</v>
      </c>
      <c r="J987" s="20" t="str">
        <f t="shared" si="1272"/>
        <v>#REF!</v>
      </c>
      <c r="K987" s="20" t="str">
        <f t="shared" ref="K987:L987" si="2956">#REF!</f>
        <v>#REF!</v>
      </c>
      <c r="L987" s="20" t="str">
        <f t="shared" si="2956"/>
        <v>#REF!</v>
      </c>
    </row>
    <row r="988">
      <c r="A988" s="20" t="str">
        <f t="shared" si="1267"/>
        <v>#REF!</v>
      </c>
      <c r="B988" s="20" t="str">
        <f t="shared" si="1268"/>
        <v>#REF!</v>
      </c>
      <c r="C988" s="20" t="str">
        <f t="shared" ref="C988:D988" si="2957">#REF!</f>
        <v>#REF!</v>
      </c>
      <c r="D988" s="20" t="str">
        <f t="shared" si="2957"/>
        <v>#REF!</v>
      </c>
      <c r="E988" s="20" t="str">
        <f t="shared" si="1270"/>
        <v>#REF!</v>
      </c>
      <c r="F988" s="22" t="str">
        <f t="shared" si="2"/>
        <v>#REF!</v>
      </c>
      <c r="G988" s="20" t="str">
        <f t="shared" ref="G988:I988" si="2958">#REF!</f>
        <v>#REF!</v>
      </c>
      <c r="H988" s="20" t="str">
        <f t="shared" si="2958"/>
        <v>#REF!</v>
      </c>
      <c r="I988" s="20" t="str">
        <f t="shared" si="2958"/>
        <v>#REF!</v>
      </c>
      <c r="J988" s="20" t="str">
        <f t="shared" si="1272"/>
        <v>#REF!</v>
      </c>
      <c r="K988" s="20" t="str">
        <f t="shared" ref="K988:L988" si="2959">#REF!</f>
        <v>#REF!</v>
      </c>
      <c r="L988" s="20" t="str">
        <f t="shared" si="2959"/>
        <v>#REF!</v>
      </c>
    </row>
    <row r="989">
      <c r="A989" s="20" t="str">
        <f t="shared" si="1267"/>
        <v>#REF!</v>
      </c>
      <c r="B989" s="20" t="str">
        <f t="shared" si="1268"/>
        <v>#REF!</v>
      </c>
      <c r="C989" s="20" t="str">
        <f t="shared" ref="C989:D989" si="2960">#REF!</f>
        <v>#REF!</v>
      </c>
      <c r="D989" s="20" t="str">
        <f t="shared" si="2960"/>
        <v>#REF!</v>
      </c>
      <c r="E989" s="20" t="str">
        <f t="shared" si="1270"/>
        <v>#REF!</v>
      </c>
      <c r="F989" s="22" t="str">
        <f t="shared" si="2"/>
        <v>#REF!</v>
      </c>
      <c r="G989" s="20" t="str">
        <f t="shared" ref="G989:I989" si="2961">#REF!</f>
        <v>#REF!</v>
      </c>
      <c r="H989" s="20" t="str">
        <f t="shared" si="2961"/>
        <v>#REF!</v>
      </c>
      <c r="I989" s="20" t="str">
        <f t="shared" si="2961"/>
        <v>#REF!</v>
      </c>
      <c r="J989" s="20" t="str">
        <f t="shared" si="1272"/>
        <v>#REF!</v>
      </c>
      <c r="K989" s="20" t="str">
        <f t="shared" ref="K989:L989" si="2962">#REF!</f>
        <v>#REF!</v>
      </c>
      <c r="L989" s="20" t="str">
        <f t="shared" si="2962"/>
        <v>#REF!</v>
      </c>
    </row>
    <row r="990">
      <c r="A990" s="20" t="str">
        <f t="shared" si="1267"/>
        <v>#REF!</v>
      </c>
      <c r="B990" s="20" t="str">
        <f t="shared" si="1268"/>
        <v>#REF!</v>
      </c>
      <c r="C990" s="20" t="str">
        <f t="shared" ref="C990:D990" si="2963">#REF!</f>
        <v>#REF!</v>
      </c>
      <c r="D990" s="20" t="str">
        <f t="shared" si="2963"/>
        <v>#REF!</v>
      </c>
      <c r="E990" s="20" t="str">
        <f t="shared" si="1270"/>
        <v>#REF!</v>
      </c>
      <c r="F990" s="22" t="str">
        <f t="shared" si="2"/>
        <v>#REF!</v>
      </c>
      <c r="G990" s="20" t="str">
        <f t="shared" ref="G990:I990" si="2964">#REF!</f>
        <v>#REF!</v>
      </c>
      <c r="H990" s="20" t="str">
        <f t="shared" si="2964"/>
        <v>#REF!</v>
      </c>
      <c r="I990" s="20" t="str">
        <f t="shared" si="2964"/>
        <v>#REF!</v>
      </c>
      <c r="J990" s="20" t="str">
        <f t="shared" si="1272"/>
        <v>#REF!</v>
      </c>
      <c r="K990" s="20" t="str">
        <f t="shared" ref="K990:L990" si="2965">#REF!</f>
        <v>#REF!</v>
      </c>
      <c r="L990" s="20" t="str">
        <f t="shared" si="2965"/>
        <v>#REF!</v>
      </c>
    </row>
    <row r="991">
      <c r="A991" s="20" t="str">
        <f t="shared" si="1267"/>
        <v>#REF!</v>
      </c>
      <c r="B991" s="20" t="str">
        <f t="shared" si="1268"/>
        <v>#REF!</v>
      </c>
      <c r="C991" s="20" t="str">
        <f t="shared" ref="C991:D991" si="2966">#REF!</f>
        <v>#REF!</v>
      </c>
      <c r="D991" s="20" t="str">
        <f t="shared" si="2966"/>
        <v>#REF!</v>
      </c>
      <c r="E991" s="20" t="str">
        <f t="shared" si="1270"/>
        <v>#REF!</v>
      </c>
      <c r="F991" s="22" t="str">
        <f t="shared" si="2"/>
        <v>#REF!</v>
      </c>
      <c r="G991" s="20" t="str">
        <f t="shared" ref="G991:I991" si="2967">#REF!</f>
        <v>#REF!</v>
      </c>
      <c r="H991" s="20" t="str">
        <f t="shared" si="2967"/>
        <v>#REF!</v>
      </c>
      <c r="I991" s="20" t="str">
        <f t="shared" si="2967"/>
        <v>#REF!</v>
      </c>
      <c r="J991" s="20" t="str">
        <f t="shared" si="1272"/>
        <v>#REF!</v>
      </c>
      <c r="K991" s="20" t="str">
        <f t="shared" ref="K991:L991" si="2968">#REF!</f>
        <v>#REF!</v>
      </c>
      <c r="L991" s="20" t="str">
        <f t="shared" si="2968"/>
        <v>#REF!</v>
      </c>
    </row>
    <row r="992">
      <c r="A992" s="20" t="str">
        <f t="shared" si="1267"/>
        <v>#REF!</v>
      </c>
      <c r="B992" s="20" t="str">
        <f t="shared" si="1268"/>
        <v>#REF!</v>
      </c>
      <c r="C992" s="20" t="str">
        <f t="shared" ref="C992:D992" si="2969">#REF!</f>
        <v>#REF!</v>
      </c>
      <c r="D992" s="20" t="str">
        <f t="shared" si="2969"/>
        <v>#REF!</v>
      </c>
      <c r="E992" s="20" t="str">
        <f t="shared" si="1270"/>
        <v>#REF!</v>
      </c>
      <c r="F992" s="22" t="str">
        <f t="shared" si="2"/>
        <v>#REF!</v>
      </c>
      <c r="G992" s="20" t="str">
        <f t="shared" ref="G992:I992" si="2970">#REF!</f>
        <v>#REF!</v>
      </c>
      <c r="H992" s="20" t="str">
        <f t="shared" si="2970"/>
        <v>#REF!</v>
      </c>
      <c r="I992" s="20" t="str">
        <f t="shared" si="2970"/>
        <v>#REF!</v>
      </c>
      <c r="J992" s="20" t="str">
        <f t="shared" si="1272"/>
        <v>#REF!</v>
      </c>
      <c r="K992" s="20" t="str">
        <f t="shared" ref="K992:L992" si="2971">#REF!</f>
        <v>#REF!</v>
      </c>
      <c r="L992" s="20" t="str">
        <f t="shared" si="2971"/>
        <v>#REF!</v>
      </c>
    </row>
    <row r="993">
      <c r="A993" s="20" t="str">
        <f t="shared" si="1267"/>
        <v>#REF!</v>
      </c>
      <c r="B993" s="20" t="str">
        <f t="shared" si="1268"/>
        <v>#REF!</v>
      </c>
      <c r="C993" s="20" t="str">
        <f t="shared" ref="C993:D993" si="2972">#REF!</f>
        <v>#REF!</v>
      </c>
      <c r="D993" s="20" t="str">
        <f t="shared" si="2972"/>
        <v>#REF!</v>
      </c>
      <c r="E993" s="20" t="str">
        <f t="shared" si="1270"/>
        <v>#REF!</v>
      </c>
      <c r="F993" s="22" t="str">
        <f t="shared" si="2"/>
        <v>#REF!</v>
      </c>
      <c r="G993" s="20" t="str">
        <f t="shared" ref="G993:I993" si="2973">#REF!</f>
        <v>#REF!</v>
      </c>
      <c r="H993" s="20" t="str">
        <f t="shared" si="2973"/>
        <v>#REF!</v>
      </c>
      <c r="I993" s="20" t="str">
        <f t="shared" si="2973"/>
        <v>#REF!</v>
      </c>
      <c r="J993" s="20" t="str">
        <f t="shared" si="1272"/>
        <v>#REF!</v>
      </c>
      <c r="K993" s="20" t="str">
        <f t="shared" ref="K993:L993" si="2974">#REF!</f>
        <v>#REF!</v>
      </c>
      <c r="L993" s="20" t="str">
        <f t="shared" si="2974"/>
        <v>#REF!</v>
      </c>
    </row>
    <row r="994">
      <c r="A994" s="20" t="str">
        <f t="shared" si="1267"/>
        <v>#REF!</v>
      </c>
      <c r="B994" s="20" t="str">
        <f t="shared" si="1268"/>
        <v>#REF!</v>
      </c>
      <c r="C994" s="20" t="str">
        <f t="shared" ref="C994:D994" si="2975">#REF!</f>
        <v>#REF!</v>
      </c>
      <c r="D994" s="20" t="str">
        <f t="shared" si="2975"/>
        <v>#REF!</v>
      </c>
      <c r="E994" s="20" t="str">
        <f t="shared" si="1270"/>
        <v>#REF!</v>
      </c>
      <c r="F994" s="22" t="str">
        <f t="shared" si="2"/>
        <v>#REF!</v>
      </c>
      <c r="G994" s="20" t="str">
        <f t="shared" ref="G994:I994" si="2976">#REF!</f>
        <v>#REF!</v>
      </c>
      <c r="H994" s="20" t="str">
        <f t="shared" si="2976"/>
        <v>#REF!</v>
      </c>
      <c r="I994" s="20" t="str">
        <f t="shared" si="2976"/>
        <v>#REF!</v>
      </c>
      <c r="J994" s="20" t="str">
        <f t="shared" si="1272"/>
        <v>#REF!</v>
      </c>
      <c r="K994" s="20" t="str">
        <f t="shared" ref="K994:L994" si="2977">#REF!</f>
        <v>#REF!</v>
      </c>
      <c r="L994" s="20" t="str">
        <f t="shared" si="2977"/>
        <v>#REF!</v>
      </c>
    </row>
    <row r="995">
      <c r="A995" s="20" t="str">
        <f t="shared" si="1267"/>
        <v>#REF!</v>
      </c>
      <c r="B995" s="20" t="str">
        <f t="shared" si="1268"/>
        <v>#REF!</v>
      </c>
      <c r="C995" s="20" t="str">
        <f t="shared" ref="C995:D995" si="2978">#REF!</f>
        <v>#REF!</v>
      </c>
      <c r="D995" s="20" t="str">
        <f t="shared" si="2978"/>
        <v>#REF!</v>
      </c>
      <c r="E995" s="20" t="str">
        <f t="shared" si="1270"/>
        <v>#REF!</v>
      </c>
      <c r="F995" s="22" t="str">
        <f t="shared" si="2"/>
        <v>#REF!</v>
      </c>
      <c r="G995" s="20" t="str">
        <f t="shared" ref="G995:I995" si="2979">#REF!</f>
        <v>#REF!</v>
      </c>
      <c r="H995" s="20" t="str">
        <f t="shared" si="2979"/>
        <v>#REF!</v>
      </c>
      <c r="I995" s="20" t="str">
        <f t="shared" si="2979"/>
        <v>#REF!</v>
      </c>
      <c r="J995" s="20" t="str">
        <f t="shared" si="1272"/>
        <v>#REF!</v>
      </c>
      <c r="K995" s="20" t="str">
        <f t="shared" ref="K995:L995" si="2980">#REF!</f>
        <v>#REF!</v>
      </c>
      <c r="L995" s="20" t="str">
        <f t="shared" si="2980"/>
        <v>#REF!</v>
      </c>
    </row>
    <row r="996">
      <c r="A996" s="20" t="str">
        <f t="shared" si="1267"/>
        <v>#REF!</v>
      </c>
      <c r="B996" s="20" t="str">
        <f t="shared" si="1268"/>
        <v>#REF!</v>
      </c>
      <c r="C996" s="20" t="str">
        <f t="shared" ref="C996:D996" si="2981">#REF!</f>
        <v>#REF!</v>
      </c>
      <c r="D996" s="20" t="str">
        <f t="shared" si="2981"/>
        <v>#REF!</v>
      </c>
      <c r="E996" s="20" t="str">
        <f t="shared" si="1270"/>
        <v>#REF!</v>
      </c>
      <c r="F996" s="22" t="str">
        <f t="shared" si="2"/>
        <v>#REF!</v>
      </c>
      <c r="G996" s="20" t="str">
        <f t="shared" ref="G996:I996" si="2982">#REF!</f>
        <v>#REF!</v>
      </c>
      <c r="H996" s="20" t="str">
        <f t="shared" si="2982"/>
        <v>#REF!</v>
      </c>
      <c r="I996" s="20" t="str">
        <f t="shared" si="2982"/>
        <v>#REF!</v>
      </c>
      <c r="J996" s="20" t="str">
        <f t="shared" si="1272"/>
        <v>#REF!</v>
      </c>
      <c r="K996" s="20" t="str">
        <f t="shared" ref="K996:L996" si="2983">#REF!</f>
        <v>#REF!</v>
      </c>
      <c r="L996" s="20" t="str">
        <f t="shared" si="2983"/>
        <v>#REF!</v>
      </c>
    </row>
    <row r="997">
      <c r="A997" s="20" t="str">
        <f t="shared" si="1267"/>
        <v>#REF!</v>
      </c>
      <c r="B997" s="20" t="str">
        <f t="shared" si="1268"/>
        <v>#REF!</v>
      </c>
      <c r="C997" s="20" t="str">
        <f t="shared" ref="C997:D997" si="2984">#REF!</f>
        <v>#REF!</v>
      </c>
      <c r="D997" s="20" t="str">
        <f t="shared" si="2984"/>
        <v>#REF!</v>
      </c>
      <c r="E997" s="20" t="str">
        <f t="shared" si="1270"/>
        <v>#REF!</v>
      </c>
      <c r="F997" s="22" t="str">
        <f t="shared" si="2"/>
        <v>#REF!</v>
      </c>
      <c r="G997" s="20" t="str">
        <f t="shared" ref="G997:I997" si="2985">#REF!</f>
        <v>#REF!</v>
      </c>
      <c r="H997" s="20" t="str">
        <f t="shared" si="2985"/>
        <v>#REF!</v>
      </c>
      <c r="I997" s="20" t="str">
        <f t="shared" si="2985"/>
        <v>#REF!</v>
      </c>
      <c r="J997" s="20" t="str">
        <f t="shared" si="1272"/>
        <v>#REF!</v>
      </c>
      <c r="K997" s="20" t="str">
        <f t="shared" ref="K997:L997" si="2986">#REF!</f>
        <v>#REF!</v>
      </c>
      <c r="L997" s="20" t="str">
        <f t="shared" si="2986"/>
        <v>#REF!</v>
      </c>
    </row>
    <row r="998">
      <c r="A998" s="20" t="str">
        <f t="shared" si="1267"/>
        <v>#REF!</v>
      </c>
      <c r="B998" s="20" t="str">
        <f t="shared" si="1268"/>
        <v>#REF!</v>
      </c>
      <c r="C998" s="20" t="str">
        <f t="shared" ref="C998:D998" si="2987">#REF!</f>
        <v>#REF!</v>
      </c>
      <c r="D998" s="20" t="str">
        <f t="shared" si="2987"/>
        <v>#REF!</v>
      </c>
      <c r="E998" s="20" t="str">
        <f t="shared" si="1270"/>
        <v>#REF!</v>
      </c>
      <c r="F998" s="22" t="str">
        <f t="shared" si="2"/>
        <v>#REF!</v>
      </c>
      <c r="G998" s="20" t="str">
        <f t="shared" ref="G998:I998" si="2988">#REF!</f>
        <v>#REF!</v>
      </c>
      <c r="H998" s="20" t="str">
        <f t="shared" si="2988"/>
        <v>#REF!</v>
      </c>
      <c r="I998" s="20" t="str">
        <f t="shared" si="2988"/>
        <v>#REF!</v>
      </c>
      <c r="J998" s="20" t="str">
        <f t="shared" si="1272"/>
        <v>#REF!</v>
      </c>
      <c r="K998" s="20" t="str">
        <f t="shared" ref="K998:L998" si="2989">#REF!</f>
        <v>#REF!</v>
      </c>
      <c r="L998" s="20" t="str">
        <f t="shared" si="2989"/>
        <v>#REF!</v>
      </c>
    </row>
    <row r="999">
      <c r="A999" s="20" t="str">
        <f t="shared" si="1267"/>
        <v>#REF!</v>
      </c>
      <c r="B999" s="20" t="str">
        <f t="shared" si="1268"/>
        <v>#REF!</v>
      </c>
      <c r="C999" s="20" t="str">
        <f t="shared" ref="C999:D999" si="2990">#REF!</f>
        <v>#REF!</v>
      </c>
      <c r="D999" s="20" t="str">
        <f t="shared" si="2990"/>
        <v>#REF!</v>
      </c>
      <c r="E999" s="20" t="str">
        <f t="shared" si="1270"/>
        <v>#REF!</v>
      </c>
      <c r="F999" s="22" t="str">
        <f t="shared" si="2"/>
        <v>#REF!</v>
      </c>
      <c r="G999" s="20" t="str">
        <f t="shared" ref="G999:I999" si="2991">#REF!</f>
        <v>#REF!</v>
      </c>
      <c r="H999" s="20" t="str">
        <f t="shared" si="2991"/>
        <v>#REF!</v>
      </c>
      <c r="I999" s="20" t="str">
        <f t="shared" si="2991"/>
        <v>#REF!</v>
      </c>
      <c r="J999" s="20" t="str">
        <f t="shared" si="1272"/>
        <v>#REF!</v>
      </c>
      <c r="K999" s="20" t="str">
        <f t="shared" ref="K999:L999" si="2992">#REF!</f>
        <v>#REF!</v>
      </c>
      <c r="L999" s="20" t="str">
        <f t="shared" si="2992"/>
        <v>#REF!</v>
      </c>
    </row>
    <row r="1000">
      <c r="A1000" s="20" t="str">
        <f t="shared" si="1267"/>
        <v>#REF!</v>
      </c>
      <c r="B1000" s="20" t="str">
        <f t="shared" si="1268"/>
        <v>#REF!</v>
      </c>
      <c r="C1000" s="20" t="str">
        <f t="shared" ref="C1000:D1000" si="2993">#REF!</f>
        <v>#REF!</v>
      </c>
      <c r="D1000" s="20" t="str">
        <f t="shared" si="2993"/>
        <v>#REF!</v>
      </c>
      <c r="E1000" s="20" t="str">
        <f t="shared" si="1270"/>
        <v>#REF!</v>
      </c>
      <c r="F1000" s="22" t="str">
        <f t="shared" si="2"/>
        <v>#REF!</v>
      </c>
      <c r="G1000" s="20" t="str">
        <f t="shared" ref="G1000:I1000" si="2994">#REF!</f>
        <v>#REF!</v>
      </c>
      <c r="H1000" s="20" t="str">
        <f t="shared" si="2994"/>
        <v>#REF!</v>
      </c>
      <c r="I1000" s="20" t="str">
        <f t="shared" si="2994"/>
        <v>#REF!</v>
      </c>
      <c r="J1000" s="20" t="str">
        <f t="shared" si="1272"/>
        <v>#REF!</v>
      </c>
      <c r="K1000" s="20" t="str">
        <f t="shared" ref="K1000:L1000" si="2995">#REF!</f>
        <v>#REF!</v>
      </c>
      <c r="L1000" s="20" t="str">
        <f t="shared" si="2995"/>
        <v>#REF!</v>
      </c>
    </row>
    <row r="1001">
      <c r="A1001" s="20" t="str">
        <f t="shared" si="1267"/>
        <v>#REF!</v>
      </c>
      <c r="B1001" s="20" t="str">
        <f t="shared" si="1268"/>
        <v>#REF!</v>
      </c>
      <c r="C1001" s="20" t="str">
        <f t="shared" ref="C1001:D1001" si="2996">#REF!</f>
        <v>#REF!</v>
      </c>
      <c r="D1001" s="20" t="str">
        <f t="shared" si="2996"/>
        <v>#REF!</v>
      </c>
      <c r="E1001" s="20" t="str">
        <f t="shared" si="1270"/>
        <v>#REF!</v>
      </c>
      <c r="F1001" s="22" t="str">
        <f t="shared" si="2"/>
        <v>#REF!</v>
      </c>
      <c r="G1001" s="20" t="str">
        <f t="shared" ref="G1001:I1001" si="2997">#REF!</f>
        <v>#REF!</v>
      </c>
      <c r="H1001" s="20" t="str">
        <f t="shared" si="2997"/>
        <v>#REF!</v>
      </c>
      <c r="I1001" s="20" t="str">
        <f t="shared" si="2997"/>
        <v>#REF!</v>
      </c>
      <c r="J1001" s="20" t="str">
        <f t="shared" si="1272"/>
        <v>#REF!</v>
      </c>
      <c r="K1001" s="20" t="str">
        <f t="shared" ref="K1001:L1001" si="2998">#REF!</f>
        <v>#REF!</v>
      </c>
      <c r="L1001" s="20" t="str">
        <f t="shared" si="2998"/>
        <v>#REF!</v>
      </c>
    </row>
    <row r="1002">
      <c r="A1002" s="20" t="str">
        <f t="shared" si="1267"/>
        <v>#REF!</v>
      </c>
      <c r="B1002" s="20" t="str">
        <f t="shared" si="1268"/>
        <v>#REF!</v>
      </c>
      <c r="C1002" s="20" t="str">
        <f t="shared" ref="C1002:D1002" si="2999">#REF!</f>
        <v>#REF!</v>
      </c>
      <c r="D1002" s="20" t="str">
        <f t="shared" si="2999"/>
        <v>#REF!</v>
      </c>
      <c r="E1002" s="20" t="str">
        <f t="shared" si="1270"/>
        <v>#REF!</v>
      </c>
      <c r="F1002" s="22" t="str">
        <f t="shared" si="2"/>
        <v>#REF!</v>
      </c>
      <c r="G1002" s="20" t="str">
        <f t="shared" ref="G1002:I1002" si="3000">#REF!</f>
        <v>#REF!</v>
      </c>
      <c r="H1002" s="20" t="str">
        <f t="shared" si="3000"/>
        <v>#REF!</v>
      </c>
      <c r="I1002" s="20" t="str">
        <f t="shared" si="3000"/>
        <v>#REF!</v>
      </c>
      <c r="J1002" s="20" t="str">
        <f t="shared" si="1272"/>
        <v>#REF!</v>
      </c>
      <c r="K1002" s="20" t="str">
        <f t="shared" ref="K1002:L1002" si="3001">#REF!</f>
        <v>#REF!</v>
      </c>
      <c r="L1002" s="20" t="str">
        <f t="shared" si="3001"/>
        <v>#REF!</v>
      </c>
    </row>
    <row r="1003">
      <c r="A1003" s="20" t="str">
        <f t="shared" si="1267"/>
        <v>#REF!</v>
      </c>
      <c r="B1003" s="20" t="str">
        <f t="shared" si="1268"/>
        <v>#REF!</v>
      </c>
      <c r="C1003" s="20" t="str">
        <f t="shared" ref="C1003:D1003" si="3002">#REF!</f>
        <v>#REF!</v>
      </c>
      <c r="D1003" s="20" t="str">
        <f t="shared" si="3002"/>
        <v>#REF!</v>
      </c>
      <c r="E1003" s="20" t="str">
        <f t="shared" si="1270"/>
        <v>#REF!</v>
      </c>
      <c r="F1003" s="22" t="str">
        <f t="shared" si="2"/>
        <v>#REF!</v>
      </c>
      <c r="G1003" s="20" t="str">
        <f t="shared" ref="G1003:I1003" si="3003">#REF!</f>
        <v>#REF!</v>
      </c>
      <c r="H1003" s="20" t="str">
        <f t="shared" si="3003"/>
        <v>#REF!</v>
      </c>
      <c r="I1003" s="20" t="str">
        <f t="shared" si="3003"/>
        <v>#REF!</v>
      </c>
      <c r="J1003" s="20" t="str">
        <f t="shared" si="1272"/>
        <v>#REF!</v>
      </c>
      <c r="K1003" s="20" t="str">
        <f t="shared" ref="K1003:L1003" si="3004">#REF!</f>
        <v>#REF!</v>
      </c>
      <c r="L1003" s="20" t="str">
        <f t="shared" si="3004"/>
        <v>#REF!</v>
      </c>
    </row>
    <row r="1004">
      <c r="A1004" s="20" t="str">
        <f t="shared" si="1267"/>
        <v>#REF!</v>
      </c>
      <c r="B1004" s="20" t="str">
        <f t="shared" si="1268"/>
        <v>#REF!</v>
      </c>
      <c r="C1004" s="20" t="str">
        <f t="shared" ref="C1004:D1004" si="3005">#REF!</f>
        <v>#REF!</v>
      </c>
      <c r="D1004" s="20" t="str">
        <f t="shared" si="3005"/>
        <v>#REF!</v>
      </c>
      <c r="E1004" s="20" t="str">
        <f t="shared" si="1270"/>
        <v>#REF!</v>
      </c>
      <c r="F1004" s="22" t="str">
        <f t="shared" si="2"/>
        <v>#REF!</v>
      </c>
      <c r="G1004" s="20" t="str">
        <f t="shared" ref="G1004:I1004" si="3006">#REF!</f>
        <v>#REF!</v>
      </c>
      <c r="H1004" s="20" t="str">
        <f t="shared" si="3006"/>
        <v>#REF!</v>
      </c>
      <c r="I1004" s="20" t="str">
        <f t="shared" si="3006"/>
        <v>#REF!</v>
      </c>
      <c r="J1004" s="20" t="str">
        <f t="shared" si="1272"/>
        <v>#REF!</v>
      </c>
      <c r="K1004" s="20" t="str">
        <f t="shared" ref="K1004:L1004" si="3007">#REF!</f>
        <v>#REF!</v>
      </c>
      <c r="L1004" s="20" t="str">
        <f t="shared" si="3007"/>
        <v>#REF!</v>
      </c>
    </row>
    <row r="1005">
      <c r="A1005" s="20" t="str">
        <f t="shared" si="1267"/>
        <v>#REF!</v>
      </c>
      <c r="B1005" s="20" t="str">
        <f t="shared" si="1268"/>
        <v>#REF!</v>
      </c>
      <c r="C1005" s="20" t="str">
        <f t="shared" ref="C1005:D1005" si="3008">#REF!</f>
        <v>#REF!</v>
      </c>
      <c r="D1005" s="20" t="str">
        <f t="shared" si="3008"/>
        <v>#REF!</v>
      </c>
      <c r="E1005" s="20" t="str">
        <f t="shared" si="1270"/>
        <v>#REF!</v>
      </c>
      <c r="F1005" s="22" t="str">
        <f t="shared" si="2"/>
        <v>#REF!</v>
      </c>
      <c r="G1005" s="20" t="str">
        <f t="shared" ref="G1005:I1005" si="3009">#REF!</f>
        <v>#REF!</v>
      </c>
      <c r="H1005" s="20" t="str">
        <f t="shared" si="3009"/>
        <v>#REF!</v>
      </c>
      <c r="I1005" s="20" t="str">
        <f t="shared" si="3009"/>
        <v>#REF!</v>
      </c>
      <c r="J1005" s="20" t="str">
        <f t="shared" si="1272"/>
        <v>#REF!</v>
      </c>
      <c r="K1005" s="20" t="str">
        <f t="shared" ref="K1005:L1005" si="3010">#REF!</f>
        <v>#REF!</v>
      </c>
      <c r="L1005" s="20" t="str">
        <f t="shared" si="3010"/>
        <v>#REF!</v>
      </c>
    </row>
    <row r="1006">
      <c r="A1006" s="20" t="str">
        <f t="shared" si="1267"/>
        <v>#REF!</v>
      </c>
      <c r="B1006" s="20" t="str">
        <f t="shared" si="1268"/>
        <v>#REF!</v>
      </c>
      <c r="C1006" s="20" t="str">
        <f t="shared" ref="C1006:D1006" si="3011">#REF!</f>
        <v>#REF!</v>
      </c>
      <c r="D1006" s="20" t="str">
        <f t="shared" si="3011"/>
        <v>#REF!</v>
      </c>
      <c r="E1006" s="20" t="str">
        <f t="shared" si="1270"/>
        <v>#REF!</v>
      </c>
      <c r="F1006" s="22" t="str">
        <f t="shared" si="2"/>
        <v>#REF!</v>
      </c>
      <c r="G1006" s="20" t="str">
        <f t="shared" ref="G1006:I1006" si="3012">#REF!</f>
        <v>#REF!</v>
      </c>
      <c r="H1006" s="20" t="str">
        <f t="shared" si="3012"/>
        <v>#REF!</v>
      </c>
      <c r="I1006" s="20" t="str">
        <f t="shared" si="3012"/>
        <v>#REF!</v>
      </c>
      <c r="J1006" s="20" t="str">
        <f t="shared" si="1272"/>
        <v>#REF!</v>
      </c>
      <c r="K1006" s="20" t="str">
        <f t="shared" ref="K1006:L1006" si="3013">#REF!</f>
        <v>#REF!</v>
      </c>
      <c r="L1006" s="20" t="str">
        <f t="shared" si="3013"/>
        <v>#REF!</v>
      </c>
    </row>
    <row r="1007">
      <c r="A1007" s="20" t="str">
        <f t="shared" si="1267"/>
        <v>#REF!</v>
      </c>
      <c r="B1007" s="20" t="str">
        <f t="shared" si="1268"/>
        <v>#REF!</v>
      </c>
      <c r="C1007" s="20" t="str">
        <f t="shared" ref="C1007:D1007" si="3014">#REF!</f>
        <v>#REF!</v>
      </c>
      <c r="D1007" s="20" t="str">
        <f t="shared" si="3014"/>
        <v>#REF!</v>
      </c>
      <c r="E1007" s="20" t="str">
        <f t="shared" si="1270"/>
        <v>#REF!</v>
      </c>
      <c r="F1007" s="22" t="str">
        <f t="shared" si="2"/>
        <v>#REF!</v>
      </c>
      <c r="G1007" s="20" t="str">
        <f t="shared" ref="G1007:I1007" si="3015">#REF!</f>
        <v>#REF!</v>
      </c>
      <c r="H1007" s="20" t="str">
        <f t="shared" si="3015"/>
        <v>#REF!</v>
      </c>
      <c r="I1007" s="20" t="str">
        <f t="shared" si="3015"/>
        <v>#REF!</v>
      </c>
      <c r="J1007" s="20" t="str">
        <f t="shared" si="1272"/>
        <v>#REF!</v>
      </c>
      <c r="K1007" s="20" t="str">
        <f t="shared" ref="K1007:L1007" si="3016">#REF!</f>
        <v>#REF!</v>
      </c>
      <c r="L1007" s="20" t="str">
        <f t="shared" si="3016"/>
        <v>#REF!</v>
      </c>
    </row>
    <row r="1008">
      <c r="A1008" s="20" t="str">
        <f t="shared" si="1267"/>
        <v>#REF!</v>
      </c>
      <c r="B1008" s="20" t="str">
        <f t="shared" si="1268"/>
        <v>#REF!</v>
      </c>
      <c r="C1008" s="20" t="str">
        <f t="shared" ref="C1008:D1008" si="3017">#REF!</f>
        <v>#REF!</v>
      </c>
      <c r="D1008" s="20" t="str">
        <f t="shared" si="3017"/>
        <v>#REF!</v>
      </c>
      <c r="E1008" s="20" t="str">
        <f t="shared" si="1270"/>
        <v>#REF!</v>
      </c>
      <c r="F1008" s="22" t="str">
        <f t="shared" si="2"/>
        <v>#REF!</v>
      </c>
      <c r="G1008" s="20" t="str">
        <f t="shared" ref="G1008:I1008" si="3018">#REF!</f>
        <v>#REF!</v>
      </c>
      <c r="H1008" s="20" t="str">
        <f t="shared" si="3018"/>
        <v>#REF!</v>
      </c>
      <c r="I1008" s="20" t="str">
        <f t="shared" si="3018"/>
        <v>#REF!</v>
      </c>
      <c r="J1008" s="20" t="str">
        <f t="shared" si="1272"/>
        <v>#REF!</v>
      </c>
      <c r="K1008" s="20" t="str">
        <f t="shared" ref="K1008:L1008" si="3019">#REF!</f>
        <v>#REF!</v>
      </c>
      <c r="L1008" s="20" t="str">
        <f t="shared" si="3019"/>
        <v>#REF!</v>
      </c>
    </row>
    <row r="1009">
      <c r="A1009" s="20" t="str">
        <f t="shared" si="1267"/>
        <v>#REF!</v>
      </c>
      <c r="B1009" s="20" t="str">
        <f t="shared" si="1268"/>
        <v>#REF!</v>
      </c>
      <c r="C1009" s="20" t="str">
        <f t="shared" ref="C1009:D1009" si="3020">#REF!</f>
        <v>#REF!</v>
      </c>
      <c r="D1009" s="20" t="str">
        <f t="shared" si="3020"/>
        <v>#REF!</v>
      </c>
      <c r="E1009" s="20" t="str">
        <f t="shared" si="1270"/>
        <v>#REF!</v>
      </c>
      <c r="F1009" s="22" t="str">
        <f t="shared" si="2"/>
        <v>#REF!</v>
      </c>
      <c r="G1009" s="20" t="str">
        <f t="shared" ref="G1009:I1009" si="3021">#REF!</f>
        <v>#REF!</v>
      </c>
      <c r="H1009" s="20" t="str">
        <f t="shared" si="3021"/>
        <v>#REF!</v>
      </c>
      <c r="I1009" s="20" t="str">
        <f t="shared" si="3021"/>
        <v>#REF!</v>
      </c>
      <c r="J1009" s="20" t="str">
        <f t="shared" si="1272"/>
        <v>#REF!</v>
      </c>
      <c r="K1009" s="20" t="str">
        <f t="shared" ref="K1009:L1009" si="3022">#REF!</f>
        <v>#REF!</v>
      </c>
      <c r="L1009" s="20" t="str">
        <f t="shared" si="3022"/>
        <v>#REF!</v>
      </c>
    </row>
    <row r="1010">
      <c r="A1010" s="20" t="str">
        <f t="shared" si="1267"/>
        <v>#REF!</v>
      </c>
      <c r="B1010" s="20" t="str">
        <f t="shared" si="1268"/>
        <v>#REF!</v>
      </c>
      <c r="C1010" s="20" t="str">
        <f t="shared" ref="C1010:D1010" si="3023">#REF!</f>
        <v>#REF!</v>
      </c>
      <c r="D1010" s="20" t="str">
        <f t="shared" si="3023"/>
        <v>#REF!</v>
      </c>
      <c r="E1010" s="20" t="str">
        <f t="shared" si="1270"/>
        <v>#REF!</v>
      </c>
      <c r="F1010" s="22" t="str">
        <f t="shared" si="2"/>
        <v>#REF!</v>
      </c>
      <c r="G1010" s="20" t="str">
        <f t="shared" ref="G1010:I1010" si="3024">#REF!</f>
        <v>#REF!</v>
      </c>
      <c r="H1010" s="20" t="str">
        <f t="shared" si="3024"/>
        <v>#REF!</v>
      </c>
      <c r="I1010" s="20" t="str">
        <f t="shared" si="3024"/>
        <v>#REF!</v>
      </c>
      <c r="J1010" s="20" t="str">
        <f t="shared" si="1272"/>
        <v>#REF!</v>
      </c>
      <c r="K1010" s="20" t="str">
        <f t="shared" ref="K1010:L1010" si="3025">#REF!</f>
        <v>#REF!</v>
      </c>
      <c r="L1010" s="20" t="str">
        <f t="shared" si="3025"/>
        <v>#REF!</v>
      </c>
    </row>
    <row r="1011">
      <c r="A1011" s="20" t="str">
        <f t="shared" si="1267"/>
        <v>#REF!</v>
      </c>
      <c r="B1011" s="20" t="str">
        <f t="shared" si="1268"/>
        <v>#REF!</v>
      </c>
      <c r="C1011" s="20" t="str">
        <f t="shared" ref="C1011:D1011" si="3026">#REF!</f>
        <v>#REF!</v>
      </c>
      <c r="D1011" s="20" t="str">
        <f t="shared" si="3026"/>
        <v>#REF!</v>
      </c>
      <c r="E1011" s="20" t="str">
        <f t="shared" si="1270"/>
        <v>#REF!</v>
      </c>
      <c r="F1011" s="22" t="str">
        <f t="shared" si="2"/>
        <v>#REF!</v>
      </c>
      <c r="G1011" s="20" t="str">
        <f t="shared" ref="G1011:I1011" si="3027">#REF!</f>
        <v>#REF!</v>
      </c>
      <c r="H1011" s="20" t="str">
        <f t="shared" si="3027"/>
        <v>#REF!</v>
      </c>
      <c r="I1011" s="20" t="str">
        <f t="shared" si="3027"/>
        <v>#REF!</v>
      </c>
      <c r="J1011" s="20" t="str">
        <f t="shared" si="1272"/>
        <v>#REF!</v>
      </c>
      <c r="K1011" s="20" t="str">
        <f t="shared" ref="K1011:L1011" si="3028">#REF!</f>
        <v>#REF!</v>
      </c>
      <c r="L1011" s="20" t="str">
        <f t="shared" si="3028"/>
        <v>#REF!</v>
      </c>
    </row>
    <row r="1012">
      <c r="A1012" s="20" t="str">
        <f t="shared" si="1267"/>
        <v>#REF!</v>
      </c>
      <c r="B1012" s="20" t="str">
        <f t="shared" si="1268"/>
        <v>#REF!</v>
      </c>
      <c r="C1012" s="20" t="str">
        <f t="shared" ref="C1012:D1012" si="3029">#REF!</f>
        <v>#REF!</v>
      </c>
      <c r="D1012" s="20" t="str">
        <f t="shared" si="3029"/>
        <v>#REF!</v>
      </c>
      <c r="E1012" s="20" t="str">
        <f t="shared" si="1270"/>
        <v>#REF!</v>
      </c>
      <c r="F1012" s="22" t="str">
        <f t="shared" si="2"/>
        <v>#REF!</v>
      </c>
      <c r="G1012" s="20" t="str">
        <f t="shared" ref="G1012:I1012" si="3030">#REF!</f>
        <v>#REF!</v>
      </c>
      <c r="H1012" s="20" t="str">
        <f t="shared" si="3030"/>
        <v>#REF!</v>
      </c>
      <c r="I1012" s="20" t="str">
        <f t="shared" si="3030"/>
        <v>#REF!</v>
      </c>
      <c r="J1012" s="20" t="str">
        <f t="shared" si="1272"/>
        <v>#REF!</v>
      </c>
      <c r="K1012" s="20" t="str">
        <f t="shared" ref="K1012:L1012" si="3031">#REF!</f>
        <v>#REF!</v>
      </c>
      <c r="L1012" s="20" t="str">
        <f t="shared" si="3031"/>
        <v>#REF!</v>
      </c>
    </row>
    <row r="1013">
      <c r="A1013" s="20" t="str">
        <f t="shared" si="1267"/>
        <v>#REF!</v>
      </c>
      <c r="B1013" s="20" t="str">
        <f t="shared" si="1268"/>
        <v>#REF!</v>
      </c>
      <c r="C1013" s="20" t="str">
        <f t="shared" ref="C1013:D1013" si="3032">#REF!</f>
        <v>#REF!</v>
      </c>
      <c r="D1013" s="20" t="str">
        <f t="shared" si="3032"/>
        <v>#REF!</v>
      </c>
      <c r="E1013" s="20" t="str">
        <f t="shared" si="1270"/>
        <v>#REF!</v>
      </c>
      <c r="F1013" s="22" t="str">
        <f t="shared" si="2"/>
        <v>#REF!</v>
      </c>
      <c r="G1013" s="20" t="str">
        <f t="shared" ref="G1013:I1013" si="3033">#REF!</f>
        <v>#REF!</v>
      </c>
      <c r="H1013" s="20" t="str">
        <f t="shared" si="3033"/>
        <v>#REF!</v>
      </c>
      <c r="I1013" s="20" t="str">
        <f t="shared" si="3033"/>
        <v>#REF!</v>
      </c>
      <c r="J1013" s="20" t="str">
        <f t="shared" si="1272"/>
        <v>#REF!</v>
      </c>
      <c r="K1013" s="20" t="str">
        <f t="shared" ref="K1013:L1013" si="3034">#REF!</f>
        <v>#REF!</v>
      </c>
      <c r="L1013" s="20" t="str">
        <f t="shared" si="3034"/>
        <v>#REF!</v>
      </c>
    </row>
    <row r="1014">
      <c r="A1014" s="20" t="str">
        <f t="shared" si="1267"/>
        <v>#REF!</v>
      </c>
      <c r="B1014" s="20" t="str">
        <f t="shared" si="1268"/>
        <v>#REF!</v>
      </c>
      <c r="C1014" s="20" t="str">
        <f t="shared" ref="C1014:D1014" si="3035">#REF!</f>
        <v>#REF!</v>
      </c>
      <c r="D1014" s="20" t="str">
        <f t="shared" si="3035"/>
        <v>#REF!</v>
      </c>
      <c r="E1014" s="20" t="str">
        <f t="shared" si="1270"/>
        <v>#REF!</v>
      </c>
      <c r="F1014" s="22" t="str">
        <f t="shared" si="2"/>
        <v>#REF!</v>
      </c>
      <c r="G1014" s="20" t="str">
        <f t="shared" ref="G1014:I1014" si="3036">#REF!</f>
        <v>#REF!</v>
      </c>
      <c r="H1014" s="20" t="str">
        <f t="shared" si="3036"/>
        <v>#REF!</v>
      </c>
      <c r="I1014" s="20" t="str">
        <f t="shared" si="3036"/>
        <v>#REF!</v>
      </c>
      <c r="J1014" s="20" t="str">
        <f t="shared" si="1272"/>
        <v>#REF!</v>
      </c>
      <c r="K1014" s="20" t="str">
        <f t="shared" ref="K1014:L1014" si="3037">#REF!</f>
        <v>#REF!</v>
      </c>
      <c r="L1014" s="20" t="str">
        <f t="shared" si="3037"/>
        <v>#REF!</v>
      </c>
    </row>
    <row r="1015">
      <c r="A1015" s="20" t="str">
        <f t="shared" si="1267"/>
        <v>#REF!</v>
      </c>
      <c r="B1015" s="20" t="str">
        <f t="shared" si="1268"/>
        <v>#REF!</v>
      </c>
      <c r="C1015" s="20" t="str">
        <f t="shared" ref="C1015:D1015" si="3038">#REF!</f>
        <v>#REF!</v>
      </c>
      <c r="D1015" s="20" t="str">
        <f t="shared" si="3038"/>
        <v>#REF!</v>
      </c>
      <c r="E1015" s="20" t="str">
        <f t="shared" si="1270"/>
        <v>#REF!</v>
      </c>
      <c r="F1015" s="22" t="str">
        <f t="shared" si="2"/>
        <v>#REF!</v>
      </c>
      <c r="G1015" s="20" t="str">
        <f t="shared" ref="G1015:I1015" si="3039">#REF!</f>
        <v>#REF!</v>
      </c>
      <c r="H1015" s="20" t="str">
        <f t="shared" si="3039"/>
        <v>#REF!</v>
      </c>
      <c r="I1015" s="20" t="str">
        <f t="shared" si="3039"/>
        <v>#REF!</v>
      </c>
      <c r="J1015" s="20" t="str">
        <f t="shared" si="1272"/>
        <v>#REF!</v>
      </c>
      <c r="K1015" s="20" t="str">
        <f t="shared" ref="K1015:L1015" si="3040">#REF!</f>
        <v>#REF!</v>
      </c>
      <c r="L1015" s="20" t="str">
        <f t="shared" si="3040"/>
        <v>#REF!</v>
      </c>
    </row>
    <row r="1016">
      <c r="A1016" s="20" t="str">
        <f t="shared" si="1267"/>
        <v>#REF!</v>
      </c>
      <c r="B1016" s="20" t="str">
        <f t="shared" si="1268"/>
        <v>#REF!</v>
      </c>
      <c r="C1016" s="20" t="str">
        <f t="shared" ref="C1016:D1016" si="3041">#REF!</f>
        <v>#REF!</v>
      </c>
      <c r="D1016" s="20" t="str">
        <f t="shared" si="3041"/>
        <v>#REF!</v>
      </c>
      <c r="E1016" s="20" t="str">
        <f t="shared" si="1270"/>
        <v>#REF!</v>
      </c>
      <c r="F1016" s="22" t="str">
        <f t="shared" si="2"/>
        <v>#REF!</v>
      </c>
      <c r="G1016" s="20" t="str">
        <f t="shared" ref="G1016:I1016" si="3042">#REF!</f>
        <v>#REF!</v>
      </c>
      <c r="H1016" s="20" t="str">
        <f t="shared" si="3042"/>
        <v>#REF!</v>
      </c>
      <c r="I1016" s="20" t="str">
        <f t="shared" si="3042"/>
        <v>#REF!</v>
      </c>
      <c r="J1016" s="20" t="str">
        <f t="shared" si="1272"/>
        <v>#REF!</v>
      </c>
      <c r="K1016" s="20" t="str">
        <f t="shared" ref="K1016:L1016" si="3043">#REF!</f>
        <v>#REF!</v>
      </c>
      <c r="L1016" s="20" t="str">
        <f t="shared" si="3043"/>
        <v>#REF!</v>
      </c>
    </row>
    <row r="1017">
      <c r="A1017" s="20" t="str">
        <f t="shared" si="1267"/>
        <v>#REF!</v>
      </c>
      <c r="B1017" s="20" t="str">
        <f t="shared" si="1268"/>
        <v>#REF!</v>
      </c>
      <c r="C1017" s="20" t="str">
        <f t="shared" ref="C1017:D1017" si="3044">#REF!</f>
        <v>#REF!</v>
      </c>
      <c r="D1017" s="20" t="str">
        <f t="shared" si="3044"/>
        <v>#REF!</v>
      </c>
      <c r="E1017" s="20" t="str">
        <f t="shared" si="1270"/>
        <v>#REF!</v>
      </c>
      <c r="F1017" s="22" t="str">
        <f t="shared" si="2"/>
        <v>#REF!</v>
      </c>
      <c r="G1017" s="20" t="str">
        <f t="shared" ref="G1017:I1017" si="3045">#REF!</f>
        <v>#REF!</v>
      </c>
      <c r="H1017" s="20" t="str">
        <f t="shared" si="3045"/>
        <v>#REF!</v>
      </c>
      <c r="I1017" s="20" t="str">
        <f t="shared" si="3045"/>
        <v>#REF!</v>
      </c>
      <c r="J1017" s="20" t="str">
        <f t="shared" si="1272"/>
        <v>#REF!</v>
      </c>
      <c r="K1017" s="20" t="str">
        <f t="shared" ref="K1017:L1017" si="3046">#REF!</f>
        <v>#REF!</v>
      </c>
      <c r="L1017" s="20" t="str">
        <f t="shared" si="3046"/>
        <v>#REF!</v>
      </c>
    </row>
    <row r="1018">
      <c r="A1018" s="20" t="str">
        <f t="shared" si="1267"/>
        <v>#REF!</v>
      </c>
      <c r="B1018" s="20" t="str">
        <f t="shared" si="1268"/>
        <v>#REF!</v>
      </c>
      <c r="C1018" s="20" t="str">
        <f t="shared" ref="C1018:D1018" si="3047">#REF!</f>
        <v>#REF!</v>
      </c>
      <c r="D1018" s="20" t="str">
        <f t="shared" si="3047"/>
        <v>#REF!</v>
      </c>
      <c r="E1018" s="20" t="str">
        <f t="shared" si="1270"/>
        <v>#REF!</v>
      </c>
      <c r="F1018" s="22" t="str">
        <f t="shared" si="2"/>
        <v>#REF!</v>
      </c>
      <c r="G1018" s="20" t="str">
        <f t="shared" ref="G1018:I1018" si="3048">#REF!</f>
        <v>#REF!</v>
      </c>
      <c r="H1018" s="20" t="str">
        <f t="shared" si="3048"/>
        <v>#REF!</v>
      </c>
      <c r="I1018" s="20" t="str">
        <f t="shared" si="3048"/>
        <v>#REF!</v>
      </c>
      <c r="J1018" s="20" t="str">
        <f t="shared" si="1272"/>
        <v>#REF!</v>
      </c>
      <c r="K1018" s="20" t="str">
        <f t="shared" ref="K1018:L1018" si="3049">#REF!</f>
        <v>#REF!</v>
      </c>
      <c r="L1018" s="20" t="str">
        <f t="shared" si="3049"/>
        <v>#REF!</v>
      </c>
    </row>
    <row r="1019">
      <c r="A1019" s="20" t="str">
        <f t="shared" si="1267"/>
        <v>#REF!</v>
      </c>
      <c r="B1019" s="20" t="str">
        <f t="shared" si="1268"/>
        <v>#REF!</v>
      </c>
      <c r="C1019" s="20" t="str">
        <f t="shared" ref="C1019:D1019" si="3050">#REF!</f>
        <v>#REF!</v>
      </c>
      <c r="D1019" s="20" t="str">
        <f t="shared" si="3050"/>
        <v>#REF!</v>
      </c>
      <c r="E1019" s="20" t="str">
        <f t="shared" si="1270"/>
        <v>#REF!</v>
      </c>
      <c r="F1019" s="22" t="str">
        <f t="shared" si="2"/>
        <v>#REF!</v>
      </c>
      <c r="G1019" s="20" t="str">
        <f t="shared" ref="G1019:I1019" si="3051">#REF!</f>
        <v>#REF!</v>
      </c>
      <c r="H1019" s="20" t="str">
        <f t="shared" si="3051"/>
        <v>#REF!</v>
      </c>
      <c r="I1019" s="20" t="str">
        <f t="shared" si="3051"/>
        <v>#REF!</v>
      </c>
      <c r="J1019" s="20" t="str">
        <f t="shared" si="1272"/>
        <v>#REF!</v>
      </c>
      <c r="K1019" s="20" t="str">
        <f t="shared" ref="K1019:L1019" si="3052">#REF!</f>
        <v>#REF!</v>
      </c>
      <c r="L1019" s="20" t="str">
        <f t="shared" si="3052"/>
        <v>#REF!</v>
      </c>
    </row>
    <row r="1020">
      <c r="A1020" s="20" t="str">
        <f t="shared" si="1267"/>
        <v>#REF!</v>
      </c>
      <c r="B1020" s="20" t="str">
        <f t="shared" si="1268"/>
        <v>#REF!</v>
      </c>
      <c r="C1020" s="20" t="str">
        <f t="shared" ref="C1020:D1020" si="3053">#REF!</f>
        <v>#REF!</v>
      </c>
      <c r="D1020" s="20" t="str">
        <f t="shared" si="3053"/>
        <v>#REF!</v>
      </c>
      <c r="E1020" s="20" t="str">
        <f t="shared" si="1270"/>
        <v>#REF!</v>
      </c>
      <c r="F1020" s="22" t="str">
        <f t="shared" si="2"/>
        <v>#REF!</v>
      </c>
      <c r="G1020" s="20" t="str">
        <f t="shared" ref="G1020:I1020" si="3054">#REF!</f>
        <v>#REF!</v>
      </c>
      <c r="H1020" s="20" t="str">
        <f t="shared" si="3054"/>
        <v>#REF!</v>
      </c>
      <c r="I1020" s="20" t="str">
        <f t="shared" si="3054"/>
        <v>#REF!</v>
      </c>
      <c r="J1020" s="20" t="str">
        <f t="shared" si="1272"/>
        <v>#REF!</v>
      </c>
      <c r="K1020" s="20" t="str">
        <f t="shared" ref="K1020:L1020" si="3055">#REF!</f>
        <v>#REF!</v>
      </c>
      <c r="L1020" s="20" t="str">
        <f t="shared" si="3055"/>
        <v>#REF!</v>
      </c>
    </row>
    <row r="1021">
      <c r="A1021" s="20" t="str">
        <f t="shared" si="1267"/>
        <v>#REF!</v>
      </c>
      <c r="B1021" s="20" t="str">
        <f t="shared" si="1268"/>
        <v>#REF!</v>
      </c>
      <c r="C1021" s="20" t="str">
        <f t="shared" ref="C1021:D1021" si="3056">#REF!</f>
        <v>#REF!</v>
      </c>
      <c r="D1021" s="20" t="str">
        <f t="shared" si="3056"/>
        <v>#REF!</v>
      </c>
      <c r="E1021" s="20" t="str">
        <f t="shared" si="1270"/>
        <v>#REF!</v>
      </c>
      <c r="F1021" s="22" t="str">
        <f t="shared" si="2"/>
        <v>#REF!</v>
      </c>
      <c r="G1021" s="20" t="str">
        <f t="shared" ref="G1021:I1021" si="3057">#REF!</f>
        <v>#REF!</v>
      </c>
      <c r="H1021" s="20" t="str">
        <f t="shared" si="3057"/>
        <v>#REF!</v>
      </c>
      <c r="I1021" s="20" t="str">
        <f t="shared" si="3057"/>
        <v>#REF!</v>
      </c>
      <c r="J1021" s="20" t="str">
        <f t="shared" si="1272"/>
        <v>#REF!</v>
      </c>
      <c r="K1021" s="20" t="str">
        <f t="shared" ref="K1021:L1021" si="3058">#REF!</f>
        <v>#REF!</v>
      </c>
      <c r="L1021" s="20" t="str">
        <f t="shared" si="3058"/>
        <v>#REF!</v>
      </c>
    </row>
    <row r="1022">
      <c r="A1022" s="20" t="str">
        <f t="shared" si="1267"/>
        <v>#REF!</v>
      </c>
      <c r="B1022" s="20" t="str">
        <f t="shared" si="1268"/>
        <v>#REF!</v>
      </c>
      <c r="C1022" s="20" t="str">
        <f t="shared" ref="C1022:D1022" si="3059">#REF!</f>
        <v>#REF!</v>
      </c>
      <c r="D1022" s="20" t="str">
        <f t="shared" si="3059"/>
        <v>#REF!</v>
      </c>
      <c r="E1022" s="20" t="str">
        <f t="shared" si="1270"/>
        <v>#REF!</v>
      </c>
      <c r="F1022" s="22" t="str">
        <f t="shared" si="2"/>
        <v>#REF!</v>
      </c>
      <c r="G1022" s="20" t="str">
        <f t="shared" ref="G1022:I1022" si="3060">#REF!</f>
        <v>#REF!</v>
      </c>
      <c r="H1022" s="20" t="str">
        <f t="shared" si="3060"/>
        <v>#REF!</v>
      </c>
      <c r="I1022" s="20" t="str">
        <f t="shared" si="3060"/>
        <v>#REF!</v>
      </c>
      <c r="J1022" s="20" t="str">
        <f t="shared" si="1272"/>
        <v>#REF!</v>
      </c>
      <c r="K1022" s="20" t="str">
        <f t="shared" ref="K1022:L1022" si="3061">#REF!</f>
        <v>#REF!</v>
      </c>
      <c r="L1022" s="20" t="str">
        <f t="shared" si="3061"/>
        <v>#REF!</v>
      </c>
    </row>
    <row r="1023">
      <c r="A1023" s="20" t="str">
        <f t="shared" si="1267"/>
        <v>#REF!</v>
      </c>
      <c r="B1023" s="20" t="str">
        <f t="shared" si="1268"/>
        <v>#REF!</v>
      </c>
      <c r="C1023" s="20" t="str">
        <f t="shared" ref="C1023:D1023" si="3062">#REF!</f>
        <v>#REF!</v>
      </c>
      <c r="D1023" s="20" t="str">
        <f t="shared" si="3062"/>
        <v>#REF!</v>
      </c>
      <c r="E1023" s="20" t="str">
        <f t="shared" si="1270"/>
        <v>#REF!</v>
      </c>
      <c r="F1023" s="22" t="str">
        <f t="shared" si="2"/>
        <v>#REF!</v>
      </c>
      <c r="G1023" s="20" t="str">
        <f t="shared" ref="G1023:I1023" si="3063">#REF!</f>
        <v>#REF!</v>
      </c>
      <c r="H1023" s="20" t="str">
        <f t="shared" si="3063"/>
        <v>#REF!</v>
      </c>
      <c r="I1023" s="20" t="str">
        <f t="shared" si="3063"/>
        <v>#REF!</v>
      </c>
      <c r="J1023" s="20" t="str">
        <f t="shared" si="1272"/>
        <v>#REF!</v>
      </c>
      <c r="K1023" s="20" t="str">
        <f t="shared" ref="K1023:L1023" si="3064">#REF!</f>
        <v>#REF!</v>
      </c>
      <c r="L1023" s="20" t="str">
        <f t="shared" si="3064"/>
        <v>#REF!</v>
      </c>
    </row>
    <row r="1024">
      <c r="A1024" s="20" t="str">
        <f t="shared" si="1267"/>
        <v>#REF!</v>
      </c>
      <c r="B1024" s="20" t="str">
        <f t="shared" si="1268"/>
        <v>#REF!</v>
      </c>
      <c r="C1024" s="20" t="str">
        <f t="shared" ref="C1024:D1024" si="3065">#REF!</f>
        <v>#REF!</v>
      </c>
      <c r="D1024" s="20" t="str">
        <f t="shared" si="3065"/>
        <v>#REF!</v>
      </c>
      <c r="E1024" s="20" t="str">
        <f t="shared" si="1270"/>
        <v>#REF!</v>
      </c>
      <c r="F1024" s="22" t="str">
        <f t="shared" si="2"/>
        <v>#REF!</v>
      </c>
      <c r="G1024" s="20" t="str">
        <f t="shared" ref="G1024:I1024" si="3066">#REF!</f>
        <v>#REF!</v>
      </c>
      <c r="H1024" s="20" t="str">
        <f t="shared" si="3066"/>
        <v>#REF!</v>
      </c>
      <c r="I1024" s="20" t="str">
        <f t="shared" si="3066"/>
        <v>#REF!</v>
      </c>
      <c r="J1024" s="20" t="str">
        <f t="shared" si="1272"/>
        <v>#REF!</v>
      </c>
      <c r="K1024" s="20" t="str">
        <f t="shared" ref="K1024:L1024" si="3067">#REF!</f>
        <v>#REF!</v>
      </c>
      <c r="L1024" s="20" t="str">
        <f t="shared" si="3067"/>
        <v>#REF!</v>
      </c>
    </row>
    <row r="1025">
      <c r="A1025" s="20" t="str">
        <f t="shared" si="1267"/>
        <v>#REF!</v>
      </c>
      <c r="B1025" s="20" t="str">
        <f t="shared" si="1268"/>
        <v>#REF!</v>
      </c>
      <c r="C1025" s="20" t="str">
        <f t="shared" ref="C1025:D1025" si="3068">#REF!</f>
        <v>#REF!</v>
      </c>
      <c r="D1025" s="20" t="str">
        <f t="shared" si="3068"/>
        <v>#REF!</v>
      </c>
      <c r="E1025" s="20" t="str">
        <f t="shared" si="1270"/>
        <v>#REF!</v>
      </c>
      <c r="F1025" s="22" t="str">
        <f t="shared" si="2"/>
        <v>#REF!</v>
      </c>
      <c r="G1025" s="20" t="str">
        <f t="shared" ref="G1025:I1025" si="3069">#REF!</f>
        <v>#REF!</v>
      </c>
      <c r="H1025" s="20" t="str">
        <f t="shared" si="3069"/>
        <v>#REF!</v>
      </c>
      <c r="I1025" s="20" t="str">
        <f t="shared" si="3069"/>
        <v>#REF!</v>
      </c>
      <c r="J1025" s="20" t="str">
        <f t="shared" si="1272"/>
        <v>#REF!</v>
      </c>
      <c r="K1025" s="20" t="str">
        <f t="shared" ref="K1025:L1025" si="3070">#REF!</f>
        <v>#REF!</v>
      </c>
      <c r="L1025" s="20" t="str">
        <f t="shared" si="3070"/>
        <v>#REF!</v>
      </c>
    </row>
    <row r="1026">
      <c r="A1026" s="20" t="str">
        <f t="shared" si="1267"/>
        <v>#REF!</v>
      </c>
      <c r="B1026" s="20" t="str">
        <f t="shared" si="1268"/>
        <v>#REF!</v>
      </c>
      <c r="C1026" s="20" t="str">
        <f t="shared" ref="C1026:D1026" si="3071">#REF!</f>
        <v>#REF!</v>
      </c>
      <c r="D1026" s="20" t="str">
        <f t="shared" si="3071"/>
        <v>#REF!</v>
      </c>
      <c r="E1026" s="20" t="str">
        <f t="shared" si="1270"/>
        <v>#REF!</v>
      </c>
      <c r="F1026" s="22" t="str">
        <f t="shared" si="2"/>
        <v>#REF!</v>
      </c>
      <c r="G1026" s="20" t="str">
        <f t="shared" ref="G1026:I1026" si="3072">#REF!</f>
        <v>#REF!</v>
      </c>
      <c r="H1026" s="20" t="str">
        <f t="shared" si="3072"/>
        <v>#REF!</v>
      </c>
      <c r="I1026" s="20" t="str">
        <f t="shared" si="3072"/>
        <v>#REF!</v>
      </c>
      <c r="J1026" s="20" t="str">
        <f t="shared" si="1272"/>
        <v>#REF!</v>
      </c>
      <c r="K1026" s="20" t="str">
        <f t="shared" ref="K1026:L1026" si="3073">#REF!</f>
        <v>#REF!</v>
      </c>
      <c r="L1026" s="20" t="str">
        <f t="shared" si="3073"/>
        <v>#REF!</v>
      </c>
    </row>
    <row r="1027">
      <c r="A1027" s="20" t="str">
        <f t="shared" si="1267"/>
        <v>#REF!</v>
      </c>
      <c r="B1027" s="20" t="str">
        <f t="shared" si="1268"/>
        <v>#REF!</v>
      </c>
      <c r="C1027" s="20" t="str">
        <f t="shared" ref="C1027:D1027" si="3074">#REF!</f>
        <v>#REF!</v>
      </c>
      <c r="D1027" s="20" t="str">
        <f t="shared" si="3074"/>
        <v>#REF!</v>
      </c>
      <c r="E1027" s="20" t="str">
        <f t="shared" si="1270"/>
        <v>#REF!</v>
      </c>
      <c r="F1027" s="22" t="str">
        <f t="shared" si="2"/>
        <v>#REF!</v>
      </c>
      <c r="G1027" s="20" t="str">
        <f t="shared" ref="G1027:I1027" si="3075">#REF!</f>
        <v>#REF!</v>
      </c>
      <c r="H1027" s="20" t="str">
        <f t="shared" si="3075"/>
        <v>#REF!</v>
      </c>
      <c r="I1027" s="20" t="str">
        <f t="shared" si="3075"/>
        <v>#REF!</v>
      </c>
      <c r="J1027" s="20" t="str">
        <f t="shared" si="1272"/>
        <v>#REF!</v>
      </c>
      <c r="K1027" s="20" t="str">
        <f t="shared" ref="K1027:L1027" si="3076">#REF!</f>
        <v>#REF!</v>
      </c>
      <c r="L1027" s="20" t="str">
        <f t="shared" si="3076"/>
        <v>#REF!</v>
      </c>
    </row>
    <row r="1028">
      <c r="A1028" s="20" t="str">
        <f t="shared" si="1267"/>
        <v>#REF!</v>
      </c>
      <c r="B1028" s="20" t="str">
        <f t="shared" si="1268"/>
        <v>#REF!</v>
      </c>
      <c r="C1028" s="20" t="str">
        <f t="shared" ref="C1028:D1028" si="3077">#REF!</f>
        <v>#REF!</v>
      </c>
      <c r="D1028" s="20" t="str">
        <f t="shared" si="3077"/>
        <v>#REF!</v>
      </c>
      <c r="E1028" s="20" t="str">
        <f t="shared" si="1270"/>
        <v>#REF!</v>
      </c>
      <c r="F1028" s="22" t="str">
        <f t="shared" si="2"/>
        <v>#REF!</v>
      </c>
      <c r="G1028" s="20" t="str">
        <f t="shared" ref="G1028:I1028" si="3078">#REF!</f>
        <v>#REF!</v>
      </c>
      <c r="H1028" s="20" t="str">
        <f t="shared" si="3078"/>
        <v>#REF!</v>
      </c>
      <c r="I1028" s="20" t="str">
        <f t="shared" si="3078"/>
        <v>#REF!</v>
      </c>
      <c r="J1028" s="20" t="str">
        <f t="shared" si="1272"/>
        <v>#REF!</v>
      </c>
      <c r="K1028" s="20" t="str">
        <f t="shared" ref="K1028:L1028" si="3079">#REF!</f>
        <v>#REF!</v>
      </c>
      <c r="L1028" s="20" t="str">
        <f t="shared" si="3079"/>
        <v>#REF!</v>
      </c>
    </row>
    <row r="1029">
      <c r="A1029" s="20" t="str">
        <f t="shared" si="1267"/>
        <v>#REF!</v>
      </c>
      <c r="B1029" s="20" t="str">
        <f t="shared" si="1268"/>
        <v>#REF!</v>
      </c>
      <c r="C1029" s="20" t="str">
        <f t="shared" ref="C1029:D1029" si="3080">#REF!</f>
        <v>#REF!</v>
      </c>
      <c r="D1029" s="20" t="str">
        <f t="shared" si="3080"/>
        <v>#REF!</v>
      </c>
      <c r="E1029" s="20" t="str">
        <f t="shared" si="1270"/>
        <v>#REF!</v>
      </c>
      <c r="F1029" s="22" t="str">
        <f t="shared" si="2"/>
        <v>#REF!</v>
      </c>
      <c r="G1029" s="20" t="str">
        <f t="shared" ref="G1029:I1029" si="3081">#REF!</f>
        <v>#REF!</v>
      </c>
      <c r="H1029" s="20" t="str">
        <f t="shared" si="3081"/>
        <v>#REF!</v>
      </c>
      <c r="I1029" s="20" t="str">
        <f t="shared" si="3081"/>
        <v>#REF!</v>
      </c>
      <c r="J1029" s="20" t="str">
        <f t="shared" si="1272"/>
        <v>#REF!</v>
      </c>
      <c r="K1029" s="20" t="str">
        <f t="shared" ref="K1029:L1029" si="3082">#REF!</f>
        <v>#REF!</v>
      </c>
      <c r="L1029" s="20" t="str">
        <f t="shared" si="3082"/>
        <v>#REF!</v>
      </c>
    </row>
    <row r="1030">
      <c r="A1030" s="20" t="str">
        <f t="shared" si="1267"/>
        <v>#REF!</v>
      </c>
      <c r="B1030" s="20" t="str">
        <f t="shared" si="1268"/>
        <v>#REF!</v>
      </c>
      <c r="C1030" s="20" t="str">
        <f t="shared" ref="C1030:D1030" si="3083">#REF!</f>
        <v>#REF!</v>
      </c>
      <c r="D1030" s="20" t="str">
        <f t="shared" si="3083"/>
        <v>#REF!</v>
      </c>
      <c r="E1030" s="20" t="str">
        <f t="shared" si="1270"/>
        <v>#REF!</v>
      </c>
      <c r="F1030" s="22" t="str">
        <f t="shared" si="2"/>
        <v>#REF!</v>
      </c>
      <c r="G1030" s="20" t="str">
        <f t="shared" ref="G1030:I1030" si="3084">#REF!</f>
        <v>#REF!</v>
      </c>
      <c r="H1030" s="20" t="str">
        <f t="shared" si="3084"/>
        <v>#REF!</v>
      </c>
      <c r="I1030" s="20" t="str">
        <f t="shared" si="3084"/>
        <v>#REF!</v>
      </c>
      <c r="J1030" s="20" t="str">
        <f t="shared" si="1272"/>
        <v>#REF!</v>
      </c>
      <c r="K1030" s="20" t="str">
        <f t="shared" ref="K1030:L1030" si="3085">#REF!</f>
        <v>#REF!</v>
      </c>
      <c r="L1030" s="20" t="str">
        <f t="shared" si="3085"/>
        <v>#REF!</v>
      </c>
    </row>
    <row r="1031">
      <c r="A1031" s="20" t="str">
        <f t="shared" si="1267"/>
        <v>#REF!</v>
      </c>
      <c r="B1031" s="20" t="str">
        <f t="shared" si="1268"/>
        <v>#REF!</v>
      </c>
      <c r="C1031" s="20" t="str">
        <f t="shared" ref="C1031:D1031" si="3086">#REF!</f>
        <v>#REF!</v>
      </c>
      <c r="D1031" s="20" t="str">
        <f t="shared" si="3086"/>
        <v>#REF!</v>
      </c>
      <c r="E1031" s="20" t="str">
        <f t="shared" si="1270"/>
        <v>#REF!</v>
      </c>
      <c r="F1031" s="22" t="str">
        <f t="shared" si="2"/>
        <v>#REF!</v>
      </c>
      <c r="G1031" s="20" t="str">
        <f t="shared" ref="G1031:I1031" si="3087">#REF!</f>
        <v>#REF!</v>
      </c>
      <c r="H1031" s="20" t="str">
        <f t="shared" si="3087"/>
        <v>#REF!</v>
      </c>
      <c r="I1031" s="20" t="str">
        <f t="shared" si="3087"/>
        <v>#REF!</v>
      </c>
      <c r="J1031" s="20" t="str">
        <f t="shared" si="1272"/>
        <v>#REF!</v>
      </c>
      <c r="K1031" s="20" t="str">
        <f t="shared" ref="K1031:L1031" si="3088">#REF!</f>
        <v>#REF!</v>
      </c>
      <c r="L1031" s="20" t="str">
        <f t="shared" si="3088"/>
        <v>#REF!</v>
      </c>
    </row>
    <row r="1032">
      <c r="A1032" s="20" t="str">
        <f t="shared" si="1267"/>
        <v>#REF!</v>
      </c>
      <c r="B1032" s="20" t="str">
        <f t="shared" si="1268"/>
        <v>#REF!</v>
      </c>
      <c r="C1032" s="20" t="str">
        <f t="shared" ref="C1032:D1032" si="3089">#REF!</f>
        <v>#REF!</v>
      </c>
      <c r="D1032" s="20" t="str">
        <f t="shared" si="3089"/>
        <v>#REF!</v>
      </c>
      <c r="E1032" s="20" t="str">
        <f t="shared" si="1270"/>
        <v>#REF!</v>
      </c>
      <c r="F1032" s="22" t="str">
        <f t="shared" si="2"/>
        <v>#REF!</v>
      </c>
      <c r="G1032" s="20" t="str">
        <f t="shared" ref="G1032:I1032" si="3090">#REF!</f>
        <v>#REF!</v>
      </c>
      <c r="H1032" s="20" t="str">
        <f t="shared" si="3090"/>
        <v>#REF!</v>
      </c>
      <c r="I1032" s="20" t="str">
        <f t="shared" si="3090"/>
        <v>#REF!</v>
      </c>
      <c r="J1032" s="20" t="str">
        <f t="shared" si="1272"/>
        <v>#REF!</v>
      </c>
      <c r="K1032" s="20" t="str">
        <f t="shared" ref="K1032:L1032" si="3091">#REF!</f>
        <v>#REF!</v>
      </c>
      <c r="L1032" s="20" t="str">
        <f t="shared" si="3091"/>
        <v>#REF!</v>
      </c>
    </row>
    <row r="1033">
      <c r="A1033" s="20" t="str">
        <f t="shared" si="1267"/>
        <v>#REF!</v>
      </c>
      <c r="B1033" s="20" t="str">
        <f t="shared" si="1268"/>
        <v>#REF!</v>
      </c>
      <c r="C1033" s="20" t="str">
        <f t="shared" ref="C1033:D1033" si="3092">#REF!</f>
        <v>#REF!</v>
      </c>
      <c r="D1033" s="20" t="str">
        <f t="shared" si="3092"/>
        <v>#REF!</v>
      </c>
      <c r="E1033" s="20" t="str">
        <f t="shared" si="1270"/>
        <v>#REF!</v>
      </c>
      <c r="F1033" s="22" t="str">
        <f t="shared" si="2"/>
        <v>#REF!</v>
      </c>
      <c r="G1033" s="20" t="str">
        <f t="shared" ref="G1033:I1033" si="3093">#REF!</f>
        <v>#REF!</v>
      </c>
      <c r="H1033" s="20" t="str">
        <f t="shared" si="3093"/>
        <v>#REF!</v>
      </c>
      <c r="I1033" s="20" t="str">
        <f t="shared" si="3093"/>
        <v>#REF!</v>
      </c>
      <c r="J1033" s="20" t="str">
        <f t="shared" si="1272"/>
        <v>#REF!</v>
      </c>
      <c r="K1033" s="20" t="str">
        <f t="shared" ref="K1033:L1033" si="3094">#REF!</f>
        <v>#REF!</v>
      </c>
      <c r="L1033" s="20" t="str">
        <f t="shared" si="3094"/>
        <v>#REF!</v>
      </c>
    </row>
    <row r="1034">
      <c r="A1034" s="20" t="str">
        <f t="shared" si="1267"/>
        <v>#REF!</v>
      </c>
      <c r="B1034" s="20" t="str">
        <f t="shared" si="1268"/>
        <v>#REF!</v>
      </c>
      <c r="C1034" s="20" t="str">
        <f t="shared" ref="C1034:D1034" si="3095">#REF!</f>
        <v>#REF!</v>
      </c>
      <c r="D1034" s="20" t="str">
        <f t="shared" si="3095"/>
        <v>#REF!</v>
      </c>
      <c r="E1034" s="20" t="str">
        <f t="shared" si="1270"/>
        <v>#REF!</v>
      </c>
      <c r="F1034" s="22" t="str">
        <f t="shared" si="2"/>
        <v>#REF!</v>
      </c>
      <c r="G1034" s="20" t="str">
        <f t="shared" ref="G1034:I1034" si="3096">#REF!</f>
        <v>#REF!</v>
      </c>
      <c r="H1034" s="20" t="str">
        <f t="shared" si="3096"/>
        <v>#REF!</v>
      </c>
      <c r="I1034" s="20" t="str">
        <f t="shared" si="3096"/>
        <v>#REF!</v>
      </c>
      <c r="J1034" s="20" t="str">
        <f t="shared" si="1272"/>
        <v>#REF!</v>
      </c>
      <c r="K1034" s="20" t="str">
        <f t="shared" ref="K1034:L1034" si="3097">#REF!</f>
        <v>#REF!</v>
      </c>
      <c r="L1034" s="20" t="str">
        <f t="shared" si="3097"/>
        <v>#REF!</v>
      </c>
    </row>
    <row r="1035">
      <c r="A1035" s="20" t="str">
        <f t="shared" si="1267"/>
        <v>#REF!</v>
      </c>
      <c r="B1035" s="20" t="str">
        <f t="shared" si="1268"/>
        <v>#REF!</v>
      </c>
      <c r="C1035" s="20" t="str">
        <f t="shared" ref="C1035:D1035" si="3098">#REF!</f>
        <v>#REF!</v>
      </c>
      <c r="D1035" s="20" t="str">
        <f t="shared" si="3098"/>
        <v>#REF!</v>
      </c>
      <c r="E1035" s="20" t="str">
        <f t="shared" si="1270"/>
        <v>#REF!</v>
      </c>
      <c r="F1035" s="22" t="str">
        <f t="shared" si="2"/>
        <v>#REF!</v>
      </c>
      <c r="G1035" s="20" t="str">
        <f t="shared" ref="G1035:I1035" si="3099">#REF!</f>
        <v>#REF!</v>
      </c>
      <c r="H1035" s="20" t="str">
        <f t="shared" si="3099"/>
        <v>#REF!</v>
      </c>
      <c r="I1035" s="20" t="str">
        <f t="shared" si="3099"/>
        <v>#REF!</v>
      </c>
      <c r="J1035" s="20" t="str">
        <f t="shared" si="1272"/>
        <v>#REF!</v>
      </c>
      <c r="K1035" s="20" t="str">
        <f t="shared" ref="K1035:L1035" si="3100">#REF!</f>
        <v>#REF!</v>
      </c>
      <c r="L1035" s="20" t="str">
        <f t="shared" si="3100"/>
        <v>#REF!</v>
      </c>
    </row>
    <row r="1036">
      <c r="A1036" s="20" t="str">
        <f t="shared" si="1267"/>
        <v>#REF!</v>
      </c>
      <c r="B1036" s="20" t="str">
        <f t="shared" si="1268"/>
        <v>#REF!</v>
      </c>
      <c r="C1036" s="20" t="str">
        <f t="shared" ref="C1036:D1036" si="3101">#REF!</f>
        <v>#REF!</v>
      </c>
      <c r="D1036" s="20" t="str">
        <f t="shared" si="3101"/>
        <v>#REF!</v>
      </c>
      <c r="E1036" s="20" t="str">
        <f t="shared" si="1270"/>
        <v>#REF!</v>
      </c>
      <c r="F1036" s="22" t="str">
        <f t="shared" si="2"/>
        <v>#REF!</v>
      </c>
      <c r="G1036" s="20" t="str">
        <f t="shared" ref="G1036:I1036" si="3102">#REF!</f>
        <v>#REF!</v>
      </c>
      <c r="H1036" s="20" t="str">
        <f t="shared" si="3102"/>
        <v>#REF!</v>
      </c>
      <c r="I1036" s="20" t="str">
        <f t="shared" si="3102"/>
        <v>#REF!</v>
      </c>
      <c r="J1036" s="20" t="str">
        <f t="shared" si="1272"/>
        <v>#REF!</v>
      </c>
      <c r="K1036" s="20" t="str">
        <f t="shared" ref="K1036:L1036" si="3103">#REF!</f>
        <v>#REF!</v>
      </c>
      <c r="L1036" s="20" t="str">
        <f t="shared" si="3103"/>
        <v>#REF!</v>
      </c>
    </row>
    <row r="1037">
      <c r="A1037" s="20" t="str">
        <f t="shared" si="1267"/>
        <v>#REF!</v>
      </c>
      <c r="B1037" s="20" t="str">
        <f t="shared" si="1268"/>
        <v>#REF!</v>
      </c>
      <c r="C1037" s="20" t="str">
        <f t="shared" ref="C1037:D1037" si="3104">#REF!</f>
        <v>#REF!</v>
      </c>
      <c r="D1037" s="20" t="str">
        <f t="shared" si="3104"/>
        <v>#REF!</v>
      </c>
      <c r="E1037" s="20" t="str">
        <f t="shared" si="1270"/>
        <v>#REF!</v>
      </c>
      <c r="F1037" s="22" t="str">
        <f t="shared" si="2"/>
        <v>#REF!</v>
      </c>
      <c r="G1037" s="20" t="str">
        <f t="shared" ref="G1037:I1037" si="3105">#REF!</f>
        <v>#REF!</v>
      </c>
      <c r="H1037" s="20" t="str">
        <f t="shared" si="3105"/>
        <v>#REF!</v>
      </c>
      <c r="I1037" s="20" t="str">
        <f t="shared" si="3105"/>
        <v>#REF!</v>
      </c>
      <c r="J1037" s="20" t="str">
        <f t="shared" si="1272"/>
        <v>#REF!</v>
      </c>
      <c r="K1037" s="20" t="str">
        <f t="shared" ref="K1037:L1037" si="3106">#REF!</f>
        <v>#REF!</v>
      </c>
      <c r="L1037" s="20" t="str">
        <f t="shared" si="3106"/>
        <v>#REF!</v>
      </c>
    </row>
    <row r="1038">
      <c r="A1038" s="20" t="str">
        <f t="shared" si="1267"/>
        <v>#REF!</v>
      </c>
      <c r="B1038" s="20" t="str">
        <f t="shared" si="1268"/>
        <v>#REF!</v>
      </c>
      <c r="C1038" s="20" t="str">
        <f t="shared" ref="C1038:D1038" si="3107">#REF!</f>
        <v>#REF!</v>
      </c>
      <c r="D1038" s="20" t="str">
        <f t="shared" si="3107"/>
        <v>#REF!</v>
      </c>
      <c r="E1038" s="20" t="str">
        <f t="shared" si="1270"/>
        <v>#REF!</v>
      </c>
      <c r="F1038" s="22" t="str">
        <f t="shared" si="2"/>
        <v>#REF!</v>
      </c>
      <c r="G1038" s="20" t="str">
        <f t="shared" ref="G1038:I1038" si="3108">#REF!</f>
        <v>#REF!</v>
      </c>
      <c r="H1038" s="20" t="str">
        <f t="shared" si="3108"/>
        <v>#REF!</v>
      </c>
      <c r="I1038" s="20" t="str">
        <f t="shared" si="3108"/>
        <v>#REF!</v>
      </c>
      <c r="J1038" s="20" t="str">
        <f t="shared" si="1272"/>
        <v>#REF!</v>
      </c>
      <c r="K1038" s="20" t="str">
        <f t="shared" ref="K1038:L1038" si="3109">#REF!</f>
        <v>#REF!</v>
      </c>
      <c r="L1038" s="20" t="str">
        <f t="shared" si="3109"/>
        <v>#REF!</v>
      </c>
    </row>
    <row r="1039">
      <c r="A1039" s="20" t="str">
        <f t="shared" si="1267"/>
        <v>#REF!</v>
      </c>
      <c r="B1039" s="20" t="str">
        <f t="shared" si="1268"/>
        <v>#REF!</v>
      </c>
      <c r="C1039" s="20" t="str">
        <f t="shared" ref="C1039:D1039" si="3110">#REF!</f>
        <v>#REF!</v>
      </c>
      <c r="D1039" s="20" t="str">
        <f t="shared" si="3110"/>
        <v>#REF!</v>
      </c>
      <c r="E1039" s="20" t="str">
        <f t="shared" si="1270"/>
        <v>#REF!</v>
      </c>
      <c r="F1039" s="22" t="str">
        <f t="shared" si="2"/>
        <v>#REF!</v>
      </c>
      <c r="G1039" s="20" t="str">
        <f t="shared" ref="G1039:I1039" si="3111">#REF!</f>
        <v>#REF!</v>
      </c>
      <c r="H1039" s="20" t="str">
        <f t="shared" si="3111"/>
        <v>#REF!</v>
      </c>
      <c r="I1039" s="20" t="str">
        <f t="shared" si="3111"/>
        <v>#REF!</v>
      </c>
      <c r="J1039" s="20" t="str">
        <f t="shared" si="1272"/>
        <v>#REF!</v>
      </c>
      <c r="K1039" s="20" t="str">
        <f t="shared" ref="K1039:L1039" si="3112">#REF!</f>
        <v>#REF!</v>
      </c>
      <c r="L1039" s="20" t="str">
        <f t="shared" si="3112"/>
        <v>#REF!</v>
      </c>
    </row>
    <row r="1040">
      <c r="A1040" s="20" t="str">
        <f t="shared" si="1267"/>
        <v>#REF!</v>
      </c>
      <c r="B1040" s="20" t="str">
        <f t="shared" si="1268"/>
        <v>#REF!</v>
      </c>
      <c r="C1040" s="20" t="str">
        <f t="shared" ref="C1040:D1040" si="3113">#REF!</f>
        <v>#REF!</v>
      </c>
      <c r="D1040" s="20" t="str">
        <f t="shared" si="3113"/>
        <v>#REF!</v>
      </c>
      <c r="E1040" s="20" t="str">
        <f t="shared" si="1270"/>
        <v>#REF!</v>
      </c>
      <c r="F1040" s="22" t="str">
        <f t="shared" si="2"/>
        <v>#REF!</v>
      </c>
      <c r="G1040" s="20" t="str">
        <f t="shared" ref="G1040:I1040" si="3114">#REF!</f>
        <v>#REF!</v>
      </c>
      <c r="H1040" s="20" t="str">
        <f t="shared" si="3114"/>
        <v>#REF!</v>
      </c>
      <c r="I1040" s="20" t="str">
        <f t="shared" si="3114"/>
        <v>#REF!</v>
      </c>
      <c r="J1040" s="20" t="str">
        <f t="shared" si="1272"/>
        <v>#REF!</v>
      </c>
      <c r="K1040" s="20" t="str">
        <f t="shared" ref="K1040:L1040" si="3115">#REF!</f>
        <v>#REF!</v>
      </c>
      <c r="L1040" s="20" t="str">
        <f t="shared" si="3115"/>
        <v>#REF!</v>
      </c>
    </row>
    <row r="1041">
      <c r="A1041" s="20" t="str">
        <f t="shared" si="1267"/>
        <v>#REF!</v>
      </c>
      <c r="B1041" s="20" t="str">
        <f t="shared" si="1268"/>
        <v>#REF!</v>
      </c>
      <c r="C1041" s="20" t="str">
        <f t="shared" ref="C1041:D1041" si="3116">#REF!</f>
        <v>#REF!</v>
      </c>
      <c r="D1041" s="20" t="str">
        <f t="shared" si="3116"/>
        <v>#REF!</v>
      </c>
      <c r="E1041" s="20" t="str">
        <f t="shared" si="1270"/>
        <v>#REF!</v>
      </c>
      <c r="F1041" s="22" t="str">
        <f t="shared" si="2"/>
        <v>#REF!</v>
      </c>
      <c r="G1041" s="20" t="str">
        <f t="shared" ref="G1041:I1041" si="3117">#REF!</f>
        <v>#REF!</v>
      </c>
      <c r="H1041" s="20" t="str">
        <f t="shared" si="3117"/>
        <v>#REF!</v>
      </c>
      <c r="I1041" s="20" t="str">
        <f t="shared" si="3117"/>
        <v>#REF!</v>
      </c>
      <c r="J1041" s="20" t="str">
        <f t="shared" si="1272"/>
        <v>#REF!</v>
      </c>
      <c r="K1041" s="20" t="str">
        <f t="shared" ref="K1041:L1041" si="3118">#REF!</f>
        <v>#REF!</v>
      </c>
      <c r="L1041" s="20" t="str">
        <f t="shared" si="3118"/>
        <v>#REF!</v>
      </c>
    </row>
    <row r="1042">
      <c r="A1042" s="20" t="str">
        <f t="shared" si="1267"/>
        <v>#REF!</v>
      </c>
      <c r="B1042" s="20" t="str">
        <f t="shared" si="1268"/>
        <v>#REF!</v>
      </c>
      <c r="C1042" s="20" t="str">
        <f t="shared" ref="C1042:D1042" si="3119">#REF!</f>
        <v>#REF!</v>
      </c>
      <c r="D1042" s="20" t="str">
        <f t="shared" si="3119"/>
        <v>#REF!</v>
      </c>
      <c r="E1042" s="20" t="str">
        <f t="shared" si="1270"/>
        <v>#REF!</v>
      </c>
      <c r="F1042" s="22" t="str">
        <f t="shared" si="2"/>
        <v>#REF!</v>
      </c>
      <c r="G1042" s="20" t="str">
        <f t="shared" ref="G1042:I1042" si="3120">#REF!</f>
        <v>#REF!</v>
      </c>
      <c r="H1042" s="20" t="str">
        <f t="shared" si="3120"/>
        <v>#REF!</v>
      </c>
      <c r="I1042" s="20" t="str">
        <f t="shared" si="3120"/>
        <v>#REF!</v>
      </c>
      <c r="J1042" s="20" t="str">
        <f t="shared" si="1272"/>
        <v>#REF!</v>
      </c>
      <c r="K1042" s="20" t="str">
        <f t="shared" ref="K1042:L1042" si="3121">#REF!</f>
        <v>#REF!</v>
      </c>
      <c r="L1042" s="20" t="str">
        <f t="shared" si="3121"/>
        <v>#REF!</v>
      </c>
    </row>
    <row r="1043">
      <c r="A1043" s="20" t="str">
        <f t="shared" si="1267"/>
        <v>#REF!</v>
      </c>
      <c r="B1043" s="20" t="str">
        <f t="shared" si="1268"/>
        <v>#REF!</v>
      </c>
      <c r="C1043" s="20" t="str">
        <f t="shared" ref="C1043:D1043" si="3122">#REF!</f>
        <v>#REF!</v>
      </c>
      <c r="D1043" s="20" t="str">
        <f t="shared" si="3122"/>
        <v>#REF!</v>
      </c>
      <c r="E1043" s="20" t="str">
        <f t="shared" si="1270"/>
        <v>#REF!</v>
      </c>
      <c r="F1043" s="22" t="str">
        <f t="shared" si="2"/>
        <v>#REF!</v>
      </c>
      <c r="G1043" s="20" t="str">
        <f t="shared" ref="G1043:I1043" si="3123">#REF!</f>
        <v>#REF!</v>
      </c>
      <c r="H1043" s="20" t="str">
        <f t="shared" si="3123"/>
        <v>#REF!</v>
      </c>
      <c r="I1043" s="20" t="str">
        <f t="shared" si="3123"/>
        <v>#REF!</v>
      </c>
      <c r="J1043" s="20" t="str">
        <f t="shared" si="1272"/>
        <v>#REF!</v>
      </c>
      <c r="K1043" s="20" t="str">
        <f t="shared" ref="K1043:L1043" si="3124">#REF!</f>
        <v>#REF!</v>
      </c>
      <c r="L1043" s="20" t="str">
        <f t="shared" si="3124"/>
        <v>#REF!</v>
      </c>
    </row>
    <row r="1044">
      <c r="A1044" s="20" t="str">
        <f t="shared" si="1267"/>
        <v>#REF!</v>
      </c>
      <c r="B1044" s="20" t="str">
        <f t="shared" si="1268"/>
        <v>#REF!</v>
      </c>
      <c r="C1044" s="20" t="str">
        <f t="shared" ref="C1044:D1044" si="3125">#REF!</f>
        <v>#REF!</v>
      </c>
      <c r="D1044" s="20" t="str">
        <f t="shared" si="3125"/>
        <v>#REF!</v>
      </c>
      <c r="E1044" s="20" t="str">
        <f t="shared" si="1270"/>
        <v>#REF!</v>
      </c>
      <c r="F1044" s="22" t="str">
        <f t="shared" si="2"/>
        <v>#REF!</v>
      </c>
      <c r="G1044" s="20" t="str">
        <f t="shared" ref="G1044:I1044" si="3126">#REF!</f>
        <v>#REF!</v>
      </c>
      <c r="H1044" s="20" t="str">
        <f t="shared" si="3126"/>
        <v>#REF!</v>
      </c>
      <c r="I1044" s="20" t="str">
        <f t="shared" si="3126"/>
        <v>#REF!</v>
      </c>
      <c r="J1044" s="20" t="str">
        <f t="shared" si="1272"/>
        <v>#REF!</v>
      </c>
      <c r="K1044" s="20" t="str">
        <f t="shared" ref="K1044:L1044" si="3127">#REF!</f>
        <v>#REF!</v>
      </c>
      <c r="L1044" s="20" t="str">
        <f t="shared" si="3127"/>
        <v>#REF!</v>
      </c>
    </row>
    <row r="1045">
      <c r="A1045" s="20" t="str">
        <f t="shared" si="1267"/>
        <v>#REF!</v>
      </c>
      <c r="B1045" s="20" t="str">
        <f t="shared" si="1268"/>
        <v>#REF!</v>
      </c>
      <c r="C1045" s="20" t="str">
        <f t="shared" ref="C1045:D1045" si="3128">#REF!</f>
        <v>#REF!</v>
      </c>
      <c r="D1045" s="20" t="str">
        <f t="shared" si="3128"/>
        <v>#REF!</v>
      </c>
      <c r="E1045" s="20" t="str">
        <f t="shared" si="1270"/>
        <v>#REF!</v>
      </c>
      <c r="F1045" s="22" t="str">
        <f t="shared" si="2"/>
        <v>#REF!</v>
      </c>
      <c r="G1045" s="20" t="str">
        <f t="shared" ref="G1045:I1045" si="3129">#REF!</f>
        <v>#REF!</v>
      </c>
      <c r="H1045" s="20" t="str">
        <f t="shared" si="3129"/>
        <v>#REF!</v>
      </c>
      <c r="I1045" s="20" t="str">
        <f t="shared" si="3129"/>
        <v>#REF!</v>
      </c>
      <c r="J1045" s="20" t="str">
        <f t="shared" si="1272"/>
        <v>#REF!</v>
      </c>
      <c r="K1045" s="20" t="str">
        <f t="shared" ref="K1045:L1045" si="3130">#REF!</f>
        <v>#REF!</v>
      </c>
      <c r="L1045" s="20" t="str">
        <f t="shared" si="3130"/>
        <v>#REF!</v>
      </c>
    </row>
    <row r="1046">
      <c r="A1046" s="20" t="str">
        <f t="shared" si="1267"/>
        <v>#REF!</v>
      </c>
      <c r="B1046" s="20" t="str">
        <f t="shared" si="1268"/>
        <v>#REF!</v>
      </c>
      <c r="C1046" s="20" t="str">
        <f t="shared" ref="C1046:D1046" si="3131">#REF!</f>
        <v>#REF!</v>
      </c>
      <c r="D1046" s="20" t="str">
        <f t="shared" si="3131"/>
        <v>#REF!</v>
      </c>
      <c r="E1046" s="20" t="str">
        <f t="shared" si="1270"/>
        <v>#REF!</v>
      </c>
      <c r="F1046" s="22" t="str">
        <f t="shared" si="2"/>
        <v>#REF!</v>
      </c>
      <c r="G1046" s="20" t="str">
        <f t="shared" ref="G1046:I1046" si="3132">#REF!</f>
        <v>#REF!</v>
      </c>
      <c r="H1046" s="20" t="str">
        <f t="shared" si="3132"/>
        <v>#REF!</v>
      </c>
      <c r="I1046" s="20" t="str">
        <f t="shared" si="3132"/>
        <v>#REF!</v>
      </c>
      <c r="J1046" s="20" t="str">
        <f t="shared" si="1272"/>
        <v>#REF!</v>
      </c>
      <c r="K1046" s="20" t="str">
        <f t="shared" ref="K1046:L1046" si="3133">#REF!</f>
        <v>#REF!</v>
      </c>
      <c r="L1046" s="20" t="str">
        <f t="shared" si="3133"/>
        <v>#REF!</v>
      </c>
    </row>
    <row r="1047">
      <c r="A1047" s="20" t="str">
        <f t="shared" si="1267"/>
        <v>#REF!</v>
      </c>
      <c r="B1047" s="20" t="str">
        <f t="shared" si="1268"/>
        <v>#REF!</v>
      </c>
      <c r="C1047" s="20" t="str">
        <f t="shared" ref="C1047:D1047" si="3134">#REF!</f>
        <v>#REF!</v>
      </c>
      <c r="D1047" s="20" t="str">
        <f t="shared" si="3134"/>
        <v>#REF!</v>
      </c>
      <c r="E1047" s="20" t="str">
        <f t="shared" si="1270"/>
        <v>#REF!</v>
      </c>
      <c r="F1047" s="22" t="str">
        <f t="shared" si="2"/>
        <v>#REF!</v>
      </c>
      <c r="G1047" s="20" t="str">
        <f t="shared" ref="G1047:I1047" si="3135">#REF!</f>
        <v>#REF!</v>
      </c>
      <c r="H1047" s="20" t="str">
        <f t="shared" si="3135"/>
        <v>#REF!</v>
      </c>
      <c r="I1047" s="20" t="str">
        <f t="shared" si="3135"/>
        <v>#REF!</v>
      </c>
      <c r="J1047" s="20" t="str">
        <f t="shared" si="1272"/>
        <v>#REF!</v>
      </c>
      <c r="K1047" s="20" t="str">
        <f t="shared" ref="K1047:L1047" si="3136">#REF!</f>
        <v>#REF!</v>
      </c>
      <c r="L1047" s="20" t="str">
        <f t="shared" si="3136"/>
        <v>#REF!</v>
      </c>
    </row>
    <row r="1048">
      <c r="A1048" s="20" t="str">
        <f t="shared" si="1267"/>
        <v>#REF!</v>
      </c>
      <c r="B1048" s="20" t="str">
        <f t="shared" si="1268"/>
        <v>#REF!</v>
      </c>
      <c r="C1048" s="20" t="str">
        <f t="shared" ref="C1048:D1048" si="3137">#REF!</f>
        <v>#REF!</v>
      </c>
      <c r="D1048" s="20" t="str">
        <f t="shared" si="3137"/>
        <v>#REF!</v>
      </c>
      <c r="E1048" s="20" t="str">
        <f t="shared" si="1270"/>
        <v>#REF!</v>
      </c>
      <c r="F1048" s="22" t="str">
        <f t="shared" si="2"/>
        <v>#REF!</v>
      </c>
      <c r="G1048" s="20" t="str">
        <f t="shared" ref="G1048:I1048" si="3138">#REF!</f>
        <v>#REF!</v>
      </c>
      <c r="H1048" s="20" t="str">
        <f t="shared" si="3138"/>
        <v>#REF!</v>
      </c>
      <c r="I1048" s="20" t="str">
        <f t="shared" si="3138"/>
        <v>#REF!</v>
      </c>
      <c r="J1048" s="20" t="str">
        <f t="shared" si="1272"/>
        <v>#REF!</v>
      </c>
      <c r="K1048" s="20" t="str">
        <f t="shared" ref="K1048:L1048" si="3139">#REF!</f>
        <v>#REF!</v>
      </c>
      <c r="L1048" s="20" t="str">
        <f t="shared" si="3139"/>
        <v>#REF!</v>
      </c>
    </row>
    <row r="1049">
      <c r="A1049" s="20" t="str">
        <f t="shared" si="1267"/>
        <v>#REF!</v>
      </c>
      <c r="B1049" s="20" t="str">
        <f t="shared" si="1268"/>
        <v>#REF!</v>
      </c>
      <c r="C1049" s="20" t="str">
        <f t="shared" ref="C1049:D1049" si="3140">#REF!</f>
        <v>#REF!</v>
      </c>
      <c r="D1049" s="20" t="str">
        <f t="shared" si="3140"/>
        <v>#REF!</v>
      </c>
      <c r="E1049" s="20" t="str">
        <f t="shared" si="1270"/>
        <v>#REF!</v>
      </c>
      <c r="F1049" s="22" t="str">
        <f t="shared" si="2"/>
        <v>#REF!</v>
      </c>
      <c r="G1049" s="20" t="str">
        <f t="shared" ref="G1049:I1049" si="3141">#REF!</f>
        <v>#REF!</v>
      </c>
      <c r="H1049" s="20" t="str">
        <f t="shared" si="3141"/>
        <v>#REF!</v>
      </c>
      <c r="I1049" s="20" t="str">
        <f t="shared" si="3141"/>
        <v>#REF!</v>
      </c>
      <c r="J1049" s="20" t="str">
        <f t="shared" si="1272"/>
        <v>#REF!</v>
      </c>
      <c r="K1049" s="20" t="str">
        <f t="shared" ref="K1049:L1049" si="3142">#REF!</f>
        <v>#REF!</v>
      </c>
      <c r="L1049" s="20" t="str">
        <f t="shared" si="3142"/>
        <v>#REF!</v>
      </c>
    </row>
    <row r="1050">
      <c r="A1050" s="20" t="str">
        <f t="shared" si="1267"/>
        <v>#REF!</v>
      </c>
      <c r="B1050" s="20" t="str">
        <f t="shared" si="1268"/>
        <v>#REF!</v>
      </c>
      <c r="C1050" s="20" t="str">
        <f t="shared" ref="C1050:D1050" si="3143">#REF!</f>
        <v>#REF!</v>
      </c>
      <c r="D1050" s="20" t="str">
        <f t="shared" si="3143"/>
        <v>#REF!</v>
      </c>
      <c r="E1050" s="20" t="str">
        <f t="shared" si="1270"/>
        <v>#REF!</v>
      </c>
      <c r="F1050" s="22" t="str">
        <f t="shared" si="2"/>
        <v>#REF!</v>
      </c>
      <c r="G1050" s="20" t="str">
        <f t="shared" ref="G1050:I1050" si="3144">#REF!</f>
        <v>#REF!</v>
      </c>
      <c r="H1050" s="20" t="str">
        <f t="shared" si="3144"/>
        <v>#REF!</v>
      </c>
      <c r="I1050" s="20" t="str">
        <f t="shared" si="3144"/>
        <v>#REF!</v>
      </c>
      <c r="J1050" s="20" t="str">
        <f t="shared" si="1272"/>
        <v>#REF!</v>
      </c>
      <c r="K1050" s="20" t="str">
        <f t="shared" ref="K1050:L1050" si="3145">#REF!</f>
        <v>#REF!</v>
      </c>
      <c r="L1050" s="20" t="str">
        <f t="shared" si="3145"/>
        <v>#REF!</v>
      </c>
    </row>
    <row r="1051">
      <c r="A1051" s="20" t="str">
        <f t="shared" si="1267"/>
        <v>#REF!</v>
      </c>
      <c r="B1051" s="20" t="str">
        <f t="shared" si="1268"/>
        <v>#REF!</v>
      </c>
      <c r="C1051" s="20" t="str">
        <f t="shared" ref="C1051:D1051" si="3146">#REF!</f>
        <v>#REF!</v>
      </c>
      <c r="D1051" s="20" t="str">
        <f t="shared" si="3146"/>
        <v>#REF!</v>
      </c>
      <c r="E1051" s="20" t="str">
        <f t="shared" si="1270"/>
        <v>#REF!</v>
      </c>
      <c r="F1051" s="22" t="str">
        <f t="shared" si="2"/>
        <v>#REF!</v>
      </c>
      <c r="G1051" s="20" t="str">
        <f t="shared" ref="G1051:I1051" si="3147">#REF!</f>
        <v>#REF!</v>
      </c>
      <c r="H1051" s="20" t="str">
        <f t="shared" si="3147"/>
        <v>#REF!</v>
      </c>
      <c r="I1051" s="20" t="str">
        <f t="shared" si="3147"/>
        <v>#REF!</v>
      </c>
      <c r="J1051" s="20" t="str">
        <f t="shared" si="1272"/>
        <v>#REF!</v>
      </c>
      <c r="K1051" s="20" t="str">
        <f t="shared" ref="K1051:L1051" si="3148">#REF!</f>
        <v>#REF!</v>
      </c>
      <c r="L1051" s="20" t="str">
        <f t="shared" si="3148"/>
        <v>#REF!</v>
      </c>
    </row>
    <row r="1052">
      <c r="A1052" s="20" t="str">
        <f t="shared" si="1267"/>
        <v>#REF!</v>
      </c>
      <c r="B1052" s="20" t="str">
        <f t="shared" si="1268"/>
        <v>#REF!</v>
      </c>
      <c r="C1052" s="20" t="str">
        <f t="shared" ref="C1052:D1052" si="3149">#REF!</f>
        <v>#REF!</v>
      </c>
      <c r="D1052" s="20" t="str">
        <f t="shared" si="3149"/>
        <v>#REF!</v>
      </c>
      <c r="E1052" s="20" t="str">
        <f t="shared" si="1270"/>
        <v>#REF!</v>
      </c>
      <c r="F1052" s="22" t="str">
        <f t="shared" si="2"/>
        <v>#REF!</v>
      </c>
      <c r="G1052" s="20" t="str">
        <f t="shared" ref="G1052:I1052" si="3150">#REF!</f>
        <v>#REF!</v>
      </c>
      <c r="H1052" s="20" t="str">
        <f t="shared" si="3150"/>
        <v>#REF!</v>
      </c>
      <c r="I1052" s="20" t="str">
        <f t="shared" si="3150"/>
        <v>#REF!</v>
      </c>
      <c r="J1052" s="20" t="str">
        <f t="shared" si="1272"/>
        <v>#REF!</v>
      </c>
      <c r="K1052" s="20" t="str">
        <f t="shared" ref="K1052:L1052" si="3151">#REF!</f>
        <v>#REF!</v>
      </c>
      <c r="L1052" s="20" t="str">
        <f t="shared" si="3151"/>
        <v>#REF!</v>
      </c>
    </row>
    <row r="1053">
      <c r="A1053" s="20" t="str">
        <f t="shared" si="1267"/>
        <v>#REF!</v>
      </c>
      <c r="B1053" s="20" t="str">
        <f t="shared" si="1268"/>
        <v>#REF!</v>
      </c>
      <c r="C1053" s="20" t="str">
        <f t="shared" ref="C1053:D1053" si="3152">#REF!</f>
        <v>#REF!</v>
      </c>
      <c r="D1053" s="20" t="str">
        <f t="shared" si="3152"/>
        <v>#REF!</v>
      </c>
      <c r="E1053" s="20" t="str">
        <f t="shared" si="1270"/>
        <v>#REF!</v>
      </c>
      <c r="F1053" s="22" t="str">
        <f t="shared" si="2"/>
        <v>#REF!</v>
      </c>
      <c r="G1053" s="20" t="str">
        <f t="shared" ref="G1053:I1053" si="3153">#REF!</f>
        <v>#REF!</v>
      </c>
      <c r="H1053" s="20" t="str">
        <f t="shared" si="3153"/>
        <v>#REF!</v>
      </c>
      <c r="I1053" s="20" t="str">
        <f t="shared" si="3153"/>
        <v>#REF!</v>
      </c>
      <c r="J1053" s="20" t="str">
        <f t="shared" si="1272"/>
        <v>#REF!</v>
      </c>
      <c r="K1053" s="20" t="str">
        <f t="shared" ref="K1053:L1053" si="3154">#REF!</f>
        <v>#REF!</v>
      </c>
      <c r="L1053" s="20" t="str">
        <f t="shared" si="3154"/>
        <v>#REF!</v>
      </c>
    </row>
    <row r="1054">
      <c r="A1054" s="20" t="str">
        <f t="shared" si="1267"/>
        <v>#REF!</v>
      </c>
      <c r="B1054" s="20" t="str">
        <f t="shared" si="1268"/>
        <v>#REF!</v>
      </c>
      <c r="C1054" s="20" t="str">
        <f t="shared" ref="C1054:D1054" si="3155">#REF!</f>
        <v>#REF!</v>
      </c>
      <c r="D1054" s="20" t="str">
        <f t="shared" si="3155"/>
        <v>#REF!</v>
      </c>
      <c r="E1054" s="20" t="str">
        <f t="shared" si="1270"/>
        <v>#REF!</v>
      </c>
      <c r="F1054" s="22" t="str">
        <f t="shared" si="2"/>
        <v>#REF!</v>
      </c>
      <c r="G1054" s="20" t="str">
        <f t="shared" ref="G1054:I1054" si="3156">#REF!</f>
        <v>#REF!</v>
      </c>
      <c r="H1054" s="20" t="str">
        <f t="shared" si="3156"/>
        <v>#REF!</v>
      </c>
      <c r="I1054" s="20" t="str">
        <f t="shared" si="3156"/>
        <v>#REF!</v>
      </c>
      <c r="J1054" s="20" t="str">
        <f t="shared" si="1272"/>
        <v>#REF!</v>
      </c>
      <c r="K1054" s="20" t="str">
        <f t="shared" ref="K1054:L1054" si="3157">#REF!</f>
        <v>#REF!</v>
      </c>
      <c r="L1054" s="20" t="str">
        <f t="shared" si="3157"/>
        <v>#REF!</v>
      </c>
    </row>
    <row r="1055">
      <c r="A1055" s="20" t="str">
        <f t="shared" si="1267"/>
        <v>#REF!</v>
      </c>
      <c r="B1055" s="20" t="str">
        <f t="shared" si="1268"/>
        <v>#REF!</v>
      </c>
      <c r="C1055" s="20" t="str">
        <f t="shared" ref="C1055:D1055" si="3158">#REF!</f>
        <v>#REF!</v>
      </c>
      <c r="D1055" s="20" t="str">
        <f t="shared" si="3158"/>
        <v>#REF!</v>
      </c>
      <c r="E1055" s="20" t="str">
        <f t="shared" si="1270"/>
        <v>#REF!</v>
      </c>
      <c r="F1055" s="22" t="str">
        <f t="shared" si="2"/>
        <v>#REF!</v>
      </c>
      <c r="G1055" s="20" t="str">
        <f t="shared" ref="G1055:I1055" si="3159">#REF!</f>
        <v>#REF!</v>
      </c>
      <c r="H1055" s="20" t="str">
        <f t="shared" si="3159"/>
        <v>#REF!</v>
      </c>
      <c r="I1055" s="20" t="str">
        <f t="shared" si="3159"/>
        <v>#REF!</v>
      </c>
      <c r="J1055" s="20" t="str">
        <f t="shared" si="1272"/>
        <v>#REF!</v>
      </c>
      <c r="K1055" s="20" t="str">
        <f t="shared" ref="K1055:L1055" si="3160">#REF!</f>
        <v>#REF!</v>
      </c>
      <c r="L1055" s="20" t="str">
        <f t="shared" si="3160"/>
        <v>#REF!</v>
      </c>
    </row>
    <row r="1056">
      <c r="A1056" s="20" t="str">
        <f t="shared" si="1267"/>
        <v>#REF!</v>
      </c>
      <c r="B1056" s="20" t="str">
        <f t="shared" si="1268"/>
        <v>#REF!</v>
      </c>
      <c r="C1056" s="20" t="str">
        <f t="shared" ref="C1056:D1056" si="3161">#REF!</f>
        <v>#REF!</v>
      </c>
      <c r="D1056" s="20" t="str">
        <f t="shared" si="3161"/>
        <v>#REF!</v>
      </c>
      <c r="E1056" s="20" t="str">
        <f t="shared" si="1270"/>
        <v>#REF!</v>
      </c>
      <c r="F1056" s="22" t="str">
        <f t="shared" si="2"/>
        <v>#REF!</v>
      </c>
      <c r="G1056" s="20" t="str">
        <f t="shared" ref="G1056:I1056" si="3162">#REF!</f>
        <v>#REF!</v>
      </c>
      <c r="H1056" s="20" t="str">
        <f t="shared" si="3162"/>
        <v>#REF!</v>
      </c>
      <c r="I1056" s="20" t="str">
        <f t="shared" si="3162"/>
        <v>#REF!</v>
      </c>
      <c r="J1056" s="20" t="str">
        <f t="shared" si="1272"/>
        <v>#REF!</v>
      </c>
      <c r="K1056" s="20" t="str">
        <f t="shared" ref="K1056:L1056" si="3163">#REF!</f>
        <v>#REF!</v>
      </c>
      <c r="L1056" s="20" t="str">
        <f t="shared" si="3163"/>
        <v>#REF!</v>
      </c>
    </row>
    <row r="1057">
      <c r="A1057" s="20" t="str">
        <f t="shared" si="1267"/>
        <v>#REF!</v>
      </c>
      <c r="B1057" s="20" t="str">
        <f t="shared" si="1268"/>
        <v>#REF!</v>
      </c>
      <c r="C1057" s="20" t="str">
        <f t="shared" ref="C1057:D1057" si="3164">#REF!</f>
        <v>#REF!</v>
      </c>
      <c r="D1057" s="20" t="str">
        <f t="shared" si="3164"/>
        <v>#REF!</v>
      </c>
      <c r="E1057" s="20" t="str">
        <f t="shared" si="1270"/>
        <v>#REF!</v>
      </c>
      <c r="F1057" s="22" t="str">
        <f t="shared" si="2"/>
        <v>#REF!</v>
      </c>
      <c r="G1057" s="20" t="str">
        <f t="shared" ref="G1057:I1057" si="3165">#REF!</f>
        <v>#REF!</v>
      </c>
      <c r="H1057" s="20" t="str">
        <f t="shared" si="3165"/>
        <v>#REF!</v>
      </c>
      <c r="I1057" s="20" t="str">
        <f t="shared" si="3165"/>
        <v>#REF!</v>
      </c>
      <c r="J1057" s="20" t="str">
        <f t="shared" si="1272"/>
        <v>#REF!</v>
      </c>
      <c r="K1057" s="20" t="str">
        <f t="shared" ref="K1057:L1057" si="3166">#REF!</f>
        <v>#REF!</v>
      </c>
      <c r="L1057" s="20" t="str">
        <f t="shared" si="3166"/>
        <v>#REF!</v>
      </c>
    </row>
    <row r="1058">
      <c r="A1058" s="20" t="str">
        <f t="shared" si="1267"/>
        <v>#REF!</v>
      </c>
      <c r="B1058" s="20" t="str">
        <f t="shared" si="1268"/>
        <v>#REF!</v>
      </c>
      <c r="C1058" s="20" t="str">
        <f t="shared" ref="C1058:D1058" si="3167">#REF!</f>
        <v>#REF!</v>
      </c>
      <c r="D1058" s="20" t="str">
        <f t="shared" si="3167"/>
        <v>#REF!</v>
      </c>
      <c r="E1058" s="20" t="str">
        <f t="shared" si="1270"/>
        <v>#REF!</v>
      </c>
      <c r="F1058" s="22" t="str">
        <f t="shared" si="2"/>
        <v>#REF!</v>
      </c>
      <c r="G1058" s="20" t="str">
        <f t="shared" ref="G1058:I1058" si="3168">#REF!</f>
        <v>#REF!</v>
      </c>
      <c r="H1058" s="20" t="str">
        <f t="shared" si="3168"/>
        <v>#REF!</v>
      </c>
      <c r="I1058" s="20" t="str">
        <f t="shared" si="3168"/>
        <v>#REF!</v>
      </c>
      <c r="J1058" s="20" t="str">
        <f t="shared" si="1272"/>
        <v>#REF!</v>
      </c>
      <c r="K1058" s="20" t="str">
        <f t="shared" ref="K1058:L1058" si="3169">#REF!</f>
        <v>#REF!</v>
      </c>
      <c r="L1058" s="20" t="str">
        <f t="shared" si="3169"/>
        <v>#REF!</v>
      </c>
    </row>
    <row r="1059">
      <c r="A1059" s="20" t="str">
        <f t="shared" si="1267"/>
        <v>#REF!</v>
      </c>
      <c r="B1059" s="20" t="str">
        <f t="shared" si="1268"/>
        <v>#REF!</v>
      </c>
      <c r="C1059" s="20" t="str">
        <f t="shared" ref="C1059:D1059" si="3170">#REF!</f>
        <v>#REF!</v>
      </c>
      <c r="D1059" s="20" t="str">
        <f t="shared" si="3170"/>
        <v>#REF!</v>
      </c>
      <c r="E1059" s="20" t="str">
        <f t="shared" si="1270"/>
        <v>#REF!</v>
      </c>
      <c r="F1059" s="22" t="str">
        <f t="shared" si="2"/>
        <v>#REF!</v>
      </c>
      <c r="G1059" s="20" t="str">
        <f t="shared" ref="G1059:I1059" si="3171">#REF!</f>
        <v>#REF!</v>
      </c>
      <c r="H1059" s="20" t="str">
        <f t="shared" si="3171"/>
        <v>#REF!</v>
      </c>
      <c r="I1059" s="20" t="str">
        <f t="shared" si="3171"/>
        <v>#REF!</v>
      </c>
      <c r="J1059" s="20" t="str">
        <f t="shared" si="1272"/>
        <v>#REF!</v>
      </c>
      <c r="K1059" s="20" t="str">
        <f t="shared" ref="K1059:L1059" si="3172">#REF!</f>
        <v>#REF!</v>
      </c>
      <c r="L1059" s="20" t="str">
        <f t="shared" si="3172"/>
        <v>#REF!</v>
      </c>
    </row>
    <row r="1060">
      <c r="A1060" s="20" t="str">
        <f t="shared" si="1267"/>
        <v>#REF!</v>
      </c>
      <c r="B1060" s="20" t="str">
        <f t="shared" si="1268"/>
        <v>#REF!</v>
      </c>
      <c r="C1060" s="20" t="str">
        <f t="shared" ref="C1060:D1060" si="3173">#REF!</f>
        <v>#REF!</v>
      </c>
      <c r="D1060" s="20" t="str">
        <f t="shared" si="3173"/>
        <v>#REF!</v>
      </c>
      <c r="E1060" s="20" t="str">
        <f t="shared" si="1270"/>
        <v>#REF!</v>
      </c>
      <c r="F1060" s="22" t="str">
        <f t="shared" si="2"/>
        <v>#REF!</v>
      </c>
      <c r="G1060" s="20" t="str">
        <f t="shared" ref="G1060:I1060" si="3174">#REF!</f>
        <v>#REF!</v>
      </c>
      <c r="H1060" s="20" t="str">
        <f t="shared" si="3174"/>
        <v>#REF!</v>
      </c>
      <c r="I1060" s="20" t="str">
        <f t="shared" si="3174"/>
        <v>#REF!</v>
      </c>
      <c r="J1060" s="20" t="str">
        <f t="shared" si="1272"/>
        <v>#REF!</v>
      </c>
      <c r="K1060" s="20" t="str">
        <f t="shared" ref="K1060:L1060" si="3175">#REF!</f>
        <v>#REF!</v>
      </c>
      <c r="L1060" s="20" t="str">
        <f t="shared" si="3175"/>
        <v>#REF!</v>
      </c>
    </row>
    <row r="1061">
      <c r="A1061" s="20" t="str">
        <f t="shared" si="1267"/>
        <v>#REF!</v>
      </c>
      <c r="B1061" s="20" t="str">
        <f t="shared" si="1268"/>
        <v>#REF!</v>
      </c>
      <c r="C1061" s="20" t="str">
        <f t="shared" ref="C1061:D1061" si="3176">#REF!</f>
        <v>#REF!</v>
      </c>
      <c r="D1061" s="20" t="str">
        <f t="shared" si="3176"/>
        <v>#REF!</v>
      </c>
      <c r="E1061" s="20" t="str">
        <f t="shared" si="1270"/>
        <v>#REF!</v>
      </c>
      <c r="F1061" s="22" t="str">
        <f t="shared" si="2"/>
        <v>#REF!</v>
      </c>
      <c r="G1061" s="20" t="str">
        <f t="shared" ref="G1061:I1061" si="3177">#REF!</f>
        <v>#REF!</v>
      </c>
      <c r="H1061" s="20" t="str">
        <f t="shared" si="3177"/>
        <v>#REF!</v>
      </c>
      <c r="I1061" s="20" t="str">
        <f t="shared" si="3177"/>
        <v>#REF!</v>
      </c>
      <c r="J1061" s="20" t="str">
        <f t="shared" si="1272"/>
        <v>#REF!</v>
      </c>
      <c r="K1061" s="20" t="str">
        <f t="shared" ref="K1061:L1061" si="3178">#REF!</f>
        <v>#REF!</v>
      </c>
      <c r="L1061" s="20" t="str">
        <f t="shared" si="3178"/>
        <v>#REF!</v>
      </c>
    </row>
    <row r="1062">
      <c r="A1062" s="20" t="str">
        <f t="shared" si="1267"/>
        <v>#REF!</v>
      </c>
      <c r="B1062" s="20" t="str">
        <f t="shared" si="1268"/>
        <v>#REF!</v>
      </c>
      <c r="C1062" s="20" t="str">
        <f t="shared" ref="C1062:D1062" si="3179">#REF!</f>
        <v>#REF!</v>
      </c>
      <c r="D1062" s="20" t="str">
        <f t="shared" si="3179"/>
        <v>#REF!</v>
      </c>
      <c r="E1062" s="20" t="str">
        <f t="shared" si="1270"/>
        <v>#REF!</v>
      </c>
      <c r="F1062" s="22" t="str">
        <f t="shared" si="2"/>
        <v>#REF!</v>
      </c>
      <c r="G1062" s="20" t="str">
        <f t="shared" ref="G1062:I1062" si="3180">#REF!</f>
        <v>#REF!</v>
      </c>
      <c r="H1062" s="20" t="str">
        <f t="shared" si="3180"/>
        <v>#REF!</v>
      </c>
      <c r="I1062" s="20" t="str">
        <f t="shared" si="3180"/>
        <v>#REF!</v>
      </c>
      <c r="J1062" s="20" t="str">
        <f t="shared" si="1272"/>
        <v>#REF!</v>
      </c>
      <c r="K1062" s="20" t="str">
        <f t="shared" ref="K1062:L1062" si="3181">#REF!</f>
        <v>#REF!</v>
      </c>
      <c r="L1062" s="20" t="str">
        <f t="shared" si="3181"/>
        <v>#REF!</v>
      </c>
    </row>
    <row r="1063">
      <c r="A1063" s="20" t="str">
        <f t="shared" si="1267"/>
        <v>#REF!</v>
      </c>
      <c r="B1063" s="20" t="str">
        <f t="shared" si="1268"/>
        <v>#REF!</v>
      </c>
      <c r="C1063" s="20" t="str">
        <f t="shared" ref="C1063:D1063" si="3182">#REF!</f>
        <v>#REF!</v>
      </c>
      <c r="D1063" s="20" t="str">
        <f t="shared" si="3182"/>
        <v>#REF!</v>
      </c>
      <c r="E1063" s="20" t="str">
        <f t="shared" si="1270"/>
        <v>#REF!</v>
      </c>
      <c r="F1063" s="22" t="str">
        <f t="shared" si="2"/>
        <v>#REF!</v>
      </c>
      <c r="G1063" s="20" t="str">
        <f t="shared" ref="G1063:I1063" si="3183">#REF!</f>
        <v>#REF!</v>
      </c>
      <c r="H1063" s="20" t="str">
        <f t="shared" si="3183"/>
        <v>#REF!</v>
      </c>
      <c r="I1063" s="20" t="str">
        <f t="shared" si="3183"/>
        <v>#REF!</v>
      </c>
      <c r="J1063" s="20" t="str">
        <f t="shared" si="1272"/>
        <v>#REF!</v>
      </c>
      <c r="K1063" s="20" t="str">
        <f t="shared" ref="K1063:L1063" si="3184">#REF!</f>
        <v>#REF!</v>
      </c>
      <c r="L1063" s="20" t="str">
        <f t="shared" si="3184"/>
        <v>#REF!</v>
      </c>
    </row>
    <row r="1064">
      <c r="A1064" s="20" t="str">
        <f t="shared" si="1267"/>
        <v>#REF!</v>
      </c>
      <c r="B1064" s="20" t="str">
        <f t="shared" si="1268"/>
        <v>#REF!</v>
      </c>
      <c r="C1064" s="20" t="str">
        <f t="shared" ref="C1064:D1064" si="3185">#REF!</f>
        <v>#REF!</v>
      </c>
      <c r="D1064" s="20" t="str">
        <f t="shared" si="3185"/>
        <v>#REF!</v>
      </c>
      <c r="E1064" s="20" t="str">
        <f t="shared" si="1270"/>
        <v>#REF!</v>
      </c>
      <c r="F1064" s="22" t="str">
        <f t="shared" si="2"/>
        <v>#REF!</v>
      </c>
      <c r="G1064" s="20" t="str">
        <f t="shared" ref="G1064:I1064" si="3186">#REF!</f>
        <v>#REF!</v>
      </c>
      <c r="H1064" s="20" t="str">
        <f t="shared" si="3186"/>
        <v>#REF!</v>
      </c>
      <c r="I1064" s="20" t="str">
        <f t="shared" si="3186"/>
        <v>#REF!</v>
      </c>
      <c r="J1064" s="20" t="str">
        <f t="shared" si="1272"/>
        <v>#REF!</v>
      </c>
      <c r="K1064" s="20" t="str">
        <f t="shared" ref="K1064:L1064" si="3187">#REF!</f>
        <v>#REF!</v>
      </c>
      <c r="L1064" s="20" t="str">
        <f t="shared" si="3187"/>
        <v>#REF!</v>
      </c>
    </row>
    <row r="1065">
      <c r="A1065" s="20" t="str">
        <f t="shared" si="1267"/>
        <v>#REF!</v>
      </c>
      <c r="B1065" s="20" t="str">
        <f t="shared" si="1268"/>
        <v>#REF!</v>
      </c>
      <c r="C1065" s="20" t="str">
        <f t="shared" ref="C1065:D1065" si="3188">#REF!</f>
        <v>#REF!</v>
      </c>
      <c r="D1065" s="20" t="str">
        <f t="shared" si="3188"/>
        <v>#REF!</v>
      </c>
      <c r="E1065" s="20" t="str">
        <f t="shared" si="1270"/>
        <v>#REF!</v>
      </c>
      <c r="F1065" s="22" t="str">
        <f t="shared" si="2"/>
        <v>#REF!</v>
      </c>
      <c r="G1065" s="20" t="str">
        <f t="shared" ref="G1065:I1065" si="3189">#REF!</f>
        <v>#REF!</v>
      </c>
      <c r="H1065" s="20" t="str">
        <f t="shared" si="3189"/>
        <v>#REF!</v>
      </c>
      <c r="I1065" s="20" t="str">
        <f t="shared" si="3189"/>
        <v>#REF!</v>
      </c>
      <c r="J1065" s="20" t="str">
        <f t="shared" si="1272"/>
        <v>#REF!</v>
      </c>
      <c r="K1065" s="20" t="str">
        <f t="shared" ref="K1065:L1065" si="3190">#REF!</f>
        <v>#REF!</v>
      </c>
      <c r="L1065" s="20" t="str">
        <f t="shared" si="3190"/>
        <v>#REF!</v>
      </c>
    </row>
    <row r="1066">
      <c r="A1066" s="20" t="str">
        <f t="shared" si="1267"/>
        <v>#REF!</v>
      </c>
      <c r="B1066" s="20" t="str">
        <f t="shared" si="1268"/>
        <v>#REF!</v>
      </c>
      <c r="C1066" s="20" t="str">
        <f t="shared" ref="C1066:D1066" si="3191">#REF!</f>
        <v>#REF!</v>
      </c>
      <c r="D1066" s="20" t="str">
        <f t="shared" si="3191"/>
        <v>#REF!</v>
      </c>
      <c r="E1066" s="20" t="str">
        <f t="shared" si="1270"/>
        <v>#REF!</v>
      </c>
      <c r="F1066" s="22" t="str">
        <f t="shared" si="2"/>
        <v>#REF!</v>
      </c>
      <c r="G1066" s="20" t="str">
        <f t="shared" ref="G1066:I1066" si="3192">#REF!</f>
        <v>#REF!</v>
      </c>
      <c r="H1066" s="20" t="str">
        <f t="shared" si="3192"/>
        <v>#REF!</v>
      </c>
      <c r="I1066" s="20" t="str">
        <f t="shared" si="3192"/>
        <v>#REF!</v>
      </c>
      <c r="J1066" s="20" t="str">
        <f t="shared" si="1272"/>
        <v>#REF!</v>
      </c>
      <c r="K1066" s="20" t="str">
        <f t="shared" ref="K1066:L1066" si="3193">#REF!</f>
        <v>#REF!</v>
      </c>
      <c r="L1066" s="20" t="str">
        <f t="shared" si="3193"/>
        <v>#REF!</v>
      </c>
    </row>
    <row r="1067">
      <c r="A1067" s="20" t="str">
        <f t="shared" si="1267"/>
        <v>#REF!</v>
      </c>
      <c r="B1067" s="20" t="str">
        <f t="shared" si="1268"/>
        <v>#REF!</v>
      </c>
      <c r="C1067" s="20" t="str">
        <f t="shared" ref="C1067:D1067" si="3194">#REF!</f>
        <v>#REF!</v>
      </c>
      <c r="D1067" s="20" t="str">
        <f t="shared" si="3194"/>
        <v>#REF!</v>
      </c>
      <c r="E1067" s="20" t="str">
        <f t="shared" si="1270"/>
        <v>#REF!</v>
      </c>
      <c r="F1067" s="22" t="str">
        <f t="shared" si="2"/>
        <v>#REF!</v>
      </c>
      <c r="G1067" s="20" t="str">
        <f t="shared" ref="G1067:I1067" si="3195">#REF!</f>
        <v>#REF!</v>
      </c>
      <c r="H1067" s="20" t="str">
        <f t="shared" si="3195"/>
        <v>#REF!</v>
      </c>
      <c r="I1067" s="20" t="str">
        <f t="shared" si="3195"/>
        <v>#REF!</v>
      </c>
      <c r="J1067" s="20" t="str">
        <f t="shared" si="1272"/>
        <v>#REF!</v>
      </c>
      <c r="K1067" s="20" t="str">
        <f t="shared" ref="K1067:L1067" si="3196">#REF!</f>
        <v>#REF!</v>
      </c>
      <c r="L1067" s="20" t="str">
        <f t="shared" si="3196"/>
        <v>#REF!</v>
      </c>
    </row>
    <row r="1068">
      <c r="A1068" s="20" t="str">
        <f t="shared" si="1267"/>
        <v>#REF!</v>
      </c>
      <c r="B1068" s="20" t="str">
        <f t="shared" si="1268"/>
        <v>#REF!</v>
      </c>
      <c r="C1068" s="20" t="str">
        <f t="shared" ref="C1068:D1068" si="3197">#REF!</f>
        <v>#REF!</v>
      </c>
      <c r="D1068" s="20" t="str">
        <f t="shared" si="3197"/>
        <v>#REF!</v>
      </c>
      <c r="E1068" s="20" t="str">
        <f t="shared" si="1270"/>
        <v>#REF!</v>
      </c>
      <c r="F1068" s="22" t="str">
        <f t="shared" si="2"/>
        <v>#REF!</v>
      </c>
      <c r="G1068" s="20" t="str">
        <f t="shared" ref="G1068:I1068" si="3198">#REF!</f>
        <v>#REF!</v>
      </c>
      <c r="H1068" s="20" t="str">
        <f t="shared" si="3198"/>
        <v>#REF!</v>
      </c>
      <c r="I1068" s="20" t="str">
        <f t="shared" si="3198"/>
        <v>#REF!</v>
      </c>
      <c r="J1068" s="20" t="str">
        <f t="shared" si="1272"/>
        <v>#REF!</v>
      </c>
      <c r="K1068" s="20" t="str">
        <f t="shared" ref="K1068:L1068" si="3199">#REF!</f>
        <v>#REF!</v>
      </c>
      <c r="L1068" s="20" t="str">
        <f t="shared" si="3199"/>
        <v>#REF!</v>
      </c>
    </row>
    <row r="1069">
      <c r="A1069" s="20" t="str">
        <f t="shared" si="1267"/>
        <v>#REF!</v>
      </c>
      <c r="B1069" s="20" t="str">
        <f t="shared" si="1268"/>
        <v>#REF!</v>
      </c>
      <c r="C1069" s="20" t="str">
        <f t="shared" ref="C1069:D1069" si="3200">#REF!</f>
        <v>#REF!</v>
      </c>
      <c r="D1069" s="20" t="str">
        <f t="shared" si="3200"/>
        <v>#REF!</v>
      </c>
      <c r="E1069" s="20" t="str">
        <f t="shared" si="1270"/>
        <v>#REF!</v>
      </c>
      <c r="F1069" s="22" t="str">
        <f t="shared" si="2"/>
        <v>#REF!</v>
      </c>
      <c r="G1069" s="20" t="str">
        <f t="shared" ref="G1069:I1069" si="3201">#REF!</f>
        <v>#REF!</v>
      </c>
      <c r="H1069" s="20" t="str">
        <f t="shared" si="3201"/>
        <v>#REF!</v>
      </c>
      <c r="I1069" s="20" t="str">
        <f t="shared" si="3201"/>
        <v>#REF!</v>
      </c>
      <c r="J1069" s="20" t="str">
        <f t="shared" si="1272"/>
        <v>#REF!</v>
      </c>
      <c r="K1069" s="20" t="str">
        <f t="shared" ref="K1069:L1069" si="3202">#REF!</f>
        <v>#REF!</v>
      </c>
      <c r="L1069" s="20" t="str">
        <f t="shared" si="3202"/>
        <v>#REF!</v>
      </c>
    </row>
    <row r="1070">
      <c r="A1070" s="20" t="str">
        <f t="shared" si="1267"/>
        <v>#REF!</v>
      </c>
      <c r="B1070" s="20" t="str">
        <f t="shared" si="1268"/>
        <v>#REF!</v>
      </c>
      <c r="C1070" s="20" t="str">
        <f t="shared" ref="C1070:D1070" si="3203">#REF!</f>
        <v>#REF!</v>
      </c>
      <c r="D1070" s="20" t="str">
        <f t="shared" si="3203"/>
        <v>#REF!</v>
      </c>
      <c r="E1070" s="20" t="str">
        <f t="shared" si="1270"/>
        <v>#REF!</v>
      </c>
      <c r="F1070" s="22" t="str">
        <f t="shared" si="2"/>
        <v>#REF!</v>
      </c>
      <c r="G1070" s="20" t="str">
        <f t="shared" ref="G1070:I1070" si="3204">#REF!</f>
        <v>#REF!</v>
      </c>
      <c r="H1070" s="20" t="str">
        <f t="shared" si="3204"/>
        <v>#REF!</v>
      </c>
      <c r="I1070" s="20" t="str">
        <f t="shared" si="3204"/>
        <v>#REF!</v>
      </c>
      <c r="J1070" s="20" t="str">
        <f t="shared" si="1272"/>
        <v>#REF!</v>
      </c>
      <c r="K1070" s="20" t="str">
        <f t="shared" ref="K1070:L1070" si="3205">#REF!</f>
        <v>#REF!</v>
      </c>
      <c r="L1070" s="20" t="str">
        <f t="shared" si="3205"/>
        <v>#REF!</v>
      </c>
    </row>
    <row r="1071">
      <c r="A1071" s="20" t="str">
        <f t="shared" si="1267"/>
        <v>#REF!</v>
      </c>
      <c r="B1071" s="20" t="str">
        <f t="shared" si="1268"/>
        <v>#REF!</v>
      </c>
      <c r="C1071" s="20" t="str">
        <f t="shared" ref="C1071:D1071" si="3206">#REF!</f>
        <v>#REF!</v>
      </c>
      <c r="D1071" s="20" t="str">
        <f t="shared" si="3206"/>
        <v>#REF!</v>
      </c>
      <c r="E1071" s="20" t="str">
        <f t="shared" si="1270"/>
        <v>#REF!</v>
      </c>
      <c r="F1071" s="22" t="str">
        <f t="shared" si="2"/>
        <v>#REF!</v>
      </c>
      <c r="G1071" s="20" t="str">
        <f t="shared" ref="G1071:I1071" si="3207">#REF!</f>
        <v>#REF!</v>
      </c>
      <c r="H1071" s="20" t="str">
        <f t="shared" si="3207"/>
        <v>#REF!</v>
      </c>
      <c r="I1071" s="20" t="str">
        <f t="shared" si="3207"/>
        <v>#REF!</v>
      </c>
      <c r="J1071" s="20" t="str">
        <f t="shared" si="1272"/>
        <v>#REF!</v>
      </c>
      <c r="K1071" s="20" t="str">
        <f t="shared" ref="K1071:L1071" si="3208">#REF!</f>
        <v>#REF!</v>
      </c>
      <c r="L1071" s="20" t="str">
        <f t="shared" si="3208"/>
        <v>#REF!</v>
      </c>
    </row>
    <row r="1072">
      <c r="A1072" s="20" t="str">
        <f t="shared" si="1267"/>
        <v>#REF!</v>
      </c>
      <c r="B1072" s="20" t="str">
        <f t="shared" si="1268"/>
        <v>#REF!</v>
      </c>
      <c r="C1072" s="20" t="str">
        <f t="shared" ref="C1072:D1072" si="3209">#REF!</f>
        <v>#REF!</v>
      </c>
      <c r="D1072" s="20" t="str">
        <f t="shared" si="3209"/>
        <v>#REF!</v>
      </c>
      <c r="E1072" s="20" t="str">
        <f t="shared" si="1270"/>
        <v>#REF!</v>
      </c>
      <c r="F1072" s="22" t="str">
        <f t="shared" si="2"/>
        <v>#REF!</v>
      </c>
      <c r="G1072" s="20" t="str">
        <f t="shared" ref="G1072:I1072" si="3210">#REF!</f>
        <v>#REF!</v>
      </c>
      <c r="H1072" s="20" t="str">
        <f t="shared" si="3210"/>
        <v>#REF!</v>
      </c>
      <c r="I1072" s="20" t="str">
        <f t="shared" si="3210"/>
        <v>#REF!</v>
      </c>
      <c r="J1072" s="20" t="str">
        <f t="shared" si="1272"/>
        <v>#REF!</v>
      </c>
      <c r="K1072" s="20" t="str">
        <f t="shared" ref="K1072:L1072" si="3211">#REF!</f>
        <v>#REF!</v>
      </c>
      <c r="L1072" s="20" t="str">
        <f t="shared" si="3211"/>
        <v>#REF!</v>
      </c>
    </row>
    <row r="1073">
      <c r="A1073" s="20" t="str">
        <f t="shared" si="1267"/>
        <v>#REF!</v>
      </c>
      <c r="B1073" s="20" t="str">
        <f t="shared" si="1268"/>
        <v>#REF!</v>
      </c>
      <c r="C1073" s="20" t="str">
        <f t="shared" ref="C1073:D1073" si="3212">#REF!</f>
        <v>#REF!</v>
      </c>
      <c r="D1073" s="20" t="str">
        <f t="shared" si="3212"/>
        <v>#REF!</v>
      </c>
      <c r="E1073" s="20" t="str">
        <f t="shared" si="1270"/>
        <v>#REF!</v>
      </c>
      <c r="F1073" s="22" t="str">
        <f t="shared" si="2"/>
        <v>#REF!</v>
      </c>
      <c r="G1073" s="20" t="str">
        <f t="shared" ref="G1073:I1073" si="3213">#REF!</f>
        <v>#REF!</v>
      </c>
      <c r="H1073" s="20" t="str">
        <f t="shared" si="3213"/>
        <v>#REF!</v>
      </c>
      <c r="I1073" s="20" t="str">
        <f t="shared" si="3213"/>
        <v>#REF!</v>
      </c>
      <c r="J1073" s="20" t="str">
        <f t="shared" si="1272"/>
        <v>#REF!</v>
      </c>
      <c r="K1073" s="20" t="str">
        <f t="shared" ref="K1073:L1073" si="3214">#REF!</f>
        <v>#REF!</v>
      </c>
      <c r="L1073" s="20" t="str">
        <f t="shared" si="3214"/>
        <v>#REF!</v>
      </c>
    </row>
    <row r="1074">
      <c r="A1074" s="20" t="str">
        <f t="shared" si="1267"/>
        <v>#REF!</v>
      </c>
      <c r="B1074" s="20" t="str">
        <f t="shared" si="1268"/>
        <v>#REF!</v>
      </c>
      <c r="C1074" s="20" t="str">
        <f t="shared" ref="C1074:D1074" si="3215">#REF!</f>
        <v>#REF!</v>
      </c>
      <c r="D1074" s="20" t="str">
        <f t="shared" si="3215"/>
        <v>#REF!</v>
      </c>
      <c r="E1074" s="20" t="str">
        <f t="shared" si="1270"/>
        <v>#REF!</v>
      </c>
      <c r="F1074" s="22" t="str">
        <f t="shared" si="2"/>
        <v>#REF!</v>
      </c>
      <c r="G1074" s="20" t="str">
        <f t="shared" ref="G1074:I1074" si="3216">#REF!</f>
        <v>#REF!</v>
      </c>
      <c r="H1074" s="20" t="str">
        <f t="shared" si="3216"/>
        <v>#REF!</v>
      </c>
      <c r="I1074" s="20" t="str">
        <f t="shared" si="3216"/>
        <v>#REF!</v>
      </c>
      <c r="J1074" s="20" t="str">
        <f t="shared" si="1272"/>
        <v>#REF!</v>
      </c>
      <c r="K1074" s="20" t="str">
        <f t="shared" ref="K1074:L1074" si="3217">#REF!</f>
        <v>#REF!</v>
      </c>
      <c r="L1074" s="20" t="str">
        <f t="shared" si="3217"/>
        <v>#REF!</v>
      </c>
    </row>
    <row r="1075">
      <c r="A1075" s="20" t="str">
        <f t="shared" si="1267"/>
        <v>#REF!</v>
      </c>
      <c r="B1075" s="20" t="str">
        <f t="shared" si="1268"/>
        <v>#REF!</v>
      </c>
      <c r="C1075" s="20" t="str">
        <f t="shared" ref="C1075:D1075" si="3218">#REF!</f>
        <v>#REF!</v>
      </c>
      <c r="D1075" s="20" t="str">
        <f t="shared" si="3218"/>
        <v>#REF!</v>
      </c>
      <c r="E1075" s="20" t="str">
        <f t="shared" si="1270"/>
        <v>#REF!</v>
      </c>
      <c r="F1075" s="22" t="str">
        <f t="shared" si="2"/>
        <v>#REF!</v>
      </c>
      <c r="G1075" s="20" t="str">
        <f t="shared" ref="G1075:I1075" si="3219">#REF!</f>
        <v>#REF!</v>
      </c>
      <c r="H1075" s="20" t="str">
        <f t="shared" si="3219"/>
        <v>#REF!</v>
      </c>
      <c r="I1075" s="20" t="str">
        <f t="shared" si="3219"/>
        <v>#REF!</v>
      </c>
      <c r="J1075" s="20" t="str">
        <f t="shared" si="1272"/>
        <v>#REF!</v>
      </c>
      <c r="K1075" s="20" t="str">
        <f t="shared" ref="K1075:L1075" si="3220">#REF!</f>
        <v>#REF!</v>
      </c>
      <c r="L1075" s="20" t="str">
        <f t="shared" si="3220"/>
        <v>#REF!</v>
      </c>
    </row>
    <row r="1076">
      <c r="A1076" s="20" t="str">
        <f t="shared" si="1267"/>
        <v>#REF!</v>
      </c>
      <c r="B1076" s="20" t="str">
        <f t="shared" si="1268"/>
        <v>#REF!</v>
      </c>
      <c r="C1076" s="20" t="str">
        <f t="shared" ref="C1076:D1076" si="3221">#REF!</f>
        <v>#REF!</v>
      </c>
      <c r="D1076" s="20" t="str">
        <f t="shared" si="3221"/>
        <v>#REF!</v>
      </c>
      <c r="E1076" s="20" t="str">
        <f t="shared" si="1270"/>
        <v>#REF!</v>
      </c>
      <c r="F1076" s="22" t="str">
        <f t="shared" si="2"/>
        <v>#REF!</v>
      </c>
      <c r="G1076" s="20" t="str">
        <f t="shared" ref="G1076:I1076" si="3222">#REF!</f>
        <v>#REF!</v>
      </c>
      <c r="H1076" s="20" t="str">
        <f t="shared" si="3222"/>
        <v>#REF!</v>
      </c>
      <c r="I1076" s="20" t="str">
        <f t="shared" si="3222"/>
        <v>#REF!</v>
      </c>
      <c r="J1076" s="20" t="str">
        <f t="shared" si="1272"/>
        <v>#REF!</v>
      </c>
      <c r="K1076" s="20" t="str">
        <f t="shared" ref="K1076:L1076" si="3223">#REF!</f>
        <v>#REF!</v>
      </c>
      <c r="L1076" s="20" t="str">
        <f t="shared" si="3223"/>
        <v>#REF!</v>
      </c>
    </row>
    <row r="1077">
      <c r="A1077" s="20" t="str">
        <f t="shared" si="1267"/>
        <v>#REF!</v>
      </c>
      <c r="B1077" s="20" t="str">
        <f t="shared" si="1268"/>
        <v>#REF!</v>
      </c>
      <c r="C1077" s="20" t="str">
        <f t="shared" ref="C1077:D1077" si="3224">#REF!</f>
        <v>#REF!</v>
      </c>
      <c r="D1077" s="20" t="str">
        <f t="shared" si="3224"/>
        <v>#REF!</v>
      </c>
      <c r="E1077" s="20" t="str">
        <f t="shared" si="1270"/>
        <v>#REF!</v>
      </c>
      <c r="F1077" s="22" t="str">
        <f t="shared" si="2"/>
        <v>#REF!</v>
      </c>
      <c r="G1077" s="20" t="str">
        <f t="shared" ref="G1077:I1077" si="3225">#REF!</f>
        <v>#REF!</v>
      </c>
      <c r="H1077" s="20" t="str">
        <f t="shared" si="3225"/>
        <v>#REF!</v>
      </c>
      <c r="I1077" s="20" t="str">
        <f t="shared" si="3225"/>
        <v>#REF!</v>
      </c>
      <c r="J1077" s="20" t="str">
        <f t="shared" si="1272"/>
        <v>#REF!</v>
      </c>
      <c r="K1077" s="20" t="str">
        <f t="shared" ref="K1077:L1077" si="3226">#REF!</f>
        <v>#REF!</v>
      </c>
      <c r="L1077" s="20" t="str">
        <f t="shared" si="3226"/>
        <v>#REF!</v>
      </c>
    </row>
    <row r="1078">
      <c r="A1078" s="20" t="str">
        <f t="shared" si="1267"/>
        <v>#REF!</v>
      </c>
      <c r="B1078" s="20" t="str">
        <f t="shared" si="1268"/>
        <v>#REF!</v>
      </c>
      <c r="C1078" s="20" t="str">
        <f t="shared" ref="C1078:D1078" si="3227">#REF!</f>
        <v>#REF!</v>
      </c>
      <c r="D1078" s="20" t="str">
        <f t="shared" si="3227"/>
        <v>#REF!</v>
      </c>
      <c r="E1078" s="20" t="str">
        <f t="shared" si="1270"/>
        <v>#REF!</v>
      </c>
      <c r="F1078" s="22" t="str">
        <f t="shared" si="2"/>
        <v>#REF!</v>
      </c>
      <c r="G1078" s="20" t="str">
        <f t="shared" ref="G1078:I1078" si="3228">#REF!</f>
        <v>#REF!</v>
      </c>
      <c r="H1078" s="20" t="str">
        <f t="shared" si="3228"/>
        <v>#REF!</v>
      </c>
      <c r="I1078" s="20" t="str">
        <f t="shared" si="3228"/>
        <v>#REF!</v>
      </c>
      <c r="J1078" s="20" t="str">
        <f t="shared" si="1272"/>
        <v>#REF!</v>
      </c>
      <c r="K1078" s="20" t="str">
        <f t="shared" ref="K1078:L1078" si="3229">#REF!</f>
        <v>#REF!</v>
      </c>
      <c r="L1078" s="20" t="str">
        <f t="shared" si="3229"/>
        <v>#REF!</v>
      </c>
    </row>
    <row r="1079">
      <c r="A1079" s="20" t="str">
        <f t="shared" si="1267"/>
        <v>#REF!</v>
      </c>
      <c r="B1079" s="20" t="str">
        <f t="shared" si="1268"/>
        <v>#REF!</v>
      </c>
      <c r="C1079" s="20" t="str">
        <f t="shared" ref="C1079:D1079" si="3230">#REF!</f>
        <v>#REF!</v>
      </c>
      <c r="D1079" s="20" t="str">
        <f t="shared" si="3230"/>
        <v>#REF!</v>
      </c>
      <c r="E1079" s="20" t="str">
        <f t="shared" si="1270"/>
        <v>#REF!</v>
      </c>
      <c r="F1079" s="22" t="str">
        <f t="shared" si="2"/>
        <v>#REF!</v>
      </c>
      <c r="G1079" s="20" t="str">
        <f t="shared" ref="G1079:I1079" si="3231">#REF!</f>
        <v>#REF!</v>
      </c>
      <c r="H1079" s="20" t="str">
        <f t="shared" si="3231"/>
        <v>#REF!</v>
      </c>
      <c r="I1079" s="20" t="str">
        <f t="shared" si="3231"/>
        <v>#REF!</v>
      </c>
      <c r="J1079" s="20" t="str">
        <f t="shared" si="1272"/>
        <v>#REF!</v>
      </c>
      <c r="K1079" s="20" t="str">
        <f t="shared" ref="K1079:L1079" si="3232">#REF!</f>
        <v>#REF!</v>
      </c>
      <c r="L1079" s="20" t="str">
        <f t="shared" si="3232"/>
        <v>#REF!</v>
      </c>
    </row>
    <row r="1080">
      <c r="A1080" s="20" t="str">
        <f t="shared" si="1267"/>
        <v>#REF!</v>
      </c>
      <c r="B1080" s="20" t="str">
        <f t="shared" si="1268"/>
        <v>#REF!</v>
      </c>
      <c r="C1080" s="20" t="str">
        <f t="shared" ref="C1080:D1080" si="3233">#REF!</f>
        <v>#REF!</v>
      </c>
      <c r="D1080" s="20" t="str">
        <f t="shared" si="3233"/>
        <v>#REF!</v>
      </c>
      <c r="E1080" s="20" t="str">
        <f t="shared" si="1270"/>
        <v>#REF!</v>
      </c>
      <c r="F1080" s="22" t="str">
        <f t="shared" si="2"/>
        <v>#REF!</v>
      </c>
      <c r="G1080" s="20" t="str">
        <f t="shared" ref="G1080:I1080" si="3234">#REF!</f>
        <v>#REF!</v>
      </c>
      <c r="H1080" s="20" t="str">
        <f t="shared" si="3234"/>
        <v>#REF!</v>
      </c>
      <c r="I1080" s="20" t="str">
        <f t="shared" si="3234"/>
        <v>#REF!</v>
      </c>
      <c r="J1080" s="20" t="str">
        <f t="shared" si="1272"/>
        <v>#REF!</v>
      </c>
      <c r="K1080" s="20" t="str">
        <f t="shared" ref="K1080:L1080" si="3235">#REF!</f>
        <v>#REF!</v>
      </c>
      <c r="L1080" s="20" t="str">
        <f t="shared" si="3235"/>
        <v>#REF!</v>
      </c>
    </row>
    <row r="1081">
      <c r="A1081" s="20" t="str">
        <f t="shared" si="1267"/>
        <v>#REF!</v>
      </c>
      <c r="B1081" s="20" t="str">
        <f t="shared" si="1268"/>
        <v>#REF!</v>
      </c>
      <c r="C1081" s="20" t="str">
        <f t="shared" ref="C1081:D1081" si="3236">#REF!</f>
        <v>#REF!</v>
      </c>
      <c r="D1081" s="20" t="str">
        <f t="shared" si="3236"/>
        <v>#REF!</v>
      </c>
      <c r="E1081" s="20" t="str">
        <f t="shared" si="1270"/>
        <v>#REF!</v>
      </c>
      <c r="F1081" s="22" t="str">
        <f t="shared" si="2"/>
        <v>#REF!</v>
      </c>
      <c r="G1081" s="20" t="str">
        <f t="shared" ref="G1081:I1081" si="3237">#REF!</f>
        <v>#REF!</v>
      </c>
      <c r="H1081" s="20" t="str">
        <f t="shared" si="3237"/>
        <v>#REF!</v>
      </c>
      <c r="I1081" s="20" t="str">
        <f t="shared" si="3237"/>
        <v>#REF!</v>
      </c>
      <c r="J1081" s="20" t="str">
        <f t="shared" si="1272"/>
        <v>#REF!</v>
      </c>
      <c r="K1081" s="20" t="str">
        <f t="shared" ref="K1081:L1081" si="3238">#REF!</f>
        <v>#REF!</v>
      </c>
      <c r="L1081" s="20" t="str">
        <f t="shared" si="3238"/>
        <v>#REF!</v>
      </c>
    </row>
    <row r="1082">
      <c r="A1082" s="20" t="str">
        <f t="shared" si="1267"/>
        <v>#REF!</v>
      </c>
      <c r="B1082" s="20" t="str">
        <f t="shared" si="1268"/>
        <v>#REF!</v>
      </c>
      <c r="C1082" s="20" t="str">
        <f t="shared" ref="C1082:D1082" si="3239">#REF!</f>
        <v>#REF!</v>
      </c>
      <c r="D1082" s="20" t="str">
        <f t="shared" si="3239"/>
        <v>#REF!</v>
      </c>
      <c r="E1082" s="20" t="str">
        <f t="shared" si="1270"/>
        <v>#REF!</v>
      </c>
      <c r="F1082" s="22" t="str">
        <f t="shared" si="2"/>
        <v>#REF!</v>
      </c>
      <c r="G1082" s="20" t="str">
        <f t="shared" ref="G1082:I1082" si="3240">#REF!</f>
        <v>#REF!</v>
      </c>
      <c r="H1082" s="20" t="str">
        <f t="shared" si="3240"/>
        <v>#REF!</v>
      </c>
      <c r="I1082" s="20" t="str">
        <f t="shared" si="3240"/>
        <v>#REF!</v>
      </c>
      <c r="J1082" s="20" t="str">
        <f t="shared" si="1272"/>
        <v>#REF!</v>
      </c>
      <c r="K1082" s="20" t="str">
        <f t="shared" ref="K1082:L1082" si="3241">#REF!</f>
        <v>#REF!</v>
      </c>
      <c r="L1082" s="20" t="str">
        <f t="shared" si="3241"/>
        <v>#REF!</v>
      </c>
    </row>
    <row r="1083">
      <c r="A1083" s="20" t="str">
        <f t="shared" si="1267"/>
        <v>#REF!</v>
      </c>
      <c r="B1083" s="20" t="str">
        <f t="shared" si="1268"/>
        <v>#REF!</v>
      </c>
      <c r="C1083" s="20" t="str">
        <f t="shared" ref="C1083:D1083" si="3242">#REF!</f>
        <v>#REF!</v>
      </c>
      <c r="D1083" s="20" t="str">
        <f t="shared" si="3242"/>
        <v>#REF!</v>
      </c>
      <c r="E1083" s="20" t="str">
        <f t="shared" si="1270"/>
        <v>#REF!</v>
      </c>
      <c r="F1083" s="22" t="str">
        <f t="shared" si="2"/>
        <v>#REF!</v>
      </c>
      <c r="G1083" s="20" t="str">
        <f t="shared" ref="G1083:I1083" si="3243">#REF!</f>
        <v>#REF!</v>
      </c>
      <c r="H1083" s="20" t="str">
        <f t="shared" si="3243"/>
        <v>#REF!</v>
      </c>
      <c r="I1083" s="20" t="str">
        <f t="shared" si="3243"/>
        <v>#REF!</v>
      </c>
      <c r="J1083" s="20" t="str">
        <f t="shared" si="1272"/>
        <v>#REF!</v>
      </c>
      <c r="K1083" s="20" t="str">
        <f t="shared" ref="K1083:L1083" si="3244">#REF!</f>
        <v>#REF!</v>
      </c>
      <c r="L1083" s="20" t="str">
        <f t="shared" si="3244"/>
        <v>#REF!</v>
      </c>
    </row>
    <row r="1084">
      <c r="A1084" s="20" t="str">
        <f t="shared" si="1267"/>
        <v>#REF!</v>
      </c>
      <c r="B1084" s="20" t="str">
        <f t="shared" si="1268"/>
        <v>#REF!</v>
      </c>
      <c r="C1084" s="20" t="str">
        <f t="shared" ref="C1084:D1084" si="3245">#REF!</f>
        <v>#REF!</v>
      </c>
      <c r="D1084" s="20" t="str">
        <f t="shared" si="3245"/>
        <v>#REF!</v>
      </c>
      <c r="E1084" s="20" t="str">
        <f t="shared" si="1270"/>
        <v>#REF!</v>
      </c>
      <c r="F1084" s="22" t="str">
        <f t="shared" si="2"/>
        <v>#REF!</v>
      </c>
      <c r="G1084" s="20" t="str">
        <f t="shared" ref="G1084:I1084" si="3246">#REF!</f>
        <v>#REF!</v>
      </c>
      <c r="H1084" s="20" t="str">
        <f t="shared" si="3246"/>
        <v>#REF!</v>
      </c>
      <c r="I1084" s="20" t="str">
        <f t="shared" si="3246"/>
        <v>#REF!</v>
      </c>
      <c r="J1084" s="20" t="str">
        <f t="shared" si="1272"/>
        <v>#REF!</v>
      </c>
      <c r="K1084" s="20" t="str">
        <f t="shared" ref="K1084:L1084" si="3247">#REF!</f>
        <v>#REF!</v>
      </c>
      <c r="L1084" s="20" t="str">
        <f t="shared" si="3247"/>
        <v>#REF!</v>
      </c>
    </row>
    <row r="1085">
      <c r="A1085" s="20" t="str">
        <f t="shared" si="1267"/>
        <v>#REF!</v>
      </c>
      <c r="B1085" s="20" t="str">
        <f t="shared" si="1268"/>
        <v>#REF!</v>
      </c>
      <c r="C1085" s="20" t="str">
        <f t="shared" ref="C1085:D1085" si="3248">#REF!</f>
        <v>#REF!</v>
      </c>
      <c r="D1085" s="20" t="str">
        <f t="shared" si="3248"/>
        <v>#REF!</v>
      </c>
      <c r="E1085" s="20" t="str">
        <f t="shared" si="1270"/>
        <v>#REF!</v>
      </c>
      <c r="F1085" s="22" t="str">
        <f t="shared" si="2"/>
        <v>#REF!</v>
      </c>
      <c r="G1085" s="20" t="str">
        <f t="shared" ref="G1085:I1085" si="3249">#REF!</f>
        <v>#REF!</v>
      </c>
      <c r="H1085" s="20" t="str">
        <f t="shared" si="3249"/>
        <v>#REF!</v>
      </c>
      <c r="I1085" s="20" t="str">
        <f t="shared" si="3249"/>
        <v>#REF!</v>
      </c>
      <c r="J1085" s="20" t="str">
        <f t="shared" si="1272"/>
        <v>#REF!</v>
      </c>
      <c r="K1085" s="20" t="str">
        <f t="shared" ref="K1085:L1085" si="3250">#REF!</f>
        <v>#REF!</v>
      </c>
      <c r="L1085" s="20" t="str">
        <f t="shared" si="3250"/>
        <v>#REF!</v>
      </c>
    </row>
    <row r="1086">
      <c r="A1086" s="20" t="str">
        <f t="shared" si="1267"/>
        <v>#REF!</v>
      </c>
      <c r="B1086" s="20" t="str">
        <f t="shared" si="1268"/>
        <v>#REF!</v>
      </c>
      <c r="C1086" s="20" t="str">
        <f t="shared" ref="C1086:D1086" si="3251">#REF!</f>
        <v>#REF!</v>
      </c>
      <c r="D1086" s="20" t="str">
        <f t="shared" si="3251"/>
        <v>#REF!</v>
      </c>
      <c r="E1086" s="20" t="str">
        <f t="shared" si="1270"/>
        <v>#REF!</v>
      </c>
      <c r="F1086" s="22" t="str">
        <f t="shared" si="2"/>
        <v>#REF!</v>
      </c>
      <c r="G1086" s="20" t="str">
        <f t="shared" ref="G1086:I1086" si="3252">#REF!</f>
        <v>#REF!</v>
      </c>
      <c r="H1086" s="20" t="str">
        <f t="shared" si="3252"/>
        <v>#REF!</v>
      </c>
      <c r="I1086" s="20" t="str">
        <f t="shared" si="3252"/>
        <v>#REF!</v>
      </c>
      <c r="J1086" s="20" t="str">
        <f t="shared" si="1272"/>
        <v>#REF!</v>
      </c>
      <c r="K1086" s="20" t="str">
        <f t="shared" ref="K1086:L1086" si="3253">#REF!</f>
        <v>#REF!</v>
      </c>
      <c r="L1086" s="20" t="str">
        <f t="shared" si="3253"/>
        <v>#REF!</v>
      </c>
    </row>
    <row r="1087">
      <c r="A1087" s="20" t="str">
        <f t="shared" si="1267"/>
        <v>#REF!</v>
      </c>
      <c r="B1087" s="20" t="str">
        <f t="shared" si="1268"/>
        <v>#REF!</v>
      </c>
      <c r="C1087" s="20" t="str">
        <f t="shared" ref="C1087:D1087" si="3254">#REF!</f>
        <v>#REF!</v>
      </c>
      <c r="D1087" s="20" t="str">
        <f t="shared" si="3254"/>
        <v>#REF!</v>
      </c>
      <c r="E1087" s="20" t="str">
        <f t="shared" si="1270"/>
        <v>#REF!</v>
      </c>
      <c r="F1087" s="22" t="str">
        <f t="shared" si="2"/>
        <v>#REF!</v>
      </c>
      <c r="G1087" s="20" t="str">
        <f t="shared" ref="G1087:I1087" si="3255">#REF!</f>
        <v>#REF!</v>
      </c>
      <c r="H1087" s="20" t="str">
        <f t="shared" si="3255"/>
        <v>#REF!</v>
      </c>
      <c r="I1087" s="20" t="str">
        <f t="shared" si="3255"/>
        <v>#REF!</v>
      </c>
      <c r="J1087" s="20" t="str">
        <f t="shared" si="1272"/>
        <v>#REF!</v>
      </c>
      <c r="K1087" s="20" t="str">
        <f t="shared" ref="K1087:L1087" si="3256">#REF!</f>
        <v>#REF!</v>
      </c>
      <c r="L1087" s="20" t="str">
        <f t="shared" si="3256"/>
        <v>#REF!</v>
      </c>
    </row>
    <row r="1088">
      <c r="A1088" s="20" t="str">
        <f t="shared" si="1267"/>
        <v>#REF!</v>
      </c>
      <c r="B1088" s="20" t="str">
        <f t="shared" si="1268"/>
        <v>#REF!</v>
      </c>
      <c r="C1088" s="20" t="str">
        <f t="shared" ref="C1088:D1088" si="3257">#REF!</f>
        <v>#REF!</v>
      </c>
      <c r="D1088" s="20" t="str">
        <f t="shared" si="3257"/>
        <v>#REF!</v>
      </c>
      <c r="E1088" s="20" t="str">
        <f t="shared" si="1270"/>
        <v>#REF!</v>
      </c>
      <c r="F1088" s="22" t="str">
        <f t="shared" si="2"/>
        <v>#REF!</v>
      </c>
      <c r="G1088" s="20" t="str">
        <f t="shared" ref="G1088:I1088" si="3258">#REF!</f>
        <v>#REF!</v>
      </c>
      <c r="H1088" s="20" t="str">
        <f t="shared" si="3258"/>
        <v>#REF!</v>
      </c>
      <c r="I1088" s="20" t="str">
        <f t="shared" si="3258"/>
        <v>#REF!</v>
      </c>
      <c r="J1088" s="20" t="str">
        <f t="shared" si="1272"/>
        <v>#REF!</v>
      </c>
      <c r="K1088" s="20" t="str">
        <f t="shared" ref="K1088:L1088" si="3259">#REF!</f>
        <v>#REF!</v>
      </c>
      <c r="L1088" s="20" t="str">
        <f t="shared" si="3259"/>
        <v>#REF!</v>
      </c>
    </row>
    <row r="1089">
      <c r="A1089" s="20" t="str">
        <f t="shared" si="1267"/>
        <v>#REF!</v>
      </c>
      <c r="B1089" s="20" t="str">
        <f t="shared" si="1268"/>
        <v>#REF!</v>
      </c>
      <c r="C1089" s="20" t="str">
        <f t="shared" ref="C1089:D1089" si="3260">#REF!</f>
        <v>#REF!</v>
      </c>
      <c r="D1089" s="20" t="str">
        <f t="shared" si="3260"/>
        <v>#REF!</v>
      </c>
      <c r="E1089" s="20" t="str">
        <f t="shared" si="1270"/>
        <v>#REF!</v>
      </c>
      <c r="F1089" s="22" t="str">
        <f t="shared" si="2"/>
        <v>#REF!</v>
      </c>
      <c r="G1089" s="20" t="str">
        <f t="shared" ref="G1089:I1089" si="3261">#REF!</f>
        <v>#REF!</v>
      </c>
      <c r="H1089" s="20" t="str">
        <f t="shared" si="3261"/>
        <v>#REF!</v>
      </c>
      <c r="I1089" s="20" t="str">
        <f t="shared" si="3261"/>
        <v>#REF!</v>
      </c>
      <c r="J1089" s="20" t="str">
        <f t="shared" si="1272"/>
        <v>#REF!</v>
      </c>
      <c r="K1089" s="20" t="str">
        <f t="shared" ref="K1089:L1089" si="3262">#REF!</f>
        <v>#REF!</v>
      </c>
      <c r="L1089" s="20" t="str">
        <f t="shared" si="3262"/>
        <v>#REF!</v>
      </c>
    </row>
    <row r="1090">
      <c r="A1090" s="20" t="str">
        <f t="shared" si="1267"/>
        <v>#REF!</v>
      </c>
      <c r="B1090" s="20" t="str">
        <f t="shared" si="1268"/>
        <v>#REF!</v>
      </c>
      <c r="C1090" s="20" t="str">
        <f t="shared" ref="C1090:D1090" si="3263">#REF!</f>
        <v>#REF!</v>
      </c>
      <c r="D1090" s="20" t="str">
        <f t="shared" si="3263"/>
        <v>#REF!</v>
      </c>
      <c r="E1090" s="20" t="str">
        <f t="shared" si="1270"/>
        <v>#REF!</v>
      </c>
      <c r="F1090" s="22" t="str">
        <f t="shared" si="2"/>
        <v>#REF!</v>
      </c>
      <c r="G1090" s="20" t="str">
        <f t="shared" ref="G1090:I1090" si="3264">#REF!</f>
        <v>#REF!</v>
      </c>
      <c r="H1090" s="20" t="str">
        <f t="shared" si="3264"/>
        <v>#REF!</v>
      </c>
      <c r="I1090" s="20" t="str">
        <f t="shared" si="3264"/>
        <v>#REF!</v>
      </c>
      <c r="J1090" s="20" t="str">
        <f t="shared" si="1272"/>
        <v>#REF!</v>
      </c>
      <c r="K1090" s="20" t="str">
        <f t="shared" ref="K1090:L1090" si="3265">#REF!</f>
        <v>#REF!</v>
      </c>
      <c r="L1090" s="20" t="str">
        <f t="shared" si="3265"/>
        <v>#REF!</v>
      </c>
    </row>
    <row r="1091">
      <c r="A1091" s="20" t="str">
        <f t="shared" si="1267"/>
        <v>#REF!</v>
      </c>
      <c r="B1091" s="20" t="str">
        <f t="shared" si="1268"/>
        <v>#REF!</v>
      </c>
      <c r="C1091" s="20" t="str">
        <f t="shared" ref="C1091:D1091" si="3266">#REF!</f>
        <v>#REF!</v>
      </c>
      <c r="D1091" s="20" t="str">
        <f t="shared" si="3266"/>
        <v>#REF!</v>
      </c>
      <c r="E1091" s="20" t="str">
        <f t="shared" si="1270"/>
        <v>#REF!</v>
      </c>
      <c r="F1091" s="22" t="str">
        <f t="shared" si="2"/>
        <v>#REF!</v>
      </c>
      <c r="G1091" s="20" t="str">
        <f t="shared" ref="G1091:I1091" si="3267">#REF!</f>
        <v>#REF!</v>
      </c>
      <c r="H1091" s="20" t="str">
        <f t="shared" si="3267"/>
        <v>#REF!</v>
      </c>
      <c r="I1091" s="20" t="str">
        <f t="shared" si="3267"/>
        <v>#REF!</v>
      </c>
      <c r="J1091" s="20" t="str">
        <f t="shared" si="1272"/>
        <v>#REF!</v>
      </c>
      <c r="K1091" s="20" t="str">
        <f t="shared" ref="K1091:L1091" si="3268">#REF!</f>
        <v>#REF!</v>
      </c>
      <c r="L1091" s="20" t="str">
        <f t="shared" si="3268"/>
        <v>#REF!</v>
      </c>
    </row>
    <row r="1092">
      <c r="A1092" s="20" t="str">
        <f t="shared" si="1267"/>
        <v>#REF!</v>
      </c>
      <c r="B1092" s="20" t="str">
        <f t="shared" si="1268"/>
        <v>#REF!</v>
      </c>
      <c r="C1092" s="20" t="str">
        <f t="shared" ref="C1092:D1092" si="3269">#REF!</f>
        <v>#REF!</v>
      </c>
      <c r="D1092" s="20" t="str">
        <f t="shared" si="3269"/>
        <v>#REF!</v>
      </c>
      <c r="E1092" s="20" t="str">
        <f t="shared" si="1270"/>
        <v>#REF!</v>
      </c>
      <c r="F1092" s="22" t="str">
        <f t="shared" si="2"/>
        <v>#REF!</v>
      </c>
      <c r="G1092" s="20" t="str">
        <f t="shared" ref="G1092:I1092" si="3270">#REF!</f>
        <v>#REF!</v>
      </c>
      <c r="H1092" s="20" t="str">
        <f t="shared" si="3270"/>
        <v>#REF!</v>
      </c>
      <c r="I1092" s="20" t="str">
        <f t="shared" si="3270"/>
        <v>#REF!</v>
      </c>
      <c r="J1092" s="20" t="str">
        <f t="shared" si="1272"/>
        <v>#REF!</v>
      </c>
      <c r="K1092" s="20" t="str">
        <f t="shared" ref="K1092:L1092" si="3271">#REF!</f>
        <v>#REF!</v>
      </c>
      <c r="L1092" s="20" t="str">
        <f t="shared" si="3271"/>
        <v>#REF!</v>
      </c>
    </row>
    <row r="1093">
      <c r="A1093" s="20" t="str">
        <f t="shared" si="1267"/>
        <v>#REF!</v>
      </c>
      <c r="B1093" s="20" t="str">
        <f t="shared" si="1268"/>
        <v>#REF!</v>
      </c>
      <c r="C1093" s="20" t="str">
        <f t="shared" ref="C1093:D1093" si="3272">#REF!</f>
        <v>#REF!</v>
      </c>
      <c r="D1093" s="20" t="str">
        <f t="shared" si="3272"/>
        <v>#REF!</v>
      </c>
      <c r="E1093" s="20" t="str">
        <f t="shared" si="1270"/>
        <v>#REF!</v>
      </c>
      <c r="F1093" s="22" t="str">
        <f t="shared" si="2"/>
        <v>#REF!</v>
      </c>
      <c r="G1093" s="20" t="str">
        <f t="shared" ref="G1093:I1093" si="3273">#REF!</f>
        <v>#REF!</v>
      </c>
      <c r="H1093" s="20" t="str">
        <f t="shared" si="3273"/>
        <v>#REF!</v>
      </c>
      <c r="I1093" s="20" t="str">
        <f t="shared" si="3273"/>
        <v>#REF!</v>
      </c>
      <c r="J1093" s="20" t="str">
        <f t="shared" si="1272"/>
        <v>#REF!</v>
      </c>
      <c r="K1093" s="20" t="str">
        <f t="shared" ref="K1093:L1093" si="3274">#REF!</f>
        <v>#REF!</v>
      </c>
      <c r="L1093" s="20" t="str">
        <f t="shared" si="3274"/>
        <v>#REF!</v>
      </c>
    </row>
    <row r="1094">
      <c r="A1094" s="20" t="str">
        <f t="shared" si="1267"/>
        <v>#REF!</v>
      </c>
      <c r="B1094" s="20" t="str">
        <f t="shared" si="1268"/>
        <v>#REF!</v>
      </c>
      <c r="C1094" s="20" t="str">
        <f t="shared" ref="C1094:D1094" si="3275">#REF!</f>
        <v>#REF!</v>
      </c>
      <c r="D1094" s="20" t="str">
        <f t="shared" si="3275"/>
        <v>#REF!</v>
      </c>
      <c r="E1094" s="20" t="str">
        <f t="shared" si="1270"/>
        <v>#REF!</v>
      </c>
      <c r="F1094" s="22" t="str">
        <f t="shared" si="2"/>
        <v>#REF!</v>
      </c>
      <c r="G1094" s="20" t="str">
        <f t="shared" ref="G1094:I1094" si="3276">#REF!</f>
        <v>#REF!</v>
      </c>
      <c r="H1094" s="20" t="str">
        <f t="shared" si="3276"/>
        <v>#REF!</v>
      </c>
      <c r="I1094" s="20" t="str">
        <f t="shared" si="3276"/>
        <v>#REF!</v>
      </c>
      <c r="J1094" s="20" t="str">
        <f t="shared" si="1272"/>
        <v>#REF!</v>
      </c>
      <c r="K1094" s="20" t="str">
        <f t="shared" ref="K1094:L1094" si="3277">#REF!</f>
        <v>#REF!</v>
      </c>
      <c r="L1094" s="20" t="str">
        <f t="shared" si="3277"/>
        <v>#REF!</v>
      </c>
    </row>
    <row r="1095">
      <c r="A1095" s="20" t="str">
        <f t="shared" si="1267"/>
        <v>#REF!</v>
      </c>
      <c r="B1095" s="20" t="str">
        <f t="shared" si="1268"/>
        <v>#REF!</v>
      </c>
      <c r="C1095" s="20" t="str">
        <f t="shared" ref="C1095:D1095" si="3278">#REF!</f>
        <v>#REF!</v>
      </c>
      <c r="D1095" s="20" t="str">
        <f t="shared" si="3278"/>
        <v>#REF!</v>
      </c>
      <c r="E1095" s="20" t="str">
        <f t="shared" si="1270"/>
        <v>#REF!</v>
      </c>
      <c r="F1095" s="22" t="str">
        <f t="shared" si="2"/>
        <v>#REF!</v>
      </c>
      <c r="G1095" s="20" t="str">
        <f t="shared" ref="G1095:I1095" si="3279">#REF!</f>
        <v>#REF!</v>
      </c>
      <c r="H1095" s="20" t="str">
        <f t="shared" si="3279"/>
        <v>#REF!</v>
      </c>
      <c r="I1095" s="20" t="str">
        <f t="shared" si="3279"/>
        <v>#REF!</v>
      </c>
      <c r="J1095" s="20" t="str">
        <f t="shared" si="1272"/>
        <v>#REF!</v>
      </c>
      <c r="K1095" s="20" t="str">
        <f t="shared" ref="K1095:L1095" si="3280">#REF!</f>
        <v>#REF!</v>
      </c>
      <c r="L1095" s="20" t="str">
        <f t="shared" si="3280"/>
        <v>#REF!</v>
      </c>
    </row>
    <row r="1096">
      <c r="A1096" s="20" t="str">
        <f t="shared" si="1267"/>
        <v>#REF!</v>
      </c>
      <c r="B1096" s="20" t="str">
        <f t="shared" si="1268"/>
        <v>#REF!</v>
      </c>
      <c r="C1096" s="20" t="str">
        <f t="shared" ref="C1096:D1096" si="3281">#REF!</f>
        <v>#REF!</v>
      </c>
      <c r="D1096" s="20" t="str">
        <f t="shared" si="3281"/>
        <v>#REF!</v>
      </c>
      <c r="E1096" s="20" t="str">
        <f t="shared" si="1270"/>
        <v>#REF!</v>
      </c>
      <c r="F1096" s="22" t="str">
        <f t="shared" si="2"/>
        <v>#REF!</v>
      </c>
      <c r="G1096" s="20" t="str">
        <f t="shared" ref="G1096:I1096" si="3282">#REF!</f>
        <v>#REF!</v>
      </c>
      <c r="H1096" s="20" t="str">
        <f t="shared" si="3282"/>
        <v>#REF!</v>
      </c>
      <c r="I1096" s="20" t="str">
        <f t="shared" si="3282"/>
        <v>#REF!</v>
      </c>
      <c r="J1096" s="20" t="str">
        <f t="shared" si="1272"/>
        <v>#REF!</v>
      </c>
      <c r="K1096" s="20" t="str">
        <f t="shared" ref="K1096:L1096" si="3283">#REF!</f>
        <v>#REF!</v>
      </c>
      <c r="L1096" s="20" t="str">
        <f t="shared" si="3283"/>
        <v>#REF!</v>
      </c>
    </row>
    <row r="1097">
      <c r="A1097" s="20" t="str">
        <f t="shared" si="1267"/>
        <v>#REF!</v>
      </c>
      <c r="B1097" s="20" t="str">
        <f t="shared" si="1268"/>
        <v>#REF!</v>
      </c>
      <c r="C1097" s="20" t="str">
        <f t="shared" ref="C1097:D1097" si="3284">#REF!</f>
        <v>#REF!</v>
      </c>
      <c r="D1097" s="20" t="str">
        <f t="shared" si="3284"/>
        <v>#REF!</v>
      </c>
      <c r="E1097" s="20" t="str">
        <f t="shared" si="1270"/>
        <v>#REF!</v>
      </c>
      <c r="F1097" s="22" t="str">
        <f t="shared" si="2"/>
        <v>#REF!</v>
      </c>
      <c r="G1097" s="20" t="str">
        <f t="shared" ref="G1097:I1097" si="3285">#REF!</f>
        <v>#REF!</v>
      </c>
      <c r="H1097" s="20" t="str">
        <f t="shared" si="3285"/>
        <v>#REF!</v>
      </c>
      <c r="I1097" s="20" t="str">
        <f t="shared" si="3285"/>
        <v>#REF!</v>
      </c>
      <c r="J1097" s="20" t="str">
        <f t="shared" si="1272"/>
        <v>#REF!</v>
      </c>
      <c r="K1097" s="20" t="str">
        <f t="shared" ref="K1097:L1097" si="3286">#REF!</f>
        <v>#REF!</v>
      </c>
      <c r="L1097" s="20" t="str">
        <f t="shared" si="3286"/>
        <v>#REF!</v>
      </c>
    </row>
    <row r="1098">
      <c r="A1098" s="20" t="str">
        <f t="shared" si="1267"/>
        <v>#REF!</v>
      </c>
      <c r="B1098" s="20" t="str">
        <f t="shared" si="1268"/>
        <v>#REF!</v>
      </c>
      <c r="C1098" s="20" t="str">
        <f t="shared" ref="C1098:D1098" si="3287">#REF!</f>
        <v>#REF!</v>
      </c>
      <c r="D1098" s="20" t="str">
        <f t="shared" si="3287"/>
        <v>#REF!</v>
      </c>
      <c r="E1098" s="20" t="str">
        <f t="shared" si="1270"/>
        <v>#REF!</v>
      </c>
      <c r="F1098" s="22" t="str">
        <f t="shared" si="2"/>
        <v>#REF!</v>
      </c>
      <c r="G1098" s="20" t="str">
        <f t="shared" ref="G1098:I1098" si="3288">#REF!</f>
        <v>#REF!</v>
      </c>
      <c r="H1098" s="20" t="str">
        <f t="shared" si="3288"/>
        <v>#REF!</v>
      </c>
      <c r="I1098" s="20" t="str">
        <f t="shared" si="3288"/>
        <v>#REF!</v>
      </c>
      <c r="J1098" s="20" t="str">
        <f t="shared" si="1272"/>
        <v>#REF!</v>
      </c>
      <c r="K1098" s="20" t="str">
        <f t="shared" ref="K1098:L1098" si="3289">#REF!</f>
        <v>#REF!</v>
      </c>
      <c r="L1098" s="20" t="str">
        <f t="shared" si="3289"/>
        <v>#REF!</v>
      </c>
    </row>
    <row r="1099">
      <c r="A1099" s="20" t="str">
        <f t="shared" si="1267"/>
        <v>#REF!</v>
      </c>
      <c r="B1099" s="20" t="str">
        <f t="shared" si="1268"/>
        <v>#REF!</v>
      </c>
      <c r="C1099" s="20" t="str">
        <f t="shared" ref="C1099:D1099" si="3290">#REF!</f>
        <v>#REF!</v>
      </c>
      <c r="D1099" s="20" t="str">
        <f t="shared" si="3290"/>
        <v>#REF!</v>
      </c>
      <c r="E1099" s="20" t="str">
        <f t="shared" si="1270"/>
        <v>#REF!</v>
      </c>
      <c r="F1099" s="22" t="str">
        <f t="shared" si="2"/>
        <v>#REF!</v>
      </c>
      <c r="G1099" s="20" t="str">
        <f t="shared" ref="G1099:I1099" si="3291">#REF!</f>
        <v>#REF!</v>
      </c>
      <c r="H1099" s="20" t="str">
        <f t="shared" si="3291"/>
        <v>#REF!</v>
      </c>
      <c r="I1099" s="20" t="str">
        <f t="shared" si="3291"/>
        <v>#REF!</v>
      </c>
      <c r="J1099" s="20" t="str">
        <f t="shared" si="1272"/>
        <v>#REF!</v>
      </c>
      <c r="K1099" s="20" t="str">
        <f t="shared" ref="K1099:L1099" si="3292">#REF!</f>
        <v>#REF!</v>
      </c>
      <c r="L1099" s="20" t="str">
        <f t="shared" si="3292"/>
        <v>#REF!</v>
      </c>
    </row>
    <row r="1100">
      <c r="A1100" s="20" t="str">
        <f t="shared" si="1267"/>
        <v>#REF!</v>
      </c>
      <c r="B1100" s="20" t="str">
        <f t="shared" si="1268"/>
        <v>#REF!</v>
      </c>
      <c r="C1100" s="20" t="str">
        <f t="shared" ref="C1100:D1100" si="3293">#REF!</f>
        <v>#REF!</v>
      </c>
      <c r="D1100" s="20" t="str">
        <f t="shared" si="3293"/>
        <v>#REF!</v>
      </c>
      <c r="E1100" s="20" t="str">
        <f t="shared" si="1270"/>
        <v>#REF!</v>
      </c>
      <c r="F1100" s="22" t="str">
        <f t="shared" si="2"/>
        <v>#REF!</v>
      </c>
      <c r="G1100" s="20" t="str">
        <f t="shared" ref="G1100:I1100" si="3294">#REF!</f>
        <v>#REF!</v>
      </c>
      <c r="H1100" s="20" t="str">
        <f t="shared" si="3294"/>
        <v>#REF!</v>
      </c>
      <c r="I1100" s="20" t="str">
        <f t="shared" si="3294"/>
        <v>#REF!</v>
      </c>
      <c r="J1100" s="20" t="str">
        <f t="shared" si="1272"/>
        <v>#REF!</v>
      </c>
      <c r="K1100" s="20" t="str">
        <f t="shared" ref="K1100:L1100" si="3295">#REF!</f>
        <v>#REF!</v>
      </c>
      <c r="L1100" s="20" t="str">
        <f t="shared" si="3295"/>
        <v>#REF!</v>
      </c>
    </row>
    <row r="1101">
      <c r="A1101" s="20" t="str">
        <f t="shared" si="1267"/>
        <v>#REF!</v>
      </c>
      <c r="B1101" s="20" t="str">
        <f t="shared" si="1268"/>
        <v>#REF!</v>
      </c>
      <c r="C1101" s="20" t="str">
        <f t="shared" ref="C1101:D1101" si="3296">#REF!</f>
        <v>#REF!</v>
      </c>
      <c r="D1101" s="20" t="str">
        <f t="shared" si="3296"/>
        <v>#REF!</v>
      </c>
      <c r="E1101" s="20" t="str">
        <f t="shared" si="1270"/>
        <v>#REF!</v>
      </c>
      <c r="F1101" s="22" t="str">
        <f t="shared" si="2"/>
        <v>#REF!</v>
      </c>
      <c r="G1101" s="20" t="str">
        <f t="shared" ref="G1101:I1101" si="3297">#REF!</f>
        <v>#REF!</v>
      </c>
      <c r="H1101" s="20" t="str">
        <f t="shared" si="3297"/>
        <v>#REF!</v>
      </c>
      <c r="I1101" s="20" t="str">
        <f t="shared" si="3297"/>
        <v>#REF!</v>
      </c>
      <c r="J1101" s="20" t="str">
        <f t="shared" si="1272"/>
        <v>#REF!</v>
      </c>
      <c r="K1101" s="20" t="str">
        <f t="shared" ref="K1101:L1101" si="3298">#REF!</f>
        <v>#REF!</v>
      </c>
      <c r="L1101" s="20" t="str">
        <f t="shared" si="3298"/>
        <v>#REF!</v>
      </c>
    </row>
    <row r="1102">
      <c r="A1102" s="20" t="str">
        <f t="shared" si="1267"/>
        <v>#REF!</v>
      </c>
      <c r="B1102" s="20" t="str">
        <f t="shared" si="1268"/>
        <v>#REF!</v>
      </c>
      <c r="C1102" s="20" t="str">
        <f t="shared" ref="C1102:D1102" si="3299">#REF!</f>
        <v>#REF!</v>
      </c>
      <c r="D1102" s="20" t="str">
        <f t="shared" si="3299"/>
        <v>#REF!</v>
      </c>
      <c r="E1102" s="20" t="str">
        <f t="shared" si="1270"/>
        <v>#REF!</v>
      </c>
      <c r="F1102" s="22" t="str">
        <f t="shared" si="2"/>
        <v>#REF!</v>
      </c>
      <c r="G1102" s="20" t="str">
        <f t="shared" ref="G1102:I1102" si="3300">#REF!</f>
        <v>#REF!</v>
      </c>
      <c r="H1102" s="20" t="str">
        <f t="shared" si="3300"/>
        <v>#REF!</v>
      </c>
      <c r="I1102" s="20" t="str">
        <f t="shared" si="3300"/>
        <v>#REF!</v>
      </c>
      <c r="J1102" s="20" t="str">
        <f t="shared" si="1272"/>
        <v>#REF!</v>
      </c>
      <c r="K1102" s="20" t="str">
        <f t="shared" ref="K1102:L1102" si="3301">#REF!</f>
        <v>#REF!</v>
      </c>
      <c r="L1102" s="20" t="str">
        <f t="shared" si="3301"/>
        <v>#REF!</v>
      </c>
    </row>
    <row r="1103">
      <c r="A1103" s="20" t="str">
        <f t="shared" si="1267"/>
        <v>#REF!</v>
      </c>
      <c r="B1103" s="20" t="str">
        <f t="shared" si="1268"/>
        <v>#REF!</v>
      </c>
      <c r="C1103" s="20" t="str">
        <f t="shared" ref="C1103:D1103" si="3302">#REF!</f>
        <v>#REF!</v>
      </c>
      <c r="D1103" s="20" t="str">
        <f t="shared" si="3302"/>
        <v>#REF!</v>
      </c>
      <c r="E1103" s="20" t="str">
        <f t="shared" si="1270"/>
        <v>#REF!</v>
      </c>
      <c r="F1103" s="22" t="str">
        <f t="shared" si="2"/>
        <v>#REF!</v>
      </c>
      <c r="G1103" s="20" t="str">
        <f t="shared" ref="G1103:I1103" si="3303">#REF!</f>
        <v>#REF!</v>
      </c>
      <c r="H1103" s="20" t="str">
        <f t="shared" si="3303"/>
        <v>#REF!</v>
      </c>
      <c r="I1103" s="20" t="str">
        <f t="shared" si="3303"/>
        <v>#REF!</v>
      </c>
      <c r="J1103" s="20" t="str">
        <f t="shared" si="1272"/>
        <v>#REF!</v>
      </c>
      <c r="K1103" s="20" t="str">
        <f t="shared" ref="K1103:L1103" si="3304">#REF!</f>
        <v>#REF!</v>
      </c>
      <c r="L1103" s="20" t="str">
        <f t="shared" si="3304"/>
        <v>#REF!</v>
      </c>
    </row>
    <row r="1104">
      <c r="A1104" s="20" t="str">
        <f t="shared" si="1267"/>
        <v>#REF!</v>
      </c>
      <c r="B1104" s="20" t="str">
        <f t="shared" si="1268"/>
        <v>#REF!</v>
      </c>
      <c r="C1104" s="20" t="str">
        <f t="shared" ref="C1104:D1104" si="3305">#REF!</f>
        <v>#REF!</v>
      </c>
      <c r="D1104" s="20" t="str">
        <f t="shared" si="3305"/>
        <v>#REF!</v>
      </c>
      <c r="E1104" s="20" t="str">
        <f t="shared" si="1270"/>
        <v>#REF!</v>
      </c>
      <c r="F1104" s="22" t="str">
        <f t="shared" si="2"/>
        <v>#REF!</v>
      </c>
      <c r="G1104" s="20" t="str">
        <f t="shared" ref="G1104:I1104" si="3306">#REF!</f>
        <v>#REF!</v>
      </c>
      <c r="H1104" s="20" t="str">
        <f t="shared" si="3306"/>
        <v>#REF!</v>
      </c>
      <c r="I1104" s="20" t="str">
        <f t="shared" si="3306"/>
        <v>#REF!</v>
      </c>
      <c r="J1104" s="20" t="str">
        <f t="shared" si="1272"/>
        <v>#REF!</v>
      </c>
      <c r="K1104" s="20" t="str">
        <f t="shared" ref="K1104:L1104" si="3307">#REF!</f>
        <v>#REF!</v>
      </c>
      <c r="L1104" s="20" t="str">
        <f t="shared" si="3307"/>
        <v>#REF!</v>
      </c>
    </row>
    <row r="1105">
      <c r="A1105" s="20" t="str">
        <f t="shared" si="1267"/>
        <v>#REF!</v>
      </c>
      <c r="B1105" s="20" t="str">
        <f t="shared" si="1268"/>
        <v>#REF!</v>
      </c>
      <c r="C1105" s="20" t="str">
        <f t="shared" ref="C1105:D1105" si="3308">#REF!</f>
        <v>#REF!</v>
      </c>
      <c r="D1105" s="20" t="str">
        <f t="shared" si="3308"/>
        <v>#REF!</v>
      </c>
      <c r="E1105" s="20" t="str">
        <f t="shared" si="1270"/>
        <v>#REF!</v>
      </c>
      <c r="F1105" s="22" t="str">
        <f t="shared" si="2"/>
        <v>#REF!</v>
      </c>
      <c r="G1105" s="20" t="str">
        <f t="shared" ref="G1105:I1105" si="3309">#REF!</f>
        <v>#REF!</v>
      </c>
      <c r="H1105" s="20" t="str">
        <f t="shared" si="3309"/>
        <v>#REF!</v>
      </c>
      <c r="I1105" s="20" t="str">
        <f t="shared" si="3309"/>
        <v>#REF!</v>
      </c>
      <c r="J1105" s="20" t="str">
        <f t="shared" si="1272"/>
        <v>#REF!</v>
      </c>
      <c r="K1105" s="20" t="str">
        <f t="shared" ref="K1105:L1105" si="3310">#REF!</f>
        <v>#REF!</v>
      </c>
      <c r="L1105" s="20" t="str">
        <f t="shared" si="3310"/>
        <v>#REF!</v>
      </c>
    </row>
    <row r="1106">
      <c r="A1106" s="20" t="str">
        <f t="shared" si="1267"/>
        <v>#REF!</v>
      </c>
      <c r="B1106" s="20" t="str">
        <f t="shared" si="1268"/>
        <v>#REF!</v>
      </c>
      <c r="C1106" s="20" t="str">
        <f t="shared" ref="C1106:D1106" si="3311">#REF!</f>
        <v>#REF!</v>
      </c>
      <c r="D1106" s="20" t="str">
        <f t="shared" si="3311"/>
        <v>#REF!</v>
      </c>
      <c r="E1106" s="20" t="str">
        <f t="shared" si="1270"/>
        <v>#REF!</v>
      </c>
      <c r="F1106" s="22" t="str">
        <f t="shared" si="2"/>
        <v>#REF!</v>
      </c>
      <c r="G1106" s="20" t="str">
        <f t="shared" ref="G1106:I1106" si="3312">#REF!</f>
        <v>#REF!</v>
      </c>
      <c r="H1106" s="20" t="str">
        <f t="shared" si="3312"/>
        <v>#REF!</v>
      </c>
      <c r="I1106" s="20" t="str">
        <f t="shared" si="3312"/>
        <v>#REF!</v>
      </c>
      <c r="J1106" s="20" t="str">
        <f t="shared" si="1272"/>
        <v>#REF!</v>
      </c>
      <c r="K1106" s="20" t="str">
        <f t="shared" ref="K1106:L1106" si="3313">#REF!</f>
        <v>#REF!</v>
      </c>
      <c r="L1106" s="20" t="str">
        <f t="shared" si="3313"/>
        <v>#REF!</v>
      </c>
    </row>
    <row r="1107">
      <c r="A1107" s="20" t="str">
        <f t="shared" si="1267"/>
        <v>#REF!</v>
      </c>
      <c r="B1107" s="20" t="str">
        <f t="shared" si="1268"/>
        <v>#REF!</v>
      </c>
      <c r="C1107" s="20" t="str">
        <f t="shared" ref="C1107:D1107" si="3314">#REF!</f>
        <v>#REF!</v>
      </c>
      <c r="D1107" s="20" t="str">
        <f t="shared" si="3314"/>
        <v>#REF!</v>
      </c>
      <c r="E1107" s="20" t="str">
        <f t="shared" si="1270"/>
        <v>#REF!</v>
      </c>
      <c r="F1107" s="22" t="str">
        <f t="shared" si="2"/>
        <v>#REF!</v>
      </c>
      <c r="G1107" s="20" t="str">
        <f t="shared" ref="G1107:I1107" si="3315">#REF!</f>
        <v>#REF!</v>
      </c>
      <c r="H1107" s="20" t="str">
        <f t="shared" si="3315"/>
        <v>#REF!</v>
      </c>
      <c r="I1107" s="20" t="str">
        <f t="shared" si="3315"/>
        <v>#REF!</v>
      </c>
      <c r="J1107" s="20" t="str">
        <f t="shared" si="1272"/>
        <v>#REF!</v>
      </c>
      <c r="K1107" s="20" t="str">
        <f t="shared" ref="K1107:L1107" si="3316">#REF!</f>
        <v>#REF!</v>
      </c>
      <c r="L1107" s="20" t="str">
        <f t="shared" si="3316"/>
        <v>#REF!</v>
      </c>
    </row>
    <row r="1108">
      <c r="A1108" s="20" t="str">
        <f t="shared" si="1267"/>
        <v>#REF!</v>
      </c>
      <c r="B1108" s="20" t="str">
        <f t="shared" si="1268"/>
        <v>#REF!</v>
      </c>
      <c r="C1108" s="20" t="str">
        <f t="shared" ref="C1108:D1108" si="3317">#REF!</f>
        <v>#REF!</v>
      </c>
      <c r="D1108" s="20" t="str">
        <f t="shared" si="3317"/>
        <v>#REF!</v>
      </c>
      <c r="E1108" s="20" t="str">
        <f t="shared" si="1270"/>
        <v>#REF!</v>
      </c>
      <c r="F1108" s="22" t="str">
        <f t="shared" si="2"/>
        <v>#REF!</v>
      </c>
      <c r="G1108" s="20" t="str">
        <f t="shared" ref="G1108:I1108" si="3318">#REF!</f>
        <v>#REF!</v>
      </c>
      <c r="H1108" s="20" t="str">
        <f t="shared" si="3318"/>
        <v>#REF!</v>
      </c>
      <c r="I1108" s="20" t="str">
        <f t="shared" si="3318"/>
        <v>#REF!</v>
      </c>
      <c r="J1108" s="20" t="str">
        <f t="shared" si="1272"/>
        <v>#REF!</v>
      </c>
      <c r="K1108" s="20" t="str">
        <f t="shared" ref="K1108:L1108" si="3319">#REF!</f>
        <v>#REF!</v>
      </c>
      <c r="L1108" s="20" t="str">
        <f t="shared" si="3319"/>
        <v>#REF!</v>
      </c>
    </row>
    <row r="1109">
      <c r="A1109" s="20" t="str">
        <f t="shared" si="1267"/>
        <v>#REF!</v>
      </c>
      <c r="B1109" s="20" t="str">
        <f t="shared" si="1268"/>
        <v>#REF!</v>
      </c>
      <c r="C1109" s="20" t="str">
        <f t="shared" ref="C1109:D1109" si="3320">#REF!</f>
        <v>#REF!</v>
      </c>
      <c r="D1109" s="20" t="str">
        <f t="shared" si="3320"/>
        <v>#REF!</v>
      </c>
      <c r="E1109" s="20" t="str">
        <f t="shared" si="1270"/>
        <v>#REF!</v>
      </c>
      <c r="F1109" s="22" t="str">
        <f t="shared" si="2"/>
        <v>#REF!</v>
      </c>
      <c r="G1109" s="20" t="str">
        <f t="shared" ref="G1109:I1109" si="3321">#REF!</f>
        <v>#REF!</v>
      </c>
      <c r="H1109" s="20" t="str">
        <f t="shared" si="3321"/>
        <v>#REF!</v>
      </c>
      <c r="I1109" s="20" t="str">
        <f t="shared" si="3321"/>
        <v>#REF!</v>
      </c>
      <c r="J1109" s="20" t="str">
        <f t="shared" si="1272"/>
        <v>#REF!</v>
      </c>
      <c r="K1109" s="20" t="str">
        <f t="shared" ref="K1109:L1109" si="3322">#REF!</f>
        <v>#REF!</v>
      </c>
      <c r="L1109" s="20" t="str">
        <f t="shared" si="3322"/>
        <v>#REF!</v>
      </c>
    </row>
    <row r="1110">
      <c r="A1110" s="20" t="str">
        <f t="shared" si="1267"/>
        <v>#REF!</v>
      </c>
      <c r="B1110" s="20" t="str">
        <f t="shared" si="1268"/>
        <v>#REF!</v>
      </c>
      <c r="C1110" s="20" t="str">
        <f t="shared" ref="C1110:D1110" si="3323">#REF!</f>
        <v>#REF!</v>
      </c>
      <c r="D1110" s="20" t="str">
        <f t="shared" si="3323"/>
        <v>#REF!</v>
      </c>
      <c r="E1110" s="20" t="str">
        <f t="shared" si="1270"/>
        <v>#REF!</v>
      </c>
      <c r="F1110" s="22" t="str">
        <f t="shared" si="2"/>
        <v>#REF!</v>
      </c>
      <c r="G1110" s="20" t="str">
        <f t="shared" ref="G1110:I1110" si="3324">#REF!</f>
        <v>#REF!</v>
      </c>
      <c r="H1110" s="20" t="str">
        <f t="shared" si="3324"/>
        <v>#REF!</v>
      </c>
      <c r="I1110" s="20" t="str">
        <f t="shared" si="3324"/>
        <v>#REF!</v>
      </c>
      <c r="J1110" s="20" t="str">
        <f t="shared" si="1272"/>
        <v>#REF!</v>
      </c>
      <c r="K1110" s="20" t="str">
        <f t="shared" ref="K1110:L1110" si="3325">#REF!</f>
        <v>#REF!</v>
      </c>
      <c r="L1110" s="20" t="str">
        <f t="shared" si="3325"/>
        <v>#REF!</v>
      </c>
    </row>
    <row r="1111">
      <c r="A1111" s="20" t="str">
        <f t="shared" si="1267"/>
        <v>#REF!</v>
      </c>
      <c r="B1111" s="20" t="str">
        <f t="shared" si="1268"/>
        <v>#REF!</v>
      </c>
      <c r="C1111" s="20" t="str">
        <f t="shared" ref="C1111:D1111" si="3326">#REF!</f>
        <v>#REF!</v>
      </c>
      <c r="D1111" s="20" t="str">
        <f t="shared" si="3326"/>
        <v>#REF!</v>
      </c>
      <c r="E1111" s="20" t="str">
        <f t="shared" si="1270"/>
        <v>#REF!</v>
      </c>
      <c r="F1111" s="22" t="str">
        <f t="shared" si="2"/>
        <v>#REF!</v>
      </c>
      <c r="G1111" s="20" t="str">
        <f t="shared" ref="G1111:I1111" si="3327">#REF!</f>
        <v>#REF!</v>
      </c>
      <c r="H1111" s="20" t="str">
        <f t="shared" si="3327"/>
        <v>#REF!</v>
      </c>
      <c r="I1111" s="20" t="str">
        <f t="shared" si="3327"/>
        <v>#REF!</v>
      </c>
      <c r="J1111" s="20" t="str">
        <f t="shared" si="1272"/>
        <v>#REF!</v>
      </c>
      <c r="K1111" s="20" t="str">
        <f t="shared" ref="K1111:L1111" si="3328">#REF!</f>
        <v>#REF!</v>
      </c>
      <c r="L1111" s="20" t="str">
        <f t="shared" si="3328"/>
        <v>#REF!</v>
      </c>
    </row>
    <row r="1112">
      <c r="A1112" s="20" t="str">
        <f t="shared" si="1267"/>
        <v>#REF!</v>
      </c>
      <c r="B1112" s="20" t="str">
        <f t="shared" si="1268"/>
        <v>#REF!</v>
      </c>
      <c r="C1112" s="20" t="str">
        <f t="shared" ref="C1112:D1112" si="3329">#REF!</f>
        <v>#REF!</v>
      </c>
      <c r="D1112" s="20" t="str">
        <f t="shared" si="3329"/>
        <v>#REF!</v>
      </c>
      <c r="E1112" s="20" t="str">
        <f t="shared" si="1270"/>
        <v>#REF!</v>
      </c>
      <c r="F1112" s="22" t="str">
        <f t="shared" si="2"/>
        <v>#REF!</v>
      </c>
      <c r="G1112" s="20" t="str">
        <f t="shared" ref="G1112:I1112" si="3330">#REF!</f>
        <v>#REF!</v>
      </c>
      <c r="H1112" s="20" t="str">
        <f t="shared" si="3330"/>
        <v>#REF!</v>
      </c>
      <c r="I1112" s="20" t="str">
        <f t="shared" si="3330"/>
        <v>#REF!</v>
      </c>
      <c r="J1112" s="20" t="str">
        <f t="shared" si="1272"/>
        <v>#REF!</v>
      </c>
      <c r="K1112" s="20" t="str">
        <f t="shared" ref="K1112:L1112" si="3331">#REF!</f>
        <v>#REF!</v>
      </c>
      <c r="L1112" s="20" t="str">
        <f t="shared" si="3331"/>
        <v>#REF!</v>
      </c>
    </row>
    <row r="1113">
      <c r="A1113" s="20" t="str">
        <f t="shared" si="1267"/>
        <v>#REF!</v>
      </c>
      <c r="B1113" s="20" t="str">
        <f t="shared" si="1268"/>
        <v>#REF!</v>
      </c>
      <c r="C1113" s="20" t="str">
        <f t="shared" ref="C1113:D1113" si="3332">#REF!</f>
        <v>#REF!</v>
      </c>
      <c r="D1113" s="20" t="str">
        <f t="shared" si="3332"/>
        <v>#REF!</v>
      </c>
      <c r="E1113" s="20" t="str">
        <f t="shared" si="1270"/>
        <v>#REF!</v>
      </c>
      <c r="F1113" s="22" t="str">
        <f t="shared" si="2"/>
        <v>#REF!</v>
      </c>
      <c r="G1113" s="20" t="str">
        <f t="shared" ref="G1113:I1113" si="3333">#REF!</f>
        <v>#REF!</v>
      </c>
      <c r="H1113" s="20" t="str">
        <f t="shared" si="3333"/>
        <v>#REF!</v>
      </c>
      <c r="I1113" s="20" t="str">
        <f t="shared" si="3333"/>
        <v>#REF!</v>
      </c>
      <c r="J1113" s="20" t="str">
        <f t="shared" si="1272"/>
        <v>#REF!</v>
      </c>
      <c r="K1113" s="20" t="str">
        <f t="shared" ref="K1113:L1113" si="3334">#REF!</f>
        <v>#REF!</v>
      </c>
      <c r="L1113" s="20" t="str">
        <f t="shared" si="3334"/>
        <v>#REF!</v>
      </c>
    </row>
    <row r="1114">
      <c r="A1114" s="20" t="str">
        <f t="shared" si="1267"/>
        <v>#REF!</v>
      </c>
      <c r="B1114" s="20" t="str">
        <f t="shared" si="1268"/>
        <v>#REF!</v>
      </c>
      <c r="C1114" s="20" t="str">
        <f t="shared" ref="C1114:D1114" si="3335">#REF!</f>
        <v>#REF!</v>
      </c>
      <c r="D1114" s="20" t="str">
        <f t="shared" si="3335"/>
        <v>#REF!</v>
      </c>
      <c r="E1114" s="20" t="str">
        <f t="shared" si="1270"/>
        <v>#REF!</v>
      </c>
      <c r="F1114" s="22" t="str">
        <f t="shared" si="2"/>
        <v>#REF!</v>
      </c>
      <c r="G1114" s="20" t="str">
        <f t="shared" ref="G1114:I1114" si="3336">#REF!</f>
        <v>#REF!</v>
      </c>
      <c r="H1114" s="20" t="str">
        <f t="shared" si="3336"/>
        <v>#REF!</v>
      </c>
      <c r="I1114" s="20" t="str">
        <f t="shared" si="3336"/>
        <v>#REF!</v>
      </c>
      <c r="J1114" s="20" t="str">
        <f t="shared" si="1272"/>
        <v>#REF!</v>
      </c>
      <c r="K1114" s="20" t="str">
        <f t="shared" ref="K1114:L1114" si="3337">#REF!</f>
        <v>#REF!</v>
      </c>
      <c r="L1114" s="20" t="str">
        <f t="shared" si="3337"/>
        <v>#REF!</v>
      </c>
    </row>
    <row r="1115">
      <c r="A1115" s="20" t="str">
        <f t="shared" si="1267"/>
        <v>#REF!</v>
      </c>
      <c r="B1115" s="20" t="str">
        <f t="shared" si="1268"/>
        <v>#REF!</v>
      </c>
      <c r="C1115" s="20" t="str">
        <f t="shared" ref="C1115:D1115" si="3338">#REF!</f>
        <v>#REF!</v>
      </c>
      <c r="D1115" s="20" t="str">
        <f t="shared" si="3338"/>
        <v>#REF!</v>
      </c>
      <c r="E1115" s="20" t="str">
        <f t="shared" si="1270"/>
        <v>#REF!</v>
      </c>
      <c r="F1115" s="22" t="str">
        <f t="shared" si="2"/>
        <v>#REF!</v>
      </c>
      <c r="G1115" s="20" t="str">
        <f t="shared" ref="G1115:I1115" si="3339">#REF!</f>
        <v>#REF!</v>
      </c>
      <c r="H1115" s="20" t="str">
        <f t="shared" si="3339"/>
        <v>#REF!</v>
      </c>
      <c r="I1115" s="20" t="str">
        <f t="shared" si="3339"/>
        <v>#REF!</v>
      </c>
      <c r="J1115" s="20" t="str">
        <f t="shared" si="1272"/>
        <v>#REF!</v>
      </c>
      <c r="K1115" s="20" t="str">
        <f t="shared" ref="K1115:L1115" si="3340">#REF!</f>
        <v>#REF!</v>
      </c>
      <c r="L1115" s="20" t="str">
        <f t="shared" si="3340"/>
        <v>#REF!</v>
      </c>
    </row>
    <row r="1116">
      <c r="A1116" s="20" t="str">
        <f t="shared" si="1267"/>
        <v>#REF!</v>
      </c>
      <c r="B1116" s="20" t="str">
        <f t="shared" si="1268"/>
        <v>#REF!</v>
      </c>
      <c r="C1116" s="20" t="str">
        <f t="shared" ref="C1116:D1116" si="3341">#REF!</f>
        <v>#REF!</v>
      </c>
      <c r="D1116" s="20" t="str">
        <f t="shared" si="3341"/>
        <v>#REF!</v>
      </c>
      <c r="E1116" s="20" t="str">
        <f t="shared" si="1270"/>
        <v>#REF!</v>
      </c>
      <c r="F1116" s="22" t="str">
        <f t="shared" si="2"/>
        <v>#REF!</v>
      </c>
      <c r="G1116" s="20" t="str">
        <f t="shared" ref="G1116:I1116" si="3342">#REF!</f>
        <v>#REF!</v>
      </c>
      <c r="H1116" s="20" t="str">
        <f t="shared" si="3342"/>
        <v>#REF!</v>
      </c>
      <c r="I1116" s="20" t="str">
        <f t="shared" si="3342"/>
        <v>#REF!</v>
      </c>
      <c r="J1116" s="20" t="str">
        <f t="shared" si="1272"/>
        <v>#REF!</v>
      </c>
      <c r="K1116" s="20" t="str">
        <f t="shared" ref="K1116:L1116" si="3343">#REF!</f>
        <v>#REF!</v>
      </c>
      <c r="L1116" s="20" t="str">
        <f t="shared" si="3343"/>
        <v>#REF!</v>
      </c>
    </row>
    <row r="1117">
      <c r="A1117" s="20" t="str">
        <f t="shared" si="1267"/>
        <v>#REF!</v>
      </c>
      <c r="B1117" s="20" t="str">
        <f t="shared" si="1268"/>
        <v>#REF!</v>
      </c>
      <c r="C1117" s="20" t="str">
        <f t="shared" ref="C1117:D1117" si="3344">#REF!</f>
        <v>#REF!</v>
      </c>
      <c r="D1117" s="20" t="str">
        <f t="shared" si="3344"/>
        <v>#REF!</v>
      </c>
      <c r="E1117" s="20" t="str">
        <f t="shared" si="1270"/>
        <v>#REF!</v>
      </c>
      <c r="F1117" s="22" t="str">
        <f t="shared" si="2"/>
        <v>#REF!</v>
      </c>
      <c r="G1117" s="20" t="str">
        <f t="shared" ref="G1117:I1117" si="3345">#REF!</f>
        <v>#REF!</v>
      </c>
      <c r="H1117" s="20" t="str">
        <f t="shared" si="3345"/>
        <v>#REF!</v>
      </c>
      <c r="I1117" s="20" t="str">
        <f t="shared" si="3345"/>
        <v>#REF!</v>
      </c>
      <c r="J1117" s="20" t="str">
        <f t="shared" si="1272"/>
        <v>#REF!</v>
      </c>
      <c r="K1117" s="20" t="str">
        <f t="shared" ref="K1117:L1117" si="3346">#REF!</f>
        <v>#REF!</v>
      </c>
      <c r="L1117" s="20" t="str">
        <f t="shared" si="3346"/>
        <v>#REF!</v>
      </c>
    </row>
    <row r="1118">
      <c r="A1118" s="20" t="str">
        <f t="shared" si="1267"/>
        <v>#REF!</v>
      </c>
      <c r="B1118" s="20" t="str">
        <f t="shared" si="1268"/>
        <v>#REF!</v>
      </c>
      <c r="C1118" s="20" t="str">
        <f t="shared" ref="C1118:D1118" si="3347">#REF!</f>
        <v>#REF!</v>
      </c>
      <c r="D1118" s="20" t="str">
        <f t="shared" si="3347"/>
        <v>#REF!</v>
      </c>
      <c r="E1118" s="20" t="str">
        <f t="shared" si="1270"/>
        <v>#REF!</v>
      </c>
      <c r="F1118" s="22" t="str">
        <f t="shared" si="2"/>
        <v>#REF!</v>
      </c>
      <c r="G1118" s="20" t="str">
        <f t="shared" ref="G1118:I1118" si="3348">#REF!</f>
        <v>#REF!</v>
      </c>
      <c r="H1118" s="20" t="str">
        <f t="shared" si="3348"/>
        <v>#REF!</v>
      </c>
      <c r="I1118" s="20" t="str">
        <f t="shared" si="3348"/>
        <v>#REF!</v>
      </c>
      <c r="J1118" s="20" t="str">
        <f t="shared" si="1272"/>
        <v>#REF!</v>
      </c>
      <c r="K1118" s="20" t="str">
        <f t="shared" ref="K1118:L1118" si="3349">#REF!</f>
        <v>#REF!</v>
      </c>
      <c r="L1118" s="20" t="str">
        <f t="shared" si="3349"/>
        <v>#REF!</v>
      </c>
    </row>
    <row r="1119">
      <c r="A1119" s="20" t="str">
        <f t="shared" si="1267"/>
        <v>#REF!</v>
      </c>
      <c r="B1119" s="20" t="str">
        <f t="shared" si="1268"/>
        <v>#REF!</v>
      </c>
      <c r="C1119" s="20" t="str">
        <f t="shared" ref="C1119:D1119" si="3350">#REF!</f>
        <v>#REF!</v>
      </c>
      <c r="D1119" s="20" t="str">
        <f t="shared" si="3350"/>
        <v>#REF!</v>
      </c>
      <c r="E1119" s="20" t="str">
        <f t="shared" si="1270"/>
        <v>#REF!</v>
      </c>
      <c r="F1119" s="22" t="str">
        <f t="shared" si="2"/>
        <v>#REF!</v>
      </c>
      <c r="G1119" s="20" t="str">
        <f t="shared" ref="G1119:I1119" si="3351">#REF!</f>
        <v>#REF!</v>
      </c>
      <c r="H1119" s="20" t="str">
        <f t="shared" si="3351"/>
        <v>#REF!</v>
      </c>
      <c r="I1119" s="20" t="str">
        <f t="shared" si="3351"/>
        <v>#REF!</v>
      </c>
      <c r="J1119" s="20" t="str">
        <f t="shared" si="1272"/>
        <v>#REF!</v>
      </c>
      <c r="K1119" s="20" t="str">
        <f t="shared" ref="K1119:L1119" si="3352">#REF!</f>
        <v>#REF!</v>
      </c>
      <c r="L1119" s="20" t="str">
        <f t="shared" si="3352"/>
        <v>#REF!</v>
      </c>
    </row>
    <row r="1120">
      <c r="A1120" s="20" t="str">
        <f t="shared" si="1267"/>
        <v>#REF!</v>
      </c>
      <c r="B1120" s="20" t="str">
        <f t="shared" si="1268"/>
        <v>#REF!</v>
      </c>
      <c r="C1120" s="20" t="str">
        <f t="shared" ref="C1120:D1120" si="3353">#REF!</f>
        <v>#REF!</v>
      </c>
      <c r="D1120" s="20" t="str">
        <f t="shared" si="3353"/>
        <v>#REF!</v>
      </c>
      <c r="E1120" s="20" t="str">
        <f t="shared" si="1270"/>
        <v>#REF!</v>
      </c>
      <c r="F1120" s="22" t="str">
        <f t="shared" si="2"/>
        <v>#REF!</v>
      </c>
      <c r="G1120" s="20" t="str">
        <f t="shared" ref="G1120:I1120" si="3354">#REF!</f>
        <v>#REF!</v>
      </c>
      <c r="H1120" s="20" t="str">
        <f t="shared" si="3354"/>
        <v>#REF!</v>
      </c>
      <c r="I1120" s="20" t="str">
        <f t="shared" si="3354"/>
        <v>#REF!</v>
      </c>
      <c r="J1120" s="20" t="str">
        <f t="shared" si="1272"/>
        <v>#REF!</v>
      </c>
      <c r="K1120" s="20" t="str">
        <f t="shared" ref="K1120:L1120" si="3355">#REF!</f>
        <v>#REF!</v>
      </c>
      <c r="L1120" s="20" t="str">
        <f t="shared" si="3355"/>
        <v>#REF!</v>
      </c>
    </row>
    <row r="1121">
      <c r="A1121" s="20" t="str">
        <f t="shared" si="1267"/>
        <v>#REF!</v>
      </c>
      <c r="B1121" s="20" t="str">
        <f t="shared" si="1268"/>
        <v>#REF!</v>
      </c>
      <c r="C1121" s="20" t="str">
        <f t="shared" ref="C1121:D1121" si="3356">#REF!</f>
        <v>#REF!</v>
      </c>
      <c r="D1121" s="20" t="str">
        <f t="shared" si="3356"/>
        <v>#REF!</v>
      </c>
      <c r="E1121" s="20" t="str">
        <f t="shared" si="1270"/>
        <v>#REF!</v>
      </c>
      <c r="F1121" s="22" t="str">
        <f t="shared" si="2"/>
        <v>#REF!</v>
      </c>
      <c r="G1121" s="20" t="str">
        <f t="shared" ref="G1121:I1121" si="3357">#REF!</f>
        <v>#REF!</v>
      </c>
      <c r="H1121" s="20" t="str">
        <f t="shared" si="3357"/>
        <v>#REF!</v>
      </c>
      <c r="I1121" s="20" t="str">
        <f t="shared" si="3357"/>
        <v>#REF!</v>
      </c>
      <c r="J1121" s="20" t="str">
        <f t="shared" si="1272"/>
        <v>#REF!</v>
      </c>
      <c r="K1121" s="20" t="str">
        <f t="shared" ref="K1121:L1121" si="3358">#REF!</f>
        <v>#REF!</v>
      </c>
      <c r="L1121" s="20" t="str">
        <f t="shared" si="3358"/>
        <v>#REF!</v>
      </c>
    </row>
    <row r="1122">
      <c r="A1122" s="20" t="str">
        <f t="shared" si="1267"/>
        <v>#REF!</v>
      </c>
      <c r="B1122" s="20" t="str">
        <f t="shared" si="1268"/>
        <v>#REF!</v>
      </c>
      <c r="C1122" s="20" t="str">
        <f t="shared" ref="C1122:D1122" si="3359">#REF!</f>
        <v>#REF!</v>
      </c>
      <c r="D1122" s="20" t="str">
        <f t="shared" si="3359"/>
        <v>#REF!</v>
      </c>
      <c r="E1122" s="20" t="str">
        <f t="shared" si="1270"/>
        <v>#REF!</v>
      </c>
      <c r="F1122" s="22" t="str">
        <f t="shared" si="2"/>
        <v>#REF!</v>
      </c>
      <c r="G1122" s="20" t="str">
        <f t="shared" ref="G1122:I1122" si="3360">#REF!</f>
        <v>#REF!</v>
      </c>
      <c r="H1122" s="20" t="str">
        <f t="shared" si="3360"/>
        <v>#REF!</v>
      </c>
      <c r="I1122" s="20" t="str">
        <f t="shared" si="3360"/>
        <v>#REF!</v>
      </c>
      <c r="J1122" s="20" t="str">
        <f t="shared" si="1272"/>
        <v>#REF!</v>
      </c>
      <c r="K1122" s="20" t="str">
        <f t="shared" ref="K1122:L1122" si="3361">#REF!</f>
        <v>#REF!</v>
      </c>
      <c r="L1122" s="20" t="str">
        <f t="shared" si="3361"/>
        <v>#REF!</v>
      </c>
    </row>
    <row r="1123">
      <c r="A1123" s="20" t="str">
        <f t="shared" si="1267"/>
        <v>#REF!</v>
      </c>
      <c r="B1123" s="20" t="str">
        <f t="shared" si="1268"/>
        <v>#REF!</v>
      </c>
      <c r="C1123" s="20" t="str">
        <f t="shared" ref="C1123:D1123" si="3362">#REF!</f>
        <v>#REF!</v>
      </c>
      <c r="D1123" s="20" t="str">
        <f t="shared" si="3362"/>
        <v>#REF!</v>
      </c>
      <c r="E1123" s="20" t="str">
        <f t="shared" si="1270"/>
        <v>#REF!</v>
      </c>
      <c r="F1123" s="22" t="str">
        <f t="shared" si="2"/>
        <v>#REF!</v>
      </c>
      <c r="G1123" s="20" t="str">
        <f t="shared" ref="G1123:I1123" si="3363">#REF!</f>
        <v>#REF!</v>
      </c>
      <c r="H1123" s="20" t="str">
        <f t="shared" si="3363"/>
        <v>#REF!</v>
      </c>
      <c r="I1123" s="20" t="str">
        <f t="shared" si="3363"/>
        <v>#REF!</v>
      </c>
      <c r="J1123" s="20" t="str">
        <f t="shared" si="1272"/>
        <v>#REF!</v>
      </c>
      <c r="K1123" s="20" t="str">
        <f t="shared" ref="K1123:L1123" si="3364">#REF!</f>
        <v>#REF!</v>
      </c>
      <c r="L1123" s="20" t="str">
        <f t="shared" si="3364"/>
        <v>#REF!</v>
      </c>
    </row>
    <row r="1124">
      <c r="A1124" s="20" t="str">
        <f t="shared" si="1267"/>
        <v>#REF!</v>
      </c>
      <c r="B1124" s="20" t="str">
        <f t="shared" si="1268"/>
        <v>#REF!</v>
      </c>
      <c r="C1124" s="20" t="str">
        <f t="shared" ref="C1124:D1124" si="3365">#REF!</f>
        <v>#REF!</v>
      </c>
      <c r="D1124" s="20" t="str">
        <f t="shared" si="3365"/>
        <v>#REF!</v>
      </c>
      <c r="E1124" s="20" t="str">
        <f t="shared" si="1270"/>
        <v>#REF!</v>
      </c>
      <c r="F1124" s="22" t="str">
        <f t="shared" si="2"/>
        <v>#REF!</v>
      </c>
      <c r="G1124" s="20" t="str">
        <f t="shared" ref="G1124:I1124" si="3366">#REF!</f>
        <v>#REF!</v>
      </c>
      <c r="H1124" s="20" t="str">
        <f t="shared" si="3366"/>
        <v>#REF!</v>
      </c>
      <c r="I1124" s="20" t="str">
        <f t="shared" si="3366"/>
        <v>#REF!</v>
      </c>
      <c r="J1124" s="20" t="str">
        <f t="shared" si="1272"/>
        <v>#REF!</v>
      </c>
      <c r="K1124" s="20" t="str">
        <f t="shared" ref="K1124:L1124" si="3367">#REF!</f>
        <v>#REF!</v>
      </c>
      <c r="L1124" s="20" t="str">
        <f t="shared" si="3367"/>
        <v>#REF!</v>
      </c>
    </row>
    <row r="1125">
      <c r="A1125" s="20" t="str">
        <f t="shared" si="1267"/>
        <v>#REF!</v>
      </c>
      <c r="B1125" s="20" t="str">
        <f t="shared" si="1268"/>
        <v>#REF!</v>
      </c>
      <c r="C1125" s="20" t="str">
        <f t="shared" ref="C1125:D1125" si="3368">#REF!</f>
        <v>#REF!</v>
      </c>
      <c r="D1125" s="20" t="str">
        <f t="shared" si="3368"/>
        <v>#REF!</v>
      </c>
      <c r="E1125" s="20" t="str">
        <f t="shared" si="1270"/>
        <v>#REF!</v>
      </c>
      <c r="F1125" s="22" t="str">
        <f t="shared" si="2"/>
        <v>#REF!</v>
      </c>
      <c r="G1125" s="20" t="str">
        <f t="shared" ref="G1125:I1125" si="3369">#REF!</f>
        <v>#REF!</v>
      </c>
      <c r="H1125" s="20" t="str">
        <f t="shared" si="3369"/>
        <v>#REF!</v>
      </c>
      <c r="I1125" s="20" t="str">
        <f t="shared" si="3369"/>
        <v>#REF!</v>
      </c>
      <c r="J1125" s="20" t="str">
        <f t="shared" si="1272"/>
        <v>#REF!</v>
      </c>
      <c r="K1125" s="20" t="str">
        <f t="shared" ref="K1125:L1125" si="3370">#REF!</f>
        <v>#REF!</v>
      </c>
      <c r="L1125" s="20" t="str">
        <f t="shared" si="3370"/>
        <v>#REF!</v>
      </c>
    </row>
    <row r="1126">
      <c r="A1126" s="20" t="str">
        <f t="shared" si="1267"/>
        <v>#REF!</v>
      </c>
      <c r="B1126" s="20" t="str">
        <f t="shared" si="1268"/>
        <v>#REF!</v>
      </c>
      <c r="C1126" s="20" t="str">
        <f t="shared" ref="C1126:D1126" si="3371">#REF!</f>
        <v>#REF!</v>
      </c>
      <c r="D1126" s="20" t="str">
        <f t="shared" si="3371"/>
        <v>#REF!</v>
      </c>
      <c r="E1126" s="20" t="str">
        <f t="shared" si="1270"/>
        <v>#REF!</v>
      </c>
      <c r="F1126" s="22" t="str">
        <f t="shared" si="2"/>
        <v>#REF!</v>
      </c>
      <c r="G1126" s="20" t="str">
        <f t="shared" ref="G1126:I1126" si="3372">#REF!</f>
        <v>#REF!</v>
      </c>
      <c r="H1126" s="20" t="str">
        <f t="shared" si="3372"/>
        <v>#REF!</v>
      </c>
      <c r="I1126" s="20" t="str">
        <f t="shared" si="3372"/>
        <v>#REF!</v>
      </c>
      <c r="J1126" s="20" t="str">
        <f t="shared" si="1272"/>
        <v>#REF!</v>
      </c>
      <c r="K1126" s="20" t="str">
        <f t="shared" ref="K1126:L1126" si="3373">#REF!</f>
        <v>#REF!</v>
      </c>
      <c r="L1126" s="20" t="str">
        <f t="shared" si="3373"/>
        <v>#REF!</v>
      </c>
    </row>
    <row r="1127">
      <c r="A1127" s="20" t="str">
        <f t="shared" si="1267"/>
        <v>#REF!</v>
      </c>
      <c r="B1127" s="20" t="str">
        <f t="shared" si="1268"/>
        <v>#REF!</v>
      </c>
      <c r="C1127" s="20" t="str">
        <f t="shared" ref="C1127:D1127" si="3374">#REF!</f>
        <v>#REF!</v>
      </c>
      <c r="D1127" s="20" t="str">
        <f t="shared" si="3374"/>
        <v>#REF!</v>
      </c>
      <c r="E1127" s="20" t="str">
        <f t="shared" si="1270"/>
        <v>#REF!</v>
      </c>
      <c r="F1127" s="22" t="str">
        <f t="shared" si="2"/>
        <v>#REF!</v>
      </c>
      <c r="G1127" s="20" t="str">
        <f t="shared" ref="G1127:I1127" si="3375">#REF!</f>
        <v>#REF!</v>
      </c>
      <c r="H1127" s="20" t="str">
        <f t="shared" si="3375"/>
        <v>#REF!</v>
      </c>
      <c r="I1127" s="20" t="str">
        <f t="shared" si="3375"/>
        <v>#REF!</v>
      </c>
      <c r="J1127" s="20" t="str">
        <f t="shared" si="1272"/>
        <v>#REF!</v>
      </c>
      <c r="K1127" s="20" t="str">
        <f t="shared" ref="K1127:L1127" si="3376">#REF!</f>
        <v>#REF!</v>
      </c>
      <c r="L1127" s="20" t="str">
        <f t="shared" si="3376"/>
        <v>#REF!</v>
      </c>
    </row>
    <row r="1128">
      <c r="A1128" s="20" t="str">
        <f t="shared" si="1267"/>
        <v>#REF!</v>
      </c>
      <c r="B1128" s="20" t="str">
        <f t="shared" si="1268"/>
        <v>#REF!</v>
      </c>
      <c r="C1128" s="20" t="str">
        <f t="shared" ref="C1128:D1128" si="3377">#REF!</f>
        <v>#REF!</v>
      </c>
      <c r="D1128" s="20" t="str">
        <f t="shared" si="3377"/>
        <v>#REF!</v>
      </c>
      <c r="E1128" s="20" t="str">
        <f t="shared" si="1270"/>
        <v>#REF!</v>
      </c>
      <c r="F1128" s="22" t="str">
        <f t="shared" si="2"/>
        <v>#REF!</v>
      </c>
      <c r="G1128" s="20" t="str">
        <f t="shared" ref="G1128:I1128" si="3378">#REF!</f>
        <v>#REF!</v>
      </c>
      <c r="H1128" s="20" t="str">
        <f t="shared" si="3378"/>
        <v>#REF!</v>
      </c>
      <c r="I1128" s="20" t="str">
        <f t="shared" si="3378"/>
        <v>#REF!</v>
      </c>
      <c r="J1128" s="20" t="str">
        <f t="shared" si="1272"/>
        <v>#REF!</v>
      </c>
      <c r="K1128" s="20" t="str">
        <f t="shared" ref="K1128:L1128" si="3379">#REF!</f>
        <v>#REF!</v>
      </c>
      <c r="L1128" s="20" t="str">
        <f t="shared" si="3379"/>
        <v>#REF!</v>
      </c>
    </row>
    <row r="1129">
      <c r="A1129" s="20" t="str">
        <f t="shared" si="1267"/>
        <v>#REF!</v>
      </c>
      <c r="B1129" s="20" t="str">
        <f t="shared" si="1268"/>
        <v>#REF!</v>
      </c>
      <c r="C1129" s="20" t="str">
        <f t="shared" ref="C1129:D1129" si="3380">#REF!</f>
        <v>#REF!</v>
      </c>
      <c r="D1129" s="20" t="str">
        <f t="shared" si="3380"/>
        <v>#REF!</v>
      </c>
      <c r="E1129" s="20" t="str">
        <f t="shared" si="1270"/>
        <v>#REF!</v>
      </c>
      <c r="F1129" s="22" t="str">
        <f t="shared" si="2"/>
        <v>#REF!</v>
      </c>
      <c r="G1129" s="20" t="str">
        <f t="shared" ref="G1129:I1129" si="3381">#REF!</f>
        <v>#REF!</v>
      </c>
      <c r="H1129" s="20" t="str">
        <f t="shared" si="3381"/>
        <v>#REF!</v>
      </c>
      <c r="I1129" s="20" t="str">
        <f t="shared" si="3381"/>
        <v>#REF!</v>
      </c>
      <c r="J1129" s="20" t="str">
        <f t="shared" si="1272"/>
        <v>#REF!</v>
      </c>
      <c r="K1129" s="20" t="str">
        <f t="shared" ref="K1129:L1129" si="3382">#REF!</f>
        <v>#REF!</v>
      </c>
      <c r="L1129" s="20" t="str">
        <f t="shared" si="3382"/>
        <v>#REF!</v>
      </c>
    </row>
    <row r="1130">
      <c r="A1130" s="20" t="str">
        <f t="shared" si="1267"/>
        <v>#REF!</v>
      </c>
      <c r="B1130" s="20" t="str">
        <f t="shared" si="1268"/>
        <v>#REF!</v>
      </c>
      <c r="C1130" s="20" t="str">
        <f t="shared" ref="C1130:D1130" si="3383">#REF!</f>
        <v>#REF!</v>
      </c>
      <c r="D1130" s="20" t="str">
        <f t="shared" si="3383"/>
        <v>#REF!</v>
      </c>
      <c r="E1130" s="20" t="str">
        <f t="shared" si="1270"/>
        <v>#REF!</v>
      </c>
      <c r="F1130" s="22" t="str">
        <f t="shared" si="2"/>
        <v>#REF!</v>
      </c>
      <c r="G1130" s="20" t="str">
        <f t="shared" ref="G1130:I1130" si="3384">#REF!</f>
        <v>#REF!</v>
      </c>
      <c r="H1130" s="20" t="str">
        <f t="shared" si="3384"/>
        <v>#REF!</v>
      </c>
      <c r="I1130" s="20" t="str">
        <f t="shared" si="3384"/>
        <v>#REF!</v>
      </c>
      <c r="J1130" s="20" t="str">
        <f t="shared" si="1272"/>
        <v>#REF!</v>
      </c>
      <c r="K1130" s="20" t="str">
        <f t="shared" ref="K1130:L1130" si="3385">#REF!</f>
        <v>#REF!</v>
      </c>
      <c r="L1130" s="20" t="str">
        <f t="shared" si="3385"/>
        <v>#REF!</v>
      </c>
    </row>
    <row r="1131">
      <c r="A1131" s="20" t="str">
        <f t="shared" si="1267"/>
        <v>#REF!</v>
      </c>
      <c r="B1131" s="20" t="str">
        <f t="shared" si="1268"/>
        <v>#REF!</v>
      </c>
      <c r="C1131" s="20" t="str">
        <f t="shared" ref="C1131:D1131" si="3386">#REF!</f>
        <v>#REF!</v>
      </c>
      <c r="D1131" s="20" t="str">
        <f t="shared" si="3386"/>
        <v>#REF!</v>
      </c>
      <c r="E1131" s="20" t="str">
        <f t="shared" si="1270"/>
        <v>#REF!</v>
      </c>
      <c r="F1131" s="22" t="str">
        <f t="shared" si="2"/>
        <v>#REF!</v>
      </c>
      <c r="G1131" s="20" t="str">
        <f t="shared" ref="G1131:I1131" si="3387">#REF!</f>
        <v>#REF!</v>
      </c>
      <c r="H1131" s="20" t="str">
        <f t="shared" si="3387"/>
        <v>#REF!</v>
      </c>
      <c r="I1131" s="20" t="str">
        <f t="shared" si="3387"/>
        <v>#REF!</v>
      </c>
      <c r="J1131" s="20" t="str">
        <f t="shared" si="1272"/>
        <v>#REF!</v>
      </c>
      <c r="K1131" s="20" t="str">
        <f t="shared" ref="K1131:L1131" si="3388">#REF!</f>
        <v>#REF!</v>
      </c>
      <c r="L1131" s="20" t="str">
        <f t="shared" si="3388"/>
        <v>#REF!</v>
      </c>
    </row>
    <row r="1132">
      <c r="A1132" s="20" t="str">
        <f t="shared" si="1267"/>
        <v>#REF!</v>
      </c>
      <c r="B1132" s="20" t="str">
        <f t="shared" si="1268"/>
        <v>#REF!</v>
      </c>
      <c r="C1132" s="20" t="str">
        <f t="shared" ref="C1132:D1132" si="3389">#REF!</f>
        <v>#REF!</v>
      </c>
      <c r="D1132" s="20" t="str">
        <f t="shared" si="3389"/>
        <v>#REF!</v>
      </c>
      <c r="E1132" s="20" t="str">
        <f t="shared" si="1270"/>
        <v>#REF!</v>
      </c>
      <c r="F1132" s="22" t="str">
        <f t="shared" si="2"/>
        <v>#REF!</v>
      </c>
      <c r="G1132" s="20" t="str">
        <f t="shared" ref="G1132:I1132" si="3390">#REF!</f>
        <v>#REF!</v>
      </c>
      <c r="H1132" s="20" t="str">
        <f t="shared" si="3390"/>
        <v>#REF!</v>
      </c>
      <c r="I1132" s="20" t="str">
        <f t="shared" si="3390"/>
        <v>#REF!</v>
      </c>
      <c r="J1132" s="20" t="str">
        <f t="shared" si="1272"/>
        <v>#REF!</v>
      </c>
      <c r="K1132" s="20" t="str">
        <f t="shared" ref="K1132:L1132" si="3391">#REF!</f>
        <v>#REF!</v>
      </c>
      <c r="L1132" s="20" t="str">
        <f t="shared" si="3391"/>
        <v>#REF!</v>
      </c>
    </row>
    <row r="1133">
      <c r="A1133" s="20" t="str">
        <f t="shared" si="1267"/>
        <v>#REF!</v>
      </c>
      <c r="B1133" s="20" t="str">
        <f t="shared" si="1268"/>
        <v>#REF!</v>
      </c>
      <c r="C1133" s="20" t="str">
        <f t="shared" ref="C1133:D1133" si="3392">#REF!</f>
        <v>#REF!</v>
      </c>
      <c r="D1133" s="20" t="str">
        <f t="shared" si="3392"/>
        <v>#REF!</v>
      </c>
      <c r="E1133" s="20" t="str">
        <f t="shared" si="1270"/>
        <v>#REF!</v>
      </c>
      <c r="F1133" s="22" t="str">
        <f t="shared" si="2"/>
        <v>#REF!</v>
      </c>
      <c r="G1133" s="20" t="str">
        <f t="shared" ref="G1133:I1133" si="3393">#REF!</f>
        <v>#REF!</v>
      </c>
      <c r="H1133" s="20" t="str">
        <f t="shared" si="3393"/>
        <v>#REF!</v>
      </c>
      <c r="I1133" s="20" t="str">
        <f t="shared" si="3393"/>
        <v>#REF!</v>
      </c>
      <c r="J1133" s="20" t="str">
        <f t="shared" si="1272"/>
        <v>#REF!</v>
      </c>
      <c r="K1133" s="20" t="str">
        <f t="shared" ref="K1133:L1133" si="3394">#REF!</f>
        <v>#REF!</v>
      </c>
      <c r="L1133" s="20" t="str">
        <f t="shared" si="3394"/>
        <v>#REF!</v>
      </c>
    </row>
    <row r="1134">
      <c r="A1134" s="20" t="str">
        <f t="shared" si="1267"/>
        <v>#REF!</v>
      </c>
      <c r="B1134" s="20" t="str">
        <f t="shared" si="1268"/>
        <v>#REF!</v>
      </c>
      <c r="C1134" s="20" t="str">
        <f t="shared" ref="C1134:D1134" si="3395">#REF!</f>
        <v>#REF!</v>
      </c>
      <c r="D1134" s="20" t="str">
        <f t="shared" si="3395"/>
        <v>#REF!</v>
      </c>
      <c r="E1134" s="20" t="str">
        <f t="shared" si="1270"/>
        <v>#REF!</v>
      </c>
      <c r="F1134" s="22" t="str">
        <f t="shared" si="2"/>
        <v>#REF!</v>
      </c>
      <c r="G1134" s="20" t="str">
        <f t="shared" ref="G1134:I1134" si="3396">#REF!</f>
        <v>#REF!</v>
      </c>
      <c r="H1134" s="20" t="str">
        <f t="shared" si="3396"/>
        <v>#REF!</v>
      </c>
      <c r="I1134" s="20" t="str">
        <f t="shared" si="3396"/>
        <v>#REF!</v>
      </c>
      <c r="J1134" s="20" t="str">
        <f t="shared" si="1272"/>
        <v>#REF!</v>
      </c>
      <c r="K1134" s="20" t="str">
        <f t="shared" ref="K1134:L1134" si="3397">#REF!</f>
        <v>#REF!</v>
      </c>
      <c r="L1134" s="20" t="str">
        <f t="shared" si="3397"/>
        <v>#REF!</v>
      </c>
    </row>
    <row r="1135">
      <c r="A1135" s="20" t="str">
        <f t="shared" si="1267"/>
        <v>#REF!</v>
      </c>
      <c r="B1135" s="20" t="str">
        <f t="shared" si="1268"/>
        <v>#REF!</v>
      </c>
      <c r="C1135" s="20" t="str">
        <f t="shared" ref="C1135:D1135" si="3398">#REF!</f>
        <v>#REF!</v>
      </c>
      <c r="D1135" s="20" t="str">
        <f t="shared" si="3398"/>
        <v>#REF!</v>
      </c>
      <c r="E1135" s="20" t="str">
        <f t="shared" si="1270"/>
        <v>#REF!</v>
      </c>
      <c r="F1135" s="22" t="str">
        <f t="shared" si="2"/>
        <v>#REF!</v>
      </c>
      <c r="G1135" s="20" t="str">
        <f t="shared" ref="G1135:I1135" si="3399">#REF!</f>
        <v>#REF!</v>
      </c>
      <c r="H1135" s="20" t="str">
        <f t="shared" si="3399"/>
        <v>#REF!</v>
      </c>
      <c r="I1135" s="20" t="str">
        <f t="shared" si="3399"/>
        <v>#REF!</v>
      </c>
      <c r="J1135" s="20" t="str">
        <f t="shared" si="1272"/>
        <v>#REF!</v>
      </c>
      <c r="K1135" s="20" t="str">
        <f t="shared" ref="K1135:L1135" si="3400">#REF!</f>
        <v>#REF!</v>
      </c>
      <c r="L1135" s="20" t="str">
        <f t="shared" si="3400"/>
        <v>#REF!</v>
      </c>
    </row>
    <row r="1136">
      <c r="A1136" s="20" t="str">
        <f t="shared" si="1267"/>
        <v>#REF!</v>
      </c>
      <c r="B1136" s="20" t="str">
        <f t="shared" si="1268"/>
        <v>#REF!</v>
      </c>
      <c r="C1136" s="20" t="str">
        <f t="shared" ref="C1136:D1136" si="3401">#REF!</f>
        <v>#REF!</v>
      </c>
      <c r="D1136" s="20" t="str">
        <f t="shared" si="3401"/>
        <v>#REF!</v>
      </c>
      <c r="E1136" s="20" t="str">
        <f t="shared" si="1270"/>
        <v>#REF!</v>
      </c>
      <c r="F1136" s="22" t="str">
        <f t="shared" si="2"/>
        <v>#REF!</v>
      </c>
      <c r="G1136" s="20" t="str">
        <f t="shared" ref="G1136:I1136" si="3402">#REF!</f>
        <v>#REF!</v>
      </c>
      <c r="H1136" s="20" t="str">
        <f t="shared" si="3402"/>
        <v>#REF!</v>
      </c>
      <c r="I1136" s="20" t="str">
        <f t="shared" si="3402"/>
        <v>#REF!</v>
      </c>
      <c r="J1136" s="20" t="str">
        <f t="shared" si="1272"/>
        <v>#REF!</v>
      </c>
      <c r="K1136" s="20" t="str">
        <f t="shared" ref="K1136:L1136" si="3403">#REF!</f>
        <v>#REF!</v>
      </c>
      <c r="L1136" s="20" t="str">
        <f t="shared" si="3403"/>
        <v>#REF!</v>
      </c>
    </row>
    <row r="1137">
      <c r="A1137" s="20" t="str">
        <f t="shared" si="1267"/>
        <v>#REF!</v>
      </c>
      <c r="B1137" s="20" t="str">
        <f t="shared" si="1268"/>
        <v>#REF!</v>
      </c>
      <c r="C1137" s="20" t="str">
        <f t="shared" ref="C1137:D1137" si="3404">#REF!</f>
        <v>#REF!</v>
      </c>
      <c r="D1137" s="20" t="str">
        <f t="shared" si="3404"/>
        <v>#REF!</v>
      </c>
      <c r="E1137" s="20" t="str">
        <f t="shared" si="1270"/>
        <v>#REF!</v>
      </c>
      <c r="F1137" s="22" t="str">
        <f t="shared" si="2"/>
        <v>#REF!</v>
      </c>
      <c r="G1137" s="20" t="str">
        <f t="shared" ref="G1137:I1137" si="3405">#REF!</f>
        <v>#REF!</v>
      </c>
      <c r="H1137" s="20" t="str">
        <f t="shared" si="3405"/>
        <v>#REF!</v>
      </c>
      <c r="I1137" s="20" t="str">
        <f t="shared" si="3405"/>
        <v>#REF!</v>
      </c>
      <c r="J1137" s="20" t="str">
        <f t="shared" si="1272"/>
        <v>#REF!</v>
      </c>
      <c r="K1137" s="20" t="str">
        <f t="shared" ref="K1137:L1137" si="3406">#REF!</f>
        <v>#REF!</v>
      </c>
      <c r="L1137" s="20" t="str">
        <f t="shared" si="3406"/>
        <v>#REF!</v>
      </c>
    </row>
    <row r="1138">
      <c r="A1138" s="20" t="str">
        <f t="shared" si="1267"/>
        <v>#REF!</v>
      </c>
      <c r="B1138" s="20" t="str">
        <f t="shared" si="1268"/>
        <v>#REF!</v>
      </c>
      <c r="C1138" s="20" t="str">
        <f t="shared" ref="C1138:D1138" si="3407">#REF!</f>
        <v>#REF!</v>
      </c>
      <c r="D1138" s="20" t="str">
        <f t="shared" si="3407"/>
        <v>#REF!</v>
      </c>
      <c r="E1138" s="20" t="str">
        <f t="shared" si="1270"/>
        <v>#REF!</v>
      </c>
      <c r="F1138" s="22" t="str">
        <f t="shared" si="2"/>
        <v>#REF!</v>
      </c>
      <c r="G1138" s="20" t="str">
        <f t="shared" ref="G1138:I1138" si="3408">#REF!</f>
        <v>#REF!</v>
      </c>
      <c r="H1138" s="20" t="str">
        <f t="shared" si="3408"/>
        <v>#REF!</v>
      </c>
      <c r="I1138" s="20" t="str">
        <f t="shared" si="3408"/>
        <v>#REF!</v>
      </c>
      <c r="J1138" s="20" t="str">
        <f t="shared" si="1272"/>
        <v>#REF!</v>
      </c>
      <c r="K1138" s="20" t="str">
        <f t="shared" ref="K1138:L1138" si="3409">#REF!</f>
        <v>#REF!</v>
      </c>
      <c r="L1138" s="20" t="str">
        <f t="shared" si="3409"/>
        <v>#REF!</v>
      </c>
    </row>
    <row r="1139">
      <c r="A1139" s="20" t="str">
        <f t="shared" si="1267"/>
        <v>#REF!</v>
      </c>
      <c r="B1139" s="20" t="str">
        <f t="shared" si="1268"/>
        <v>#REF!</v>
      </c>
      <c r="C1139" s="20" t="str">
        <f t="shared" ref="C1139:D1139" si="3410">#REF!</f>
        <v>#REF!</v>
      </c>
      <c r="D1139" s="20" t="str">
        <f t="shared" si="3410"/>
        <v>#REF!</v>
      </c>
      <c r="E1139" s="20" t="str">
        <f t="shared" si="1270"/>
        <v>#REF!</v>
      </c>
      <c r="F1139" s="22" t="str">
        <f t="shared" si="2"/>
        <v>#REF!</v>
      </c>
      <c r="G1139" s="20" t="str">
        <f t="shared" ref="G1139:I1139" si="3411">#REF!</f>
        <v>#REF!</v>
      </c>
      <c r="H1139" s="20" t="str">
        <f t="shared" si="3411"/>
        <v>#REF!</v>
      </c>
      <c r="I1139" s="20" t="str">
        <f t="shared" si="3411"/>
        <v>#REF!</v>
      </c>
      <c r="J1139" s="20" t="str">
        <f t="shared" si="1272"/>
        <v>#REF!</v>
      </c>
      <c r="K1139" s="20" t="str">
        <f t="shared" ref="K1139:L1139" si="3412">#REF!</f>
        <v>#REF!</v>
      </c>
      <c r="L1139" s="20" t="str">
        <f t="shared" si="3412"/>
        <v>#REF!</v>
      </c>
    </row>
    <row r="1140">
      <c r="A1140" s="20" t="str">
        <f t="shared" si="1267"/>
        <v>#REF!</v>
      </c>
      <c r="B1140" s="20" t="str">
        <f t="shared" si="1268"/>
        <v>#REF!</v>
      </c>
      <c r="C1140" s="20" t="str">
        <f t="shared" ref="C1140:D1140" si="3413">#REF!</f>
        <v>#REF!</v>
      </c>
      <c r="D1140" s="20" t="str">
        <f t="shared" si="3413"/>
        <v>#REF!</v>
      </c>
      <c r="E1140" s="20" t="str">
        <f t="shared" si="1270"/>
        <v>#REF!</v>
      </c>
      <c r="F1140" s="22" t="str">
        <f t="shared" si="2"/>
        <v>#REF!</v>
      </c>
      <c r="G1140" s="20" t="str">
        <f t="shared" ref="G1140:I1140" si="3414">#REF!</f>
        <v>#REF!</v>
      </c>
      <c r="H1140" s="20" t="str">
        <f t="shared" si="3414"/>
        <v>#REF!</v>
      </c>
      <c r="I1140" s="20" t="str">
        <f t="shared" si="3414"/>
        <v>#REF!</v>
      </c>
      <c r="J1140" s="20" t="str">
        <f t="shared" si="1272"/>
        <v>#REF!</v>
      </c>
      <c r="K1140" s="20" t="str">
        <f t="shared" ref="K1140:L1140" si="3415">#REF!</f>
        <v>#REF!</v>
      </c>
      <c r="L1140" s="20" t="str">
        <f t="shared" si="3415"/>
        <v>#REF!</v>
      </c>
    </row>
    <row r="1141">
      <c r="A1141" s="20" t="str">
        <f t="shared" si="1267"/>
        <v>#REF!</v>
      </c>
      <c r="B1141" s="20" t="str">
        <f t="shared" si="1268"/>
        <v>#REF!</v>
      </c>
      <c r="C1141" s="20" t="str">
        <f t="shared" ref="C1141:D1141" si="3416">#REF!</f>
        <v>#REF!</v>
      </c>
      <c r="D1141" s="20" t="str">
        <f t="shared" si="3416"/>
        <v>#REF!</v>
      </c>
      <c r="E1141" s="20" t="str">
        <f t="shared" si="1270"/>
        <v>#REF!</v>
      </c>
      <c r="F1141" s="22" t="str">
        <f t="shared" si="2"/>
        <v>#REF!</v>
      </c>
      <c r="G1141" s="20" t="str">
        <f t="shared" ref="G1141:I1141" si="3417">#REF!</f>
        <v>#REF!</v>
      </c>
      <c r="H1141" s="20" t="str">
        <f t="shared" si="3417"/>
        <v>#REF!</v>
      </c>
      <c r="I1141" s="20" t="str">
        <f t="shared" si="3417"/>
        <v>#REF!</v>
      </c>
      <c r="J1141" s="20" t="str">
        <f t="shared" si="1272"/>
        <v>#REF!</v>
      </c>
      <c r="K1141" s="20" t="str">
        <f t="shared" ref="K1141:L1141" si="3418">#REF!</f>
        <v>#REF!</v>
      </c>
      <c r="L1141" s="20" t="str">
        <f t="shared" si="3418"/>
        <v>#REF!</v>
      </c>
    </row>
    <row r="1142">
      <c r="A1142" s="20" t="str">
        <f t="shared" si="1267"/>
        <v>#REF!</v>
      </c>
      <c r="B1142" s="20" t="str">
        <f t="shared" si="1268"/>
        <v>#REF!</v>
      </c>
      <c r="C1142" s="20" t="str">
        <f t="shared" ref="C1142:D1142" si="3419">#REF!</f>
        <v>#REF!</v>
      </c>
      <c r="D1142" s="20" t="str">
        <f t="shared" si="3419"/>
        <v>#REF!</v>
      </c>
      <c r="E1142" s="20" t="str">
        <f t="shared" si="1270"/>
        <v>#REF!</v>
      </c>
      <c r="F1142" s="22" t="str">
        <f t="shared" si="2"/>
        <v>#REF!</v>
      </c>
      <c r="G1142" s="20" t="str">
        <f t="shared" ref="G1142:I1142" si="3420">#REF!</f>
        <v>#REF!</v>
      </c>
      <c r="H1142" s="20" t="str">
        <f t="shared" si="3420"/>
        <v>#REF!</v>
      </c>
      <c r="I1142" s="20" t="str">
        <f t="shared" si="3420"/>
        <v>#REF!</v>
      </c>
      <c r="J1142" s="20" t="str">
        <f t="shared" si="1272"/>
        <v>#REF!</v>
      </c>
      <c r="K1142" s="20" t="str">
        <f t="shared" ref="K1142:L1142" si="3421">#REF!</f>
        <v>#REF!</v>
      </c>
      <c r="L1142" s="20" t="str">
        <f t="shared" si="3421"/>
        <v>#REF!</v>
      </c>
    </row>
    <row r="1143">
      <c r="A1143" s="20" t="str">
        <f t="shared" si="1267"/>
        <v>#REF!</v>
      </c>
      <c r="B1143" s="20" t="str">
        <f t="shared" si="1268"/>
        <v>#REF!</v>
      </c>
      <c r="C1143" s="20" t="str">
        <f t="shared" ref="C1143:D1143" si="3422">#REF!</f>
        <v>#REF!</v>
      </c>
      <c r="D1143" s="20" t="str">
        <f t="shared" si="3422"/>
        <v>#REF!</v>
      </c>
      <c r="E1143" s="20" t="str">
        <f t="shared" si="1270"/>
        <v>#REF!</v>
      </c>
      <c r="F1143" s="22" t="str">
        <f t="shared" si="2"/>
        <v>#REF!</v>
      </c>
      <c r="G1143" s="20" t="str">
        <f t="shared" ref="G1143:I1143" si="3423">#REF!</f>
        <v>#REF!</v>
      </c>
      <c r="H1143" s="20" t="str">
        <f t="shared" si="3423"/>
        <v>#REF!</v>
      </c>
      <c r="I1143" s="20" t="str">
        <f t="shared" si="3423"/>
        <v>#REF!</v>
      </c>
      <c r="J1143" s="20" t="str">
        <f t="shared" si="1272"/>
        <v>#REF!</v>
      </c>
      <c r="K1143" s="20" t="str">
        <f t="shared" ref="K1143:L1143" si="3424">#REF!</f>
        <v>#REF!</v>
      </c>
      <c r="L1143" s="20" t="str">
        <f t="shared" si="3424"/>
        <v>#REF!</v>
      </c>
    </row>
    <row r="1144">
      <c r="A1144" s="20" t="str">
        <f t="shared" si="1267"/>
        <v>#REF!</v>
      </c>
      <c r="B1144" s="20" t="str">
        <f t="shared" si="1268"/>
        <v>#REF!</v>
      </c>
      <c r="C1144" s="20" t="str">
        <f t="shared" ref="C1144:D1144" si="3425">#REF!</f>
        <v>#REF!</v>
      </c>
      <c r="D1144" s="20" t="str">
        <f t="shared" si="3425"/>
        <v>#REF!</v>
      </c>
      <c r="E1144" s="20" t="str">
        <f t="shared" si="1270"/>
        <v>#REF!</v>
      </c>
      <c r="F1144" s="22" t="str">
        <f t="shared" si="2"/>
        <v>#REF!</v>
      </c>
      <c r="G1144" s="20" t="str">
        <f t="shared" ref="G1144:I1144" si="3426">#REF!</f>
        <v>#REF!</v>
      </c>
      <c r="H1144" s="20" t="str">
        <f t="shared" si="3426"/>
        <v>#REF!</v>
      </c>
      <c r="I1144" s="20" t="str">
        <f t="shared" si="3426"/>
        <v>#REF!</v>
      </c>
      <c r="J1144" s="20" t="str">
        <f t="shared" si="1272"/>
        <v>#REF!</v>
      </c>
      <c r="K1144" s="20" t="str">
        <f t="shared" ref="K1144:L1144" si="3427">#REF!</f>
        <v>#REF!</v>
      </c>
      <c r="L1144" s="20" t="str">
        <f t="shared" si="3427"/>
        <v>#REF!</v>
      </c>
    </row>
    <row r="1145">
      <c r="A1145" s="20" t="str">
        <f t="shared" si="1267"/>
        <v>#REF!</v>
      </c>
      <c r="B1145" s="20" t="str">
        <f t="shared" si="1268"/>
        <v>#REF!</v>
      </c>
      <c r="C1145" s="20" t="str">
        <f t="shared" ref="C1145:D1145" si="3428">#REF!</f>
        <v>#REF!</v>
      </c>
      <c r="D1145" s="20" t="str">
        <f t="shared" si="3428"/>
        <v>#REF!</v>
      </c>
      <c r="E1145" s="20" t="str">
        <f t="shared" si="1270"/>
        <v>#REF!</v>
      </c>
      <c r="F1145" s="22" t="str">
        <f t="shared" si="2"/>
        <v>#REF!</v>
      </c>
      <c r="G1145" s="20" t="str">
        <f t="shared" ref="G1145:I1145" si="3429">#REF!</f>
        <v>#REF!</v>
      </c>
      <c r="H1145" s="20" t="str">
        <f t="shared" si="3429"/>
        <v>#REF!</v>
      </c>
      <c r="I1145" s="20" t="str">
        <f t="shared" si="3429"/>
        <v>#REF!</v>
      </c>
      <c r="J1145" s="20" t="str">
        <f t="shared" si="1272"/>
        <v>#REF!</v>
      </c>
      <c r="K1145" s="20" t="str">
        <f t="shared" ref="K1145:L1145" si="3430">#REF!</f>
        <v>#REF!</v>
      </c>
      <c r="L1145" s="20" t="str">
        <f t="shared" si="3430"/>
        <v>#REF!</v>
      </c>
    </row>
    <row r="1146">
      <c r="A1146" s="20" t="str">
        <f t="shared" si="1267"/>
        <v>#REF!</v>
      </c>
      <c r="B1146" s="20" t="str">
        <f t="shared" si="1268"/>
        <v>#REF!</v>
      </c>
      <c r="C1146" s="20" t="str">
        <f t="shared" ref="C1146:D1146" si="3431">#REF!</f>
        <v>#REF!</v>
      </c>
      <c r="D1146" s="20" t="str">
        <f t="shared" si="3431"/>
        <v>#REF!</v>
      </c>
      <c r="E1146" s="20" t="str">
        <f t="shared" si="1270"/>
        <v>#REF!</v>
      </c>
      <c r="F1146" s="22" t="str">
        <f t="shared" si="2"/>
        <v>#REF!</v>
      </c>
      <c r="G1146" s="20" t="str">
        <f t="shared" ref="G1146:I1146" si="3432">#REF!</f>
        <v>#REF!</v>
      </c>
      <c r="H1146" s="20" t="str">
        <f t="shared" si="3432"/>
        <v>#REF!</v>
      </c>
      <c r="I1146" s="20" t="str">
        <f t="shared" si="3432"/>
        <v>#REF!</v>
      </c>
      <c r="J1146" s="20" t="str">
        <f t="shared" si="1272"/>
        <v>#REF!</v>
      </c>
      <c r="K1146" s="20" t="str">
        <f t="shared" ref="K1146:L1146" si="3433">#REF!</f>
        <v>#REF!</v>
      </c>
      <c r="L1146" s="20" t="str">
        <f t="shared" si="3433"/>
        <v>#REF!</v>
      </c>
    </row>
    <row r="1147">
      <c r="A1147" s="20" t="str">
        <f t="shared" si="1267"/>
        <v>#REF!</v>
      </c>
      <c r="B1147" s="20" t="str">
        <f t="shared" si="1268"/>
        <v>#REF!</v>
      </c>
      <c r="C1147" s="20" t="str">
        <f t="shared" ref="C1147:D1147" si="3434">#REF!</f>
        <v>#REF!</v>
      </c>
      <c r="D1147" s="20" t="str">
        <f t="shared" si="3434"/>
        <v>#REF!</v>
      </c>
      <c r="E1147" s="20" t="str">
        <f t="shared" si="1270"/>
        <v>#REF!</v>
      </c>
      <c r="F1147" s="22" t="str">
        <f t="shared" si="2"/>
        <v>#REF!</v>
      </c>
      <c r="G1147" s="20" t="str">
        <f t="shared" ref="G1147:I1147" si="3435">#REF!</f>
        <v>#REF!</v>
      </c>
      <c r="H1147" s="20" t="str">
        <f t="shared" si="3435"/>
        <v>#REF!</v>
      </c>
      <c r="I1147" s="20" t="str">
        <f t="shared" si="3435"/>
        <v>#REF!</v>
      </c>
      <c r="J1147" s="20" t="str">
        <f t="shared" si="1272"/>
        <v>#REF!</v>
      </c>
      <c r="K1147" s="20" t="str">
        <f t="shared" ref="K1147:L1147" si="3436">#REF!</f>
        <v>#REF!</v>
      </c>
      <c r="L1147" s="20" t="str">
        <f t="shared" si="3436"/>
        <v>#REF!</v>
      </c>
    </row>
    <row r="1148">
      <c r="A1148" s="20" t="str">
        <f t="shared" si="1267"/>
        <v>#REF!</v>
      </c>
      <c r="B1148" s="20" t="str">
        <f t="shared" si="1268"/>
        <v>#REF!</v>
      </c>
      <c r="C1148" s="20" t="str">
        <f t="shared" ref="C1148:D1148" si="3437">#REF!</f>
        <v>#REF!</v>
      </c>
      <c r="D1148" s="20" t="str">
        <f t="shared" si="3437"/>
        <v>#REF!</v>
      </c>
      <c r="E1148" s="20" t="str">
        <f t="shared" si="1270"/>
        <v>#REF!</v>
      </c>
      <c r="F1148" s="22" t="str">
        <f t="shared" si="2"/>
        <v>#REF!</v>
      </c>
      <c r="G1148" s="20" t="str">
        <f t="shared" ref="G1148:I1148" si="3438">#REF!</f>
        <v>#REF!</v>
      </c>
      <c r="H1148" s="20" t="str">
        <f t="shared" si="3438"/>
        <v>#REF!</v>
      </c>
      <c r="I1148" s="20" t="str">
        <f t="shared" si="3438"/>
        <v>#REF!</v>
      </c>
      <c r="J1148" s="20" t="str">
        <f t="shared" si="1272"/>
        <v>#REF!</v>
      </c>
      <c r="K1148" s="20" t="str">
        <f t="shared" ref="K1148:L1148" si="3439">#REF!</f>
        <v>#REF!</v>
      </c>
      <c r="L1148" s="20" t="str">
        <f t="shared" si="3439"/>
        <v>#REF!</v>
      </c>
    </row>
    <row r="1149">
      <c r="A1149" s="20" t="str">
        <f t="shared" si="1267"/>
        <v>#REF!</v>
      </c>
      <c r="B1149" s="20" t="str">
        <f t="shared" si="1268"/>
        <v>#REF!</v>
      </c>
      <c r="C1149" s="20" t="str">
        <f t="shared" ref="C1149:D1149" si="3440">#REF!</f>
        <v>#REF!</v>
      </c>
      <c r="D1149" s="20" t="str">
        <f t="shared" si="3440"/>
        <v>#REF!</v>
      </c>
      <c r="E1149" s="20" t="str">
        <f t="shared" si="1270"/>
        <v>#REF!</v>
      </c>
      <c r="F1149" s="22" t="str">
        <f t="shared" si="2"/>
        <v>#REF!</v>
      </c>
      <c r="G1149" s="20" t="str">
        <f t="shared" ref="G1149:I1149" si="3441">#REF!</f>
        <v>#REF!</v>
      </c>
      <c r="H1149" s="20" t="str">
        <f t="shared" si="3441"/>
        <v>#REF!</v>
      </c>
      <c r="I1149" s="20" t="str">
        <f t="shared" si="3441"/>
        <v>#REF!</v>
      </c>
      <c r="J1149" s="20" t="str">
        <f t="shared" si="1272"/>
        <v>#REF!</v>
      </c>
      <c r="K1149" s="20" t="str">
        <f t="shared" ref="K1149:L1149" si="3442">#REF!</f>
        <v>#REF!</v>
      </c>
      <c r="L1149" s="20" t="str">
        <f t="shared" si="3442"/>
        <v>#REF!</v>
      </c>
    </row>
    <row r="1150">
      <c r="A1150" s="20" t="str">
        <f t="shared" si="1267"/>
        <v>#REF!</v>
      </c>
      <c r="B1150" s="20" t="str">
        <f t="shared" si="1268"/>
        <v>#REF!</v>
      </c>
      <c r="C1150" s="20" t="str">
        <f t="shared" ref="C1150:D1150" si="3443">#REF!</f>
        <v>#REF!</v>
      </c>
      <c r="D1150" s="20" t="str">
        <f t="shared" si="3443"/>
        <v>#REF!</v>
      </c>
      <c r="E1150" s="20" t="str">
        <f t="shared" si="1270"/>
        <v>#REF!</v>
      </c>
      <c r="F1150" s="22" t="str">
        <f t="shared" si="2"/>
        <v>#REF!</v>
      </c>
      <c r="G1150" s="20" t="str">
        <f t="shared" ref="G1150:I1150" si="3444">#REF!</f>
        <v>#REF!</v>
      </c>
      <c r="H1150" s="20" t="str">
        <f t="shared" si="3444"/>
        <v>#REF!</v>
      </c>
      <c r="I1150" s="20" t="str">
        <f t="shared" si="3444"/>
        <v>#REF!</v>
      </c>
      <c r="J1150" s="20" t="str">
        <f t="shared" si="1272"/>
        <v>#REF!</v>
      </c>
      <c r="K1150" s="20" t="str">
        <f t="shared" ref="K1150:L1150" si="3445">#REF!</f>
        <v>#REF!</v>
      </c>
      <c r="L1150" s="20" t="str">
        <f t="shared" si="3445"/>
        <v>#REF!</v>
      </c>
    </row>
    <row r="1151">
      <c r="A1151" s="20" t="str">
        <f t="shared" si="1267"/>
        <v>#REF!</v>
      </c>
      <c r="B1151" s="20" t="str">
        <f t="shared" si="1268"/>
        <v>#REF!</v>
      </c>
      <c r="C1151" s="20" t="str">
        <f t="shared" ref="C1151:D1151" si="3446">#REF!</f>
        <v>#REF!</v>
      </c>
      <c r="D1151" s="20" t="str">
        <f t="shared" si="3446"/>
        <v>#REF!</v>
      </c>
      <c r="E1151" s="20" t="str">
        <f t="shared" si="1270"/>
        <v>#REF!</v>
      </c>
      <c r="F1151" s="22" t="str">
        <f t="shared" si="2"/>
        <v>#REF!</v>
      </c>
      <c r="G1151" s="20" t="str">
        <f t="shared" ref="G1151:I1151" si="3447">#REF!</f>
        <v>#REF!</v>
      </c>
      <c r="H1151" s="20" t="str">
        <f t="shared" si="3447"/>
        <v>#REF!</v>
      </c>
      <c r="I1151" s="20" t="str">
        <f t="shared" si="3447"/>
        <v>#REF!</v>
      </c>
      <c r="J1151" s="20" t="str">
        <f t="shared" si="1272"/>
        <v>#REF!</v>
      </c>
      <c r="K1151" s="20" t="str">
        <f t="shared" ref="K1151:L1151" si="3448">#REF!</f>
        <v>#REF!</v>
      </c>
      <c r="L1151" s="20" t="str">
        <f t="shared" si="3448"/>
        <v>#REF!</v>
      </c>
    </row>
    <row r="1152">
      <c r="A1152" s="20" t="str">
        <f t="shared" si="1267"/>
        <v>#REF!</v>
      </c>
      <c r="B1152" s="20" t="str">
        <f t="shared" si="1268"/>
        <v>#REF!</v>
      </c>
      <c r="C1152" s="20" t="str">
        <f t="shared" ref="C1152:D1152" si="3449">#REF!</f>
        <v>#REF!</v>
      </c>
      <c r="D1152" s="20" t="str">
        <f t="shared" si="3449"/>
        <v>#REF!</v>
      </c>
      <c r="E1152" s="20" t="str">
        <f t="shared" si="1270"/>
        <v>#REF!</v>
      </c>
      <c r="F1152" s="22" t="str">
        <f t="shared" si="2"/>
        <v>#REF!</v>
      </c>
      <c r="G1152" s="20" t="str">
        <f t="shared" ref="G1152:I1152" si="3450">#REF!</f>
        <v>#REF!</v>
      </c>
      <c r="H1152" s="20" t="str">
        <f t="shared" si="3450"/>
        <v>#REF!</v>
      </c>
      <c r="I1152" s="20" t="str">
        <f t="shared" si="3450"/>
        <v>#REF!</v>
      </c>
      <c r="J1152" s="20" t="str">
        <f t="shared" si="1272"/>
        <v>#REF!</v>
      </c>
      <c r="K1152" s="20" t="str">
        <f t="shared" ref="K1152:L1152" si="3451">#REF!</f>
        <v>#REF!</v>
      </c>
      <c r="L1152" s="20" t="str">
        <f t="shared" si="3451"/>
        <v>#REF!</v>
      </c>
    </row>
    <row r="1153">
      <c r="A1153" s="20" t="str">
        <f t="shared" si="1267"/>
        <v>#REF!</v>
      </c>
      <c r="B1153" s="20" t="str">
        <f t="shared" si="1268"/>
        <v>#REF!</v>
      </c>
      <c r="C1153" s="20" t="str">
        <f t="shared" ref="C1153:D1153" si="3452">#REF!</f>
        <v>#REF!</v>
      </c>
      <c r="D1153" s="20" t="str">
        <f t="shared" si="3452"/>
        <v>#REF!</v>
      </c>
      <c r="E1153" s="20" t="str">
        <f t="shared" si="1270"/>
        <v>#REF!</v>
      </c>
      <c r="F1153" s="22" t="str">
        <f t="shared" si="2"/>
        <v>#REF!</v>
      </c>
      <c r="G1153" s="20" t="str">
        <f t="shared" ref="G1153:I1153" si="3453">#REF!</f>
        <v>#REF!</v>
      </c>
      <c r="H1153" s="20" t="str">
        <f t="shared" si="3453"/>
        <v>#REF!</v>
      </c>
      <c r="I1153" s="20" t="str">
        <f t="shared" si="3453"/>
        <v>#REF!</v>
      </c>
      <c r="J1153" s="20" t="str">
        <f t="shared" si="1272"/>
        <v>#REF!</v>
      </c>
      <c r="K1153" s="20" t="str">
        <f t="shared" ref="K1153:L1153" si="3454">#REF!</f>
        <v>#REF!</v>
      </c>
      <c r="L1153" s="20" t="str">
        <f t="shared" si="3454"/>
        <v>#REF!</v>
      </c>
    </row>
    <row r="1154">
      <c r="A1154" s="20" t="str">
        <f t="shared" si="1267"/>
        <v>#REF!</v>
      </c>
      <c r="B1154" s="20" t="str">
        <f t="shared" si="1268"/>
        <v>#REF!</v>
      </c>
      <c r="C1154" s="20" t="str">
        <f t="shared" ref="C1154:D1154" si="3455">#REF!</f>
        <v>#REF!</v>
      </c>
      <c r="D1154" s="20" t="str">
        <f t="shared" si="3455"/>
        <v>#REF!</v>
      </c>
      <c r="E1154" s="20" t="str">
        <f t="shared" si="1270"/>
        <v>#REF!</v>
      </c>
      <c r="F1154" s="22" t="str">
        <f t="shared" si="2"/>
        <v>#REF!</v>
      </c>
      <c r="G1154" s="20" t="str">
        <f t="shared" ref="G1154:I1154" si="3456">#REF!</f>
        <v>#REF!</v>
      </c>
      <c r="H1154" s="20" t="str">
        <f t="shared" si="3456"/>
        <v>#REF!</v>
      </c>
      <c r="I1154" s="20" t="str">
        <f t="shared" si="3456"/>
        <v>#REF!</v>
      </c>
      <c r="J1154" s="20" t="str">
        <f t="shared" si="1272"/>
        <v>#REF!</v>
      </c>
      <c r="K1154" s="20" t="str">
        <f t="shared" ref="K1154:L1154" si="3457">#REF!</f>
        <v>#REF!</v>
      </c>
      <c r="L1154" s="20" t="str">
        <f t="shared" si="3457"/>
        <v>#REF!</v>
      </c>
    </row>
    <row r="1155">
      <c r="A1155" s="20" t="str">
        <f t="shared" si="1267"/>
        <v>#REF!</v>
      </c>
      <c r="B1155" s="20" t="str">
        <f t="shared" si="1268"/>
        <v>#REF!</v>
      </c>
      <c r="C1155" s="20" t="str">
        <f t="shared" ref="C1155:D1155" si="3458">#REF!</f>
        <v>#REF!</v>
      </c>
      <c r="D1155" s="20" t="str">
        <f t="shared" si="3458"/>
        <v>#REF!</v>
      </c>
      <c r="E1155" s="20" t="str">
        <f t="shared" si="1270"/>
        <v>#REF!</v>
      </c>
      <c r="F1155" s="22" t="str">
        <f t="shared" si="2"/>
        <v>#REF!</v>
      </c>
      <c r="G1155" s="20" t="str">
        <f t="shared" ref="G1155:I1155" si="3459">#REF!</f>
        <v>#REF!</v>
      </c>
      <c r="H1155" s="20" t="str">
        <f t="shared" si="3459"/>
        <v>#REF!</v>
      </c>
      <c r="I1155" s="20" t="str">
        <f t="shared" si="3459"/>
        <v>#REF!</v>
      </c>
      <c r="J1155" s="20" t="str">
        <f t="shared" si="1272"/>
        <v>#REF!</v>
      </c>
      <c r="K1155" s="20" t="str">
        <f t="shared" ref="K1155:L1155" si="3460">#REF!</f>
        <v>#REF!</v>
      </c>
      <c r="L1155" s="20" t="str">
        <f t="shared" si="3460"/>
        <v>#REF!</v>
      </c>
    </row>
    <row r="1156">
      <c r="A1156" s="20" t="str">
        <f t="shared" si="1267"/>
        <v>#REF!</v>
      </c>
      <c r="B1156" s="20" t="str">
        <f t="shared" si="1268"/>
        <v>#REF!</v>
      </c>
      <c r="C1156" s="20" t="str">
        <f t="shared" ref="C1156:D1156" si="3461">#REF!</f>
        <v>#REF!</v>
      </c>
      <c r="D1156" s="20" t="str">
        <f t="shared" si="3461"/>
        <v>#REF!</v>
      </c>
      <c r="E1156" s="20" t="str">
        <f t="shared" si="1270"/>
        <v>#REF!</v>
      </c>
      <c r="F1156" s="22" t="str">
        <f t="shared" si="2"/>
        <v>#REF!</v>
      </c>
      <c r="G1156" s="20" t="str">
        <f t="shared" ref="G1156:I1156" si="3462">#REF!</f>
        <v>#REF!</v>
      </c>
      <c r="H1156" s="20" t="str">
        <f t="shared" si="3462"/>
        <v>#REF!</v>
      </c>
      <c r="I1156" s="20" t="str">
        <f t="shared" si="3462"/>
        <v>#REF!</v>
      </c>
      <c r="J1156" s="20" t="str">
        <f t="shared" si="1272"/>
        <v>#REF!</v>
      </c>
      <c r="K1156" s="20" t="str">
        <f t="shared" ref="K1156:L1156" si="3463">#REF!</f>
        <v>#REF!</v>
      </c>
      <c r="L1156" s="20" t="str">
        <f t="shared" si="3463"/>
        <v>#REF!</v>
      </c>
    </row>
    <row r="1157">
      <c r="A1157" s="20" t="str">
        <f t="shared" si="1267"/>
        <v>#REF!</v>
      </c>
      <c r="B1157" s="20" t="str">
        <f t="shared" si="1268"/>
        <v>#REF!</v>
      </c>
      <c r="C1157" s="20" t="str">
        <f t="shared" ref="C1157:D1157" si="3464">#REF!</f>
        <v>#REF!</v>
      </c>
      <c r="D1157" s="20" t="str">
        <f t="shared" si="3464"/>
        <v>#REF!</v>
      </c>
      <c r="E1157" s="20" t="str">
        <f t="shared" si="1270"/>
        <v>#REF!</v>
      </c>
      <c r="F1157" s="22" t="str">
        <f t="shared" si="2"/>
        <v>#REF!</v>
      </c>
      <c r="G1157" s="20" t="str">
        <f t="shared" ref="G1157:I1157" si="3465">#REF!</f>
        <v>#REF!</v>
      </c>
      <c r="H1157" s="20" t="str">
        <f t="shared" si="3465"/>
        <v>#REF!</v>
      </c>
      <c r="I1157" s="20" t="str">
        <f t="shared" si="3465"/>
        <v>#REF!</v>
      </c>
      <c r="J1157" s="20" t="str">
        <f t="shared" si="1272"/>
        <v>#REF!</v>
      </c>
      <c r="K1157" s="20" t="str">
        <f t="shared" ref="K1157:L1157" si="3466">#REF!</f>
        <v>#REF!</v>
      </c>
      <c r="L1157" s="20" t="str">
        <f t="shared" si="3466"/>
        <v>#REF!</v>
      </c>
    </row>
    <row r="1158">
      <c r="A1158" s="20" t="str">
        <f t="shared" si="1267"/>
        <v>#REF!</v>
      </c>
      <c r="B1158" s="20" t="str">
        <f t="shared" si="1268"/>
        <v>#REF!</v>
      </c>
      <c r="C1158" s="20" t="str">
        <f t="shared" ref="C1158:D1158" si="3467">#REF!</f>
        <v>#REF!</v>
      </c>
      <c r="D1158" s="20" t="str">
        <f t="shared" si="3467"/>
        <v>#REF!</v>
      </c>
      <c r="E1158" s="20" t="str">
        <f t="shared" si="1270"/>
        <v>#REF!</v>
      </c>
      <c r="F1158" s="22" t="str">
        <f t="shared" si="2"/>
        <v>#REF!</v>
      </c>
      <c r="G1158" s="20" t="str">
        <f t="shared" ref="G1158:I1158" si="3468">#REF!</f>
        <v>#REF!</v>
      </c>
      <c r="H1158" s="20" t="str">
        <f t="shared" si="3468"/>
        <v>#REF!</v>
      </c>
      <c r="I1158" s="20" t="str">
        <f t="shared" si="3468"/>
        <v>#REF!</v>
      </c>
      <c r="J1158" s="20" t="str">
        <f t="shared" si="1272"/>
        <v>#REF!</v>
      </c>
      <c r="K1158" s="20" t="str">
        <f t="shared" ref="K1158:L1158" si="3469">#REF!</f>
        <v>#REF!</v>
      </c>
      <c r="L1158" s="20" t="str">
        <f t="shared" si="3469"/>
        <v>#REF!</v>
      </c>
    </row>
    <row r="1159">
      <c r="A1159" s="20" t="str">
        <f t="shared" si="1267"/>
        <v>#REF!</v>
      </c>
      <c r="B1159" s="20" t="str">
        <f t="shared" si="1268"/>
        <v>#REF!</v>
      </c>
      <c r="C1159" s="20" t="str">
        <f t="shared" ref="C1159:D1159" si="3470">#REF!</f>
        <v>#REF!</v>
      </c>
      <c r="D1159" s="20" t="str">
        <f t="shared" si="3470"/>
        <v>#REF!</v>
      </c>
      <c r="E1159" s="20" t="str">
        <f t="shared" si="1270"/>
        <v>#REF!</v>
      </c>
      <c r="F1159" s="22" t="str">
        <f t="shared" si="2"/>
        <v>#REF!</v>
      </c>
      <c r="G1159" s="20" t="str">
        <f t="shared" ref="G1159:I1159" si="3471">#REF!</f>
        <v>#REF!</v>
      </c>
      <c r="H1159" s="20" t="str">
        <f t="shared" si="3471"/>
        <v>#REF!</v>
      </c>
      <c r="I1159" s="20" t="str">
        <f t="shared" si="3471"/>
        <v>#REF!</v>
      </c>
      <c r="J1159" s="20" t="str">
        <f t="shared" si="1272"/>
        <v>#REF!</v>
      </c>
      <c r="K1159" s="20" t="str">
        <f t="shared" ref="K1159:L1159" si="3472">#REF!</f>
        <v>#REF!</v>
      </c>
      <c r="L1159" s="20" t="str">
        <f t="shared" si="3472"/>
        <v>#REF!</v>
      </c>
    </row>
    <row r="1160">
      <c r="A1160" s="20" t="str">
        <f t="shared" si="1267"/>
        <v>#REF!</v>
      </c>
      <c r="B1160" s="20" t="str">
        <f t="shared" si="1268"/>
        <v>#REF!</v>
      </c>
      <c r="C1160" s="20" t="str">
        <f t="shared" ref="C1160:D1160" si="3473">#REF!</f>
        <v>#REF!</v>
      </c>
      <c r="D1160" s="20" t="str">
        <f t="shared" si="3473"/>
        <v>#REF!</v>
      </c>
      <c r="E1160" s="20" t="str">
        <f t="shared" si="1270"/>
        <v>#REF!</v>
      </c>
      <c r="F1160" s="22" t="str">
        <f t="shared" si="2"/>
        <v>#REF!</v>
      </c>
      <c r="G1160" s="20" t="str">
        <f t="shared" ref="G1160:I1160" si="3474">#REF!</f>
        <v>#REF!</v>
      </c>
      <c r="H1160" s="20" t="str">
        <f t="shared" si="3474"/>
        <v>#REF!</v>
      </c>
      <c r="I1160" s="20" t="str">
        <f t="shared" si="3474"/>
        <v>#REF!</v>
      </c>
      <c r="J1160" s="20" t="str">
        <f t="shared" si="1272"/>
        <v>#REF!</v>
      </c>
      <c r="K1160" s="20" t="str">
        <f t="shared" ref="K1160:L1160" si="3475">#REF!</f>
        <v>#REF!</v>
      </c>
      <c r="L1160" s="20" t="str">
        <f t="shared" si="3475"/>
        <v>#REF!</v>
      </c>
    </row>
    <row r="1161">
      <c r="A1161" s="20" t="str">
        <f t="shared" si="1267"/>
        <v>#REF!</v>
      </c>
      <c r="B1161" s="20" t="str">
        <f t="shared" si="1268"/>
        <v>#REF!</v>
      </c>
      <c r="C1161" s="20" t="str">
        <f t="shared" ref="C1161:D1161" si="3476">#REF!</f>
        <v>#REF!</v>
      </c>
      <c r="D1161" s="20" t="str">
        <f t="shared" si="3476"/>
        <v>#REF!</v>
      </c>
      <c r="E1161" s="20" t="str">
        <f t="shared" si="1270"/>
        <v>#REF!</v>
      </c>
      <c r="F1161" s="22" t="str">
        <f t="shared" si="2"/>
        <v>#REF!</v>
      </c>
      <c r="G1161" s="20" t="str">
        <f t="shared" ref="G1161:I1161" si="3477">#REF!</f>
        <v>#REF!</v>
      </c>
      <c r="H1161" s="20" t="str">
        <f t="shared" si="3477"/>
        <v>#REF!</v>
      </c>
      <c r="I1161" s="20" t="str">
        <f t="shared" si="3477"/>
        <v>#REF!</v>
      </c>
      <c r="J1161" s="20" t="str">
        <f t="shared" si="1272"/>
        <v>#REF!</v>
      </c>
      <c r="K1161" s="20" t="str">
        <f t="shared" ref="K1161:L1161" si="3478">#REF!</f>
        <v>#REF!</v>
      </c>
      <c r="L1161" s="20" t="str">
        <f t="shared" si="3478"/>
        <v>#REF!</v>
      </c>
    </row>
    <row r="1162">
      <c r="A1162" s="20" t="str">
        <f t="shared" si="1267"/>
        <v>#REF!</v>
      </c>
      <c r="B1162" s="20" t="str">
        <f t="shared" si="1268"/>
        <v>#REF!</v>
      </c>
      <c r="C1162" s="20" t="str">
        <f t="shared" ref="C1162:D1162" si="3479">#REF!</f>
        <v>#REF!</v>
      </c>
      <c r="D1162" s="20" t="str">
        <f t="shared" si="3479"/>
        <v>#REF!</v>
      </c>
      <c r="E1162" s="20" t="str">
        <f t="shared" si="1270"/>
        <v>#REF!</v>
      </c>
      <c r="F1162" s="22" t="str">
        <f t="shared" si="2"/>
        <v>#REF!</v>
      </c>
      <c r="G1162" s="20" t="str">
        <f t="shared" ref="G1162:I1162" si="3480">#REF!</f>
        <v>#REF!</v>
      </c>
      <c r="H1162" s="20" t="str">
        <f t="shared" si="3480"/>
        <v>#REF!</v>
      </c>
      <c r="I1162" s="20" t="str">
        <f t="shared" si="3480"/>
        <v>#REF!</v>
      </c>
      <c r="J1162" s="20" t="str">
        <f t="shared" si="1272"/>
        <v>#REF!</v>
      </c>
      <c r="K1162" s="20" t="str">
        <f t="shared" ref="K1162:L1162" si="3481">#REF!</f>
        <v>#REF!</v>
      </c>
      <c r="L1162" s="20" t="str">
        <f t="shared" si="3481"/>
        <v>#REF!</v>
      </c>
    </row>
    <row r="1163">
      <c r="A1163" s="20" t="str">
        <f t="shared" si="1267"/>
        <v>#REF!</v>
      </c>
      <c r="B1163" s="20" t="str">
        <f t="shared" si="1268"/>
        <v>#REF!</v>
      </c>
      <c r="C1163" s="20" t="str">
        <f t="shared" ref="C1163:D1163" si="3482">#REF!</f>
        <v>#REF!</v>
      </c>
      <c r="D1163" s="20" t="str">
        <f t="shared" si="3482"/>
        <v>#REF!</v>
      </c>
      <c r="E1163" s="20" t="str">
        <f t="shared" si="1270"/>
        <v>#REF!</v>
      </c>
      <c r="F1163" s="22" t="str">
        <f t="shared" si="2"/>
        <v>#REF!</v>
      </c>
      <c r="G1163" s="20" t="str">
        <f t="shared" ref="G1163:I1163" si="3483">#REF!</f>
        <v>#REF!</v>
      </c>
      <c r="H1163" s="20" t="str">
        <f t="shared" si="3483"/>
        <v>#REF!</v>
      </c>
      <c r="I1163" s="20" t="str">
        <f t="shared" si="3483"/>
        <v>#REF!</v>
      </c>
      <c r="J1163" s="20" t="str">
        <f t="shared" si="1272"/>
        <v>#REF!</v>
      </c>
      <c r="K1163" s="20" t="str">
        <f t="shared" ref="K1163:L1163" si="3484">#REF!</f>
        <v>#REF!</v>
      </c>
      <c r="L1163" s="20" t="str">
        <f t="shared" si="3484"/>
        <v>#REF!</v>
      </c>
    </row>
    <row r="1164">
      <c r="A1164" s="20" t="str">
        <f t="shared" si="1267"/>
        <v>#REF!</v>
      </c>
      <c r="B1164" s="20" t="str">
        <f t="shared" si="1268"/>
        <v>#REF!</v>
      </c>
      <c r="C1164" s="20" t="str">
        <f t="shared" ref="C1164:D1164" si="3485">#REF!</f>
        <v>#REF!</v>
      </c>
      <c r="D1164" s="20" t="str">
        <f t="shared" si="3485"/>
        <v>#REF!</v>
      </c>
      <c r="E1164" s="20" t="str">
        <f t="shared" si="1270"/>
        <v>#REF!</v>
      </c>
      <c r="F1164" s="22" t="str">
        <f t="shared" si="2"/>
        <v>#REF!</v>
      </c>
      <c r="G1164" s="20" t="str">
        <f t="shared" ref="G1164:I1164" si="3486">#REF!</f>
        <v>#REF!</v>
      </c>
      <c r="H1164" s="20" t="str">
        <f t="shared" si="3486"/>
        <v>#REF!</v>
      </c>
      <c r="I1164" s="20" t="str">
        <f t="shared" si="3486"/>
        <v>#REF!</v>
      </c>
      <c r="J1164" s="20" t="str">
        <f t="shared" si="1272"/>
        <v>#REF!</v>
      </c>
      <c r="K1164" s="20" t="str">
        <f t="shared" ref="K1164:L1164" si="3487">#REF!</f>
        <v>#REF!</v>
      </c>
      <c r="L1164" s="20" t="str">
        <f t="shared" si="3487"/>
        <v>#REF!</v>
      </c>
    </row>
    <row r="1165">
      <c r="A1165" s="20" t="str">
        <f t="shared" si="1267"/>
        <v>#REF!</v>
      </c>
      <c r="B1165" s="20" t="str">
        <f t="shared" si="1268"/>
        <v>#REF!</v>
      </c>
      <c r="C1165" s="20" t="str">
        <f t="shared" ref="C1165:D1165" si="3488">#REF!</f>
        <v>#REF!</v>
      </c>
      <c r="D1165" s="20" t="str">
        <f t="shared" si="3488"/>
        <v>#REF!</v>
      </c>
      <c r="E1165" s="20" t="str">
        <f t="shared" si="1270"/>
        <v>#REF!</v>
      </c>
      <c r="F1165" s="22" t="str">
        <f t="shared" si="2"/>
        <v>#REF!</v>
      </c>
      <c r="G1165" s="20" t="str">
        <f t="shared" ref="G1165:I1165" si="3489">#REF!</f>
        <v>#REF!</v>
      </c>
      <c r="H1165" s="20" t="str">
        <f t="shared" si="3489"/>
        <v>#REF!</v>
      </c>
      <c r="I1165" s="20" t="str">
        <f t="shared" si="3489"/>
        <v>#REF!</v>
      </c>
      <c r="J1165" s="20" t="str">
        <f t="shared" si="1272"/>
        <v>#REF!</v>
      </c>
      <c r="K1165" s="20" t="str">
        <f t="shared" ref="K1165:L1165" si="3490">#REF!</f>
        <v>#REF!</v>
      </c>
      <c r="L1165" s="20" t="str">
        <f t="shared" si="3490"/>
        <v>#REF!</v>
      </c>
    </row>
    <row r="1166">
      <c r="A1166" s="20" t="str">
        <f t="shared" si="1267"/>
        <v>#REF!</v>
      </c>
      <c r="B1166" s="20" t="str">
        <f t="shared" si="1268"/>
        <v>#REF!</v>
      </c>
      <c r="C1166" s="20" t="str">
        <f t="shared" ref="C1166:D1166" si="3491">#REF!</f>
        <v>#REF!</v>
      </c>
      <c r="D1166" s="20" t="str">
        <f t="shared" si="3491"/>
        <v>#REF!</v>
      </c>
      <c r="E1166" s="20" t="str">
        <f t="shared" si="1270"/>
        <v>#REF!</v>
      </c>
      <c r="F1166" s="22" t="str">
        <f t="shared" si="2"/>
        <v>#REF!</v>
      </c>
      <c r="G1166" s="20" t="str">
        <f t="shared" ref="G1166:I1166" si="3492">#REF!</f>
        <v>#REF!</v>
      </c>
      <c r="H1166" s="20" t="str">
        <f t="shared" si="3492"/>
        <v>#REF!</v>
      </c>
      <c r="I1166" s="20" t="str">
        <f t="shared" si="3492"/>
        <v>#REF!</v>
      </c>
      <c r="J1166" s="20" t="str">
        <f t="shared" si="1272"/>
        <v>#REF!</v>
      </c>
      <c r="K1166" s="20" t="str">
        <f t="shared" ref="K1166:L1166" si="3493">#REF!</f>
        <v>#REF!</v>
      </c>
      <c r="L1166" s="20" t="str">
        <f t="shared" si="3493"/>
        <v>#REF!</v>
      </c>
    </row>
    <row r="1167">
      <c r="A1167" s="20" t="str">
        <f t="shared" si="1267"/>
        <v>#REF!</v>
      </c>
      <c r="B1167" s="20" t="str">
        <f t="shared" si="1268"/>
        <v>#REF!</v>
      </c>
      <c r="C1167" s="20" t="str">
        <f t="shared" ref="C1167:D1167" si="3494">#REF!</f>
        <v>#REF!</v>
      </c>
      <c r="D1167" s="20" t="str">
        <f t="shared" si="3494"/>
        <v>#REF!</v>
      </c>
      <c r="E1167" s="20" t="str">
        <f t="shared" si="1270"/>
        <v>#REF!</v>
      </c>
      <c r="F1167" s="22" t="str">
        <f t="shared" si="2"/>
        <v>#REF!</v>
      </c>
      <c r="G1167" s="20" t="str">
        <f t="shared" ref="G1167:I1167" si="3495">#REF!</f>
        <v>#REF!</v>
      </c>
      <c r="H1167" s="20" t="str">
        <f t="shared" si="3495"/>
        <v>#REF!</v>
      </c>
      <c r="I1167" s="20" t="str">
        <f t="shared" si="3495"/>
        <v>#REF!</v>
      </c>
      <c r="J1167" s="20" t="str">
        <f t="shared" si="1272"/>
        <v>#REF!</v>
      </c>
      <c r="K1167" s="20" t="str">
        <f t="shared" ref="K1167:L1167" si="3496">#REF!</f>
        <v>#REF!</v>
      </c>
      <c r="L1167" s="20" t="str">
        <f t="shared" si="3496"/>
        <v>#REF!</v>
      </c>
    </row>
    <row r="1168">
      <c r="A1168" s="20" t="str">
        <f t="shared" si="1267"/>
        <v>#REF!</v>
      </c>
      <c r="B1168" s="20" t="str">
        <f t="shared" si="1268"/>
        <v>#REF!</v>
      </c>
      <c r="C1168" s="20" t="str">
        <f t="shared" ref="C1168:D1168" si="3497">#REF!</f>
        <v>#REF!</v>
      </c>
      <c r="D1168" s="20" t="str">
        <f t="shared" si="3497"/>
        <v>#REF!</v>
      </c>
      <c r="E1168" s="20" t="str">
        <f t="shared" si="1270"/>
        <v>#REF!</v>
      </c>
      <c r="F1168" s="22" t="str">
        <f t="shared" si="2"/>
        <v>#REF!</v>
      </c>
      <c r="G1168" s="20" t="str">
        <f t="shared" ref="G1168:I1168" si="3498">#REF!</f>
        <v>#REF!</v>
      </c>
      <c r="H1168" s="20" t="str">
        <f t="shared" si="3498"/>
        <v>#REF!</v>
      </c>
      <c r="I1168" s="20" t="str">
        <f t="shared" si="3498"/>
        <v>#REF!</v>
      </c>
      <c r="J1168" s="20" t="str">
        <f t="shared" si="1272"/>
        <v>#REF!</v>
      </c>
      <c r="K1168" s="20" t="str">
        <f t="shared" ref="K1168:L1168" si="3499">#REF!</f>
        <v>#REF!</v>
      </c>
      <c r="L1168" s="20" t="str">
        <f t="shared" si="3499"/>
        <v>#REF!</v>
      </c>
    </row>
    <row r="1169">
      <c r="A1169" s="20" t="str">
        <f t="shared" si="1267"/>
        <v>#REF!</v>
      </c>
      <c r="B1169" s="20" t="str">
        <f t="shared" si="1268"/>
        <v>#REF!</v>
      </c>
      <c r="C1169" s="20" t="str">
        <f t="shared" ref="C1169:D1169" si="3500">#REF!</f>
        <v>#REF!</v>
      </c>
      <c r="D1169" s="20" t="str">
        <f t="shared" si="3500"/>
        <v>#REF!</v>
      </c>
      <c r="E1169" s="20" t="str">
        <f t="shared" si="1270"/>
        <v>#REF!</v>
      </c>
      <c r="F1169" s="22" t="str">
        <f t="shared" si="2"/>
        <v>#REF!</v>
      </c>
      <c r="G1169" s="20" t="str">
        <f t="shared" ref="G1169:I1169" si="3501">#REF!</f>
        <v>#REF!</v>
      </c>
      <c r="H1169" s="20" t="str">
        <f t="shared" si="3501"/>
        <v>#REF!</v>
      </c>
      <c r="I1169" s="20" t="str">
        <f t="shared" si="3501"/>
        <v>#REF!</v>
      </c>
      <c r="J1169" s="20" t="str">
        <f t="shared" si="1272"/>
        <v>#REF!</v>
      </c>
      <c r="K1169" s="20" t="str">
        <f t="shared" ref="K1169:L1169" si="3502">#REF!</f>
        <v>#REF!</v>
      </c>
      <c r="L1169" s="20" t="str">
        <f t="shared" si="3502"/>
        <v>#REF!</v>
      </c>
    </row>
    <row r="1170">
      <c r="A1170" s="20" t="str">
        <f t="shared" si="1267"/>
        <v>#REF!</v>
      </c>
      <c r="B1170" s="20" t="str">
        <f t="shared" si="1268"/>
        <v>#REF!</v>
      </c>
      <c r="C1170" s="20" t="str">
        <f t="shared" ref="C1170:D1170" si="3503">#REF!</f>
        <v>#REF!</v>
      </c>
      <c r="D1170" s="20" t="str">
        <f t="shared" si="3503"/>
        <v>#REF!</v>
      </c>
      <c r="E1170" s="20" t="str">
        <f t="shared" si="1270"/>
        <v>#REF!</v>
      </c>
      <c r="F1170" s="22" t="str">
        <f t="shared" si="2"/>
        <v>#REF!</v>
      </c>
      <c r="G1170" s="20" t="str">
        <f t="shared" ref="G1170:I1170" si="3504">#REF!</f>
        <v>#REF!</v>
      </c>
      <c r="H1170" s="20" t="str">
        <f t="shared" si="3504"/>
        <v>#REF!</v>
      </c>
      <c r="I1170" s="20" t="str">
        <f t="shared" si="3504"/>
        <v>#REF!</v>
      </c>
      <c r="J1170" s="20" t="str">
        <f t="shared" si="1272"/>
        <v>#REF!</v>
      </c>
      <c r="K1170" s="20" t="str">
        <f t="shared" ref="K1170:L1170" si="3505">#REF!</f>
        <v>#REF!</v>
      </c>
      <c r="L1170" s="20" t="str">
        <f t="shared" si="3505"/>
        <v>#REF!</v>
      </c>
    </row>
    <row r="1171">
      <c r="A1171" s="20" t="str">
        <f t="shared" si="1267"/>
        <v>#REF!</v>
      </c>
      <c r="B1171" s="20" t="str">
        <f t="shared" si="1268"/>
        <v>#REF!</v>
      </c>
      <c r="C1171" s="20" t="str">
        <f t="shared" ref="C1171:D1171" si="3506">#REF!</f>
        <v>#REF!</v>
      </c>
      <c r="D1171" s="20" t="str">
        <f t="shared" si="3506"/>
        <v>#REF!</v>
      </c>
      <c r="E1171" s="20" t="str">
        <f t="shared" si="1270"/>
        <v>#REF!</v>
      </c>
      <c r="F1171" s="22" t="str">
        <f t="shared" si="2"/>
        <v>#REF!</v>
      </c>
      <c r="G1171" s="20" t="str">
        <f t="shared" ref="G1171:I1171" si="3507">#REF!</f>
        <v>#REF!</v>
      </c>
      <c r="H1171" s="20" t="str">
        <f t="shared" si="3507"/>
        <v>#REF!</v>
      </c>
      <c r="I1171" s="20" t="str">
        <f t="shared" si="3507"/>
        <v>#REF!</v>
      </c>
      <c r="J1171" s="20" t="str">
        <f t="shared" si="1272"/>
        <v>#REF!</v>
      </c>
      <c r="K1171" s="20" t="str">
        <f t="shared" ref="K1171:L1171" si="3508">#REF!</f>
        <v>#REF!</v>
      </c>
      <c r="L1171" s="20" t="str">
        <f t="shared" si="3508"/>
        <v>#REF!</v>
      </c>
    </row>
    <row r="1172">
      <c r="A1172" s="20" t="str">
        <f t="shared" si="1267"/>
        <v>#REF!</v>
      </c>
      <c r="B1172" s="20" t="str">
        <f t="shared" si="1268"/>
        <v>#REF!</v>
      </c>
      <c r="C1172" s="20" t="str">
        <f t="shared" ref="C1172:D1172" si="3509">#REF!</f>
        <v>#REF!</v>
      </c>
      <c r="D1172" s="20" t="str">
        <f t="shared" si="3509"/>
        <v>#REF!</v>
      </c>
      <c r="E1172" s="20" t="str">
        <f t="shared" si="1270"/>
        <v>#REF!</v>
      </c>
      <c r="F1172" s="22" t="str">
        <f t="shared" si="2"/>
        <v>#REF!</v>
      </c>
      <c r="G1172" s="20" t="str">
        <f t="shared" ref="G1172:I1172" si="3510">#REF!</f>
        <v>#REF!</v>
      </c>
      <c r="H1172" s="20" t="str">
        <f t="shared" si="3510"/>
        <v>#REF!</v>
      </c>
      <c r="I1172" s="20" t="str">
        <f t="shared" si="3510"/>
        <v>#REF!</v>
      </c>
      <c r="J1172" s="20" t="str">
        <f t="shared" si="1272"/>
        <v>#REF!</v>
      </c>
      <c r="K1172" s="20" t="str">
        <f t="shared" ref="K1172:L1172" si="3511">#REF!</f>
        <v>#REF!</v>
      </c>
      <c r="L1172" s="20" t="str">
        <f t="shared" si="3511"/>
        <v>#REF!</v>
      </c>
    </row>
    <row r="1173">
      <c r="A1173" s="20" t="str">
        <f t="shared" si="1267"/>
        <v>#REF!</v>
      </c>
      <c r="B1173" s="20" t="str">
        <f t="shared" si="1268"/>
        <v>#REF!</v>
      </c>
      <c r="C1173" s="20" t="str">
        <f t="shared" ref="C1173:D1173" si="3512">#REF!</f>
        <v>#REF!</v>
      </c>
      <c r="D1173" s="20" t="str">
        <f t="shared" si="3512"/>
        <v>#REF!</v>
      </c>
      <c r="E1173" s="20" t="str">
        <f t="shared" si="1270"/>
        <v>#REF!</v>
      </c>
      <c r="F1173" s="22" t="str">
        <f t="shared" si="2"/>
        <v>#REF!</v>
      </c>
      <c r="G1173" s="20" t="str">
        <f t="shared" ref="G1173:I1173" si="3513">#REF!</f>
        <v>#REF!</v>
      </c>
      <c r="H1173" s="20" t="str">
        <f t="shared" si="3513"/>
        <v>#REF!</v>
      </c>
      <c r="I1173" s="20" t="str">
        <f t="shared" si="3513"/>
        <v>#REF!</v>
      </c>
      <c r="J1173" s="20" t="str">
        <f t="shared" si="1272"/>
        <v>#REF!</v>
      </c>
      <c r="K1173" s="20" t="str">
        <f t="shared" ref="K1173:L1173" si="3514">#REF!</f>
        <v>#REF!</v>
      </c>
      <c r="L1173" s="20" t="str">
        <f t="shared" si="3514"/>
        <v>#REF!</v>
      </c>
    </row>
    <row r="1174">
      <c r="A1174" s="20" t="str">
        <f t="shared" si="1267"/>
        <v>#REF!</v>
      </c>
      <c r="B1174" s="20" t="str">
        <f t="shared" si="1268"/>
        <v>#REF!</v>
      </c>
      <c r="C1174" s="20" t="str">
        <f t="shared" ref="C1174:D1174" si="3515">#REF!</f>
        <v>#REF!</v>
      </c>
      <c r="D1174" s="20" t="str">
        <f t="shared" si="3515"/>
        <v>#REF!</v>
      </c>
      <c r="E1174" s="20" t="str">
        <f t="shared" si="1270"/>
        <v>#REF!</v>
      </c>
      <c r="F1174" s="22" t="str">
        <f t="shared" si="2"/>
        <v>#REF!</v>
      </c>
      <c r="G1174" s="20" t="str">
        <f t="shared" ref="G1174:I1174" si="3516">#REF!</f>
        <v>#REF!</v>
      </c>
      <c r="H1174" s="20" t="str">
        <f t="shared" si="3516"/>
        <v>#REF!</v>
      </c>
      <c r="I1174" s="20" t="str">
        <f t="shared" si="3516"/>
        <v>#REF!</v>
      </c>
      <c r="J1174" s="20" t="str">
        <f t="shared" si="1272"/>
        <v>#REF!</v>
      </c>
      <c r="K1174" s="20" t="str">
        <f t="shared" ref="K1174:L1174" si="3517">#REF!</f>
        <v>#REF!</v>
      </c>
      <c r="L1174" s="20" t="str">
        <f t="shared" si="3517"/>
        <v>#REF!</v>
      </c>
    </row>
    <row r="1175">
      <c r="A1175" s="20" t="str">
        <f t="shared" si="1267"/>
        <v>#REF!</v>
      </c>
      <c r="B1175" s="20" t="str">
        <f t="shared" si="1268"/>
        <v>#REF!</v>
      </c>
      <c r="C1175" s="20" t="str">
        <f t="shared" ref="C1175:D1175" si="3518">#REF!</f>
        <v>#REF!</v>
      </c>
      <c r="D1175" s="20" t="str">
        <f t="shared" si="3518"/>
        <v>#REF!</v>
      </c>
      <c r="E1175" s="20" t="str">
        <f t="shared" si="1270"/>
        <v>#REF!</v>
      </c>
      <c r="F1175" s="22" t="str">
        <f t="shared" si="2"/>
        <v>#REF!</v>
      </c>
      <c r="G1175" s="20" t="str">
        <f t="shared" ref="G1175:I1175" si="3519">#REF!</f>
        <v>#REF!</v>
      </c>
      <c r="H1175" s="20" t="str">
        <f t="shared" si="3519"/>
        <v>#REF!</v>
      </c>
      <c r="I1175" s="20" t="str">
        <f t="shared" si="3519"/>
        <v>#REF!</v>
      </c>
      <c r="J1175" s="20" t="str">
        <f t="shared" si="1272"/>
        <v>#REF!</v>
      </c>
      <c r="K1175" s="20" t="str">
        <f t="shared" ref="K1175:L1175" si="3520">#REF!</f>
        <v>#REF!</v>
      </c>
      <c r="L1175" s="20" t="str">
        <f t="shared" si="3520"/>
        <v>#REF!</v>
      </c>
    </row>
    <row r="1176">
      <c r="A1176" s="20" t="str">
        <f t="shared" si="1267"/>
        <v>#REF!</v>
      </c>
      <c r="B1176" s="20" t="str">
        <f t="shared" si="1268"/>
        <v>#REF!</v>
      </c>
      <c r="C1176" s="20" t="str">
        <f t="shared" ref="C1176:D1176" si="3521">#REF!</f>
        <v>#REF!</v>
      </c>
      <c r="D1176" s="20" t="str">
        <f t="shared" si="3521"/>
        <v>#REF!</v>
      </c>
      <c r="E1176" s="20" t="str">
        <f t="shared" si="1270"/>
        <v>#REF!</v>
      </c>
      <c r="F1176" s="22" t="str">
        <f t="shared" si="2"/>
        <v>#REF!</v>
      </c>
      <c r="G1176" s="20" t="str">
        <f t="shared" ref="G1176:I1176" si="3522">#REF!</f>
        <v>#REF!</v>
      </c>
      <c r="H1176" s="20" t="str">
        <f t="shared" si="3522"/>
        <v>#REF!</v>
      </c>
      <c r="I1176" s="20" t="str">
        <f t="shared" si="3522"/>
        <v>#REF!</v>
      </c>
      <c r="J1176" s="20" t="str">
        <f t="shared" si="1272"/>
        <v>#REF!</v>
      </c>
      <c r="K1176" s="20" t="str">
        <f t="shared" ref="K1176:L1176" si="3523">#REF!</f>
        <v>#REF!</v>
      </c>
      <c r="L1176" s="20" t="str">
        <f t="shared" si="3523"/>
        <v>#REF!</v>
      </c>
    </row>
    <row r="1177">
      <c r="A1177" s="20" t="str">
        <f t="shared" si="1267"/>
        <v>#REF!</v>
      </c>
      <c r="B1177" s="20" t="str">
        <f t="shared" si="1268"/>
        <v>#REF!</v>
      </c>
      <c r="C1177" s="20" t="str">
        <f t="shared" ref="C1177:D1177" si="3524">#REF!</f>
        <v>#REF!</v>
      </c>
      <c r="D1177" s="20" t="str">
        <f t="shared" si="3524"/>
        <v>#REF!</v>
      </c>
      <c r="E1177" s="20" t="str">
        <f t="shared" si="1270"/>
        <v>#REF!</v>
      </c>
      <c r="F1177" s="22" t="str">
        <f t="shared" si="2"/>
        <v>#REF!</v>
      </c>
      <c r="G1177" s="20" t="str">
        <f t="shared" ref="G1177:I1177" si="3525">#REF!</f>
        <v>#REF!</v>
      </c>
      <c r="H1177" s="20" t="str">
        <f t="shared" si="3525"/>
        <v>#REF!</v>
      </c>
      <c r="I1177" s="20" t="str">
        <f t="shared" si="3525"/>
        <v>#REF!</v>
      </c>
      <c r="J1177" s="20" t="str">
        <f t="shared" si="1272"/>
        <v>#REF!</v>
      </c>
      <c r="K1177" s="20" t="str">
        <f t="shared" ref="K1177:L1177" si="3526">#REF!</f>
        <v>#REF!</v>
      </c>
      <c r="L1177" s="20" t="str">
        <f t="shared" si="3526"/>
        <v>#REF!</v>
      </c>
    </row>
    <row r="1178">
      <c r="A1178" s="20" t="str">
        <f t="shared" si="1267"/>
        <v>#REF!</v>
      </c>
      <c r="B1178" s="20" t="str">
        <f t="shared" si="1268"/>
        <v>#REF!</v>
      </c>
      <c r="C1178" s="20" t="str">
        <f t="shared" ref="C1178:D1178" si="3527">#REF!</f>
        <v>#REF!</v>
      </c>
      <c r="D1178" s="20" t="str">
        <f t="shared" si="3527"/>
        <v>#REF!</v>
      </c>
      <c r="E1178" s="20" t="str">
        <f t="shared" si="1270"/>
        <v>#REF!</v>
      </c>
      <c r="F1178" s="22" t="str">
        <f t="shared" si="2"/>
        <v>#REF!</v>
      </c>
      <c r="G1178" s="20" t="str">
        <f t="shared" ref="G1178:I1178" si="3528">#REF!</f>
        <v>#REF!</v>
      </c>
      <c r="H1178" s="20" t="str">
        <f t="shared" si="3528"/>
        <v>#REF!</v>
      </c>
      <c r="I1178" s="20" t="str">
        <f t="shared" si="3528"/>
        <v>#REF!</v>
      </c>
      <c r="J1178" s="20" t="str">
        <f t="shared" si="1272"/>
        <v>#REF!</v>
      </c>
      <c r="K1178" s="20" t="str">
        <f t="shared" ref="K1178:L1178" si="3529">#REF!</f>
        <v>#REF!</v>
      </c>
      <c r="L1178" s="20" t="str">
        <f t="shared" si="3529"/>
        <v>#REF!</v>
      </c>
    </row>
    <row r="1179">
      <c r="A1179" s="20" t="str">
        <f t="shared" si="1267"/>
        <v>#REF!</v>
      </c>
      <c r="B1179" s="20" t="str">
        <f t="shared" si="1268"/>
        <v>#REF!</v>
      </c>
      <c r="C1179" s="20" t="str">
        <f t="shared" ref="C1179:D1179" si="3530">#REF!</f>
        <v>#REF!</v>
      </c>
      <c r="D1179" s="20" t="str">
        <f t="shared" si="3530"/>
        <v>#REF!</v>
      </c>
      <c r="E1179" s="20" t="str">
        <f t="shared" si="1270"/>
        <v>#REF!</v>
      </c>
      <c r="F1179" s="22" t="str">
        <f t="shared" si="2"/>
        <v>#REF!</v>
      </c>
      <c r="G1179" s="20" t="str">
        <f t="shared" ref="G1179:I1179" si="3531">#REF!</f>
        <v>#REF!</v>
      </c>
      <c r="H1179" s="20" t="str">
        <f t="shared" si="3531"/>
        <v>#REF!</v>
      </c>
      <c r="I1179" s="20" t="str">
        <f t="shared" si="3531"/>
        <v>#REF!</v>
      </c>
      <c r="J1179" s="20" t="str">
        <f t="shared" si="1272"/>
        <v>#REF!</v>
      </c>
      <c r="K1179" s="20" t="str">
        <f t="shared" ref="K1179:L1179" si="3532">#REF!</f>
        <v>#REF!</v>
      </c>
      <c r="L1179" s="20" t="str">
        <f t="shared" si="3532"/>
        <v>#REF!</v>
      </c>
    </row>
    <row r="1180">
      <c r="A1180" s="20" t="str">
        <f t="shared" si="1267"/>
        <v>#REF!</v>
      </c>
      <c r="B1180" s="20" t="str">
        <f t="shared" si="1268"/>
        <v>#REF!</v>
      </c>
      <c r="C1180" s="20" t="str">
        <f t="shared" ref="C1180:D1180" si="3533">#REF!</f>
        <v>#REF!</v>
      </c>
      <c r="D1180" s="20" t="str">
        <f t="shared" si="3533"/>
        <v>#REF!</v>
      </c>
      <c r="E1180" s="20" t="str">
        <f t="shared" si="1270"/>
        <v>#REF!</v>
      </c>
      <c r="F1180" s="22" t="str">
        <f t="shared" si="2"/>
        <v>#REF!</v>
      </c>
      <c r="G1180" s="20" t="str">
        <f t="shared" ref="G1180:I1180" si="3534">#REF!</f>
        <v>#REF!</v>
      </c>
      <c r="H1180" s="20" t="str">
        <f t="shared" si="3534"/>
        <v>#REF!</v>
      </c>
      <c r="I1180" s="20" t="str">
        <f t="shared" si="3534"/>
        <v>#REF!</v>
      </c>
      <c r="J1180" s="20" t="str">
        <f t="shared" si="1272"/>
        <v>#REF!</v>
      </c>
      <c r="K1180" s="20" t="str">
        <f t="shared" ref="K1180:L1180" si="3535">#REF!</f>
        <v>#REF!</v>
      </c>
      <c r="L1180" s="20" t="str">
        <f t="shared" si="3535"/>
        <v>#REF!</v>
      </c>
    </row>
    <row r="1181">
      <c r="A1181" s="20" t="str">
        <f t="shared" si="1267"/>
        <v>#REF!</v>
      </c>
      <c r="B1181" s="20" t="str">
        <f t="shared" si="1268"/>
        <v>#REF!</v>
      </c>
      <c r="C1181" s="20" t="str">
        <f t="shared" ref="C1181:D1181" si="3536">#REF!</f>
        <v>#REF!</v>
      </c>
      <c r="D1181" s="20" t="str">
        <f t="shared" si="3536"/>
        <v>#REF!</v>
      </c>
      <c r="E1181" s="20" t="str">
        <f t="shared" si="1270"/>
        <v>#REF!</v>
      </c>
      <c r="F1181" s="22" t="str">
        <f t="shared" si="2"/>
        <v>#REF!</v>
      </c>
      <c r="G1181" s="20" t="str">
        <f t="shared" ref="G1181:I1181" si="3537">#REF!</f>
        <v>#REF!</v>
      </c>
      <c r="H1181" s="20" t="str">
        <f t="shared" si="3537"/>
        <v>#REF!</v>
      </c>
      <c r="I1181" s="20" t="str">
        <f t="shared" si="3537"/>
        <v>#REF!</v>
      </c>
      <c r="J1181" s="20" t="str">
        <f t="shared" si="1272"/>
        <v>#REF!</v>
      </c>
      <c r="K1181" s="20" t="str">
        <f t="shared" ref="K1181:L1181" si="3538">#REF!</f>
        <v>#REF!</v>
      </c>
      <c r="L1181" s="20" t="str">
        <f t="shared" si="3538"/>
        <v>#REF!</v>
      </c>
    </row>
    <row r="1182">
      <c r="A1182" s="20" t="str">
        <f t="shared" si="1267"/>
        <v>#REF!</v>
      </c>
      <c r="B1182" s="20" t="str">
        <f t="shared" si="1268"/>
        <v>#REF!</v>
      </c>
      <c r="C1182" s="20" t="str">
        <f t="shared" ref="C1182:D1182" si="3539">#REF!</f>
        <v>#REF!</v>
      </c>
      <c r="D1182" s="20" t="str">
        <f t="shared" si="3539"/>
        <v>#REF!</v>
      </c>
      <c r="E1182" s="20" t="str">
        <f t="shared" si="1270"/>
        <v>#REF!</v>
      </c>
      <c r="F1182" s="22" t="str">
        <f t="shared" si="2"/>
        <v>#REF!</v>
      </c>
      <c r="G1182" s="20" t="str">
        <f t="shared" ref="G1182:I1182" si="3540">#REF!</f>
        <v>#REF!</v>
      </c>
      <c r="H1182" s="20" t="str">
        <f t="shared" si="3540"/>
        <v>#REF!</v>
      </c>
      <c r="I1182" s="20" t="str">
        <f t="shared" si="3540"/>
        <v>#REF!</v>
      </c>
      <c r="J1182" s="20" t="str">
        <f t="shared" si="1272"/>
        <v>#REF!</v>
      </c>
      <c r="K1182" s="20" t="str">
        <f t="shared" ref="K1182:L1182" si="3541">#REF!</f>
        <v>#REF!</v>
      </c>
      <c r="L1182" s="20" t="str">
        <f t="shared" si="3541"/>
        <v>#REF!</v>
      </c>
    </row>
    <row r="1183">
      <c r="A1183" s="20" t="str">
        <f t="shared" si="1267"/>
        <v>#REF!</v>
      </c>
      <c r="B1183" s="20" t="str">
        <f t="shared" si="1268"/>
        <v>#REF!</v>
      </c>
      <c r="C1183" s="20" t="str">
        <f t="shared" ref="C1183:D1183" si="3542">#REF!</f>
        <v>#REF!</v>
      </c>
      <c r="D1183" s="20" t="str">
        <f t="shared" si="3542"/>
        <v>#REF!</v>
      </c>
      <c r="E1183" s="20" t="str">
        <f t="shared" si="1270"/>
        <v>#REF!</v>
      </c>
      <c r="F1183" s="22" t="str">
        <f t="shared" si="2"/>
        <v>#REF!</v>
      </c>
      <c r="G1183" s="20" t="str">
        <f t="shared" ref="G1183:I1183" si="3543">#REF!</f>
        <v>#REF!</v>
      </c>
      <c r="H1183" s="20" t="str">
        <f t="shared" si="3543"/>
        <v>#REF!</v>
      </c>
      <c r="I1183" s="20" t="str">
        <f t="shared" si="3543"/>
        <v>#REF!</v>
      </c>
      <c r="J1183" s="20" t="str">
        <f t="shared" si="1272"/>
        <v>#REF!</v>
      </c>
      <c r="K1183" s="20" t="str">
        <f t="shared" ref="K1183:L1183" si="3544">#REF!</f>
        <v>#REF!</v>
      </c>
      <c r="L1183" s="20" t="str">
        <f t="shared" si="3544"/>
        <v>#REF!</v>
      </c>
    </row>
    <row r="1184">
      <c r="A1184" s="20" t="str">
        <f t="shared" si="1267"/>
        <v>#REF!</v>
      </c>
      <c r="B1184" s="20" t="str">
        <f t="shared" si="1268"/>
        <v>#REF!</v>
      </c>
      <c r="C1184" s="20" t="str">
        <f t="shared" ref="C1184:D1184" si="3545">#REF!</f>
        <v>#REF!</v>
      </c>
      <c r="D1184" s="20" t="str">
        <f t="shared" si="3545"/>
        <v>#REF!</v>
      </c>
      <c r="E1184" s="20" t="str">
        <f t="shared" si="1270"/>
        <v>#REF!</v>
      </c>
      <c r="F1184" s="22" t="str">
        <f t="shared" si="2"/>
        <v>#REF!</v>
      </c>
      <c r="G1184" s="20" t="str">
        <f t="shared" ref="G1184:I1184" si="3546">#REF!</f>
        <v>#REF!</v>
      </c>
      <c r="H1184" s="20" t="str">
        <f t="shared" si="3546"/>
        <v>#REF!</v>
      </c>
      <c r="I1184" s="20" t="str">
        <f t="shared" si="3546"/>
        <v>#REF!</v>
      </c>
      <c r="J1184" s="20" t="str">
        <f t="shared" si="1272"/>
        <v>#REF!</v>
      </c>
      <c r="K1184" s="20" t="str">
        <f t="shared" ref="K1184:L1184" si="3547">#REF!</f>
        <v>#REF!</v>
      </c>
      <c r="L1184" s="20" t="str">
        <f t="shared" si="3547"/>
        <v>#REF!</v>
      </c>
    </row>
    <row r="1185">
      <c r="A1185" s="20" t="str">
        <f t="shared" si="1267"/>
        <v>#REF!</v>
      </c>
      <c r="B1185" s="20" t="str">
        <f t="shared" si="1268"/>
        <v>#REF!</v>
      </c>
      <c r="C1185" s="20" t="str">
        <f t="shared" ref="C1185:D1185" si="3548">#REF!</f>
        <v>#REF!</v>
      </c>
      <c r="D1185" s="20" t="str">
        <f t="shared" si="3548"/>
        <v>#REF!</v>
      </c>
      <c r="E1185" s="20" t="str">
        <f t="shared" si="1270"/>
        <v>#REF!</v>
      </c>
      <c r="F1185" s="22" t="str">
        <f t="shared" si="2"/>
        <v>#REF!</v>
      </c>
      <c r="G1185" s="20" t="str">
        <f t="shared" ref="G1185:I1185" si="3549">#REF!</f>
        <v>#REF!</v>
      </c>
      <c r="H1185" s="20" t="str">
        <f t="shared" si="3549"/>
        <v>#REF!</v>
      </c>
      <c r="I1185" s="20" t="str">
        <f t="shared" si="3549"/>
        <v>#REF!</v>
      </c>
      <c r="J1185" s="20" t="str">
        <f t="shared" si="1272"/>
        <v>#REF!</v>
      </c>
      <c r="K1185" s="20" t="str">
        <f t="shared" ref="K1185:L1185" si="3550">#REF!</f>
        <v>#REF!</v>
      </c>
      <c r="L1185" s="20" t="str">
        <f t="shared" si="3550"/>
        <v>#REF!</v>
      </c>
    </row>
    <row r="1186">
      <c r="A1186" s="20" t="str">
        <f t="shared" si="1267"/>
        <v>#REF!</v>
      </c>
      <c r="B1186" s="20" t="str">
        <f t="shared" si="1268"/>
        <v>#REF!</v>
      </c>
      <c r="C1186" s="20" t="str">
        <f t="shared" ref="C1186:D1186" si="3551">#REF!</f>
        <v>#REF!</v>
      </c>
      <c r="D1186" s="20" t="str">
        <f t="shared" si="3551"/>
        <v>#REF!</v>
      </c>
      <c r="E1186" s="20" t="str">
        <f t="shared" si="1270"/>
        <v>#REF!</v>
      </c>
      <c r="F1186" s="22" t="str">
        <f t="shared" si="2"/>
        <v>#REF!</v>
      </c>
      <c r="G1186" s="20" t="str">
        <f t="shared" ref="G1186:I1186" si="3552">#REF!</f>
        <v>#REF!</v>
      </c>
      <c r="H1186" s="20" t="str">
        <f t="shared" si="3552"/>
        <v>#REF!</v>
      </c>
      <c r="I1186" s="20" t="str">
        <f t="shared" si="3552"/>
        <v>#REF!</v>
      </c>
      <c r="J1186" s="20" t="str">
        <f t="shared" si="1272"/>
        <v>#REF!</v>
      </c>
      <c r="K1186" s="20" t="str">
        <f t="shared" ref="K1186:L1186" si="3553">#REF!</f>
        <v>#REF!</v>
      </c>
      <c r="L1186" s="20" t="str">
        <f t="shared" si="3553"/>
        <v>#REF!</v>
      </c>
    </row>
    <row r="1187">
      <c r="A1187" s="20" t="str">
        <f t="shared" si="1267"/>
        <v>#REF!</v>
      </c>
      <c r="B1187" s="20" t="str">
        <f t="shared" si="1268"/>
        <v>#REF!</v>
      </c>
      <c r="C1187" s="20" t="str">
        <f t="shared" ref="C1187:D1187" si="3554">#REF!</f>
        <v>#REF!</v>
      </c>
      <c r="D1187" s="20" t="str">
        <f t="shared" si="3554"/>
        <v>#REF!</v>
      </c>
      <c r="E1187" s="20" t="str">
        <f t="shared" si="1270"/>
        <v>#REF!</v>
      </c>
      <c r="F1187" s="22" t="str">
        <f t="shared" si="2"/>
        <v>#REF!</v>
      </c>
      <c r="G1187" s="20" t="str">
        <f t="shared" ref="G1187:I1187" si="3555">#REF!</f>
        <v>#REF!</v>
      </c>
      <c r="H1187" s="20" t="str">
        <f t="shared" si="3555"/>
        <v>#REF!</v>
      </c>
      <c r="I1187" s="20" t="str">
        <f t="shared" si="3555"/>
        <v>#REF!</v>
      </c>
      <c r="J1187" s="20" t="str">
        <f t="shared" si="1272"/>
        <v>#REF!</v>
      </c>
      <c r="K1187" s="20" t="str">
        <f t="shared" ref="K1187:L1187" si="3556">#REF!</f>
        <v>#REF!</v>
      </c>
      <c r="L1187" s="20" t="str">
        <f t="shared" si="3556"/>
        <v>#REF!</v>
      </c>
    </row>
    <row r="1188">
      <c r="A1188" s="20" t="str">
        <f t="shared" si="1267"/>
        <v>#REF!</v>
      </c>
      <c r="B1188" s="20" t="str">
        <f t="shared" si="1268"/>
        <v>#REF!</v>
      </c>
      <c r="C1188" s="20" t="str">
        <f t="shared" ref="C1188:D1188" si="3557">#REF!</f>
        <v>#REF!</v>
      </c>
      <c r="D1188" s="20" t="str">
        <f t="shared" si="3557"/>
        <v>#REF!</v>
      </c>
      <c r="E1188" s="20" t="str">
        <f t="shared" si="1270"/>
        <v>#REF!</v>
      </c>
      <c r="F1188" s="22" t="str">
        <f t="shared" si="2"/>
        <v>#REF!</v>
      </c>
      <c r="G1188" s="20" t="str">
        <f t="shared" ref="G1188:I1188" si="3558">#REF!</f>
        <v>#REF!</v>
      </c>
      <c r="H1188" s="20" t="str">
        <f t="shared" si="3558"/>
        <v>#REF!</v>
      </c>
      <c r="I1188" s="20" t="str">
        <f t="shared" si="3558"/>
        <v>#REF!</v>
      </c>
      <c r="J1188" s="20" t="str">
        <f t="shared" si="1272"/>
        <v>#REF!</v>
      </c>
      <c r="K1188" s="20" t="str">
        <f t="shared" ref="K1188:L1188" si="3559">#REF!</f>
        <v>#REF!</v>
      </c>
      <c r="L1188" s="20" t="str">
        <f t="shared" si="3559"/>
        <v>#REF!</v>
      </c>
    </row>
    <row r="1189">
      <c r="A1189" s="20" t="str">
        <f t="shared" si="1267"/>
        <v>#REF!</v>
      </c>
      <c r="B1189" s="20" t="str">
        <f t="shared" si="1268"/>
        <v>#REF!</v>
      </c>
      <c r="C1189" s="20" t="str">
        <f t="shared" ref="C1189:D1189" si="3560">#REF!</f>
        <v>#REF!</v>
      </c>
      <c r="D1189" s="20" t="str">
        <f t="shared" si="3560"/>
        <v>#REF!</v>
      </c>
      <c r="E1189" s="20" t="str">
        <f t="shared" si="1270"/>
        <v>#REF!</v>
      </c>
      <c r="F1189" s="22" t="str">
        <f t="shared" si="2"/>
        <v>#REF!</v>
      </c>
      <c r="G1189" s="20" t="str">
        <f t="shared" ref="G1189:I1189" si="3561">#REF!</f>
        <v>#REF!</v>
      </c>
      <c r="H1189" s="20" t="str">
        <f t="shared" si="3561"/>
        <v>#REF!</v>
      </c>
      <c r="I1189" s="20" t="str">
        <f t="shared" si="3561"/>
        <v>#REF!</v>
      </c>
      <c r="J1189" s="20" t="str">
        <f t="shared" si="1272"/>
        <v>#REF!</v>
      </c>
      <c r="K1189" s="20" t="str">
        <f t="shared" ref="K1189:L1189" si="3562">#REF!</f>
        <v>#REF!</v>
      </c>
      <c r="L1189" s="20" t="str">
        <f t="shared" si="3562"/>
        <v>#REF!</v>
      </c>
    </row>
    <row r="1190">
      <c r="A1190" s="20" t="str">
        <f t="shared" si="1267"/>
        <v>#REF!</v>
      </c>
      <c r="B1190" s="20" t="str">
        <f t="shared" si="1268"/>
        <v>#REF!</v>
      </c>
      <c r="C1190" s="20" t="str">
        <f t="shared" ref="C1190:D1190" si="3563">#REF!</f>
        <v>#REF!</v>
      </c>
      <c r="D1190" s="20" t="str">
        <f t="shared" si="3563"/>
        <v>#REF!</v>
      </c>
      <c r="E1190" s="20" t="str">
        <f t="shared" si="1270"/>
        <v>#REF!</v>
      </c>
      <c r="F1190" s="22" t="str">
        <f t="shared" si="2"/>
        <v>#REF!</v>
      </c>
      <c r="G1190" s="20" t="str">
        <f t="shared" ref="G1190:I1190" si="3564">#REF!</f>
        <v>#REF!</v>
      </c>
      <c r="H1190" s="20" t="str">
        <f t="shared" si="3564"/>
        <v>#REF!</v>
      </c>
      <c r="I1190" s="20" t="str">
        <f t="shared" si="3564"/>
        <v>#REF!</v>
      </c>
      <c r="J1190" s="20" t="str">
        <f t="shared" si="1272"/>
        <v>#REF!</v>
      </c>
      <c r="K1190" s="20" t="str">
        <f t="shared" ref="K1190:L1190" si="3565">#REF!</f>
        <v>#REF!</v>
      </c>
      <c r="L1190" s="20" t="str">
        <f t="shared" si="3565"/>
        <v>#REF!</v>
      </c>
    </row>
    <row r="1191">
      <c r="A1191" s="20" t="str">
        <f t="shared" si="1267"/>
        <v>#REF!</v>
      </c>
      <c r="B1191" s="20" t="str">
        <f t="shared" si="1268"/>
        <v>#REF!</v>
      </c>
      <c r="C1191" s="20" t="str">
        <f t="shared" ref="C1191:D1191" si="3566">#REF!</f>
        <v>#REF!</v>
      </c>
      <c r="D1191" s="20" t="str">
        <f t="shared" si="3566"/>
        <v>#REF!</v>
      </c>
      <c r="E1191" s="20" t="str">
        <f t="shared" si="1270"/>
        <v>#REF!</v>
      </c>
      <c r="F1191" s="22" t="str">
        <f t="shared" si="2"/>
        <v>#REF!</v>
      </c>
      <c r="G1191" s="20" t="str">
        <f t="shared" ref="G1191:I1191" si="3567">#REF!</f>
        <v>#REF!</v>
      </c>
      <c r="H1191" s="20" t="str">
        <f t="shared" si="3567"/>
        <v>#REF!</v>
      </c>
      <c r="I1191" s="20" t="str">
        <f t="shared" si="3567"/>
        <v>#REF!</v>
      </c>
      <c r="J1191" s="20" t="str">
        <f t="shared" si="1272"/>
        <v>#REF!</v>
      </c>
      <c r="K1191" s="20" t="str">
        <f t="shared" ref="K1191:L1191" si="3568">#REF!</f>
        <v>#REF!</v>
      </c>
      <c r="L1191" s="20" t="str">
        <f t="shared" si="3568"/>
        <v>#REF!</v>
      </c>
    </row>
    <row r="1192">
      <c r="A1192" s="20" t="str">
        <f t="shared" si="1267"/>
        <v>#REF!</v>
      </c>
      <c r="B1192" s="20" t="str">
        <f t="shared" si="1268"/>
        <v>#REF!</v>
      </c>
      <c r="C1192" s="20" t="str">
        <f t="shared" ref="C1192:D1192" si="3569">#REF!</f>
        <v>#REF!</v>
      </c>
      <c r="D1192" s="20" t="str">
        <f t="shared" si="3569"/>
        <v>#REF!</v>
      </c>
      <c r="E1192" s="20" t="str">
        <f t="shared" si="1270"/>
        <v>#REF!</v>
      </c>
      <c r="F1192" s="22" t="str">
        <f t="shared" si="2"/>
        <v>#REF!</v>
      </c>
      <c r="G1192" s="20" t="str">
        <f t="shared" ref="G1192:I1192" si="3570">#REF!</f>
        <v>#REF!</v>
      </c>
      <c r="H1192" s="20" t="str">
        <f t="shared" si="3570"/>
        <v>#REF!</v>
      </c>
      <c r="I1192" s="20" t="str">
        <f t="shared" si="3570"/>
        <v>#REF!</v>
      </c>
      <c r="J1192" s="20" t="str">
        <f t="shared" si="1272"/>
        <v>#REF!</v>
      </c>
      <c r="K1192" s="20" t="str">
        <f t="shared" ref="K1192:L1192" si="3571">#REF!</f>
        <v>#REF!</v>
      </c>
      <c r="L1192" s="20" t="str">
        <f t="shared" si="3571"/>
        <v>#REF!</v>
      </c>
    </row>
    <row r="1193">
      <c r="A1193" s="20" t="str">
        <f t="shared" si="1267"/>
        <v>#REF!</v>
      </c>
      <c r="B1193" s="20" t="str">
        <f t="shared" si="1268"/>
        <v>#REF!</v>
      </c>
      <c r="C1193" s="20" t="str">
        <f t="shared" ref="C1193:D1193" si="3572">#REF!</f>
        <v>#REF!</v>
      </c>
      <c r="D1193" s="20" t="str">
        <f t="shared" si="3572"/>
        <v>#REF!</v>
      </c>
      <c r="E1193" s="20" t="str">
        <f t="shared" si="1270"/>
        <v>#REF!</v>
      </c>
      <c r="F1193" s="22" t="str">
        <f t="shared" si="2"/>
        <v>#REF!</v>
      </c>
      <c r="G1193" s="20" t="str">
        <f t="shared" ref="G1193:I1193" si="3573">#REF!</f>
        <v>#REF!</v>
      </c>
      <c r="H1193" s="20" t="str">
        <f t="shared" si="3573"/>
        <v>#REF!</v>
      </c>
      <c r="I1193" s="20" t="str">
        <f t="shared" si="3573"/>
        <v>#REF!</v>
      </c>
      <c r="J1193" s="20" t="str">
        <f t="shared" si="1272"/>
        <v>#REF!</v>
      </c>
      <c r="K1193" s="20" t="str">
        <f t="shared" ref="K1193:L1193" si="3574">#REF!</f>
        <v>#REF!</v>
      </c>
      <c r="L1193" s="20" t="str">
        <f t="shared" si="3574"/>
        <v>#REF!</v>
      </c>
    </row>
    <row r="1194">
      <c r="A1194" s="20" t="str">
        <f t="shared" si="1267"/>
        <v>#REF!</v>
      </c>
      <c r="B1194" s="20" t="str">
        <f t="shared" si="1268"/>
        <v>#REF!</v>
      </c>
      <c r="C1194" s="20" t="str">
        <f t="shared" ref="C1194:D1194" si="3575">#REF!</f>
        <v>#REF!</v>
      </c>
      <c r="D1194" s="20" t="str">
        <f t="shared" si="3575"/>
        <v>#REF!</v>
      </c>
      <c r="E1194" s="20" t="str">
        <f t="shared" si="1270"/>
        <v>#REF!</v>
      </c>
      <c r="F1194" s="22" t="str">
        <f t="shared" si="2"/>
        <v>#REF!</v>
      </c>
      <c r="G1194" s="20" t="str">
        <f t="shared" ref="G1194:I1194" si="3576">#REF!</f>
        <v>#REF!</v>
      </c>
      <c r="H1194" s="20" t="str">
        <f t="shared" si="3576"/>
        <v>#REF!</v>
      </c>
      <c r="I1194" s="20" t="str">
        <f t="shared" si="3576"/>
        <v>#REF!</v>
      </c>
      <c r="J1194" s="20" t="str">
        <f t="shared" si="1272"/>
        <v>#REF!</v>
      </c>
      <c r="K1194" s="20" t="str">
        <f t="shared" ref="K1194:L1194" si="3577">#REF!</f>
        <v>#REF!</v>
      </c>
      <c r="L1194" s="20" t="str">
        <f t="shared" si="3577"/>
        <v>#REF!</v>
      </c>
    </row>
    <row r="1195">
      <c r="A1195" s="20" t="str">
        <f t="shared" si="1267"/>
        <v>#REF!</v>
      </c>
      <c r="B1195" s="20" t="str">
        <f t="shared" si="1268"/>
        <v>#REF!</v>
      </c>
      <c r="C1195" s="20" t="str">
        <f t="shared" ref="C1195:D1195" si="3578">#REF!</f>
        <v>#REF!</v>
      </c>
      <c r="D1195" s="20" t="str">
        <f t="shared" si="3578"/>
        <v>#REF!</v>
      </c>
      <c r="E1195" s="20" t="str">
        <f t="shared" si="1270"/>
        <v>#REF!</v>
      </c>
      <c r="F1195" s="22" t="str">
        <f t="shared" si="2"/>
        <v>#REF!</v>
      </c>
      <c r="G1195" s="20" t="str">
        <f t="shared" ref="G1195:I1195" si="3579">#REF!</f>
        <v>#REF!</v>
      </c>
      <c r="H1195" s="20" t="str">
        <f t="shared" si="3579"/>
        <v>#REF!</v>
      </c>
      <c r="I1195" s="20" t="str">
        <f t="shared" si="3579"/>
        <v>#REF!</v>
      </c>
      <c r="J1195" s="20" t="str">
        <f t="shared" si="1272"/>
        <v>#REF!</v>
      </c>
      <c r="K1195" s="20" t="str">
        <f t="shared" ref="K1195:L1195" si="3580">#REF!</f>
        <v>#REF!</v>
      </c>
      <c r="L1195" s="20" t="str">
        <f t="shared" si="3580"/>
        <v>#REF!</v>
      </c>
    </row>
    <row r="1196">
      <c r="A1196" s="20" t="str">
        <f t="shared" si="1267"/>
        <v>#REF!</v>
      </c>
      <c r="B1196" s="20" t="str">
        <f t="shared" si="1268"/>
        <v>#REF!</v>
      </c>
      <c r="C1196" s="20" t="str">
        <f t="shared" ref="C1196:D1196" si="3581">#REF!</f>
        <v>#REF!</v>
      </c>
      <c r="D1196" s="20" t="str">
        <f t="shared" si="3581"/>
        <v>#REF!</v>
      </c>
      <c r="E1196" s="20" t="str">
        <f t="shared" si="1270"/>
        <v>#REF!</v>
      </c>
      <c r="F1196" s="22" t="str">
        <f t="shared" si="2"/>
        <v>#REF!</v>
      </c>
      <c r="G1196" s="20" t="str">
        <f t="shared" ref="G1196:I1196" si="3582">#REF!</f>
        <v>#REF!</v>
      </c>
      <c r="H1196" s="20" t="str">
        <f t="shared" si="3582"/>
        <v>#REF!</v>
      </c>
      <c r="I1196" s="20" t="str">
        <f t="shared" si="3582"/>
        <v>#REF!</v>
      </c>
      <c r="J1196" s="20" t="str">
        <f t="shared" si="1272"/>
        <v>#REF!</v>
      </c>
      <c r="K1196" s="20" t="str">
        <f t="shared" ref="K1196:L1196" si="3583">#REF!</f>
        <v>#REF!</v>
      </c>
      <c r="L1196" s="20" t="str">
        <f t="shared" si="3583"/>
        <v>#REF!</v>
      </c>
    </row>
    <row r="1197">
      <c r="A1197" s="20" t="str">
        <f t="shared" si="1267"/>
        <v>#REF!</v>
      </c>
      <c r="B1197" s="20" t="str">
        <f t="shared" si="1268"/>
        <v>#REF!</v>
      </c>
      <c r="C1197" s="20" t="str">
        <f t="shared" ref="C1197:D1197" si="3584">#REF!</f>
        <v>#REF!</v>
      </c>
      <c r="D1197" s="20" t="str">
        <f t="shared" si="3584"/>
        <v>#REF!</v>
      </c>
      <c r="E1197" s="20" t="str">
        <f t="shared" si="1270"/>
        <v>#REF!</v>
      </c>
      <c r="F1197" s="22" t="str">
        <f t="shared" si="2"/>
        <v>#REF!</v>
      </c>
      <c r="G1197" s="20" t="str">
        <f t="shared" ref="G1197:I1197" si="3585">#REF!</f>
        <v>#REF!</v>
      </c>
      <c r="H1197" s="20" t="str">
        <f t="shared" si="3585"/>
        <v>#REF!</v>
      </c>
      <c r="I1197" s="20" t="str">
        <f t="shared" si="3585"/>
        <v>#REF!</v>
      </c>
      <c r="J1197" s="20" t="str">
        <f t="shared" si="1272"/>
        <v>#REF!</v>
      </c>
      <c r="K1197" s="20" t="str">
        <f t="shared" ref="K1197:L1197" si="3586">#REF!</f>
        <v>#REF!</v>
      </c>
      <c r="L1197" s="20" t="str">
        <f t="shared" si="3586"/>
        <v>#REF!</v>
      </c>
    </row>
    <row r="1198">
      <c r="A1198" s="20" t="str">
        <f t="shared" si="1267"/>
        <v>#REF!</v>
      </c>
      <c r="B1198" s="20" t="str">
        <f t="shared" si="1268"/>
        <v>#REF!</v>
      </c>
      <c r="C1198" s="20" t="str">
        <f t="shared" ref="C1198:D1198" si="3587">#REF!</f>
        <v>#REF!</v>
      </c>
      <c r="D1198" s="20" t="str">
        <f t="shared" si="3587"/>
        <v>#REF!</v>
      </c>
      <c r="E1198" s="20" t="str">
        <f t="shared" si="1270"/>
        <v>#REF!</v>
      </c>
      <c r="F1198" s="22" t="str">
        <f t="shared" si="2"/>
        <v>#REF!</v>
      </c>
      <c r="G1198" s="20" t="str">
        <f t="shared" ref="G1198:I1198" si="3588">#REF!</f>
        <v>#REF!</v>
      </c>
      <c r="H1198" s="20" t="str">
        <f t="shared" si="3588"/>
        <v>#REF!</v>
      </c>
      <c r="I1198" s="20" t="str">
        <f t="shared" si="3588"/>
        <v>#REF!</v>
      </c>
      <c r="J1198" s="20" t="str">
        <f t="shared" si="1272"/>
        <v>#REF!</v>
      </c>
      <c r="K1198" s="20" t="str">
        <f t="shared" ref="K1198:L1198" si="3589">#REF!</f>
        <v>#REF!</v>
      </c>
      <c r="L1198" s="20" t="str">
        <f t="shared" si="3589"/>
        <v>#REF!</v>
      </c>
    </row>
    <row r="1199">
      <c r="A1199" s="20" t="str">
        <f t="shared" si="1267"/>
        <v>#REF!</v>
      </c>
      <c r="B1199" s="20" t="str">
        <f t="shared" si="1268"/>
        <v>#REF!</v>
      </c>
      <c r="C1199" s="20" t="str">
        <f t="shared" ref="C1199:D1199" si="3590">#REF!</f>
        <v>#REF!</v>
      </c>
      <c r="D1199" s="20" t="str">
        <f t="shared" si="3590"/>
        <v>#REF!</v>
      </c>
      <c r="E1199" s="20" t="str">
        <f t="shared" si="1270"/>
        <v>#REF!</v>
      </c>
      <c r="F1199" s="22" t="str">
        <f t="shared" si="2"/>
        <v>#REF!</v>
      </c>
      <c r="G1199" s="20" t="str">
        <f t="shared" ref="G1199:I1199" si="3591">#REF!</f>
        <v>#REF!</v>
      </c>
      <c r="H1199" s="20" t="str">
        <f t="shared" si="3591"/>
        <v>#REF!</v>
      </c>
      <c r="I1199" s="20" t="str">
        <f t="shared" si="3591"/>
        <v>#REF!</v>
      </c>
      <c r="J1199" s="20" t="str">
        <f t="shared" si="1272"/>
        <v>#REF!</v>
      </c>
      <c r="K1199" s="20" t="str">
        <f t="shared" ref="K1199:L1199" si="3592">#REF!</f>
        <v>#REF!</v>
      </c>
      <c r="L1199" s="20" t="str">
        <f t="shared" si="3592"/>
        <v>#REF!</v>
      </c>
    </row>
    <row r="1200">
      <c r="A1200" s="20" t="str">
        <f t="shared" si="1267"/>
        <v>#REF!</v>
      </c>
      <c r="B1200" s="20" t="str">
        <f t="shared" si="1268"/>
        <v>#REF!</v>
      </c>
      <c r="C1200" s="20" t="str">
        <f t="shared" ref="C1200:D1200" si="3593">#REF!</f>
        <v>#REF!</v>
      </c>
      <c r="D1200" s="20" t="str">
        <f t="shared" si="3593"/>
        <v>#REF!</v>
      </c>
      <c r="E1200" s="20" t="str">
        <f t="shared" si="1270"/>
        <v>#REF!</v>
      </c>
      <c r="F1200" s="22" t="str">
        <f t="shared" si="2"/>
        <v>#REF!</v>
      </c>
      <c r="G1200" s="20" t="str">
        <f t="shared" ref="G1200:I1200" si="3594">#REF!</f>
        <v>#REF!</v>
      </c>
      <c r="H1200" s="20" t="str">
        <f t="shared" si="3594"/>
        <v>#REF!</v>
      </c>
      <c r="I1200" s="20" t="str">
        <f t="shared" si="3594"/>
        <v>#REF!</v>
      </c>
      <c r="J1200" s="20" t="str">
        <f t="shared" si="1272"/>
        <v>#REF!</v>
      </c>
      <c r="K1200" s="20" t="str">
        <f t="shared" ref="K1200:L1200" si="3595">#REF!</f>
        <v>#REF!</v>
      </c>
      <c r="L1200" s="20" t="str">
        <f t="shared" si="3595"/>
        <v>#REF!</v>
      </c>
    </row>
    <row r="1201">
      <c r="A1201" s="20" t="str">
        <f t="shared" si="1267"/>
        <v>#REF!</v>
      </c>
      <c r="B1201" s="20" t="str">
        <f t="shared" si="1268"/>
        <v>#REF!</v>
      </c>
      <c r="C1201" s="20" t="str">
        <f t="shared" ref="C1201:D1201" si="3596">#REF!</f>
        <v>#REF!</v>
      </c>
      <c r="D1201" s="20" t="str">
        <f t="shared" si="3596"/>
        <v>#REF!</v>
      </c>
      <c r="E1201" s="20" t="str">
        <f t="shared" si="1270"/>
        <v>#REF!</v>
      </c>
      <c r="F1201" s="22" t="str">
        <f t="shared" si="2"/>
        <v>#REF!</v>
      </c>
      <c r="G1201" s="20" t="str">
        <f t="shared" ref="G1201:I1201" si="3597">#REF!</f>
        <v>#REF!</v>
      </c>
      <c r="H1201" s="20" t="str">
        <f t="shared" si="3597"/>
        <v>#REF!</v>
      </c>
      <c r="I1201" s="20" t="str">
        <f t="shared" si="3597"/>
        <v>#REF!</v>
      </c>
      <c r="J1201" s="20" t="str">
        <f t="shared" si="1272"/>
        <v>#REF!</v>
      </c>
      <c r="K1201" s="20" t="str">
        <f t="shared" ref="K1201:L1201" si="3598">#REF!</f>
        <v>#REF!</v>
      </c>
      <c r="L1201" s="20" t="str">
        <f t="shared" si="3598"/>
        <v>#REF!</v>
      </c>
    </row>
    <row r="1202">
      <c r="A1202" s="20" t="str">
        <f t="shared" si="1267"/>
        <v>#REF!</v>
      </c>
      <c r="B1202" s="20" t="str">
        <f t="shared" si="1268"/>
        <v>#REF!</v>
      </c>
      <c r="C1202" s="20" t="str">
        <f t="shared" ref="C1202:D1202" si="3599">#REF!</f>
        <v>#REF!</v>
      </c>
      <c r="D1202" s="20" t="str">
        <f t="shared" si="3599"/>
        <v>#REF!</v>
      </c>
      <c r="E1202" s="20" t="str">
        <f t="shared" si="1270"/>
        <v>#REF!</v>
      </c>
      <c r="F1202" s="22" t="str">
        <f t="shared" si="2"/>
        <v>#REF!</v>
      </c>
      <c r="G1202" s="20" t="str">
        <f t="shared" ref="G1202:I1202" si="3600">#REF!</f>
        <v>#REF!</v>
      </c>
      <c r="H1202" s="20" t="str">
        <f t="shared" si="3600"/>
        <v>#REF!</v>
      </c>
      <c r="I1202" s="20" t="str">
        <f t="shared" si="3600"/>
        <v>#REF!</v>
      </c>
      <c r="J1202" s="20" t="str">
        <f t="shared" si="1272"/>
        <v>#REF!</v>
      </c>
      <c r="K1202" s="20" t="str">
        <f t="shared" ref="K1202:L1202" si="3601">#REF!</f>
        <v>#REF!</v>
      </c>
      <c r="L1202" s="20" t="str">
        <f t="shared" si="3601"/>
        <v>#REF!</v>
      </c>
    </row>
    <row r="1203">
      <c r="A1203" s="20" t="str">
        <f t="shared" si="1267"/>
        <v>#REF!</v>
      </c>
      <c r="B1203" s="20" t="str">
        <f t="shared" si="1268"/>
        <v>#REF!</v>
      </c>
      <c r="C1203" s="20" t="str">
        <f t="shared" ref="C1203:D1203" si="3602">#REF!</f>
        <v>#REF!</v>
      </c>
      <c r="D1203" s="20" t="str">
        <f t="shared" si="3602"/>
        <v>#REF!</v>
      </c>
      <c r="E1203" s="20" t="str">
        <f t="shared" si="1270"/>
        <v>#REF!</v>
      </c>
      <c r="F1203" s="22" t="str">
        <f t="shared" si="2"/>
        <v>#REF!</v>
      </c>
      <c r="G1203" s="20" t="str">
        <f t="shared" ref="G1203:I1203" si="3603">#REF!</f>
        <v>#REF!</v>
      </c>
      <c r="H1203" s="20" t="str">
        <f t="shared" si="3603"/>
        <v>#REF!</v>
      </c>
      <c r="I1203" s="20" t="str">
        <f t="shared" si="3603"/>
        <v>#REF!</v>
      </c>
      <c r="J1203" s="20" t="str">
        <f t="shared" si="1272"/>
        <v>#REF!</v>
      </c>
      <c r="K1203" s="20" t="str">
        <f t="shared" ref="K1203:L1203" si="3604">#REF!</f>
        <v>#REF!</v>
      </c>
      <c r="L1203" s="20" t="str">
        <f t="shared" si="3604"/>
        <v>#REF!</v>
      </c>
    </row>
    <row r="1204">
      <c r="A1204" s="20" t="str">
        <f t="shared" si="1267"/>
        <v>#REF!</v>
      </c>
      <c r="B1204" s="20" t="str">
        <f t="shared" si="1268"/>
        <v>#REF!</v>
      </c>
      <c r="C1204" s="20" t="str">
        <f t="shared" ref="C1204:D1204" si="3605">#REF!</f>
        <v>#REF!</v>
      </c>
      <c r="D1204" s="20" t="str">
        <f t="shared" si="3605"/>
        <v>#REF!</v>
      </c>
      <c r="E1204" s="20" t="str">
        <f t="shared" si="1270"/>
        <v>#REF!</v>
      </c>
      <c r="F1204" s="22" t="str">
        <f t="shared" si="2"/>
        <v>#REF!</v>
      </c>
      <c r="G1204" s="20" t="str">
        <f t="shared" ref="G1204:I1204" si="3606">#REF!</f>
        <v>#REF!</v>
      </c>
      <c r="H1204" s="20" t="str">
        <f t="shared" si="3606"/>
        <v>#REF!</v>
      </c>
      <c r="I1204" s="20" t="str">
        <f t="shared" si="3606"/>
        <v>#REF!</v>
      </c>
      <c r="J1204" s="20" t="str">
        <f t="shared" si="1272"/>
        <v>#REF!</v>
      </c>
      <c r="K1204" s="20" t="str">
        <f t="shared" ref="K1204:L1204" si="3607">#REF!</f>
        <v>#REF!</v>
      </c>
      <c r="L1204" s="20" t="str">
        <f t="shared" si="3607"/>
        <v>#REF!</v>
      </c>
    </row>
    <row r="1205">
      <c r="A1205" s="20" t="str">
        <f t="shared" si="1267"/>
        <v>#REF!</v>
      </c>
      <c r="B1205" s="20" t="str">
        <f t="shared" si="1268"/>
        <v>#REF!</v>
      </c>
      <c r="C1205" s="20" t="str">
        <f t="shared" ref="C1205:D1205" si="3608">#REF!</f>
        <v>#REF!</v>
      </c>
      <c r="D1205" s="20" t="str">
        <f t="shared" si="3608"/>
        <v>#REF!</v>
      </c>
      <c r="E1205" s="20" t="str">
        <f t="shared" si="1270"/>
        <v>#REF!</v>
      </c>
      <c r="F1205" s="22" t="str">
        <f t="shared" si="2"/>
        <v>#REF!</v>
      </c>
      <c r="G1205" s="20" t="str">
        <f t="shared" ref="G1205:I1205" si="3609">#REF!</f>
        <v>#REF!</v>
      </c>
      <c r="H1205" s="20" t="str">
        <f t="shared" si="3609"/>
        <v>#REF!</v>
      </c>
      <c r="I1205" s="20" t="str">
        <f t="shared" si="3609"/>
        <v>#REF!</v>
      </c>
      <c r="J1205" s="20" t="str">
        <f t="shared" si="1272"/>
        <v>#REF!</v>
      </c>
      <c r="K1205" s="20" t="str">
        <f t="shared" ref="K1205:L1205" si="3610">#REF!</f>
        <v>#REF!</v>
      </c>
      <c r="L1205" s="20" t="str">
        <f t="shared" si="3610"/>
        <v>#REF!</v>
      </c>
    </row>
    <row r="1206">
      <c r="A1206" s="20" t="str">
        <f t="shared" si="1267"/>
        <v>#REF!</v>
      </c>
      <c r="B1206" s="20" t="str">
        <f t="shared" si="1268"/>
        <v>#REF!</v>
      </c>
      <c r="C1206" s="20" t="str">
        <f t="shared" ref="C1206:D1206" si="3611">#REF!</f>
        <v>#REF!</v>
      </c>
      <c r="D1206" s="20" t="str">
        <f t="shared" si="3611"/>
        <v>#REF!</v>
      </c>
      <c r="E1206" s="20" t="str">
        <f t="shared" si="1270"/>
        <v>#REF!</v>
      </c>
      <c r="F1206" s="22" t="str">
        <f t="shared" si="2"/>
        <v>#REF!</v>
      </c>
      <c r="G1206" s="20" t="str">
        <f t="shared" ref="G1206:I1206" si="3612">#REF!</f>
        <v>#REF!</v>
      </c>
      <c r="H1206" s="20" t="str">
        <f t="shared" si="3612"/>
        <v>#REF!</v>
      </c>
      <c r="I1206" s="20" t="str">
        <f t="shared" si="3612"/>
        <v>#REF!</v>
      </c>
      <c r="J1206" s="20" t="str">
        <f t="shared" si="1272"/>
        <v>#REF!</v>
      </c>
      <c r="K1206" s="20" t="str">
        <f t="shared" ref="K1206:L1206" si="3613">#REF!</f>
        <v>#REF!</v>
      </c>
      <c r="L1206" s="20" t="str">
        <f t="shared" si="3613"/>
        <v>#REF!</v>
      </c>
    </row>
    <row r="1207">
      <c r="A1207" s="20" t="str">
        <f t="shared" si="1267"/>
        <v>#REF!</v>
      </c>
      <c r="B1207" s="20" t="str">
        <f t="shared" si="1268"/>
        <v>#REF!</v>
      </c>
      <c r="C1207" s="20" t="str">
        <f t="shared" ref="C1207:D1207" si="3614">#REF!</f>
        <v>#REF!</v>
      </c>
      <c r="D1207" s="20" t="str">
        <f t="shared" si="3614"/>
        <v>#REF!</v>
      </c>
      <c r="E1207" s="20" t="str">
        <f t="shared" si="1270"/>
        <v>#REF!</v>
      </c>
      <c r="F1207" s="22" t="str">
        <f t="shared" si="2"/>
        <v>#REF!</v>
      </c>
      <c r="G1207" s="20" t="str">
        <f t="shared" ref="G1207:I1207" si="3615">#REF!</f>
        <v>#REF!</v>
      </c>
      <c r="H1207" s="20" t="str">
        <f t="shared" si="3615"/>
        <v>#REF!</v>
      </c>
      <c r="I1207" s="20" t="str">
        <f t="shared" si="3615"/>
        <v>#REF!</v>
      </c>
      <c r="J1207" s="20" t="str">
        <f t="shared" si="1272"/>
        <v>#REF!</v>
      </c>
      <c r="K1207" s="20" t="str">
        <f t="shared" ref="K1207:L1207" si="3616">#REF!</f>
        <v>#REF!</v>
      </c>
      <c r="L1207" s="20" t="str">
        <f t="shared" si="3616"/>
        <v>#REF!</v>
      </c>
    </row>
    <row r="1208">
      <c r="A1208" s="20" t="str">
        <f t="shared" si="1267"/>
        <v>#REF!</v>
      </c>
      <c r="B1208" s="20" t="str">
        <f t="shared" si="1268"/>
        <v>#REF!</v>
      </c>
      <c r="C1208" s="20" t="str">
        <f t="shared" ref="C1208:D1208" si="3617">#REF!</f>
        <v>#REF!</v>
      </c>
      <c r="D1208" s="20" t="str">
        <f t="shared" si="3617"/>
        <v>#REF!</v>
      </c>
      <c r="E1208" s="20" t="str">
        <f t="shared" si="1270"/>
        <v>#REF!</v>
      </c>
      <c r="F1208" s="22" t="str">
        <f t="shared" si="2"/>
        <v>#REF!</v>
      </c>
      <c r="G1208" s="20" t="str">
        <f t="shared" ref="G1208:I1208" si="3618">#REF!</f>
        <v>#REF!</v>
      </c>
      <c r="H1208" s="20" t="str">
        <f t="shared" si="3618"/>
        <v>#REF!</v>
      </c>
      <c r="I1208" s="20" t="str">
        <f t="shared" si="3618"/>
        <v>#REF!</v>
      </c>
      <c r="J1208" s="20" t="str">
        <f t="shared" si="1272"/>
        <v>#REF!</v>
      </c>
      <c r="K1208" s="20" t="str">
        <f t="shared" ref="K1208:L1208" si="3619">#REF!</f>
        <v>#REF!</v>
      </c>
      <c r="L1208" s="20" t="str">
        <f t="shared" si="3619"/>
        <v>#REF!</v>
      </c>
    </row>
    <row r="1209">
      <c r="A1209" s="20" t="str">
        <f t="shared" si="1267"/>
        <v>#REF!</v>
      </c>
      <c r="B1209" s="20" t="str">
        <f t="shared" si="1268"/>
        <v>#REF!</v>
      </c>
      <c r="C1209" s="20" t="str">
        <f t="shared" ref="C1209:D1209" si="3620">#REF!</f>
        <v>#REF!</v>
      </c>
      <c r="D1209" s="20" t="str">
        <f t="shared" si="3620"/>
        <v>#REF!</v>
      </c>
      <c r="E1209" s="20" t="str">
        <f t="shared" si="1270"/>
        <v>#REF!</v>
      </c>
      <c r="F1209" s="22" t="str">
        <f t="shared" si="2"/>
        <v>#REF!</v>
      </c>
      <c r="G1209" s="20" t="str">
        <f t="shared" ref="G1209:I1209" si="3621">#REF!</f>
        <v>#REF!</v>
      </c>
      <c r="H1209" s="20" t="str">
        <f t="shared" si="3621"/>
        <v>#REF!</v>
      </c>
      <c r="I1209" s="20" t="str">
        <f t="shared" si="3621"/>
        <v>#REF!</v>
      </c>
      <c r="J1209" s="20" t="str">
        <f t="shared" si="1272"/>
        <v>#REF!</v>
      </c>
      <c r="K1209" s="20" t="str">
        <f t="shared" ref="K1209:L1209" si="3622">#REF!</f>
        <v>#REF!</v>
      </c>
      <c r="L1209" s="20" t="str">
        <f t="shared" si="3622"/>
        <v>#REF!</v>
      </c>
    </row>
    <row r="1210">
      <c r="A1210" s="20" t="str">
        <f t="shared" si="1267"/>
        <v>#REF!</v>
      </c>
      <c r="B1210" s="20" t="str">
        <f t="shared" si="1268"/>
        <v>#REF!</v>
      </c>
      <c r="C1210" s="20" t="str">
        <f t="shared" ref="C1210:D1210" si="3623">#REF!</f>
        <v>#REF!</v>
      </c>
      <c r="D1210" s="20" t="str">
        <f t="shared" si="3623"/>
        <v>#REF!</v>
      </c>
      <c r="E1210" s="20" t="str">
        <f t="shared" si="1270"/>
        <v>#REF!</v>
      </c>
      <c r="F1210" s="22" t="str">
        <f t="shared" si="2"/>
        <v>#REF!</v>
      </c>
      <c r="G1210" s="20" t="str">
        <f t="shared" ref="G1210:I1210" si="3624">#REF!</f>
        <v>#REF!</v>
      </c>
      <c r="H1210" s="20" t="str">
        <f t="shared" si="3624"/>
        <v>#REF!</v>
      </c>
      <c r="I1210" s="20" t="str">
        <f t="shared" si="3624"/>
        <v>#REF!</v>
      </c>
      <c r="J1210" s="20" t="str">
        <f t="shared" si="1272"/>
        <v>#REF!</v>
      </c>
      <c r="K1210" s="20" t="str">
        <f t="shared" ref="K1210:L1210" si="3625">#REF!</f>
        <v>#REF!</v>
      </c>
      <c r="L1210" s="20" t="str">
        <f t="shared" si="3625"/>
        <v>#REF!</v>
      </c>
    </row>
    <row r="1211">
      <c r="A1211" s="20" t="str">
        <f t="shared" si="1267"/>
        <v>#REF!</v>
      </c>
      <c r="B1211" s="20" t="str">
        <f t="shared" si="1268"/>
        <v>#REF!</v>
      </c>
      <c r="C1211" s="20" t="str">
        <f t="shared" ref="C1211:D1211" si="3626">#REF!</f>
        <v>#REF!</v>
      </c>
      <c r="D1211" s="20" t="str">
        <f t="shared" si="3626"/>
        <v>#REF!</v>
      </c>
      <c r="E1211" s="20" t="str">
        <f t="shared" si="1270"/>
        <v>#REF!</v>
      </c>
      <c r="F1211" s="22" t="str">
        <f t="shared" si="2"/>
        <v>#REF!</v>
      </c>
      <c r="G1211" s="20" t="str">
        <f t="shared" ref="G1211:I1211" si="3627">#REF!</f>
        <v>#REF!</v>
      </c>
      <c r="H1211" s="20" t="str">
        <f t="shared" si="3627"/>
        <v>#REF!</v>
      </c>
      <c r="I1211" s="20" t="str">
        <f t="shared" si="3627"/>
        <v>#REF!</v>
      </c>
      <c r="J1211" s="20" t="str">
        <f t="shared" si="1272"/>
        <v>#REF!</v>
      </c>
      <c r="K1211" s="20" t="str">
        <f t="shared" ref="K1211:L1211" si="3628">#REF!</f>
        <v>#REF!</v>
      </c>
      <c r="L1211" s="20" t="str">
        <f t="shared" si="3628"/>
        <v>#REF!</v>
      </c>
    </row>
    <row r="1212">
      <c r="A1212" s="20" t="str">
        <f t="shared" si="1267"/>
        <v>#REF!</v>
      </c>
      <c r="B1212" s="20" t="str">
        <f t="shared" si="1268"/>
        <v>#REF!</v>
      </c>
      <c r="C1212" s="20" t="str">
        <f t="shared" ref="C1212:D1212" si="3629">#REF!</f>
        <v>#REF!</v>
      </c>
      <c r="D1212" s="20" t="str">
        <f t="shared" si="3629"/>
        <v>#REF!</v>
      </c>
      <c r="E1212" s="20" t="str">
        <f t="shared" si="1270"/>
        <v>#REF!</v>
      </c>
      <c r="F1212" s="22" t="str">
        <f t="shared" si="2"/>
        <v>#REF!</v>
      </c>
      <c r="G1212" s="20" t="str">
        <f t="shared" ref="G1212:I1212" si="3630">#REF!</f>
        <v>#REF!</v>
      </c>
      <c r="H1212" s="20" t="str">
        <f t="shared" si="3630"/>
        <v>#REF!</v>
      </c>
      <c r="I1212" s="20" t="str">
        <f t="shared" si="3630"/>
        <v>#REF!</v>
      </c>
      <c r="J1212" s="20" t="str">
        <f t="shared" si="1272"/>
        <v>#REF!</v>
      </c>
      <c r="K1212" s="20" t="str">
        <f t="shared" ref="K1212:L1212" si="3631">#REF!</f>
        <v>#REF!</v>
      </c>
      <c r="L1212" s="20" t="str">
        <f t="shared" si="3631"/>
        <v>#REF!</v>
      </c>
    </row>
    <row r="1213">
      <c r="A1213" s="20" t="str">
        <f t="shared" si="1267"/>
        <v>#REF!</v>
      </c>
      <c r="B1213" s="20" t="str">
        <f t="shared" si="1268"/>
        <v>#REF!</v>
      </c>
      <c r="C1213" s="20" t="str">
        <f t="shared" ref="C1213:D1213" si="3632">#REF!</f>
        <v>#REF!</v>
      </c>
      <c r="D1213" s="20" t="str">
        <f t="shared" si="3632"/>
        <v>#REF!</v>
      </c>
      <c r="E1213" s="20" t="str">
        <f t="shared" si="1270"/>
        <v>#REF!</v>
      </c>
      <c r="F1213" s="22" t="str">
        <f t="shared" si="2"/>
        <v>#REF!</v>
      </c>
      <c r="G1213" s="20" t="str">
        <f t="shared" ref="G1213:I1213" si="3633">#REF!</f>
        <v>#REF!</v>
      </c>
      <c r="H1213" s="20" t="str">
        <f t="shared" si="3633"/>
        <v>#REF!</v>
      </c>
      <c r="I1213" s="20" t="str">
        <f t="shared" si="3633"/>
        <v>#REF!</v>
      </c>
      <c r="J1213" s="20" t="str">
        <f t="shared" si="1272"/>
        <v>#REF!</v>
      </c>
      <c r="K1213" s="20" t="str">
        <f t="shared" ref="K1213:L1213" si="3634">#REF!</f>
        <v>#REF!</v>
      </c>
      <c r="L1213" s="20" t="str">
        <f t="shared" si="3634"/>
        <v>#REF!</v>
      </c>
    </row>
    <row r="1214">
      <c r="A1214" s="20" t="str">
        <f t="shared" si="1267"/>
        <v>#REF!</v>
      </c>
      <c r="B1214" s="20" t="str">
        <f t="shared" si="1268"/>
        <v>#REF!</v>
      </c>
      <c r="C1214" s="20" t="str">
        <f t="shared" ref="C1214:D1214" si="3635">#REF!</f>
        <v>#REF!</v>
      </c>
      <c r="D1214" s="20" t="str">
        <f t="shared" si="3635"/>
        <v>#REF!</v>
      </c>
      <c r="E1214" s="20" t="str">
        <f t="shared" si="1270"/>
        <v>#REF!</v>
      </c>
      <c r="F1214" s="22" t="str">
        <f t="shared" si="2"/>
        <v>#REF!</v>
      </c>
      <c r="G1214" s="20" t="str">
        <f t="shared" ref="G1214:I1214" si="3636">#REF!</f>
        <v>#REF!</v>
      </c>
      <c r="H1214" s="20" t="str">
        <f t="shared" si="3636"/>
        <v>#REF!</v>
      </c>
      <c r="I1214" s="20" t="str">
        <f t="shared" si="3636"/>
        <v>#REF!</v>
      </c>
      <c r="J1214" s="20" t="str">
        <f t="shared" si="1272"/>
        <v>#REF!</v>
      </c>
      <c r="K1214" s="20" t="str">
        <f t="shared" ref="K1214:L1214" si="3637">#REF!</f>
        <v>#REF!</v>
      </c>
      <c r="L1214" s="20" t="str">
        <f t="shared" si="3637"/>
        <v>#REF!</v>
      </c>
    </row>
    <row r="1215">
      <c r="A1215" s="20" t="str">
        <f t="shared" si="1267"/>
        <v>#REF!</v>
      </c>
      <c r="B1215" s="20" t="str">
        <f t="shared" si="1268"/>
        <v>#REF!</v>
      </c>
      <c r="C1215" s="20" t="str">
        <f t="shared" ref="C1215:D1215" si="3638">#REF!</f>
        <v>#REF!</v>
      </c>
      <c r="D1215" s="20" t="str">
        <f t="shared" si="3638"/>
        <v>#REF!</v>
      </c>
      <c r="E1215" s="20" t="str">
        <f t="shared" si="1270"/>
        <v>#REF!</v>
      </c>
      <c r="F1215" s="22" t="str">
        <f t="shared" si="2"/>
        <v>#REF!</v>
      </c>
      <c r="G1215" s="20" t="str">
        <f t="shared" ref="G1215:I1215" si="3639">#REF!</f>
        <v>#REF!</v>
      </c>
      <c r="H1215" s="20" t="str">
        <f t="shared" si="3639"/>
        <v>#REF!</v>
      </c>
      <c r="I1215" s="20" t="str">
        <f t="shared" si="3639"/>
        <v>#REF!</v>
      </c>
      <c r="J1215" s="20" t="str">
        <f t="shared" si="1272"/>
        <v>#REF!</v>
      </c>
      <c r="K1215" s="20" t="str">
        <f t="shared" ref="K1215:L1215" si="3640">#REF!</f>
        <v>#REF!</v>
      </c>
      <c r="L1215" s="20" t="str">
        <f t="shared" si="3640"/>
        <v>#REF!</v>
      </c>
    </row>
    <row r="1216">
      <c r="A1216" s="20" t="str">
        <f t="shared" si="1267"/>
        <v>#REF!</v>
      </c>
      <c r="B1216" s="20" t="str">
        <f t="shared" si="1268"/>
        <v>#REF!</v>
      </c>
      <c r="C1216" s="20" t="str">
        <f t="shared" ref="C1216:D1216" si="3641">#REF!</f>
        <v>#REF!</v>
      </c>
      <c r="D1216" s="20" t="str">
        <f t="shared" si="3641"/>
        <v>#REF!</v>
      </c>
      <c r="E1216" s="20" t="str">
        <f t="shared" si="1270"/>
        <v>#REF!</v>
      </c>
      <c r="F1216" s="22" t="str">
        <f t="shared" si="2"/>
        <v>#REF!</v>
      </c>
      <c r="G1216" s="20" t="str">
        <f t="shared" ref="G1216:I1216" si="3642">#REF!</f>
        <v>#REF!</v>
      </c>
      <c r="H1216" s="20" t="str">
        <f t="shared" si="3642"/>
        <v>#REF!</v>
      </c>
      <c r="I1216" s="20" t="str">
        <f t="shared" si="3642"/>
        <v>#REF!</v>
      </c>
      <c r="J1216" s="20" t="str">
        <f t="shared" si="1272"/>
        <v>#REF!</v>
      </c>
      <c r="K1216" s="20" t="str">
        <f t="shared" ref="K1216:L1216" si="3643">#REF!</f>
        <v>#REF!</v>
      </c>
      <c r="L1216" s="20" t="str">
        <f t="shared" si="3643"/>
        <v>#REF!</v>
      </c>
    </row>
    <row r="1217">
      <c r="A1217" s="20" t="str">
        <f t="shared" si="1267"/>
        <v>#REF!</v>
      </c>
      <c r="B1217" s="20" t="str">
        <f t="shared" si="1268"/>
        <v>#REF!</v>
      </c>
      <c r="C1217" s="20" t="str">
        <f t="shared" ref="C1217:D1217" si="3644">#REF!</f>
        <v>#REF!</v>
      </c>
      <c r="D1217" s="20" t="str">
        <f t="shared" si="3644"/>
        <v>#REF!</v>
      </c>
      <c r="E1217" s="20" t="str">
        <f t="shared" si="1270"/>
        <v>#REF!</v>
      </c>
      <c r="F1217" s="22" t="str">
        <f t="shared" si="2"/>
        <v>#REF!</v>
      </c>
      <c r="G1217" s="20" t="str">
        <f t="shared" ref="G1217:I1217" si="3645">#REF!</f>
        <v>#REF!</v>
      </c>
      <c r="H1217" s="20" t="str">
        <f t="shared" si="3645"/>
        <v>#REF!</v>
      </c>
      <c r="I1217" s="20" t="str">
        <f t="shared" si="3645"/>
        <v>#REF!</v>
      </c>
      <c r="J1217" s="20" t="str">
        <f t="shared" si="1272"/>
        <v>#REF!</v>
      </c>
      <c r="K1217" s="20" t="str">
        <f t="shared" ref="K1217:L1217" si="3646">#REF!</f>
        <v>#REF!</v>
      </c>
      <c r="L1217" s="20" t="str">
        <f t="shared" si="3646"/>
        <v>#REF!</v>
      </c>
    </row>
    <row r="1218">
      <c r="A1218" s="20" t="str">
        <f t="shared" si="1267"/>
        <v>#REF!</v>
      </c>
      <c r="B1218" s="20" t="str">
        <f t="shared" si="1268"/>
        <v>#REF!</v>
      </c>
      <c r="C1218" s="20" t="str">
        <f t="shared" ref="C1218:D1218" si="3647">#REF!</f>
        <v>#REF!</v>
      </c>
      <c r="D1218" s="20" t="str">
        <f t="shared" si="3647"/>
        <v>#REF!</v>
      </c>
      <c r="E1218" s="20" t="str">
        <f t="shared" si="1270"/>
        <v>#REF!</v>
      </c>
      <c r="F1218" s="22" t="str">
        <f t="shared" si="2"/>
        <v>#REF!</v>
      </c>
      <c r="G1218" s="20" t="str">
        <f t="shared" ref="G1218:I1218" si="3648">#REF!</f>
        <v>#REF!</v>
      </c>
      <c r="H1218" s="20" t="str">
        <f t="shared" si="3648"/>
        <v>#REF!</v>
      </c>
      <c r="I1218" s="20" t="str">
        <f t="shared" si="3648"/>
        <v>#REF!</v>
      </c>
      <c r="J1218" s="20" t="str">
        <f t="shared" si="1272"/>
        <v>#REF!</v>
      </c>
      <c r="K1218" s="20" t="str">
        <f t="shared" ref="K1218:L1218" si="3649">#REF!</f>
        <v>#REF!</v>
      </c>
      <c r="L1218" s="20" t="str">
        <f t="shared" si="3649"/>
        <v>#REF!</v>
      </c>
    </row>
    <row r="1219">
      <c r="A1219" s="20" t="str">
        <f t="shared" si="1267"/>
        <v>#REF!</v>
      </c>
      <c r="B1219" s="20" t="str">
        <f t="shared" si="1268"/>
        <v>#REF!</v>
      </c>
      <c r="C1219" s="20" t="str">
        <f t="shared" ref="C1219:D1219" si="3650">#REF!</f>
        <v>#REF!</v>
      </c>
      <c r="D1219" s="20" t="str">
        <f t="shared" si="3650"/>
        <v>#REF!</v>
      </c>
      <c r="E1219" s="20" t="str">
        <f t="shared" si="1270"/>
        <v>#REF!</v>
      </c>
      <c r="F1219" s="22" t="str">
        <f t="shared" si="2"/>
        <v>#REF!</v>
      </c>
      <c r="G1219" s="20" t="str">
        <f t="shared" ref="G1219:I1219" si="3651">#REF!</f>
        <v>#REF!</v>
      </c>
      <c r="H1219" s="20" t="str">
        <f t="shared" si="3651"/>
        <v>#REF!</v>
      </c>
      <c r="I1219" s="20" t="str">
        <f t="shared" si="3651"/>
        <v>#REF!</v>
      </c>
      <c r="J1219" s="20" t="str">
        <f t="shared" si="1272"/>
        <v>#REF!</v>
      </c>
      <c r="K1219" s="20" t="str">
        <f t="shared" ref="K1219:L1219" si="3652">#REF!</f>
        <v>#REF!</v>
      </c>
      <c r="L1219" s="20" t="str">
        <f t="shared" si="3652"/>
        <v>#REF!</v>
      </c>
    </row>
    <row r="1220">
      <c r="A1220" s="20" t="str">
        <f t="shared" si="1267"/>
        <v>#REF!</v>
      </c>
      <c r="B1220" s="20" t="str">
        <f t="shared" si="1268"/>
        <v>#REF!</v>
      </c>
      <c r="C1220" s="20" t="str">
        <f t="shared" ref="C1220:D1220" si="3653">#REF!</f>
        <v>#REF!</v>
      </c>
      <c r="D1220" s="20" t="str">
        <f t="shared" si="3653"/>
        <v>#REF!</v>
      </c>
      <c r="E1220" s="20" t="str">
        <f t="shared" si="1270"/>
        <v>#REF!</v>
      </c>
      <c r="F1220" s="22" t="str">
        <f t="shared" si="2"/>
        <v>#REF!</v>
      </c>
      <c r="G1220" s="20" t="str">
        <f t="shared" ref="G1220:I1220" si="3654">#REF!</f>
        <v>#REF!</v>
      </c>
      <c r="H1220" s="20" t="str">
        <f t="shared" si="3654"/>
        <v>#REF!</v>
      </c>
      <c r="I1220" s="20" t="str">
        <f t="shared" si="3654"/>
        <v>#REF!</v>
      </c>
      <c r="J1220" s="20" t="str">
        <f t="shared" si="1272"/>
        <v>#REF!</v>
      </c>
      <c r="K1220" s="20" t="str">
        <f t="shared" ref="K1220:L1220" si="3655">#REF!</f>
        <v>#REF!</v>
      </c>
      <c r="L1220" s="20" t="str">
        <f t="shared" si="3655"/>
        <v>#REF!</v>
      </c>
    </row>
    <row r="1221">
      <c r="A1221" s="20" t="str">
        <f t="shared" si="1267"/>
        <v>#REF!</v>
      </c>
      <c r="B1221" s="20" t="str">
        <f t="shared" si="1268"/>
        <v>#REF!</v>
      </c>
      <c r="C1221" s="20" t="str">
        <f t="shared" ref="C1221:D1221" si="3656">#REF!</f>
        <v>#REF!</v>
      </c>
      <c r="D1221" s="20" t="str">
        <f t="shared" si="3656"/>
        <v>#REF!</v>
      </c>
      <c r="E1221" s="20" t="str">
        <f t="shared" si="1270"/>
        <v>#REF!</v>
      </c>
      <c r="F1221" s="22" t="str">
        <f t="shared" si="2"/>
        <v>#REF!</v>
      </c>
      <c r="G1221" s="20" t="str">
        <f t="shared" ref="G1221:I1221" si="3657">#REF!</f>
        <v>#REF!</v>
      </c>
      <c r="H1221" s="20" t="str">
        <f t="shared" si="3657"/>
        <v>#REF!</v>
      </c>
      <c r="I1221" s="20" t="str">
        <f t="shared" si="3657"/>
        <v>#REF!</v>
      </c>
      <c r="J1221" s="20" t="str">
        <f t="shared" si="1272"/>
        <v>#REF!</v>
      </c>
      <c r="K1221" s="20" t="str">
        <f t="shared" ref="K1221:L1221" si="3658">#REF!</f>
        <v>#REF!</v>
      </c>
      <c r="L1221" s="20" t="str">
        <f t="shared" si="3658"/>
        <v>#REF!</v>
      </c>
    </row>
    <row r="1222">
      <c r="A1222" s="20" t="str">
        <f t="shared" si="1267"/>
        <v>#REF!</v>
      </c>
      <c r="B1222" s="20" t="str">
        <f t="shared" si="1268"/>
        <v>#REF!</v>
      </c>
      <c r="C1222" s="20" t="str">
        <f t="shared" ref="C1222:D1222" si="3659">#REF!</f>
        <v>#REF!</v>
      </c>
      <c r="D1222" s="20" t="str">
        <f t="shared" si="3659"/>
        <v>#REF!</v>
      </c>
      <c r="E1222" s="20" t="str">
        <f t="shared" si="1270"/>
        <v>#REF!</v>
      </c>
      <c r="F1222" s="22" t="str">
        <f t="shared" si="2"/>
        <v>#REF!</v>
      </c>
      <c r="G1222" s="20" t="str">
        <f t="shared" ref="G1222:I1222" si="3660">#REF!</f>
        <v>#REF!</v>
      </c>
      <c r="H1222" s="20" t="str">
        <f t="shared" si="3660"/>
        <v>#REF!</v>
      </c>
      <c r="I1222" s="20" t="str">
        <f t="shared" si="3660"/>
        <v>#REF!</v>
      </c>
      <c r="J1222" s="20" t="str">
        <f t="shared" si="1272"/>
        <v>#REF!</v>
      </c>
      <c r="K1222" s="20" t="str">
        <f t="shared" ref="K1222:L1222" si="3661">#REF!</f>
        <v>#REF!</v>
      </c>
      <c r="L1222" s="20" t="str">
        <f t="shared" si="3661"/>
        <v>#REF!</v>
      </c>
    </row>
    <row r="1223">
      <c r="A1223" s="20" t="str">
        <f t="shared" si="1267"/>
        <v>#REF!</v>
      </c>
      <c r="B1223" s="20" t="str">
        <f t="shared" si="1268"/>
        <v>#REF!</v>
      </c>
      <c r="C1223" s="20" t="str">
        <f t="shared" ref="C1223:D1223" si="3662">#REF!</f>
        <v>#REF!</v>
      </c>
      <c r="D1223" s="20" t="str">
        <f t="shared" si="3662"/>
        <v>#REF!</v>
      </c>
      <c r="E1223" s="20" t="str">
        <f t="shared" si="1270"/>
        <v>#REF!</v>
      </c>
      <c r="F1223" s="22" t="str">
        <f t="shared" si="2"/>
        <v>#REF!</v>
      </c>
      <c r="G1223" s="20" t="str">
        <f t="shared" ref="G1223:I1223" si="3663">#REF!</f>
        <v>#REF!</v>
      </c>
      <c r="H1223" s="20" t="str">
        <f t="shared" si="3663"/>
        <v>#REF!</v>
      </c>
      <c r="I1223" s="20" t="str">
        <f t="shared" si="3663"/>
        <v>#REF!</v>
      </c>
      <c r="J1223" s="20" t="str">
        <f t="shared" si="1272"/>
        <v>#REF!</v>
      </c>
      <c r="K1223" s="20" t="str">
        <f t="shared" ref="K1223:L1223" si="3664">#REF!</f>
        <v>#REF!</v>
      </c>
      <c r="L1223" s="20" t="str">
        <f t="shared" si="3664"/>
        <v>#REF!</v>
      </c>
    </row>
    <row r="1224">
      <c r="A1224" s="20" t="str">
        <f t="shared" si="1267"/>
        <v>#REF!</v>
      </c>
      <c r="B1224" s="20" t="str">
        <f t="shared" si="1268"/>
        <v>#REF!</v>
      </c>
      <c r="C1224" s="20" t="str">
        <f t="shared" ref="C1224:D1224" si="3665">#REF!</f>
        <v>#REF!</v>
      </c>
      <c r="D1224" s="20" t="str">
        <f t="shared" si="3665"/>
        <v>#REF!</v>
      </c>
      <c r="E1224" s="20" t="str">
        <f t="shared" si="1270"/>
        <v>#REF!</v>
      </c>
      <c r="F1224" s="22" t="str">
        <f t="shared" si="2"/>
        <v>#REF!</v>
      </c>
      <c r="G1224" s="20" t="str">
        <f t="shared" ref="G1224:I1224" si="3666">#REF!</f>
        <v>#REF!</v>
      </c>
      <c r="H1224" s="20" t="str">
        <f t="shared" si="3666"/>
        <v>#REF!</v>
      </c>
      <c r="I1224" s="20" t="str">
        <f t="shared" si="3666"/>
        <v>#REF!</v>
      </c>
      <c r="J1224" s="20" t="str">
        <f t="shared" si="1272"/>
        <v>#REF!</v>
      </c>
      <c r="K1224" s="20" t="str">
        <f t="shared" ref="K1224:L1224" si="3667">#REF!</f>
        <v>#REF!</v>
      </c>
      <c r="L1224" s="20" t="str">
        <f t="shared" si="3667"/>
        <v>#REF!</v>
      </c>
    </row>
    <row r="1225">
      <c r="A1225" s="20" t="str">
        <f t="shared" si="1267"/>
        <v>#REF!</v>
      </c>
      <c r="B1225" s="20" t="str">
        <f t="shared" si="1268"/>
        <v>#REF!</v>
      </c>
      <c r="C1225" s="20" t="str">
        <f t="shared" ref="C1225:D1225" si="3668">#REF!</f>
        <v>#REF!</v>
      </c>
      <c r="D1225" s="20" t="str">
        <f t="shared" si="3668"/>
        <v>#REF!</v>
      </c>
      <c r="E1225" s="20" t="str">
        <f t="shared" si="1270"/>
        <v>#REF!</v>
      </c>
      <c r="F1225" s="22" t="str">
        <f t="shared" si="2"/>
        <v>#REF!</v>
      </c>
      <c r="G1225" s="20" t="str">
        <f t="shared" ref="G1225:I1225" si="3669">#REF!</f>
        <v>#REF!</v>
      </c>
      <c r="H1225" s="20" t="str">
        <f t="shared" si="3669"/>
        <v>#REF!</v>
      </c>
      <c r="I1225" s="20" t="str">
        <f t="shared" si="3669"/>
        <v>#REF!</v>
      </c>
      <c r="J1225" s="20" t="str">
        <f t="shared" si="1272"/>
        <v>#REF!</v>
      </c>
      <c r="K1225" s="20" t="str">
        <f t="shared" ref="K1225:L1225" si="3670">#REF!</f>
        <v>#REF!</v>
      </c>
      <c r="L1225" s="20" t="str">
        <f t="shared" si="3670"/>
        <v>#REF!</v>
      </c>
    </row>
    <row r="1226">
      <c r="A1226" s="20" t="str">
        <f t="shared" si="1267"/>
        <v>#REF!</v>
      </c>
      <c r="B1226" s="20" t="str">
        <f t="shared" si="1268"/>
        <v>#REF!</v>
      </c>
      <c r="C1226" s="20" t="str">
        <f t="shared" ref="C1226:D1226" si="3671">#REF!</f>
        <v>#REF!</v>
      </c>
      <c r="D1226" s="20" t="str">
        <f t="shared" si="3671"/>
        <v>#REF!</v>
      </c>
      <c r="E1226" s="20" t="str">
        <f t="shared" si="1270"/>
        <v>#REF!</v>
      </c>
      <c r="F1226" s="22" t="str">
        <f t="shared" si="2"/>
        <v>#REF!</v>
      </c>
      <c r="G1226" s="20" t="str">
        <f t="shared" ref="G1226:I1226" si="3672">#REF!</f>
        <v>#REF!</v>
      </c>
      <c r="H1226" s="20" t="str">
        <f t="shared" si="3672"/>
        <v>#REF!</v>
      </c>
      <c r="I1226" s="20" t="str">
        <f t="shared" si="3672"/>
        <v>#REF!</v>
      </c>
      <c r="J1226" s="20" t="str">
        <f t="shared" si="1272"/>
        <v>#REF!</v>
      </c>
      <c r="K1226" s="20" t="str">
        <f t="shared" ref="K1226:L1226" si="3673">#REF!</f>
        <v>#REF!</v>
      </c>
      <c r="L1226" s="20" t="str">
        <f t="shared" si="3673"/>
        <v>#REF!</v>
      </c>
    </row>
    <row r="1227">
      <c r="A1227" s="20" t="str">
        <f t="shared" si="1267"/>
        <v>#REF!</v>
      </c>
      <c r="B1227" s="20" t="str">
        <f t="shared" si="1268"/>
        <v>#REF!</v>
      </c>
      <c r="C1227" s="20" t="str">
        <f t="shared" ref="C1227:D1227" si="3674">#REF!</f>
        <v>#REF!</v>
      </c>
      <c r="D1227" s="20" t="str">
        <f t="shared" si="3674"/>
        <v>#REF!</v>
      </c>
      <c r="E1227" s="20" t="str">
        <f t="shared" si="1270"/>
        <v>#REF!</v>
      </c>
      <c r="F1227" s="22" t="str">
        <f t="shared" si="2"/>
        <v>#REF!</v>
      </c>
      <c r="G1227" s="20" t="str">
        <f t="shared" ref="G1227:I1227" si="3675">#REF!</f>
        <v>#REF!</v>
      </c>
      <c r="H1227" s="20" t="str">
        <f t="shared" si="3675"/>
        <v>#REF!</v>
      </c>
      <c r="I1227" s="20" t="str">
        <f t="shared" si="3675"/>
        <v>#REF!</v>
      </c>
      <c r="J1227" s="20" t="str">
        <f t="shared" si="1272"/>
        <v>#REF!</v>
      </c>
      <c r="K1227" s="20" t="str">
        <f t="shared" ref="K1227:L1227" si="3676">#REF!</f>
        <v>#REF!</v>
      </c>
      <c r="L1227" s="20" t="str">
        <f t="shared" si="3676"/>
        <v>#REF!</v>
      </c>
    </row>
    <row r="1228">
      <c r="A1228" s="20" t="str">
        <f t="shared" si="1267"/>
        <v>#REF!</v>
      </c>
      <c r="B1228" s="20" t="str">
        <f t="shared" si="1268"/>
        <v>#REF!</v>
      </c>
      <c r="C1228" s="20" t="str">
        <f t="shared" ref="C1228:D1228" si="3677">#REF!</f>
        <v>#REF!</v>
      </c>
      <c r="D1228" s="20" t="str">
        <f t="shared" si="3677"/>
        <v>#REF!</v>
      </c>
      <c r="E1228" s="20" t="str">
        <f t="shared" si="1270"/>
        <v>#REF!</v>
      </c>
      <c r="F1228" s="22" t="str">
        <f t="shared" si="2"/>
        <v>#REF!</v>
      </c>
      <c r="G1228" s="20" t="str">
        <f t="shared" ref="G1228:I1228" si="3678">#REF!</f>
        <v>#REF!</v>
      </c>
      <c r="H1228" s="20" t="str">
        <f t="shared" si="3678"/>
        <v>#REF!</v>
      </c>
      <c r="I1228" s="20" t="str">
        <f t="shared" si="3678"/>
        <v>#REF!</v>
      </c>
      <c r="J1228" s="20" t="str">
        <f t="shared" si="1272"/>
        <v>#REF!</v>
      </c>
      <c r="K1228" s="20" t="str">
        <f t="shared" ref="K1228:L1228" si="3679">#REF!</f>
        <v>#REF!</v>
      </c>
      <c r="L1228" s="20" t="str">
        <f t="shared" si="3679"/>
        <v>#REF!</v>
      </c>
    </row>
    <row r="1229">
      <c r="A1229" s="20" t="str">
        <f t="shared" si="1267"/>
        <v>#REF!</v>
      </c>
      <c r="B1229" s="20" t="str">
        <f t="shared" si="1268"/>
        <v>#REF!</v>
      </c>
      <c r="C1229" s="20" t="str">
        <f t="shared" ref="C1229:D1229" si="3680">#REF!</f>
        <v>#REF!</v>
      </c>
      <c r="D1229" s="20" t="str">
        <f t="shared" si="3680"/>
        <v>#REF!</v>
      </c>
      <c r="E1229" s="20" t="str">
        <f t="shared" si="1270"/>
        <v>#REF!</v>
      </c>
      <c r="F1229" s="22" t="str">
        <f t="shared" si="2"/>
        <v>#REF!</v>
      </c>
      <c r="G1229" s="20" t="str">
        <f t="shared" ref="G1229:I1229" si="3681">#REF!</f>
        <v>#REF!</v>
      </c>
      <c r="H1229" s="20" t="str">
        <f t="shared" si="3681"/>
        <v>#REF!</v>
      </c>
      <c r="I1229" s="20" t="str">
        <f t="shared" si="3681"/>
        <v>#REF!</v>
      </c>
      <c r="J1229" s="20" t="str">
        <f t="shared" si="1272"/>
        <v>#REF!</v>
      </c>
      <c r="K1229" s="20" t="str">
        <f t="shared" ref="K1229:L1229" si="3682">#REF!</f>
        <v>#REF!</v>
      </c>
      <c r="L1229" s="20" t="str">
        <f t="shared" si="3682"/>
        <v>#REF!</v>
      </c>
    </row>
    <row r="1230">
      <c r="A1230" s="20" t="str">
        <f t="shared" si="1267"/>
        <v>#REF!</v>
      </c>
      <c r="B1230" s="20" t="str">
        <f t="shared" si="1268"/>
        <v>#REF!</v>
      </c>
      <c r="C1230" s="20" t="str">
        <f t="shared" ref="C1230:D1230" si="3683">#REF!</f>
        <v>#REF!</v>
      </c>
      <c r="D1230" s="20" t="str">
        <f t="shared" si="3683"/>
        <v>#REF!</v>
      </c>
      <c r="E1230" s="20" t="str">
        <f t="shared" si="1270"/>
        <v>#REF!</v>
      </c>
      <c r="F1230" s="22" t="str">
        <f t="shared" si="2"/>
        <v>#REF!</v>
      </c>
      <c r="G1230" s="20" t="str">
        <f t="shared" ref="G1230:I1230" si="3684">#REF!</f>
        <v>#REF!</v>
      </c>
      <c r="H1230" s="20" t="str">
        <f t="shared" si="3684"/>
        <v>#REF!</v>
      </c>
      <c r="I1230" s="20" t="str">
        <f t="shared" si="3684"/>
        <v>#REF!</v>
      </c>
      <c r="J1230" s="20" t="str">
        <f t="shared" si="1272"/>
        <v>#REF!</v>
      </c>
      <c r="K1230" s="20" t="str">
        <f t="shared" ref="K1230:L1230" si="3685">#REF!</f>
        <v>#REF!</v>
      </c>
      <c r="L1230" s="20" t="str">
        <f t="shared" si="3685"/>
        <v>#REF!</v>
      </c>
    </row>
    <row r="1231">
      <c r="A1231" s="20" t="str">
        <f t="shared" si="1267"/>
        <v>#REF!</v>
      </c>
      <c r="B1231" s="20" t="str">
        <f t="shared" si="1268"/>
        <v>#REF!</v>
      </c>
      <c r="C1231" s="20" t="str">
        <f t="shared" ref="C1231:D1231" si="3686">#REF!</f>
        <v>#REF!</v>
      </c>
      <c r="D1231" s="20" t="str">
        <f t="shared" si="3686"/>
        <v>#REF!</v>
      </c>
      <c r="E1231" s="20" t="str">
        <f t="shared" si="1270"/>
        <v>#REF!</v>
      </c>
      <c r="F1231" s="22" t="str">
        <f t="shared" si="2"/>
        <v>#REF!</v>
      </c>
      <c r="G1231" s="20" t="str">
        <f t="shared" ref="G1231:I1231" si="3687">#REF!</f>
        <v>#REF!</v>
      </c>
      <c r="H1231" s="20" t="str">
        <f t="shared" si="3687"/>
        <v>#REF!</v>
      </c>
      <c r="I1231" s="20" t="str">
        <f t="shared" si="3687"/>
        <v>#REF!</v>
      </c>
      <c r="J1231" s="20" t="str">
        <f t="shared" si="1272"/>
        <v>#REF!</v>
      </c>
      <c r="K1231" s="20" t="str">
        <f t="shared" ref="K1231:L1231" si="3688">#REF!</f>
        <v>#REF!</v>
      </c>
      <c r="L1231" s="20" t="str">
        <f t="shared" si="3688"/>
        <v>#REF!</v>
      </c>
    </row>
    <row r="1232">
      <c r="A1232" s="20" t="str">
        <f t="shared" si="1267"/>
        <v>#REF!</v>
      </c>
      <c r="B1232" s="20" t="str">
        <f t="shared" si="1268"/>
        <v>#REF!</v>
      </c>
      <c r="C1232" s="20" t="str">
        <f t="shared" ref="C1232:D1232" si="3689">#REF!</f>
        <v>#REF!</v>
      </c>
      <c r="D1232" s="20" t="str">
        <f t="shared" si="3689"/>
        <v>#REF!</v>
      </c>
      <c r="E1232" s="20" t="str">
        <f t="shared" si="1270"/>
        <v>#REF!</v>
      </c>
      <c r="F1232" s="22" t="str">
        <f t="shared" si="2"/>
        <v>#REF!</v>
      </c>
      <c r="G1232" s="20" t="str">
        <f t="shared" ref="G1232:I1232" si="3690">#REF!</f>
        <v>#REF!</v>
      </c>
      <c r="H1232" s="20" t="str">
        <f t="shared" si="3690"/>
        <v>#REF!</v>
      </c>
      <c r="I1232" s="20" t="str">
        <f t="shared" si="3690"/>
        <v>#REF!</v>
      </c>
      <c r="J1232" s="20" t="str">
        <f t="shared" si="1272"/>
        <v>#REF!</v>
      </c>
      <c r="K1232" s="20" t="str">
        <f t="shared" ref="K1232:L1232" si="3691">#REF!</f>
        <v>#REF!</v>
      </c>
      <c r="L1232" s="20" t="str">
        <f t="shared" si="3691"/>
        <v>#REF!</v>
      </c>
    </row>
    <row r="1233">
      <c r="A1233" s="20" t="str">
        <f t="shared" si="1267"/>
        <v>#REF!</v>
      </c>
      <c r="B1233" s="20" t="str">
        <f t="shared" si="1268"/>
        <v>#REF!</v>
      </c>
      <c r="C1233" s="20" t="str">
        <f t="shared" ref="C1233:D1233" si="3692">#REF!</f>
        <v>#REF!</v>
      </c>
      <c r="D1233" s="20" t="str">
        <f t="shared" si="3692"/>
        <v>#REF!</v>
      </c>
      <c r="E1233" s="20" t="str">
        <f t="shared" si="1270"/>
        <v>#REF!</v>
      </c>
      <c r="F1233" s="22" t="str">
        <f t="shared" si="2"/>
        <v>#REF!</v>
      </c>
      <c r="G1233" s="20" t="str">
        <f t="shared" ref="G1233:I1233" si="3693">#REF!</f>
        <v>#REF!</v>
      </c>
      <c r="H1233" s="20" t="str">
        <f t="shared" si="3693"/>
        <v>#REF!</v>
      </c>
      <c r="I1233" s="20" t="str">
        <f t="shared" si="3693"/>
        <v>#REF!</v>
      </c>
      <c r="J1233" s="20" t="str">
        <f t="shared" si="1272"/>
        <v>#REF!</v>
      </c>
      <c r="K1233" s="20" t="str">
        <f t="shared" ref="K1233:L1233" si="3694">#REF!</f>
        <v>#REF!</v>
      </c>
      <c r="L1233" s="20" t="str">
        <f t="shared" si="3694"/>
        <v>#REF!</v>
      </c>
    </row>
    <row r="1234">
      <c r="A1234" s="20" t="str">
        <f t="shared" si="1267"/>
        <v>#REF!</v>
      </c>
      <c r="B1234" s="20" t="str">
        <f t="shared" si="1268"/>
        <v>#REF!</v>
      </c>
      <c r="C1234" s="20" t="str">
        <f t="shared" ref="C1234:D1234" si="3695">#REF!</f>
        <v>#REF!</v>
      </c>
      <c r="D1234" s="20" t="str">
        <f t="shared" si="3695"/>
        <v>#REF!</v>
      </c>
      <c r="E1234" s="20" t="str">
        <f t="shared" si="1270"/>
        <v>#REF!</v>
      </c>
      <c r="F1234" s="22" t="str">
        <f t="shared" si="2"/>
        <v>#REF!</v>
      </c>
      <c r="G1234" s="20" t="str">
        <f t="shared" ref="G1234:I1234" si="3696">#REF!</f>
        <v>#REF!</v>
      </c>
      <c r="H1234" s="20" t="str">
        <f t="shared" si="3696"/>
        <v>#REF!</v>
      </c>
      <c r="I1234" s="20" t="str">
        <f t="shared" si="3696"/>
        <v>#REF!</v>
      </c>
      <c r="J1234" s="20" t="str">
        <f t="shared" si="1272"/>
        <v>#REF!</v>
      </c>
      <c r="K1234" s="20" t="str">
        <f t="shared" ref="K1234:L1234" si="3697">#REF!</f>
        <v>#REF!</v>
      </c>
      <c r="L1234" s="20" t="str">
        <f t="shared" si="3697"/>
        <v>#REF!</v>
      </c>
    </row>
    <row r="1235">
      <c r="A1235" s="20" t="str">
        <f t="shared" si="1267"/>
        <v>#REF!</v>
      </c>
      <c r="B1235" s="20" t="str">
        <f t="shared" si="1268"/>
        <v>#REF!</v>
      </c>
      <c r="C1235" s="20" t="str">
        <f t="shared" ref="C1235:D1235" si="3698">#REF!</f>
        <v>#REF!</v>
      </c>
      <c r="D1235" s="20" t="str">
        <f t="shared" si="3698"/>
        <v>#REF!</v>
      </c>
      <c r="E1235" s="20" t="str">
        <f t="shared" si="1270"/>
        <v>#REF!</v>
      </c>
      <c r="F1235" s="22" t="str">
        <f t="shared" si="2"/>
        <v>#REF!</v>
      </c>
      <c r="G1235" s="20" t="str">
        <f t="shared" ref="G1235:I1235" si="3699">#REF!</f>
        <v>#REF!</v>
      </c>
      <c r="H1235" s="20" t="str">
        <f t="shared" si="3699"/>
        <v>#REF!</v>
      </c>
      <c r="I1235" s="20" t="str">
        <f t="shared" si="3699"/>
        <v>#REF!</v>
      </c>
      <c r="J1235" s="20" t="str">
        <f t="shared" si="1272"/>
        <v>#REF!</v>
      </c>
      <c r="K1235" s="20" t="str">
        <f t="shared" ref="K1235:L1235" si="3700">#REF!</f>
        <v>#REF!</v>
      </c>
      <c r="L1235" s="20" t="str">
        <f t="shared" si="3700"/>
        <v>#REF!</v>
      </c>
    </row>
    <row r="1236">
      <c r="A1236" s="20" t="str">
        <f t="shared" si="1267"/>
        <v>#REF!</v>
      </c>
      <c r="B1236" s="20" t="str">
        <f t="shared" si="1268"/>
        <v>#REF!</v>
      </c>
      <c r="C1236" s="20" t="str">
        <f t="shared" ref="C1236:D1236" si="3701">#REF!</f>
        <v>#REF!</v>
      </c>
      <c r="D1236" s="20" t="str">
        <f t="shared" si="3701"/>
        <v>#REF!</v>
      </c>
      <c r="E1236" s="20" t="str">
        <f t="shared" si="1270"/>
        <v>#REF!</v>
      </c>
      <c r="F1236" s="22" t="str">
        <f t="shared" si="2"/>
        <v>#REF!</v>
      </c>
      <c r="G1236" s="20" t="str">
        <f t="shared" ref="G1236:I1236" si="3702">#REF!</f>
        <v>#REF!</v>
      </c>
      <c r="H1236" s="20" t="str">
        <f t="shared" si="3702"/>
        <v>#REF!</v>
      </c>
      <c r="I1236" s="20" t="str">
        <f t="shared" si="3702"/>
        <v>#REF!</v>
      </c>
      <c r="J1236" s="20" t="str">
        <f t="shared" si="1272"/>
        <v>#REF!</v>
      </c>
      <c r="K1236" s="20" t="str">
        <f t="shared" ref="K1236:L1236" si="3703">#REF!</f>
        <v>#REF!</v>
      </c>
      <c r="L1236" s="20" t="str">
        <f t="shared" si="3703"/>
        <v>#REF!</v>
      </c>
    </row>
    <row r="1237">
      <c r="A1237" s="20" t="str">
        <f t="shared" si="1267"/>
        <v>#REF!</v>
      </c>
      <c r="B1237" s="20" t="str">
        <f t="shared" si="1268"/>
        <v>#REF!</v>
      </c>
      <c r="C1237" s="20" t="str">
        <f t="shared" ref="C1237:D1237" si="3704">#REF!</f>
        <v>#REF!</v>
      </c>
      <c r="D1237" s="20" t="str">
        <f t="shared" si="3704"/>
        <v>#REF!</v>
      </c>
      <c r="E1237" s="20" t="str">
        <f t="shared" si="1270"/>
        <v>#REF!</v>
      </c>
      <c r="F1237" s="22" t="str">
        <f t="shared" si="2"/>
        <v>#REF!</v>
      </c>
      <c r="G1237" s="20" t="str">
        <f t="shared" ref="G1237:I1237" si="3705">#REF!</f>
        <v>#REF!</v>
      </c>
      <c r="H1237" s="20" t="str">
        <f t="shared" si="3705"/>
        <v>#REF!</v>
      </c>
      <c r="I1237" s="20" t="str">
        <f t="shared" si="3705"/>
        <v>#REF!</v>
      </c>
      <c r="J1237" s="20" t="str">
        <f t="shared" si="1272"/>
        <v>#REF!</v>
      </c>
      <c r="K1237" s="20" t="str">
        <f t="shared" ref="K1237:L1237" si="3706">#REF!</f>
        <v>#REF!</v>
      </c>
      <c r="L1237" s="20" t="str">
        <f t="shared" si="3706"/>
        <v>#REF!</v>
      </c>
    </row>
    <row r="1238">
      <c r="A1238" s="20" t="str">
        <f t="shared" si="1267"/>
        <v>#REF!</v>
      </c>
      <c r="B1238" s="20" t="str">
        <f t="shared" si="1268"/>
        <v>#REF!</v>
      </c>
      <c r="C1238" s="20" t="str">
        <f t="shared" ref="C1238:D1238" si="3707">#REF!</f>
        <v>#REF!</v>
      </c>
      <c r="D1238" s="20" t="str">
        <f t="shared" si="3707"/>
        <v>#REF!</v>
      </c>
      <c r="E1238" s="20" t="str">
        <f t="shared" si="1270"/>
        <v>#REF!</v>
      </c>
      <c r="F1238" s="22" t="str">
        <f t="shared" si="2"/>
        <v>#REF!</v>
      </c>
      <c r="G1238" s="20" t="str">
        <f t="shared" ref="G1238:I1238" si="3708">#REF!</f>
        <v>#REF!</v>
      </c>
      <c r="H1238" s="20" t="str">
        <f t="shared" si="3708"/>
        <v>#REF!</v>
      </c>
      <c r="I1238" s="20" t="str">
        <f t="shared" si="3708"/>
        <v>#REF!</v>
      </c>
      <c r="J1238" s="20" t="str">
        <f t="shared" si="1272"/>
        <v>#REF!</v>
      </c>
      <c r="K1238" s="20" t="str">
        <f t="shared" ref="K1238:L1238" si="3709">#REF!</f>
        <v>#REF!</v>
      </c>
      <c r="L1238" s="20" t="str">
        <f t="shared" si="3709"/>
        <v>#REF!</v>
      </c>
    </row>
    <row r="1239">
      <c r="A1239" s="20" t="str">
        <f t="shared" si="1267"/>
        <v>#REF!</v>
      </c>
      <c r="B1239" s="20" t="str">
        <f t="shared" si="1268"/>
        <v>#REF!</v>
      </c>
      <c r="C1239" s="20" t="str">
        <f t="shared" ref="C1239:D1239" si="3710">#REF!</f>
        <v>#REF!</v>
      </c>
      <c r="D1239" s="20" t="str">
        <f t="shared" si="3710"/>
        <v>#REF!</v>
      </c>
      <c r="E1239" s="20" t="str">
        <f t="shared" si="1270"/>
        <v>#REF!</v>
      </c>
      <c r="F1239" s="22" t="str">
        <f t="shared" si="2"/>
        <v>#REF!</v>
      </c>
      <c r="G1239" s="20" t="str">
        <f t="shared" ref="G1239:I1239" si="3711">#REF!</f>
        <v>#REF!</v>
      </c>
      <c r="H1239" s="20" t="str">
        <f t="shared" si="3711"/>
        <v>#REF!</v>
      </c>
      <c r="I1239" s="20" t="str">
        <f t="shared" si="3711"/>
        <v>#REF!</v>
      </c>
      <c r="J1239" s="20" t="str">
        <f t="shared" si="1272"/>
        <v>#REF!</v>
      </c>
      <c r="K1239" s="20" t="str">
        <f t="shared" ref="K1239:L1239" si="3712">#REF!</f>
        <v>#REF!</v>
      </c>
      <c r="L1239" s="20" t="str">
        <f t="shared" si="3712"/>
        <v>#REF!</v>
      </c>
    </row>
    <row r="1240">
      <c r="A1240" s="20" t="str">
        <f t="shared" si="1267"/>
        <v>#REF!</v>
      </c>
      <c r="B1240" s="20" t="str">
        <f t="shared" si="1268"/>
        <v>#REF!</v>
      </c>
      <c r="C1240" s="20" t="str">
        <f t="shared" ref="C1240:D1240" si="3713">#REF!</f>
        <v>#REF!</v>
      </c>
      <c r="D1240" s="20" t="str">
        <f t="shared" si="3713"/>
        <v>#REF!</v>
      </c>
      <c r="E1240" s="20" t="str">
        <f t="shared" si="1270"/>
        <v>#REF!</v>
      </c>
      <c r="F1240" s="22" t="str">
        <f t="shared" si="2"/>
        <v>#REF!</v>
      </c>
      <c r="G1240" s="20" t="str">
        <f t="shared" ref="G1240:I1240" si="3714">#REF!</f>
        <v>#REF!</v>
      </c>
      <c r="H1240" s="20" t="str">
        <f t="shared" si="3714"/>
        <v>#REF!</v>
      </c>
      <c r="I1240" s="20" t="str">
        <f t="shared" si="3714"/>
        <v>#REF!</v>
      </c>
      <c r="J1240" s="20" t="str">
        <f t="shared" si="1272"/>
        <v>#REF!</v>
      </c>
      <c r="K1240" s="20" t="str">
        <f t="shared" ref="K1240:L1240" si="3715">#REF!</f>
        <v>#REF!</v>
      </c>
      <c r="L1240" s="20" t="str">
        <f t="shared" si="3715"/>
        <v>#REF!</v>
      </c>
    </row>
    <row r="1241">
      <c r="A1241" s="20" t="str">
        <f t="shared" si="1267"/>
        <v>#REF!</v>
      </c>
      <c r="B1241" s="20" t="str">
        <f t="shared" si="1268"/>
        <v>#REF!</v>
      </c>
      <c r="C1241" s="20" t="str">
        <f t="shared" ref="C1241:D1241" si="3716">#REF!</f>
        <v>#REF!</v>
      </c>
      <c r="D1241" s="20" t="str">
        <f t="shared" si="3716"/>
        <v>#REF!</v>
      </c>
      <c r="E1241" s="20" t="str">
        <f t="shared" si="1270"/>
        <v>#REF!</v>
      </c>
      <c r="F1241" s="22" t="str">
        <f t="shared" si="2"/>
        <v>#REF!</v>
      </c>
      <c r="G1241" s="20" t="str">
        <f t="shared" ref="G1241:I1241" si="3717">#REF!</f>
        <v>#REF!</v>
      </c>
      <c r="H1241" s="20" t="str">
        <f t="shared" si="3717"/>
        <v>#REF!</v>
      </c>
      <c r="I1241" s="20" t="str">
        <f t="shared" si="3717"/>
        <v>#REF!</v>
      </c>
      <c r="J1241" s="20" t="str">
        <f t="shared" si="1272"/>
        <v>#REF!</v>
      </c>
      <c r="K1241" s="20" t="str">
        <f t="shared" ref="K1241:L1241" si="3718">#REF!</f>
        <v>#REF!</v>
      </c>
      <c r="L1241" s="20" t="str">
        <f t="shared" si="3718"/>
        <v>#REF!</v>
      </c>
    </row>
    <row r="1242">
      <c r="A1242" s="20" t="str">
        <f t="shared" si="1267"/>
        <v>#REF!</v>
      </c>
      <c r="B1242" s="20" t="str">
        <f t="shared" si="1268"/>
        <v>#REF!</v>
      </c>
      <c r="C1242" s="20" t="str">
        <f t="shared" ref="C1242:D1242" si="3719">#REF!</f>
        <v>#REF!</v>
      </c>
      <c r="D1242" s="20" t="str">
        <f t="shared" si="3719"/>
        <v>#REF!</v>
      </c>
      <c r="E1242" s="20" t="str">
        <f t="shared" si="1270"/>
        <v>#REF!</v>
      </c>
      <c r="F1242" s="22" t="str">
        <f t="shared" si="2"/>
        <v>#REF!</v>
      </c>
      <c r="G1242" s="20" t="str">
        <f t="shared" ref="G1242:I1242" si="3720">#REF!</f>
        <v>#REF!</v>
      </c>
      <c r="H1242" s="20" t="str">
        <f t="shared" si="3720"/>
        <v>#REF!</v>
      </c>
      <c r="I1242" s="20" t="str">
        <f t="shared" si="3720"/>
        <v>#REF!</v>
      </c>
      <c r="J1242" s="20" t="str">
        <f t="shared" si="1272"/>
        <v>#REF!</v>
      </c>
      <c r="K1242" s="20" t="str">
        <f t="shared" ref="K1242:L1242" si="3721">#REF!</f>
        <v>#REF!</v>
      </c>
      <c r="L1242" s="20" t="str">
        <f t="shared" si="3721"/>
        <v>#REF!</v>
      </c>
    </row>
    <row r="1243">
      <c r="A1243" s="20" t="str">
        <f t="shared" si="1267"/>
        <v>#REF!</v>
      </c>
      <c r="B1243" s="20" t="str">
        <f t="shared" si="1268"/>
        <v>#REF!</v>
      </c>
      <c r="C1243" s="20" t="str">
        <f t="shared" ref="C1243:D1243" si="3722">#REF!</f>
        <v>#REF!</v>
      </c>
      <c r="D1243" s="20" t="str">
        <f t="shared" si="3722"/>
        <v>#REF!</v>
      </c>
      <c r="E1243" s="20" t="str">
        <f t="shared" si="1270"/>
        <v>#REF!</v>
      </c>
      <c r="F1243" s="22" t="str">
        <f t="shared" si="2"/>
        <v>#REF!</v>
      </c>
      <c r="G1243" s="20" t="str">
        <f t="shared" ref="G1243:I1243" si="3723">#REF!</f>
        <v>#REF!</v>
      </c>
      <c r="H1243" s="20" t="str">
        <f t="shared" si="3723"/>
        <v>#REF!</v>
      </c>
      <c r="I1243" s="20" t="str">
        <f t="shared" si="3723"/>
        <v>#REF!</v>
      </c>
      <c r="J1243" s="20" t="str">
        <f t="shared" si="1272"/>
        <v>#REF!</v>
      </c>
      <c r="K1243" s="20" t="str">
        <f t="shared" ref="K1243:L1243" si="3724">#REF!</f>
        <v>#REF!</v>
      </c>
      <c r="L1243" s="20" t="str">
        <f t="shared" si="3724"/>
        <v>#REF!</v>
      </c>
    </row>
    <row r="1244">
      <c r="A1244" s="20" t="str">
        <f t="shared" si="1267"/>
        <v>#REF!</v>
      </c>
      <c r="B1244" s="20" t="str">
        <f t="shared" si="1268"/>
        <v>#REF!</v>
      </c>
      <c r="C1244" s="20" t="str">
        <f t="shared" ref="C1244:D1244" si="3725">#REF!</f>
        <v>#REF!</v>
      </c>
      <c r="D1244" s="20" t="str">
        <f t="shared" si="3725"/>
        <v>#REF!</v>
      </c>
      <c r="E1244" s="20" t="str">
        <f t="shared" si="1270"/>
        <v>#REF!</v>
      </c>
      <c r="F1244" s="22" t="str">
        <f t="shared" si="2"/>
        <v>#REF!</v>
      </c>
      <c r="G1244" s="20" t="str">
        <f t="shared" ref="G1244:I1244" si="3726">#REF!</f>
        <v>#REF!</v>
      </c>
      <c r="H1244" s="20" t="str">
        <f t="shared" si="3726"/>
        <v>#REF!</v>
      </c>
      <c r="I1244" s="20" t="str">
        <f t="shared" si="3726"/>
        <v>#REF!</v>
      </c>
      <c r="J1244" s="20" t="str">
        <f t="shared" si="1272"/>
        <v>#REF!</v>
      </c>
      <c r="K1244" s="20" t="str">
        <f t="shared" ref="K1244:L1244" si="3727">#REF!</f>
        <v>#REF!</v>
      </c>
      <c r="L1244" s="20" t="str">
        <f t="shared" si="3727"/>
        <v>#REF!</v>
      </c>
    </row>
    <row r="1245">
      <c r="A1245" s="20" t="str">
        <f t="shared" si="1267"/>
        <v>#REF!</v>
      </c>
      <c r="B1245" s="20" t="str">
        <f t="shared" si="1268"/>
        <v>#REF!</v>
      </c>
      <c r="C1245" s="20" t="str">
        <f t="shared" ref="C1245:D1245" si="3728">#REF!</f>
        <v>#REF!</v>
      </c>
      <c r="D1245" s="20" t="str">
        <f t="shared" si="3728"/>
        <v>#REF!</v>
      </c>
      <c r="E1245" s="20" t="str">
        <f t="shared" si="1270"/>
        <v>#REF!</v>
      </c>
      <c r="F1245" s="22" t="str">
        <f t="shared" si="2"/>
        <v>#REF!</v>
      </c>
      <c r="G1245" s="20" t="str">
        <f t="shared" ref="G1245:I1245" si="3729">#REF!</f>
        <v>#REF!</v>
      </c>
      <c r="H1245" s="20" t="str">
        <f t="shared" si="3729"/>
        <v>#REF!</v>
      </c>
      <c r="I1245" s="20" t="str">
        <f t="shared" si="3729"/>
        <v>#REF!</v>
      </c>
      <c r="J1245" s="20" t="str">
        <f t="shared" si="1272"/>
        <v>#REF!</v>
      </c>
      <c r="K1245" s="20" t="str">
        <f t="shared" ref="K1245:L1245" si="3730">#REF!</f>
        <v>#REF!</v>
      </c>
      <c r="L1245" s="20" t="str">
        <f t="shared" si="3730"/>
        <v>#REF!</v>
      </c>
    </row>
    <row r="1246">
      <c r="A1246" s="20" t="str">
        <f t="shared" si="1267"/>
        <v>#REF!</v>
      </c>
      <c r="B1246" s="20" t="str">
        <f t="shared" si="1268"/>
        <v>#REF!</v>
      </c>
      <c r="C1246" s="20" t="str">
        <f t="shared" ref="C1246:D1246" si="3731">#REF!</f>
        <v>#REF!</v>
      </c>
      <c r="D1246" s="20" t="str">
        <f t="shared" si="3731"/>
        <v>#REF!</v>
      </c>
      <c r="E1246" s="20" t="str">
        <f t="shared" si="1270"/>
        <v>#REF!</v>
      </c>
      <c r="F1246" s="22" t="str">
        <f t="shared" si="2"/>
        <v>#REF!</v>
      </c>
      <c r="G1246" s="20" t="str">
        <f t="shared" ref="G1246:I1246" si="3732">#REF!</f>
        <v>#REF!</v>
      </c>
      <c r="H1246" s="20" t="str">
        <f t="shared" si="3732"/>
        <v>#REF!</v>
      </c>
      <c r="I1246" s="20" t="str">
        <f t="shared" si="3732"/>
        <v>#REF!</v>
      </c>
      <c r="J1246" s="20" t="str">
        <f t="shared" si="1272"/>
        <v>#REF!</v>
      </c>
      <c r="K1246" s="20" t="str">
        <f t="shared" ref="K1246:L1246" si="3733">#REF!</f>
        <v>#REF!</v>
      </c>
      <c r="L1246" s="20" t="str">
        <f t="shared" si="3733"/>
        <v>#REF!</v>
      </c>
    </row>
    <row r="1247">
      <c r="A1247" s="20" t="str">
        <f t="shared" si="1267"/>
        <v>#REF!</v>
      </c>
      <c r="B1247" s="20" t="str">
        <f t="shared" si="1268"/>
        <v>#REF!</v>
      </c>
      <c r="C1247" s="20" t="str">
        <f t="shared" ref="C1247:D1247" si="3734">#REF!</f>
        <v>#REF!</v>
      </c>
      <c r="D1247" s="20" t="str">
        <f t="shared" si="3734"/>
        <v>#REF!</v>
      </c>
      <c r="E1247" s="20" t="str">
        <f t="shared" si="1270"/>
        <v>#REF!</v>
      </c>
      <c r="F1247" s="22" t="str">
        <f t="shared" si="2"/>
        <v>#REF!</v>
      </c>
      <c r="G1247" s="20" t="str">
        <f t="shared" ref="G1247:I1247" si="3735">#REF!</f>
        <v>#REF!</v>
      </c>
      <c r="H1247" s="20" t="str">
        <f t="shared" si="3735"/>
        <v>#REF!</v>
      </c>
      <c r="I1247" s="20" t="str">
        <f t="shared" si="3735"/>
        <v>#REF!</v>
      </c>
      <c r="J1247" s="20" t="str">
        <f t="shared" si="1272"/>
        <v>#REF!</v>
      </c>
      <c r="K1247" s="20" t="str">
        <f t="shared" ref="K1247:L1247" si="3736">#REF!</f>
        <v>#REF!</v>
      </c>
      <c r="L1247" s="20" t="str">
        <f t="shared" si="3736"/>
        <v>#REF!</v>
      </c>
    </row>
    <row r="1248">
      <c r="A1248" s="20" t="str">
        <f t="shared" si="1267"/>
        <v>#REF!</v>
      </c>
      <c r="B1248" s="20" t="str">
        <f t="shared" si="1268"/>
        <v>#REF!</v>
      </c>
      <c r="C1248" s="20" t="str">
        <f t="shared" ref="C1248:D1248" si="3737">#REF!</f>
        <v>#REF!</v>
      </c>
      <c r="D1248" s="20" t="str">
        <f t="shared" si="3737"/>
        <v>#REF!</v>
      </c>
      <c r="E1248" s="20" t="str">
        <f t="shared" si="1270"/>
        <v>#REF!</v>
      </c>
      <c r="F1248" s="22" t="str">
        <f t="shared" si="2"/>
        <v>#REF!</v>
      </c>
      <c r="G1248" s="20" t="str">
        <f t="shared" ref="G1248:I1248" si="3738">#REF!</f>
        <v>#REF!</v>
      </c>
      <c r="H1248" s="20" t="str">
        <f t="shared" si="3738"/>
        <v>#REF!</v>
      </c>
      <c r="I1248" s="20" t="str">
        <f t="shared" si="3738"/>
        <v>#REF!</v>
      </c>
      <c r="J1248" s="20" t="str">
        <f t="shared" si="1272"/>
        <v>#REF!</v>
      </c>
      <c r="K1248" s="20" t="str">
        <f t="shared" ref="K1248:L1248" si="3739">#REF!</f>
        <v>#REF!</v>
      </c>
      <c r="L1248" s="20" t="str">
        <f t="shared" si="3739"/>
        <v>#REF!</v>
      </c>
    </row>
    <row r="1249">
      <c r="A1249" s="20" t="str">
        <f t="shared" si="1267"/>
        <v>#REF!</v>
      </c>
      <c r="B1249" s="20" t="str">
        <f t="shared" si="1268"/>
        <v>#REF!</v>
      </c>
      <c r="C1249" s="20" t="str">
        <f t="shared" ref="C1249:D1249" si="3740">#REF!</f>
        <v>#REF!</v>
      </c>
      <c r="D1249" s="20" t="str">
        <f t="shared" si="3740"/>
        <v>#REF!</v>
      </c>
      <c r="E1249" s="20" t="str">
        <f t="shared" si="1270"/>
        <v>#REF!</v>
      </c>
      <c r="F1249" s="22" t="str">
        <f t="shared" si="2"/>
        <v>#REF!</v>
      </c>
      <c r="G1249" s="20" t="str">
        <f t="shared" ref="G1249:I1249" si="3741">#REF!</f>
        <v>#REF!</v>
      </c>
      <c r="H1249" s="20" t="str">
        <f t="shared" si="3741"/>
        <v>#REF!</v>
      </c>
      <c r="I1249" s="20" t="str">
        <f t="shared" si="3741"/>
        <v>#REF!</v>
      </c>
      <c r="J1249" s="20" t="str">
        <f t="shared" si="1272"/>
        <v>#REF!</v>
      </c>
      <c r="K1249" s="20" t="str">
        <f t="shared" ref="K1249:L1249" si="3742">#REF!</f>
        <v>#REF!</v>
      </c>
      <c r="L1249" s="20" t="str">
        <f t="shared" si="3742"/>
        <v>#REF!</v>
      </c>
    </row>
    <row r="1250">
      <c r="A1250" s="20" t="str">
        <f t="shared" si="1267"/>
        <v>#REF!</v>
      </c>
      <c r="B1250" s="20" t="str">
        <f t="shared" si="1268"/>
        <v>#REF!</v>
      </c>
      <c r="C1250" s="20" t="str">
        <f t="shared" ref="C1250:D1250" si="3743">#REF!</f>
        <v>#REF!</v>
      </c>
      <c r="D1250" s="20" t="str">
        <f t="shared" si="3743"/>
        <v>#REF!</v>
      </c>
      <c r="E1250" s="20" t="str">
        <f t="shared" si="1270"/>
        <v>#REF!</v>
      </c>
      <c r="F1250" s="22" t="str">
        <f t="shared" si="2"/>
        <v>#REF!</v>
      </c>
      <c r="G1250" s="20" t="str">
        <f t="shared" ref="G1250:I1250" si="3744">#REF!</f>
        <v>#REF!</v>
      </c>
      <c r="H1250" s="20" t="str">
        <f t="shared" si="3744"/>
        <v>#REF!</v>
      </c>
      <c r="I1250" s="20" t="str">
        <f t="shared" si="3744"/>
        <v>#REF!</v>
      </c>
      <c r="J1250" s="20" t="str">
        <f t="shared" si="1272"/>
        <v>#REF!</v>
      </c>
      <c r="K1250" s="20" t="str">
        <f t="shared" ref="K1250:L1250" si="3745">#REF!</f>
        <v>#REF!</v>
      </c>
      <c r="L1250" s="20" t="str">
        <f t="shared" si="3745"/>
        <v>#REF!</v>
      </c>
    </row>
    <row r="1251">
      <c r="A1251" s="20" t="str">
        <f t="shared" si="1267"/>
        <v>#REF!</v>
      </c>
      <c r="B1251" s="20" t="str">
        <f t="shared" si="1268"/>
        <v>#REF!</v>
      </c>
      <c r="C1251" s="20" t="str">
        <f t="shared" ref="C1251:D1251" si="3746">#REF!</f>
        <v>#REF!</v>
      </c>
      <c r="D1251" s="20" t="str">
        <f t="shared" si="3746"/>
        <v>#REF!</v>
      </c>
      <c r="E1251" s="20" t="str">
        <f t="shared" si="1270"/>
        <v>#REF!</v>
      </c>
      <c r="F1251" s="22" t="str">
        <f t="shared" si="2"/>
        <v>#REF!</v>
      </c>
      <c r="G1251" s="20" t="str">
        <f t="shared" ref="G1251:I1251" si="3747">#REF!</f>
        <v>#REF!</v>
      </c>
      <c r="H1251" s="20" t="str">
        <f t="shared" si="3747"/>
        <v>#REF!</v>
      </c>
      <c r="I1251" s="20" t="str">
        <f t="shared" si="3747"/>
        <v>#REF!</v>
      </c>
      <c r="J1251" s="20" t="str">
        <f t="shared" si="1272"/>
        <v>#REF!</v>
      </c>
      <c r="K1251" s="20" t="str">
        <f t="shared" ref="K1251:L1251" si="3748">#REF!</f>
        <v>#REF!</v>
      </c>
      <c r="L1251" s="20" t="str">
        <f t="shared" si="3748"/>
        <v>#REF!</v>
      </c>
    </row>
    <row r="1252">
      <c r="A1252" s="20" t="str">
        <f t="shared" si="1267"/>
        <v>#REF!</v>
      </c>
      <c r="B1252" s="20" t="str">
        <f t="shared" si="1268"/>
        <v>#REF!</v>
      </c>
      <c r="C1252" s="20" t="str">
        <f t="shared" ref="C1252:D1252" si="3749">#REF!</f>
        <v>#REF!</v>
      </c>
      <c r="D1252" s="20" t="str">
        <f t="shared" si="3749"/>
        <v>#REF!</v>
      </c>
      <c r="E1252" s="20" t="str">
        <f t="shared" si="1270"/>
        <v>#REF!</v>
      </c>
      <c r="F1252" s="22" t="str">
        <f t="shared" si="2"/>
        <v>#REF!</v>
      </c>
      <c r="G1252" s="20" t="str">
        <f t="shared" ref="G1252:I1252" si="3750">#REF!</f>
        <v>#REF!</v>
      </c>
      <c r="H1252" s="20" t="str">
        <f t="shared" si="3750"/>
        <v>#REF!</v>
      </c>
      <c r="I1252" s="20" t="str">
        <f t="shared" si="3750"/>
        <v>#REF!</v>
      </c>
      <c r="J1252" s="20" t="str">
        <f t="shared" si="1272"/>
        <v>#REF!</v>
      </c>
      <c r="K1252" s="20" t="str">
        <f t="shared" ref="K1252:L1252" si="3751">#REF!</f>
        <v>#REF!</v>
      </c>
      <c r="L1252" s="20" t="str">
        <f t="shared" si="3751"/>
        <v>#REF!</v>
      </c>
    </row>
    <row r="1253">
      <c r="A1253" s="20" t="str">
        <f t="shared" si="1267"/>
        <v>#REF!</v>
      </c>
      <c r="B1253" s="20" t="str">
        <f t="shared" si="1268"/>
        <v>#REF!</v>
      </c>
      <c r="C1253" s="20" t="str">
        <f t="shared" ref="C1253:D1253" si="3752">#REF!</f>
        <v>#REF!</v>
      </c>
      <c r="D1253" s="20" t="str">
        <f t="shared" si="3752"/>
        <v>#REF!</v>
      </c>
      <c r="E1253" s="20" t="str">
        <f t="shared" si="1270"/>
        <v>#REF!</v>
      </c>
      <c r="F1253" s="22" t="str">
        <f t="shared" si="2"/>
        <v>#REF!</v>
      </c>
      <c r="G1253" s="20" t="str">
        <f t="shared" ref="G1253:I1253" si="3753">#REF!</f>
        <v>#REF!</v>
      </c>
      <c r="H1253" s="20" t="str">
        <f t="shared" si="3753"/>
        <v>#REF!</v>
      </c>
      <c r="I1253" s="20" t="str">
        <f t="shared" si="3753"/>
        <v>#REF!</v>
      </c>
      <c r="J1253" s="20" t="str">
        <f t="shared" si="1272"/>
        <v>#REF!</v>
      </c>
      <c r="K1253" s="20" t="str">
        <f t="shared" ref="K1253:L1253" si="3754">#REF!</f>
        <v>#REF!</v>
      </c>
      <c r="L1253" s="20" t="str">
        <f t="shared" si="3754"/>
        <v>#REF!</v>
      </c>
    </row>
    <row r="1254">
      <c r="A1254" s="20" t="str">
        <f t="shared" si="1267"/>
        <v>#REF!</v>
      </c>
      <c r="B1254" s="20" t="str">
        <f t="shared" si="1268"/>
        <v>#REF!</v>
      </c>
      <c r="C1254" s="20" t="str">
        <f t="shared" ref="C1254:D1254" si="3755">#REF!</f>
        <v>#REF!</v>
      </c>
      <c r="D1254" s="20" t="str">
        <f t="shared" si="3755"/>
        <v>#REF!</v>
      </c>
      <c r="E1254" s="20" t="str">
        <f t="shared" si="1270"/>
        <v>#REF!</v>
      </c>
      <c r="F1254" s="22" t="str">
        <f t="shared" si="2"/>
        <v>#REF!</v>
      </c>
      <c r="G1254" s="20" t="str">
        <f t="shared" ref="G1254:I1254" si="3756">#REF!</f>
        <v>#REF!</v>
      </c>
      <c r="H1254" s="20" t="str">
        <f t="shared" si="3756"/>
        <v>#REF!</v>
      </c>
      <c r="I1254" s="20" t="str">
        <f t="shared" si="3756"/>
        <v>#REF!</v>
      </c>
      <c r="J1254" s="20" t="str">
        <f t="shared" si="1272"/>
        <v>#REF!</v>
      </c>
      <c r="K1254" s="20" t="str">
        <f t="shared" ref="K1254:L1254" si="3757">#REF!</f>
        <v>#REF!</v>
      </c>
      <c r="L1254" s="20" t="str">
        <f t="shared" si="3757"/>
        <v>#REF!</v>
      </c>
    </row>
    <row r="1255">
      <c r="A1255" s="20" t="str">
        <f t="shared" si="1267"/>
        <v>#REF!</v>
      </c>
      <c r="B1255" s="20" t="str">
        <f t="shared" si="1268"/>
        <v>#REF!</v>
      </c>
      <c r="C1255" s="20" t="str">
        <f t="shared" ref="C1255:D1255" si="3758">#REF!</f>
        <v>#REF!</v>
      </c>
      <c r="D1255" s="20" t="str">
        <f t="shared" si="3758"/>
        <v>#REF!</v>
      </c>
      <c r="E1255" s="20" t="str">
        <f t="shared" si="1270"/>
        <v>#REF!</v>
      </c>
      <c r="F1255" s="22" t="str">
        <f t="shared" si="2"/>
        <v>#REF!</v>
      </c>
      <c r="G1255" s="20" t="str">
        <f t="shared" ref="G1255:I1255" si="3759">#REF!</f>
        <v>#REF!</v>
      </c>
      <c r="H1255" s="20" t="str">
        <f t="shared" si="3759"/>
        <v>#REF!</v>
      </c>
      <c r="I1255" s="20" t="str">
        <f t="shared" si="3759"/>
        <v>#REF!</v>
      </c>
      <c r="J1255" s="20" t="str">
        <f t="shared" si="1272"/>
        <v>#REF!</v>
      </c>
      <c r="K1255" s="20" t="str">
        <f t="shared" ref="K1255:L1255" si="3760">#REF!</f>
        <v>#REF!</v>
      </c>
      <c r="L1255" s="20" t="str">
        <f t="shared" si="3760"/>
        <v>#REF!</v>
      </c>
    </row>
    <row r="1256">
      <c r="A1256" s="20" t="str">
        <f t="shared" si="1267"/>
        <v>#REF!</v>
      </c>
      <c r="B1256" s="20" t="str">
        <f t="shared" si="1268"/>
        <v>#REF!</v>
      </c>
      <c r="C1256" s="20" t="str">
        <f t="shared" ref="C1256:D1256" si="3761">#REF!</f>
        <v>#REF!</v>
      </c>
      <c r="D1256" s="20" t="str">
        <f t="shared" si="3761"/>
        <v>#REF!</v>
      </c>
      <c r="E1256" s="20" t="str">
        <f t="shared" si="1270"/>
        <v>#REF!</v>
      </c>
      <c r="F1256" s="22" t="str">
        <f t="shared" si="2"/>
        <v>#REF!</v>
      </c>
      <c r="G1256" s="20" t="str">
        <f t="shared" ref="G1256:I1256" si="3762">#REF!</f>
        <v>#REF!</v>
      </c>
      <c r="H1256" s="20" t="str">
        <f t="shared" si="3762"/>
        <v>#REF!</v>
      </c>
      <c r="I1256" s="20" t="str">
        <f t="shared" si="3762"/>
        <v>#REF!</v>
      </c>
      <c r="J1256" s="20" t="str">
        <f t="shared" si="1272"/>
        <v>#REF!</v>
      </c>
      <c r="K1256" s="20" t="str">
        <f t="shared" ref="K1256:L1256" si="3763">#REF!</f>
        <v>#REF!</v>
      </c>
      <c r="L1256" s="20" t="str">
        <f t="shared" si="3763"/>
        <v>#REF!</v>
      </c>
    </row>
    <row r="1257">
      <c r="A1257" s="20" t="str">
        <f t="shared" si="1267"/>
        <v>#REF!</v>
      </c>
      <c r="B1257" s="20" t="str">
        <f t="shared" si="1268"/>
        <v>#REF!</v>
      </c>
      <c r="C1257" s="20" t="str">
        <f t="shared" ref="C1257:D1257" si="3764">#REF!</f>
        <v>#REF!</v>
      </c>
      <c r="D1257" s="20" t="str">
        <f t="shared" si="3764"/>
        <v>#REF!</v>
      </c>
      <c r="E1257" s="20" t="str">
        <f t="shared" si="1270"/>
        <v>#REF!</v>
      </c>
      <c r="F1257" s="22" t="str">
        <f t="shared" si="2"/>
        <v>#REF!</v>
      </c>
      <c r="G1257" s="20" t="str">
        <f t="shared" ref="G1257:I1257" si="3765">#REF!</f>
        <v>#REF!</v>
      </c>
      <c r="H1257" s="20" t="str">
        <f t="shared" si="3765"/>
        <v>#REF!</v>
      </c>
      <c r="I1257" s="20" t="str">
        <f t="shared" si="3765"/>
        <v>#REF!</v>
      </c>
      <c r="J1257" s="20" t="str">
        <f t="shared" si="1272"/>
        <v>#REF!</v>
      </c>
      <c r="K1257" s="20" t="str">
        <f t="shared" ref="K1257:L1257" si="3766">#REF!</f>
        <v>#REF!</v>
      </c>
      <c r="L1257" s="20" t="str">
        <f t="shared" si="3766"/>
        <v>#REF!</v>
      </c>
    </row>
    <row r="1258">
      <c r="A1258" s="20" t="str">
        <f t="shared" si="1267"/>
        <v>#REF!</v>
      </c>
      <c r="B1258" s="20" t="str">
        <f t="shared" si="1268"/>
        <v>#REF!</v>
      </c>
      <c r="C1258" s="20" t="str">
        <f t="shared" ref="C1258:D1258" si="3767">#REF!</f>
        <v>#REF!</v>
      </c>
      <c r="D1258" s="20" t="str">
        <f t="shared" si="3767"/>
        <v>#REF!</v>
      </c>
      <c r="E1258" s="20" t="str">
        <f t="shared" si="1270"/>
        <v>#REF!</v>
      </c>
      <c r="F1258" s="22" t="str">
        <f t="shared" si="2"/>
        <v>#REF!</v>
      </c>
      <c r="G1258" s="20" t="str">
        <f t="shared" ref="G1258:I1258" si="3768">#REF!</f>
        <v>#REF!</v>
      </c>
      <c r="H1258" s="20" t="str">
        <f t="shared" si="3768"/>
        <v>#REF!</v>
      </c>
      <c r="I1258" s="20" t="str">
        <f t="shared" si="3768"/>
        <v>#REF!</v>
      </c>
      <c r="J1258" s="20" t="str">
        <f t="shared" si="1272"/>
        <v>#REF!</v>
      </c>
      <c r="K1258" s="20" t="str">
        <f t="shared" ref="K1258:L1258" si="3769">#REF!</f>
        <v>#REF!</v>
      </c>
      <c r="L1258" s="20" t="str">
        <f t="shared" si="3769"/>
        <v>#REF!</v>
      </c>
    </row>
    <row r="1259">
      <c r="A1259" s="20" t="str">
        <f t="shared" si="1267"/>
        <v>#REF!</v>
      </c>
      <c r="B1259" s="20" t="str">
        <f t="shared" si="1268"/>
        <v>#REF!</v>
      </c>
      <c r="C1259" s="20" t="str">
        <f t="shared" ref="C1259:D1259" si="3770">#REF!</f>
        <v>#REF!</v>
      </c>
      <c r="D1259" s="20" t="str">
        <f t="shared" si="3770"/>
        <v>#REF!</v>
      </c>
      <c r="E1259" s="20" t="str">
        <f t="shared" si="1270"/>
        <v>#REF!</v>
      </c>
      <c r="F1259" s="22" t="str">
        <f t="shared" si="2"/>
        <v>#REF!</v>
      </c>
      <c r="G1259" s="20" t="str">
        <f t="shared" ref="G1259:I1259" si="3771">#REF!</f>
        <v>#REF!</v>
      </c>
      <c r="H1259" s="20" t="str">
        <f t="shared" si="3771"/>
        <v>#REF!</v>
      </c>
      <c r="I1259" s="20" t="str">
        <f t="shared" si="3771"/>
        <v>#REF!</v>
      </c>
      <c r="J1259" s="20" t="str">
        <f t="shared" si="1272"/>
        <v>#REF!</v>
      </c>
      <c r="K1259" s="20" t="str">
        <f t="shared" ref="K1259:L1259" si="3772">#REF!</f>
        <v>#REF!</v>
      </c>
      <c r="L1259" s="20" t="str">
        <f t="shared" si="3772"/>
        <v>#REF!</v>
      </c>
    </row>
    <row r="1260">
      <c r="A1260" s="20" t="str">
        <f t="shared" si="1267"/>
        <v>#REF!</v>
      </c>
      <c r="B1260" s="20" t="str">
        <f t="shared" si="1268"/>
        <v>#REF!</v>
      </c>
      <c r="C1260" s="20" t="str">
        <f t="shared" ref="C1260:D1260" si="3773">#REF!</f>
        <v>#REF!</v>
      </c>
      <c r="D1260" s="20" t="str">
        <f t="shared" si="3773"/>
        <v>#REF!</v>
      </c>
      <c r="E1260" s="20" t="str">
        <f t="shared" si="1270"/>
        <v>#REF!</v>
      </c>
      <c r="F1260" s="22" t="str">
        <f t="shared" si="2"/>
        <v>#REF!</v>
      </c>
      <c r="G1260" s="20" t="str">
        <f t="shared" ref="G1260:I1260" si="3774">#REF!</f>
        <v>#REF!</v>
      </c>
      <c r="H1260" s="20" t="str">
        <f t="shared" si="3774"/>
        <v>#REF!</v>
      </c>
      <c r="I1260" s="20" t="str">
        <f t="shared" si="3774"/>
        <v>#REF!</v>
      </c>
      <c r="J1260" s="20" t="str">
        <f t="shared" si="1272"/>
        <v>#REF!</v>
      </c>
      <c r="K1260" s="20" t="str">
        <f t="shared" ref="K1260:L1260" si="3775">#REF!</f>
        <v>#REF!</v>
      </c>
      <c r="L1260" s="20" t="str">
        <f t="shared" si="3775"/>
        <v>#REF!</v>
      </c>
    </row>
    <row r="1261">
      <c r="A1261" s="20" t="str">
        <f t="shared" si="1267"/>
        <v>#REF!</v>
      </c>
      <c r="B1261" s="20" t="str">
        <f t="shared" si="1268"/>
        <v>#REF!</v>
      </c>
      <c r="C1261" s="20" t="str">
        <f t="shared" ref="C1261:D1261" si="3776">#REF!</f>
        <v>#REF!</v>
      </c>
      <c r="D1261" s="20" t="str">
        <f t="shared" si="3776"/>
        <v>#REF!</v>
      </c>
      <c r="E1261" s="20" t="str">
        <f t="shared" si="1270"/>
        <v>#REF!</v>
      </c>
      <c r="F1261" s="22" t="str">
        <f t="shared" si="2"/>
        <v>#REF!</v>
      </c>
      <c r="G1261" s="20" t="str">
        <f t="shared" ref="G1261:I1261" si="3777">#REF!</f>
        <v>#REF!</v>
      </c>
      <c r="H1261" s="20" t="str">
        <f t="shared" si="3777"/>
        <v>#REF!</v>
      </c>
      <c r="I1261" s="20" t="str">
        <f t="shared" si="3777"/>
        <v>#REF!</v>
      </c>
      <c r="J1261" s="20" t="str">
        <f t="shared" si="1272"/>
        <v>#REF!</v>
      </c>
      <c r="K1261" s="20" t="str">
        <f t="shared" ref="K1261:L1261" si="3778">#REF!</f>
        <v>#REF!</v>
      </c>
      <c r="L1261" s="20" t="str">
        <f t="shared" si="3778"/>
        <v>#REF!</v>
      </c>
    </row>
    <row r="1262">
      <c r="A1262" s="20" t="str">
        <f t="shared" si="1267"/>
        <v>#REF!</v>
      </c>
      <c r="B1262" s="20" t="str">
        <f t="shared" si="1268"/>
        <v>#REF!</v>
      </c>
      <c r="C1262" s="20" t="str">
        <f t="shared" ref="C1262:D1262" si="3779">#REF!</f>
        <v>#REF!</v>
      </c>
      <c r="D1262" s="20" t="str">
        <f t="shared" si="3779"/>
        <v>#REF!</v>
      </c>
      <c r="E1262" s="20" t="str">
        <f t="shared" si="1270"/>
        <v>#REF!</v>
      </c>
      <c r="F1262" s="22" t="str">
        <f t="shared" si="2"/>
        <v>#REF!</v>
      </c>
      <c r="G1262" s="20" t="str">
        <f t="shared" ref="G1262:I1262" si="3780">#REF!</f>
        <v>#REF!</v>
      </c>
      <c r="H1262" s="20" t="str">
        <f t="shared" si="3780"/>
        <v>#REF!</v>
      </c>
      <c r="I1262" s="20" t="str">
        <f t="shared" si="3780"/>
        <v>#REF!</v>
      </c>
      <c r="J1262" s="20" t="str">
        <f t="shared" si="1272"/>
        <v>#REF!</v>
      </c>
      <c r="K1262" s="20" t="str">
        <f t="shared" ref="K1262:L1262" si="3781">#REF!</f>
        <v>#REF!</v>
      </c>
      <c r="L1262" s="20" t="str">
        <f t="shared" si="3781"/>
        <v>#REF!</v>
      </c>
    </row>
    <row r="1263">
      <c r="A1263" s="20" t="str">
        <f t="shared" si="1267"/>
        <v>#REF!</v>
      </c>
      <c r="B1263" s="20" t="str">
        <f t="shared" si="1268"/>
        <v>#REF!</v>
      </c>
      <c r="C1263" s="20" t="str">
        <f t="shared" ref="C1263:D1263" si="3782">#REF!</f>
        <v>#REF!</v>
      </c>
      <c r="D1263" s="20" t="str">
        <f t="shared" si="3782"/>
        <v>#REF!</v>
      </c>
      <c r="E1263" s="20" t="str">
        <f t="shared" si="1270"/>
        <v>#REF!</v>
      </c>
      <c r="F1263" s="22" t="str">
        <f t="shared" si="2"/>
        <v>#REF!</v>
      </c>
      <c r="G1263" s="20" t="str">
        <f t="shared" ref="G1263:I1263" si="3783">#REF!</f>
        <v>#REF!</v>
      </c>
      <c r="H1263" s="20" t="str">
        <f t="shared" si="3783"/>
        <v>#REF!</v>
      </c>
      <c r="I1263" s="20" t="str">
        <f t="shared" si="3783"/>
        <v>#REF!</v>
      </c>
      <c r="J1263" s="20" t="str">
        <f t="shared" si="1272"/>
        <v>#REF!</v>
      </c>
      <c r="K1263" s="20" t="str">
        <f t="shared" ref="K1263:L1263" si="3784">#REF!</f>
        <v>#REF!</v>
      </c>
      <c r="L1263" s="20" t="str">
        <f t="shared" si="3784"/>
        <v>#REF!</v>
      </c>
    </row>
    <row r="1264">
      <c r="A1264" s="20" t="str">
        <f t="shared" si="1267"/>
        <v>#REF!</v>
      </c>
      <c r="B1264" s="20" t="str">
        <f t="shared" si="1268"/>
        <v>#REF!</v>
      </c>
      <c r="C1264" s="20" t="str">
        <f t="shared" ref="C1264:D1264" si="3785">#REF!</f>
        <v>#REF!</v>
      </c>
      <c r="D1264" s="20" t="str">
        <f t="shared" si="3785"/>
        <v>#REF!</v>
      </c>
      <c r="E1264" s="20" t="str">
        <f t="shared" si="1270"/>
        <v>#REF!</v>
      </c>
      <c r="F1264" s="22" t="str">
        <f t="shared" si="2"/>
        <v>#REF!</v>
      </c>
      <c r="G1264" s="20" t="str">
        <f t="shared" ref="G1264:I1264" si="3786">#REF!</f>
        <v>#REF!</v>
      </c>
      <c r="H1264" s="20" t="str">
        <f t="shared" si="3786"/>
        <v>#REF!</v>
      </c>
      <c r="I1264" s="20" t="str">
        <f t="shared" si="3786"/>
        <v>#REF!</v>
      </c>
      <c r="J1264" s="20" t="str">
        <f t="shared" si="1272"/>
        <v>#REF!</v>
      </c>
      <c r="K1264" s="20" t="str">
        <f t="shared" ref="K1264:L1264" si="3787">#REF!</f>
        <v>#REF!</v>
      </c>
      <c r="L1264" s="20" t="str">
        <f t="shared" si="3787"/>
        <v>#REF!</v>
      </c>
    </row>
    <row r="1265">
      <c r="A1265" s="20" t="str">
        <f t="shared" si="1267"/>
        <v>#REF!</v>
      </c>
      <c r="B1265" s="20" t="str">
        <f t="shared" si="1268"/>
        <v>#REF!</v>
      </c>
      <c r="C1265" s="20" t="str">
        <f t="shared" ref="C1265:D1265" si="3788">#REF!</f>
        <v>#REF!</v>
      </c>
      <c r="D1265" s="20" t="str">
        <f t="shared" si="3788"/>
        <v>#REF!</v>
      </c>
      <c r="E1265" s="20" t="str">
        <f t="shared" si="1270"/>
        <v>#REF!</v>
      </c>
      <c r="F1265" s="22" t="str">
        <f t="shared" si="2"/>
        <v>#REF!</v>
      </c>
      <c r="G1265" s="20" t="str">
        <f t="shared" ref="G1265:I1265" si="3789">#REF!</f>
        <v>#REF!</v>
      </c>
      <c r="H1265" s="20" t="str">
        <f t="shared" si="3789"/>
        <v>#REF!</v>
      </c>
      <c r="I1265" s="20" t="str">
        <f t="shared" si="3789"/>
        <v>#REF!</v>
      </c>
      <c r="J1265" s="20" t="str">
        <f t="shared" si="1272"/>
        <v>#REF!</v>
      </c>
      <c r="K1265" s="20" t="str">
        <f t="shared" ref="K1265:L1265" si="3790">#REF!</f>
        <v>#REF!</v>
      </c>
      <c r="L1265" s="20" t="str">
        <f t="shared" si="3790"/>
        <v>#REF!</v>
      </c>
    </row>
    <row r="1266">
      <c r="A1266" s="20" t="str">
        <f t="shared" si="1267"/>
        <v>#REF!</v>
      </c>
      <c r="B1266" s="20" t="str">
        <f t="shared" si="1268"/>
        <v>#REF!</v>
      </c>
      <c r="C1266" s="20" t="str">
        <f t="shared" ref="C1266:D1266" si="3791">#REF!</f>
        <v>#REF!</v>
      </c>
      <c r="D1266" s="20" t="str">
        <f t="shared" si="3791"/>
        <v>#REF!</v>
      </c>
      <c r="E1266" s="20" t="str">
        <f t="shared" si="1270"/>
        <v>#REF!</v>
      </c>
      <c r="F1266" s="22" t="str">
        <f t="shared" si="2"/>
        <v>#REF!</v>
      </c>
      <c r="G1266" s="20" t="str">
        <f t="shared" ref="G1266:I1266" si="3792">#REF!</f>
        <v>#REF!</v>
      </c>
      <c r="H1266" s="20" t="str">
        <f t="shared" si="3792"/>
        <v>#REF!</v>
      </c>
      <c r="I1266" s="20" t="str">
        <f t="shared" si="3792"/>
        <v>#REF!</v>
      </c>
      <c r="J1266" s="20" t="str">
        <f t="shared" si="1272"/>
        <v>#REF!</v>
      </c>
      <c r="K1266" s="20" t="str">
        <f t="shared" ref="K1266:L1266" si="3793">#REF!</f>
        <v>#REF!</v>
      </c>
      <c r="L1266" s="20" t="str">
        <f t="shared" si="3793"/>
        <v>#REF!</v>
      </c>
    </row>
    <row r="1267">
      <c r="A1267" s="20" t="str">
        <f t="shared" si="1267"/>
        <v>#REF!</v>
      </c>
      <c r="B1267" s="20" t="str">
        <f t="shared" si="1268"/>
        <v>#REF!</v>
      </c>
      <c r="C1267" s="20" t="str">
        <f t="shared" ref="C1267:D1267" si="3794">#REF!</f>
        <v>#REF!</v>
      </c>
      <c r="D1267" s="20" t="str">
        <f t="shared" si="3794"/>
        <v>#REF!</v>
      </c>
      <c r="E1267" s="20" t="str">
        <f t="shared" si="1270"/>
        <v>#REF!</v>
      </c>
      <c r="F1267" s="22" t="str">
        <f t="shared" si="2"/>
        <v>#REF!</v>
      </c>
      <c r="G1267" s="20" t="str">
        <f t="shared" ref="G1267:I1267" si="3795">#REF!</f>
        <v>#REF!</v>
      </c>
      <c r="H1267" s="20" t="str">
        <f t="shared" si="3795"/>
        <v>#REF!</v>
      </c>
      <c r="I1267" s="20" t="str">
        <f t="shared" si="3795"/>
        <v>#REF!</v>
      </c>
      <c r="J1267" s="20" t="str">
        <f t="shared" si="1272"/>
        <v>#REF!</v>
      </c>
      <c r="K1267" s="20" t="str">
        <f t="shared" ref="K1267:L1267" si="3796">#REF!</f>
        <v>#REF!</v>
      </c>
      <c r="L1267" s="20" t="str">
        <f t="shared" si="3796"/>
        <v>#REF!</v>
      </c>
    </row>
    <row r="1268">
      <c r="A1268" s="20" t="str">
        <f t="shared" si="1267"/>
        <v>#REF!</v>
      </c>
      <c r="B1268" s="20" t="str">
        <f t="shared" si="1268"/>
        <v>#REF!</v>
      </c>
      <c r="C1268" s="20" t="str">
        <f t="shared" ref="C1268:D1268" si="3797">#REF!</f>
        <v>#REF!</v>
      </c>
      <c r="D1268" s="20" t="str">
        <f t="shared" si="3797"/>
        <v>#REF!</v>
      </c>
      <c r="E1268" s="20" t="str">
        <f t="shared" si="1270"/>
        <v>#REF!</v>
      </c>
      <c r="F1268" s="22" t="str">
        <f t="shared" si="2"/>
        <v>#REF!</v>
      </c>
      <c r="G1268" s="20" t="str">
        <f t="shared" ref="G1268:I1268" si="3798">#REF!</f>
        <v>#REF!</v>
      </c>
      <c r="H1268" s="20" t="str">
        <f t="shared" si="3798"/>
        <v>#REF!</v>
      </c>
      <c r="I1268" s="20" t="str">
        <f t="shared" si="3798"/>
        <v>#REF!</v>
      </c>
      <c r="J1268" s="20" t="str">
        <f t="shared" si="1272"/>
        <v>#REF!</v>
      </c>
      <c r="K1268" s="20" t="str">
        <f t="shared" ref="K1268:L1268" si="3799">#REF!</f>
        <v>#REF!</v>
      </c>
      <c r="L1268" s="20" t="str">
        <f t="shared" si="3799"/>
        <v>#REF!</v>
      </c>
    </row>
    <row r="1269">
      <c r="A1269" s="20" t="str">
        <f t="shared" si="1267"/>
        <v>#REF!</v>
      </c>
      <c r="B1269" s="20" t="str">
        <f t="shared" si="1268"/>
        <v>#REF!</v>
      </c>
      <c r="C1269" s="20" t="str">
        <f t="shared" ref="C1269:D1269" si="3800">#REF!</f>
        <v>#REF!</v>
      </c>
      <c r="D1269" s="20" t="str">
        <f t="shared" si="3800"/>
        <v>#REF!</v>
      </c>
      <c r="E1269" s="20" t="str">
        <f t="shared" si="1270"/>
        <v>#REF!</v>
      </c>
      <c r="F1269" s="22" t="str">
        <f t="shared" si="2"/>
        <v>#REF!</v>
      </c>
      <c r="G1269" s="20" t="str">
        <f t="shared" ref="G1269:I1269" si="3801">#REF!</f>
        <v>#REF!</v>
      </c>
      <c r="H1269" s="20" t="str">
        <f t="shared" si="3801"/>
        <v>#REF!</v>
      </c>
      <c r="I1269" s="20" t="str">
        <f t="shared" si="3801"/>
        <v>#REF!</v>
      </c>
      <c r="J1269" s="20" t="str">
        <f t="shared" si="1272"/>
        <v>#REF!</v>
      </c>
      <c r="K1269" s="20" t="str">
        <f t="shared" ref="K1269:L1269" si="3802">#REF!</f>
        <v>#REF!</v>
      </c>
      <c r="L1269" s="20" t="str">
        <f t="shared" si="3802"/>
        <v>#REF!</v>
      </c>
    </row>
    <row r="1270">
      <c r="A1270" s="20" t="str">
        <f t="shared" si="1267"/>
        <v>#REF!</v>
      </c>
      <c r="B1270" s="20" t="str">
        <f t="shared" si="1268"/>
        <v>#REF!</v>
      </c>
      <c r="C1270" s="20" t="str">
        <f t="shared" ref="C1270:D1270" si="3803">#REF!</f>
        <v>#REF!</v>
      </c>
      <c r="D1270" s="20" t="str">
        <f t="shared" si="3803"/>
        <v>#REF!</v>
      </c>
      <c r="E1270" s="20" t="str">
        <f t="shared" si="1270"/>
        <v>#REF!</v>
      </c>
      <c r="F1270" s="22" t="str">
        <f t="shared" si="2"/>
        <v>#REF!</v>
      </c>
      <c r="G1270" s="20" t="str">
        <f t="shared" ref="G1270:I1270" si="3804">#REF!</f>
        <v>#REF!</v>
      </c>
      <c r="H1270" s="20" t="str">
        <f t="shared" si="3804"/>
        <v>#REF!</v>
      </c>
      <c r="I1270" s="20" t="str">
        <f t="shared" si="3804"/>
        <v>#REF!</v>
      </c>
      <c r="J1270" s="20" t="str">
        <f t="shared" si="1272"/>
        <v>#REF!</v>
      </c>
      <c r="K1270" s="20" t="str">
        <f t="shared" ref="K1270:L1270" si="3805">#REF!</f>
        <v>#REF!</v>
      </c>
      <c r="L1270" s="20" t="str">
        <f t="shared" si="3805"/>
        <v>#REF!</v>
      </c>
    </row>
    <row r="1271">
      <c r="A1271" s="20" t="str">
        <f t="shared" si="1267"/>
        <v>#REF!</v>
      </c>
      <c r="B1271" s="20" t="str">
        <f t="shared" si="1268"/>
        <v>#REF!</v>
      </c>
      <c r="C1271" s="20" t="str">
        <f t="shared" ref="C1271:D1271" si="3806">#REF!</f>
        <v>#REF!</v>
      </c>
      <c r="D1271" s="20" t="str">
        <f t="shared" si="3806"/>
        <v>#REF!</v>
      </c>
      <c r="E1271" s="20" t="str">
        <f t="shared" si="1270"/>
        <v>#REF!</v>
      </c>
      <c r="F1271" s="22" t="str">
        <f t="shared" si="2"/>
        <v>#REF!</v>
      </c>
      <c r="G1271" s="20" t="str">
        <f t="shared" ref="G1271:I1271" si="3807">#REF!</f>
        <v>#REF!</v>
      </c>
      <c r="H1271" s="20" t="str">
        <f t="shared" si="3807"/>
        <v>#REF!</v>
      </c>
      <c r="I1271" s="20" t="str">
        <f t="shared" si="3807"/>
        <v>#REF!</v>
      </c>
      <c r="J1271" s="20" t="str">
        <f t="shared" si="1272"/>
        <v>#REF!</v>
      </c>
      <c r="K1271" s="20" t="str">
        <f t="shared" ref="K1271:L1271" si="3808">#REF!</f>
        <v>#REF!</v>
      </c>
      <c r="L1271" s="20" t="str">
        <f t="shared" si="3808"/>
        <v>#REF!</v>
      </c>
    </row>
    <row r="1272">
      <c r="A1272" s="20" t="str">
        <f t="shared" si="1267"/>
        <v>#REF!</v>
      </c>
      <c r="B1272" s="20" t="str">
        <f t="shared" si="1268"/>
        <v>#REF!</v>
      </c>
      <c r="C1272" s="20" t="str">
        <f t="shared" ref="C1272:D1272" si="3809">#REF!</f>
        <v>#REF!</v>
      </c>
      <c r="D1272" s="20" t="str">
        <f t="shared" si="3809"/>
        <v>#REF!</v>
      </c>
      <c r="E1272" s="20" t="str">
        <f t="shared" si="1270"/>
        <v>#REF!</v>
      </c>
      <c r="F1272" s="22" t="str">
        <f t="shared" si="2"/>
        <v>#REF!</v>
      </c>
      <c r="G1272" s="20" t="str">
        <f t="shared" ref="G1272:I1272" si="3810">#REF!</f>
        <v>#REF!</v>
      </c>
      <c r="H1272" s="20" t="str">
        <f t="shared" si="3810"/>
        <v>#REF!</v>
      </c>
      <c r="I1272" s="20" t="str">
        <f t="shared" si="3810"/>
        <v>#REF!</v>
      </c>
      <c r="J1272" s="20" t="str">
        <f t="shared" si="1272"/>
        <v>#REF!</v>
      </c>
      <c r="K1272" s="20" t="str">
        <f t="shared" ref="K1272:L1272" si="3811">#REF!</f>
        <v>#REF!</v>
      </c>
      <c r="L1272" s="20" t="str">
        <f t="shared" si="3811"/>
        <v>#REF!</v>
      </c>
    </row>
    <row r="1273">
      <c r="A1273" s="20" t="str">
        <f t="shared" si="1267"/>
        <v>#REF!</v>
      </c>
      <c r="B1273" s="20" t="str">
        <f t="shared" si="1268"/>
        <v>#REF!</v>
      </c>
      <c r="C1273" s="20" t="str">
        <f t="shared" ref="C1273:D1273" si="3812">#REF!</f>
        <v>#REF!</v>
      </c>
      <c r="D1273" s="20" t="str">
        <f t="shared" si="3812"/>
        <v>#REF!</v>
      </c>
      <c r="E1273" s="20" t="str">
        <f t="shared" si="1270"/>
        <v>#REF!</v>
      </c>
      <c r="F1273" s="22" t="str">
        <f t="shared" si="2"/>
        <v>#REF!</v>
      </c>
      <c r="G1273" s="20" t="str">
        <f t="shared" ref="G1273:I1273" si="3813">#REF!</f>
        <v>#REF!</v>
      </c>
      <c r="H1273" s="20" t="str">
        <f t="shared" si="3813"/>
        <v>#REF!</v>
      </c>
      <c r="I1273" s="20" t="str">
        <f t="shared" si="3813"/>
        <v>#REF!</v>
      </c>
      <c r="J1273" s="20" t="str">
        <f t="shared" si="1272"/>
        <v>#REF!</v>
      </c>
      <c r="K1273" s="20" t="str">
        <f t="shared" ref="K1273:L1273" si="3814">#REF!</f>
        <v>#REF!</v>
      </c>
      <c r="L1273" s="20" t="str">
        <f t="shared" si="3814"/>
        <v>#REF!</v>
      </c>
    </row>
    <row r="1274">
      <c r="A1274" s="20" t="str">
        <f t="shared" si="1267"/>
        <v>#REF!</v>
      </c>
      <c r="B1274" s="20" t="str">
        <f t="shared" si="1268"/>
        <v>#REF!</v>
      </c>
      <c r="C1274" s="20" t="str">
        <f t="shared" ref="C1274:D1274" si="3815">#REF!</f>
        <v>#REF!</v>
      </c>
      <c r="D1274" s="20" t="str">
        <f t="shared" si="3815"/>
        <v>#REF!</v>
      </c>
      <c r="E1274" s="20" t="str">
        <f t="shared" si="1270"/>
        <v>#REF!</v>
      </c>
      <c r="F1274" s="22" t="str">
        <f t="shared" si="2"/>
        <v>#REF!</v>
      </c>
      <c r="G1274" s="20" t="str">
        <f t="shared" ref="G1274:I1274" si="3816">#REF!</f>
        <v>#REF!</v>
      </c>
      <c r="H1274" s="20" t="str">
        <f t="shared" si="3816"/>
        <v>#REF!</v>
      </c>
      <c r="I1274" s="20" t="str">
        <f t="shared" si="3816"/>
        <v>#REF!</v>
      </c>
      <c r="J1274" s="20" t="str">
        <f t="shared" si="1272"/>
        <v>#REF!</v>
      </c>
      <c r="K1274" s="20" t="str">
        <f t="shared" ref="K1274:L1274" si="3817">#REF!</f>
        <v>#REF!</v>
      </c>
      <c r="L1274" s="20" t="str">
        <f t="shared" si="3817"/>
        <v>#REF!</v>
      </c>
    </row>
    <row r="1275">
      <c r="A1275" s="20" t="str">
        <f t="shared" si="1267"/>
        <v>#REF!</v>
      </c>
      <c r="B1275" s="20" t="str">
        <f t="shared" si="1268"/>
        <v>#REF!</v>
      </c>
      <c r="C1275" s="20" t="str">
        <f t="shared" ref="C1275:D1275" si="3818">#REF!</f>
        <v>#REF!</v>
      </c>
      <c r="D1275" s="20" t="str">
        <f t="shared" si="3818"/>
        <v>#REF!</v>
      </c>
      <c r="E1275" s="20" t="str">
        <f t="shared" si="1270"/>
        <v>#REF!</v>
      </c>
      <c r="F1275" s="22" t="str">
        <f t="shared" si="2"/>
        <v>#REF!</v>
      </c>
      <c r="G1275" s="20" t="str">
        <f t="shared" ref="G1275:I1275" si="3819">#REF!</f>
        <v>#REF!</v>
      </c>
      <c r="H1275" s="20" t="str">
        <f t="shared" si="3819"/>
        <v>#REF!</v>
      </c>
      <c r="I1275" s="20" t="str">
        <f t="shared" si="3819"/>
        <v>#REF!</v>
      </c>
      <c r="J1275" s="20" t="str">
        <f t="shared" si="1272"/>
        <v>#REF!</v>
      </c>
      <c r="K1275" s="20" t="str">
        <f t="shared" ref="K1275:L1275" si="3820">#REF!</f>
        <v>#REF!</v>
      </c>
      <c r="L1275" s="20" t="str">
        <f t="shared" si="3820"/>
        <v>#REF!</v>
      </c>
    </row>
    <row r="1276">
      <c r="A1276" s="20" t="str">
        <f t="shared" si="1267"/>
        <v>#REF!</v>
      </c>
      <c r="B1276" s="20" t="str">
        <f t="shared" si="1268"/>
        <v>#REF!</v>
      </c>
      <c r="C1276" s="20" t="str">
        <f t="shared" ref="C1276:D1276" si="3821">#REF!</f>
        <v>#REF!</v>
      </c>
      <c r="D1276" s="20" t="str">
        <f t="shared" si="3821"/>
        <v>#REF!</v>
      </c>
      <c r="E1276" s="20" t="str">
        <f t="shared" si="1270"/>
        <v>#REF!</v>
      </c>
      <c r="F1276" s="22" t="str">
        <f t="shared" si="2"/>
        <v>#REF!</v>
      </c>
      <c r="G1276" s="20" t="str">
        <f t="shared" ref="G1276:I1276" si="3822">#REF!</f>
        <v>#REF!</v>
      </c>
      <c r="H1276" s="20" t="str">
        <f t="shared" si="3822"/>
        <v>#REF!</v>
      </c>
      <c r="I1276" s="20" t="str">
        <f t="shared" si="3822"/>
        <v>#REF!</v>
      </c>
      <c r="J1276" s="20" t="str">
        <f t="shared" si="1272"/>
        <v>#REF!</v>
      </c>
      <c r="K1276" s="20" t="str">
        <f t="shared" ref="K1276:L1276" si="3823">#REF!</f>
        <v>#REF!</v>
      </c>
      <c r="L1276" s="20" t="str">
        <f t="shared" si="3823"/>
        <v>#REF!</v>
      </c>
    </row>
    <row r="1277">
      <c r="A1277" s="20" t="str">
        <f t="shared" si="1267"/>
        <v>#REF!</v>
      </c>
      <c r="B1277" s="20" t="str">
        <f t="shared" si="1268"/>
        <v>#REF!</v>
      </c>
      <c r="C1277" s="20" t="str">
        <f t="shared" ref="C1277:D1277" si="3824">#REF!</f>
        <v>#REF!</v>
      </c>
      <c r="D1277" s="20" t="str">
        <f t="shared" si="3824"/>
        <v>#REF!</v>
      </c>
      <c r="E1277" s="20" t="str">
        <f t="shared" si="1270"/>
        <v>#REF!</v>
      </c>
      <c r="F1277" s="22" t="str">
        <f t="shared" si="2"/>
        <v>#REF!</v>
      </c>
      <c r="G1277" s="20" t="str">
        <f t="shared" ref="G1277:I1277" si="3825">#REF!</f>
        <v>#REF!</v>
      </c>
      <c r="H1277" s="20" t="str">
        <f t="shared" si="3825"/>
        <v>#REF!</v>
      </c>
      <c r="I1277" s="20" t="str">
        <f t="shared" si="3825"/>
        <v>#REF!</v>
      </c>
      <c r="J1277" s="20" t="str">
        <f t="shared" si="1272"/>
        <v>#REF!</v>
      </c>
      <c r="K1277" s="20" t="str">
        <f t="shared" ref="K1277:L1277" si="3826">#REF!</f>
        <v>#REF!</v>
      </c>
      <c r="L1277" s="20" t="str">
        <f t="shared" si="3826"/>
        <v>#REF!</v>
      </c>
    </row>
    <row r="1278">
      <c r="A1278" s="20" t="str">
        <f t="shared" si="1267"/>
        <v>#REF!</v>
      </c>
      <c r="B1278" s="20" t="str">
        <f t="shared" si="1268"/>
        <v>#REF!</v>
      </c>
      <c r="C1278" s="20" t="str">
        <f t="shared" ref="C1278:D1278" si="3827">#REF!</f>
        <v>#REF!</v>
      </c>
      <c r="D1278" s="20" t="str">
        <f t="shared" si="3827"/>
        <v>#REF!</v>
      </c>
      <c r="E1278" s="20" t="str">
        <f t="shared" si="1270"/>
        <v>#REF!</v>
      </c>
      <c r="F1278" s="22" t="str">
        <f t="shared" si="2"/>
        <v>#REF!</v>
      </c>
      <c r="G1278" s="20" t="str">
        <f t="shared" ref="G1278:I1278" si="3828">#REF!</f>
        <v>#REF!</v>
      </c>
      <c r="H1278" s="20" t="str">
        <f t="shared" si="3828"/>
        <v>#REF!</v>
      </c>
      <c r="I1278" s="20" t="str">
        <f t="shared" si="3828"/>
        <v>#REF!</v>
      </c>
      <c r="J1278" s="20" t="str">
        <f t="shared" si="1272"/>
        <v>#REF!</v>
      </c>
      <c r="K1278" s="20" t="str">
        <f t="shared" ref="K1278:L1278" si="3829">#REF!</f>
        <v>#REF!</v>
      </c>
      <c r="L1278" s="20" t="str">
        <f t="shared" si="3829"/>
        <v>#REF!</v>
      </c>
    </row>
    <row r="1279">
      <c r="A1279" s="20" t="str">
        <f t="shared" si="1267"/>
        <v>#REF!</v>
      </c>
      <c r="B1279" s="20" t="str">
        <f t="shared" si="1268"/>
        <v>#REF!</v>
      </c>
      <c r="C1279" s="20" t="str">
        <f t="shared" ref="C1279:D1279" si="3830">#REF!</f>
        <v>#REF!</v>
      </c>
      <c r="D1279" s="20" t="str">
        <f t="shared" si="3830"/>
        <v>#REF!</v>
      </c>
      <c r="E1279" s="20" t="str">
        <f t="shared" si="1270"/>
        <v>#REF!</v>
      </c>
      <c r="F1279" s="22" t="str">
        <f t="shared" si="2"/>
        <v>#REF!</v>
      </c>
      <c r="G1279" s="20" t="str">
        <f t="shared" ref="G1279:I1279" si="3831">#REF!</f>
        <v>#REF!</v>
      </c>
      <c r="H1279" s="20" t="str">
        <f t="shared" si="3831"/>
        <v>#REF!</v>
      </c>
      <c r="I1279" s="20" t="str">
        <f t="shared" si="3831"/>
        <v>#REF!</v>
      </c>
      <c r="J1279" s="20" t="str">
        <f t="shared" si="1272"/>
        <v>#REF!</v>
      </c>
      <c r="K1279" s="20" t="str">
        <f t="shared" ref="K1279:L1279" si="3832">#REF!</f>
        <v>#REF!</v>
      </c>
      <c r="L1279" s="20" t="str">
        <f t="shared" si="3832"/>
        <v>#REF!</v>
      </c>
    </row>
    <row r="1280">
      <c r="A1280" s="20" t="str">
        <f t="shared" si="1267"/>
        <v>#REF!</v>
      </c>
      <c r="B1280" s="20" t="str">
        <f t="shared" si="1268"/>
        <v>#REF!</v>
      </c>
      <c r="C1280" s="20" t="str">
        <f t="shared" ref="C1280:D1280" si="3833">#REF!</f>
        <v>#REF!</v>
      </c>
      <c r="D1280" s="20" t="str">
        <f t="shared" si="3833"/>
        <v>#REF!</v>
      </c>
      <c r="E1280" s="20" t="str">
        <f t="shared" si="1270"/>
        <v>#REF!</v>
      </c>
      <c r="F1280" s="22" t="str">
        <f t="shared" si="2"/>
        <v>#REF!</v>
      </c>
      <c r="G1280" s="20" t="str">
        <f t="shared" ref="G1280:I1280" si="3834">#REF!</f>
        <v>#REF!</v>
      </c>
      <c r="H1280" s="20" t="str">
        <f t="shared" si="3834"/>
        <v>#REF!</v>
      </c>
      <c r="I1280" s="20" t="str">
        <f t="shared" si="3834"/>
        <v>#REF!</v>
      </c>
      <c r="J1280" s="20" t="str">
        <f t="shared" si="1272"/>
        <v>#REF!</v>
      </c>
      <c r="K1280" s="20" t="str">
        <f t="shared" ref="K1280:L1280" si="3835">#REF!</f>
        <v>#REF!</v>
      </c>
      <c r="L1280" s="20" t="str">
        <f t="shared" si="3835"/>
        <v>#REF!</v>
      </c>
    </row>
    <row r="1281">
      <c r="A1281" s="20" t="str">
        <f t="shared" si="1267"/>
        <v>#REF!</v>
      </c>
      <c r="B1281" s="20" t="str">
        <f t="shared" si="1268"/>
        <v>#REF!</v>
      </c>
      <c r="C1281" s="20" t="str">
        <f t="shared" ref="C1281:D1281" si="3836">#REF!</f>
        <v>#REF!</v>
      </c>
      <c r="D1281" s="20" t="str">
        <f t="shared" si="3836"/>
        <v>#REF!</v>
      </c>
      <c r="E1281" s="20" t="str">
        <f t="shared" si="1270"/>
        <v>#REF!</v>
      </c>
      <c r="F1281" s="22" t="str">
        <f t="shared" si="2"/>
        <v>#REF!</v>
      </c>
      <c r="G1281" s="20" t="str">
        <f t="shared" ref="G1281:I1281" si="3837">#REF!</f>
        <v>#REF!</v>
      </c>
      <c r="H1281" s="20" t="str">
        <f t="shared" si="3837"/>
        <v>#REF!</v>
      </c>
      <c r="I1281" s="20" t="str">
        <f t="shared" si="3837"/>
        <v>#REF!</v>
      </c>
      <c r="J1281" s="20" t="str">
        <f t="shared" si="1272"/>
        <v>#REF!</v>
      </c>
      <c r="K1281" s="20" t="str">
        <f t="shared" ref="K1281:L1281" si="3838">#REF!</f>
        <v>#REF!</v>
      </c>
      <c r="L1281" s="20" t="str">
        <f t="shared" si="3838"/>
        <v>#REF!</v>
      </c>
    </row>
    <row r="1282">
      <c r="A1282" s="20" t="str">
        <f t="shared" si="1267"/>
        <v>#REF!</v>
      </c>
      <c r="B1282" s="20" t="str">
        <f t="shared" si="1268"/>
        <v>#REF!</v>
      </c>
      <c r="C1282" s="20" t="str">
        <f t="shared" ref="C1282:D1282" si="3839">#REF!</f>
        <v>#REF!</v>
      </c>
      <c r="D1282" s="20" t="str">
        <f t="shared" si="3839"/>
        <v>#REF!</v>
      </c>
      <c r="E1282" s="20" t="str">
        <f t="shared" si="1270"/>
        <v>#REF!</v>
      </c>
      <c r="F1282" s="22" t="str">
        <f t="shared" si="2"/>
        <v>#REF!</v>
      </c>
      <c r="G1282" s="20" t="str">
        <f t="shared" ref="G1282:I1282" si="3840">#REF!</f>
        <v>#REF!</v>
      </c>
      <c r="H1282" s="20" t="str">
        <f t="shared" si="3840"/>
        <v>#REF!</v>
      </c>
      <c r="I1282" s="20" t="str">
        <f t="shared" si="3840"/>
        <v>#REF!</v>
      </c>
      <c r="J1282" s="20" t="str">
        <f t="shared" si="1272"/>
        <v>#REF!</v>
      </c>
      <c r="K1282" s="20" t="str">
        <f t="shared" ref="K1282:L1282" si="3841">#REF!</f>
        <v>#REF!</v>
      </c>
      <c r="L1282" s="20" t="str">
        <f t="shared" si="3841"/>
        <v>#REF!</v>
      </c>
    </row>
    <row r="1283">
      <c r="A1283" s="20" t="str">
        <f t="shared" si="1267"/>
        <v>#REF!</v>
      </c>
      <c r="B1283" s="20" t="str">
        <f t="shared" si="1268"/>
        <v>#REF!</v>
      </c>
      <c r="C1283" s="20" t="str">
        <f t="shared" ref="C1283:D1283" si="3842">#REF!</f>
        <v>#REF!</v>
      </c>
      <c r="D1283" s="20" t="str">
        <f t="shared" si="3842"/>
        <v>#REF!</v>
      </c>
      <c r="E1283" s="20" t="str">
        <f t="shared" si="1270"/>
        <v>#REF!</v>
      </c>
      <c r="F1283" s="22" t="str">
        <f t="shared" si="2"/>
        <v>#REF!</v>
      </c>
      <c r="G1283" s="20" t="str">
        <f t="shared" ref="G1283:I1283" si="3843">#REF!</f>
        <v>#REF!</v>
      </c>
      <c r="H1283" s="20" t="str">
        <f t="shared" si="3843"/>
        <v>#REF!</v>
      </c>
      <c r="I1283" s="20" t="str">
        <f t="shared" si="3843"/>
        <v>#REF!</v>
      </c>
      <c r="J1283" s="20" t="str">
        <f t="shared" si="1272"/>
        <v>#REF!</v>
      </c>
      <c r="K1283" s="20" t="str">
        <f t="shared" ref="K1283:L1283" si="3844">#REF!</f>
        <v>#REF!</v>
      </c>
      <c r="L1283" s="20" t="str">
        <f t="shared" si="3844"/>
        <v>#REF!</v>
      </c>
    </row>
    <row r="1284">
      <c r="A1284" s="20" t="str">
        <f t="shared" si="1267"/>
        <v>#REF!</v>
      </c>
      <c r="B1284" s="20" t="str">
        <f t="shared" si="1268"/>
        <v>#REF!</v>
      </c>
      <c r="C1284" s="20" t="str">
        <f t="shared" ref="C1284:D1284" si="3845">#REF!</f>
        <v>#REF!</v>
      </c>
      <c r="D1284" s="20" t="str">
        <f t="shared" si="3845"/>
        <v>#REF!</v>
      </c>
      <c r="E1284" s="20" t="str">
        <f t="shared" si="1270"/>
        <v>#REF!</v>
      </c>
      <c r="F1284" s="22" t="str">
        <f t="shared" si="2"/>
        <v>#REF!</v>
      </c>
      <c r="G1284" s="20" t="str">
        <f t="shared" ref="G1284:I1284" si="3846">#REF!</f>
        <v>#REF!</v>
      </c>
      <c r="H1284" s="20" t="str">
        <f t="shared" si="3846"/>
        <v>#REF!</v>
      </c>
      <c r="I1284" s="20" t="str">
        <f t="shared" si="3846"/>
        <v>#REF!</v>
      </c>
      <c r="J1284" s="20" t="str">
        <f t="shared" si="1272"/>
        <v>#REF!</v>
      </c>
      <c r="K1284" s="20" t="str">
        <f t="shared" ref="K1284:L1284" si="3847">#REF!</f>
        <v>#REF!</v>
      </c>
      <c r="L1284" s="20" t="str">
        <f t="shared" si="3847"/>
        <v>#REF!</v>
      </c>
    </row>
    <row r="1285">
      <c r="A1285" s="20" t="str">
        <f t="shared" si="1267"/>
        <v>#REF!</v>
      </c>
      <c r="B1285" s="20" t="str">
        <f t="shared" si="1268"/>
        <v>#REF!</v>
      </c>
      <c r="C1285" s="20" t="str">
        <f t="shared" ref="C1285:D1285" si="3848">#REF!</f>
        <v>#REF!</v>
      </c>
      <c r="D1285" s="20" t="str">
        <f t="shared" si="3848"/>
        <v>#REF!</v>
      </c>
      <c r="E1285" s="20" t="str">
        <f t="shared" si="1270"/>
        <v>#REF!</v>
      </c>
      <c r="F1285" s="22" t="str">
        <f t="shared" si="2"/>
        <v>#REF!</v>
      </c>
      <c r="G1285" s="20" t="str">
        <f t="shared" ref="G1285:I1285" si="3849">#REF!</f>
        <v>#REF!</v>
      </c>
      <c r="H1285" s="20" t="str">
        <f t="shared" si="3849"/>
        <v>#REF!</v>
      </c>
      <c r="I1285" s="20" t="str">
        <f t="shared" si="3849"/>
        <v>#REF!</v>
      </c>
      <c r="J1285" s="20" t="str">
        <f t="shared" si="1272"/>
        <v>#REF!</v>
      </c>
      <c r="K1285" s="20" t="str">
        <f t="shared" ref="K1285:L1285" si="3850">#REF!</f>
        <v>#REF!</v>
      </c>
      <c r="L1285" s="20" t="str">
        <f t="shared" si="3850"/>
        <v>#REF!</v>
      </c>
    </row>
    <row r="1286">
      <c r="A1286" s="20" t="str">
        <f t="shared" si="1267"/>
        <v>#REF!</v>
      </c>
      <c r="B1286" s="20" t="str">
        <f t="shared" si="1268"/>
        <v>#REF!</v>
      </c>
      <c r="C1286" s="20" t="str">
        <f t="shared" ref="C1286:D1286" si="3851">#REF!</f>
        <v>#REF!</v>
      </c>
      <c r="D1286" s="20" t="str">
        <f t="shared" si="3851"/>
        <v>#REF!</v>
      </c>
      <c r="E1286" s="20" t="str">
        <f t="shared" si="1270"/>
        <v>#REF!</v>
      </c>
      <c r="F1286" s="22" t="str">
        <f t="shared" si="2"/>
        <v>#REF!</v>
      </c>
      <c r="G1286" s="20" t="str">
        <f t="shared" ref="G1286:I1286" si="3852">#REF!</f>
        <v>#REF!</v>
      </c>
      <c r="H1286" s="20" t="str">
        <f t="shared" si="3852"/>
        <v>#REF!</v>
      </c>
      <c r="I1286" s="20" t="str">
        <f t="shared" si="3852"/>
        <v>#REF!</v>
      </c>
      <c r="J1286" s="20" t="str">
        <f t="shared" si="1272"/>
        <v>#REF!</v>
      </c>
      <c r="K1286" s="20" t="str">
        <f t="shared" ref="K1286:L1286" si="3853">#REF!</f>
        <v>#REF!</v>
      </c>
      <c r="L1286" s="20" t="str">
        <f t="shared" si="3853"/>
        <v>#REF!</v>
      </c>
    </row>
    <row r="1287">
      <c r="A1287" s="20" t="str">
        <f t="shared" si="1267"/>
        <v>#REF!</v>
      </c>
      <c r="B1287" s="20" t="str">
        <f t="shared" si="1268"/>
        <v>#REF!</v>
      </c>
      <c r="C1287" s="20" t="str">
        <f t="shared" ref="C1287:D1287" si="3854">#REF!</f>
        <v>#REF!</v>
      </c>
      <c r="D1287" s="20" t="str">
        <f t="shared" si="3854"/>
        <v>#REF!</v>
      </c>
      <c r="E1287" s="20" t="str">
        <f t="shared" si="1270"/>
        <v>#REF!</v>
      </c>
      <c r="F1287" s="22" t="str">
        <f t="shared" si="2"/>
        <v>#REF!</v>
      </c>
      <c r="G1287" s="20" t="str">
        <f t="shared" ref="G1287:I1287" si="3855">#REF!</f>
        <v>#REF!</v>
      </c>
      <c r="H1287" s="20" t="str">
        <f t="shared" si="3855"/>
        <v>#REF!</v>
      </c>
      <c r="I1287" s="20" t="str">
        <f t="shared" si="3855"/>
        <v>#REF!</v>
      </c>
      <c r="J1287" s="20" t="str">
        <f t="shared" si="1272"/>
        <v>#REF!</v>
      </c>
      <c r="K1287" s="20" t="str">
        <f t="shared" ref="K1287:L1287" si="3856">#REF!</f>
        <v>#REF!</v>
      </c>
      <c r="L1287" s="20" t="str">
        <f t="shared" si="3856"/>
        <v>#REF!</v>
      </c>
    </row>
    <row r="1288">
      <c r="A1288" s="20" t="str">
        <f t="shared" si="1267"/>
        <v>#REF!</v>
      </c>
      <c r="B1288" s="20" t="str">
        <f t="shared" si="1268"/>
        <v>#REF!</v>
      </c>
      <c r="C1288" s="20" t="str">
        <f t="shared" ref="C1288:D1288" si="3857">#REF!</f>
        <v>#REF!</v>
      </c>
      <c r="D1288" s="20" t="str">
        <f t="shared" si="3857"/>
        <v>#REF!</v>
      </c>
      <c r="E1288" s="20" t="str">
        <f t="shared" si="1270"/>
        <v>#REF!</v>
      </c>
      <c r="F1288" s="22" t="str">
        <f t="shared" si="2"/>
        <v>#REF!</v>
      </c>
      <c r="G1288" s="20" t="str">
        <f t="shared" ref="G1288:I1288" si="3858">#REF!</f>
        <v>#REF!</v>
      </c>
      <c r="H1288" s="20" t="str">
        <f t="shared" si="3858"/>
        <v>#REF!</v>
      </c>
      <c r="I1288" s="20" t="str">
        <f t="shared" si="3858"/>
        <v>#REF!</v>
      </c>
      <c r="J1288" s="20" t="str">
        <f t="shared" si="1272"/>
        <v>#REF!</v>
      </c>
      <c r="K1288" s="20" t="str">
        <f t="shared" ref="K1288:L1288" si="3859">#REF!</f>
        <v>#REF!</v>
      </c>
      <c r="L1288" s="20" t="str">
        <f t="shared" si="3859"/>
        <v>#REF!</v>
      </c>
    </row>
    <row r="1289">
      <c r="A1289" s="20" t="str">
        <f t="shared" si="1267"/>
        <v>#REF!</v>
      </c>
      <c r="B1289" s="20" t="str">
        <f t="shared" si="1268"/>
        <v>#REF!</v>
      </c>
      <c r="C1289" s="20" t="str">
        <f t="shared" ref="C1289:D1289" si="3860">#REF!</f>
        <v>#REF!</v>
      </c>
      <c r="D1289" s="20" t="str">
        <f t="shared" si="3860"/>
        <v>#REF!</v>
      </c>
      <c r="E1289" s="20" t="str">
        <f t="shared" si="1270"/>
        <v>#REF!</v>
      </c>
      <c r="F1289" s="22" t="str">
        <f t="shared" si="2"/>
        <v>#REF!</v>
      </c>
      <c r="G1289" s="20" t="str">
        <f t="shared" ref="G1289:I1289" si="3861">#REF!</f>
        <v>#REF!</v>
      </c>
      <c r="H1289" s="20" t="str">
        <f t="shared" si="3861"/>
        <v>#REF!</v>
      </c>
      <c r="I1289" s="20" t="str">
        <f t="shared" si="3861"/>
        <v>#REF!</v>
      </c>
      <c r="J1289" s="20" t="str">
        <f t="shared" si="1272"/>
        <v>#REF!</v>
      </c>
      <c r="K1289" s="20" t="str">
        <f t="shared" ref="K1289:L1289" si="3862">#REF!</f>
        <v>#REF!</v>
      </c>
      <c r="L1289" s="20" t="str">
        <f t="shared" si="3862"/>
        <v>#REF!</v>
      </c>
    </row>
    <row r="1290">
      <c r="A1290" s="20" t="str">
        <f t="shared" si="1267"/>
        <v>#REF!</v>
      </c>
      <c r="B1290" s="20" t="str">
        <f t="shared" si="1268"/>
        <v>#REF!</v>
      </c>
      <c r="C1290" s="20" t="str">
        <f t="shared" ref="C1290:D1290" si="3863">#REF!</f>
        <v>#REF!</v>
      </c>
      <c r="D1290" s="20" t="str">
        <f t="shared" si="3863"/>
        <v>#REF!</v>
      </c>
      <c r="E1290" s="20" t="str">
        <f t="shared" si="1270"/>
        <v>#REF!</v>
      </c>
      <c r="F1290" s="22" t="str">
        <f t="shared" si="2"/>
        <v>#REF!</v>
      </c>
      <c r="G1290" s="20" t="str">
        <f t="shared" ref="G1290:I1290" si="3864">#REF!</f>
        <v>#REF!</v>
      </c>
      <c r="H1290" s="20" t="str">
        <f t="shared" si="3864"/>
        <v>#REF!</v>
      </c>
      <c r="I1290" s="20" t="str">
        <f t="shared" si="3864"/>
        <v>#REF!</v>
      </c>
      <c r="J1290" s="20" t="str">
        <f t="shared" si="1272"/>
        <v>#REF!</v>
      </c>
      <c r="K1290" s="20" t="str">
        <f t="shared" ref="K1290:L1290" si="3865">#REF!</f>
        <v>#REF!</v>
      </c>
      <c r="L1290" s="20" t="str">
        <f t="shared" si="3865"/>
        <v>#REF!</v>
      </c>
    </row>
    <row r="1291">
      <c r="A1291" s="20" t="str">
        <f t="shared" si="1267"/>
        <v>#REF!</v>
      </c>
      <c r="B1291" s="20" t="str">
        <f t="shared" si="1268"/>
        <v>#REF!</v>
      </c>
      <c r="C1291" s="20" t="str">
        <f t="shared" ref="C1291:D1291" si="3866">#REF!</f>
        <v>#REF!</v>
      </c>
      <c r="D1291" s="20" t="str">
        <f t="shared" si="3866"/>
        <v>#REF!</v>
      </c>
      <c r="E1291" s="20" t="str">
        <f t="shared" si="1270"/>
        <v>#REF!</v>
      </c>
      <c r="F1291" s="22" t="str">
        <f t="shared" si="2"/>
        <v>#REF!</v>
      </c>
      <c r="G1291" s="20" t="str">
        <f t="shared" ref="G1291:I1291" si="3867">#REF!</f>
        <v>#REF!</v>
      </c>
      <c r="H1291" s="20" t="str">
        <f t="shared" si="3867"/>
        <v>#REF!</v>
      </c>
      <c r="I1291" s="20" t="str">
        <f t="shared" si="3867"/>
        <v>#REF!</v>
      </c>
      <c r="J1291" s="20" t="str">
        <f t="shared" si="1272"/>
        <v>#REF!</v>
      </c>
      <c r="K1291" s="20" t="str">
        <f t="shared" ref="K1291:L1291" si="3868">#REF!</f>
        <v>#REF!</v>
      </c>
      <c r="L1291" s="20" t="str">
        <f t="shared" si="3868"/>
        <v>#REF!</v>
      </c>
    </row>
    <row r="1292">
      <c r="A1292" s="20" t="str">
        <f t="shared" si="1267"/>
        <v>#REF!</v>
      </c>
      <c r="B1292" s="20" t="str">
        <f t="shared" si="1268"/>
        <v>#REF!</v>
      </c>
      <c r="C1292" s="20" t="str">
        <f t="shared" ref="C1292:D1292" si="3869">#REF!</f>
        <v>#REF!</v>
      </c>
      <c r="D1292" s="20" t="str">
        <f t="shared" si="3869"/>
        <v>#REF!</v>
      </c>
      <c r="E1292" s="20" t="str">
        <f t="shared" si="1270"/>
        <v>#REF!</v>
      </c>
      <c r="F1292" s="22" t="str">
        <f t="shared" si="2"/>
        <v>#REF!</v>
      </c>
      <c r="G1292" s="20" t="str">
        <f t="shared" ref="G1292:I1292" si="3870">#REF!</f>
        <v>#REF!</v>
      </c>
      <c r="H1292" s="20" t="str">
        <f t="shared" si="3870"/>
        <v>#REF!</v>
      </c>
      <c r="I1292" s="20" t="str">
        <f t="shared" si="3870"/>
        <v>#REF!</v>
      </c>
      <c r="J1292" s="20" t="str">
        <f t="shared" si="1272"/>
        <v>#REF!</v>
      </c>
      <c r="K1292" s="20" t="str">
        <f t="shared" ref="K1292:L1292" si="3871">#REF!</f>
        <v>#REF!</v>
      </c>
      <c r="L1292" s="20" t="str">
        <f t="shared" si="3871"/>
        <v>#REF!</v>
      </c>
    </row>
    <row r="1293">
      <c r="A1293" s="20" t="str">
        <f t="shared" si="1267"/>
        <v>#REF!</v>
      </c>
      <c r="B1293" s="20" t="str">
        <f t="shared" si="1268"/>
        <v>#REF!</v>
      </c>
      <c r="C1293" s="20" t="str">
        <f t="shared" ref="C1293:D1293" si="3872">#REF!</f>
        <v>#REF!</v>
      </c>
      <c r="D1293" s="20" t="str">
        <f t="shared" si="3872"/>
        <v>#REF!</v>
      </c>
      <c r="E1293" s="20" t="str">
        <f t="shared" si="1270"/>
        <v>#REF!</v>
      </c>
      <c r="F1293" s="22" t="str">
        <f t="shared" si="2"/>
        <v>#REF!</v>
      </c>
      <c r="G1293" s="20" t="str">
        <f t="shared" ref="G1293:I1293" si="3873">#REF!</f>
        <v>#REF!</v>
      </c>
      <c r="H1293" s="20" t="str">
        <f t="shared" si="3873"/>
        <v>#REF!</v>
      </c>
      <c r="I1293" s="20" t="str">
        <f t="shared" si="3873"/>
        <v>#REF!</v>
      </c>
      <c r="J1293" s="20" t="str">
        <f t="shared" si="1272"/>
        <v>#REF!</v>
      </c>
      <c r="K1293" s="20" t="str">
        <f t="shared" ref="K1293:L1293" si="3874">#REF!</f>
        <v>#REF!</v>
      </c>
      <c r="L1293" s="20" t="str">
        <f t="shared" si="3874"/>
        <v>#REF!</v>
      </c>
    </row>
    <row r="1294">
      <c r="A1294" s="20" t="str">
        <f t="shared" si="1267"/>
        <v>#REF!</v>
      </c>
      <c r="B1294" s="20" t="str">
        <f t="shared" si="1268"/>
        <v>#REF!</v>
      </c>
      <c r="C1294" s="20" t="str">
        <f t="shared" ref="C1294:D1294" si="3875">#REF!</f>
        <v>#REF!</v>
      </c>
      <c r="D1294" s="20" t="str">
        <f t="shared" si="3875"/>
        <v>#REF!</v>
      </c>
      <c r="E1294" s="20" t="str">
        <f t="shared" si="1270"/>
        <v>#REF!</v>
      </c>
      <c r="F1294" s="22" t="str">
        <f t="shared" si="2"/>
        <v>#REF!</v>
      </c>
      <c r="G1294" s="20" t="str">
        <f t="shared" ref="G1294:I1294" si="3876">#REF!</f>
        <v>#REF!</v>
      </c>
      <c r="H1294" s="20" t="str">
        <f t="shared" si="3876"/>
        <v>#REF!</v>
      </c>
      <c r="I1294" s="20" t="str">
        <f t="shared" si="3876"/>
        <v>#REF!</v>
      </c>
      <c r="J1294" s="20" t="str">
        <f t="shared" si="1272"/>
        <v>#REF!</v>
      </c>
      <c r="K1294" s="20" t="str">
        <f t="shared" ref="K1294:L1294" si="3877">#REF!</f>
        <v>#REF!</v>
      </c>
      <c r="L1294" s="20" t="str">
        <f t="shared" si="3877"/>
        <v>#REF!</v>
      </c>
    </row>
    <row r="1295">
      <c r="A1295" s="20" t="str">
        <f t="shared" si="1267"/>
        <v>#REF!</v>
      </c>
      <c r="B1295" s="20" t="str">
        <f t="shared" si="1268"/>
        <v>#REF!</v>
      </c>
      <c r="C1295" s="20" t="str">
        <f t="shared" ref="C1295:D1295" si="3878">#REF!</f>
        <v>#REF!</v>
      </c>
      <c r="D1295" s="20" t="str">
        <f t="shared" si="3878"/>
        <v>#REF!</v>
      </c>
      <c r="E1295" s="20" t="str">
        <f t="shared" si="1270"/>
        <v>#REF!</v>
      </c>
      <c r="F1295" s="22" t="str">
        <f t="shared" si="2"/>
        <v>#REF!</v>
      </c>
      <c r="G1295" s="20" t="str">
        <f t="shared" ref="G1295:I1295" si="3879">#REF!</f>
        <v>#REF!</v>
      </c>
      <c r="H1295" s="20" t="str">
        <f t="shared" si="3879"/>
        <v>#REF!</v>
      </c>
      <c r="I1295" s="20" t="str">
        <f t="shared" si="3879"/>
        <v>#REF!</v>
      </c>
      <c r="J1295" s="20" t="str">
        <f t="shared" si="1272"/>
        <v>#REF!</v>
      </c>
      <c r="K1295" s="20" t="str">
        <f t="shared" ref="K1295:L1295" si="3880">#REF!</f>
        <v>#REF!</v>
      </c>
      <c r="L1295" s="20" t="str">
        <f t="shared" si="3880"/>
        <v>#REF!</v>
      </c>
    </row>
    <row r="1296">
      <c r="A1296" s="20" t="str">
        <f t="shared" si="1267"/>
        <v>#REF!</v>
      </c>
      <c r="B1296" s="20" t="str">
        <f t="shared" si="1268"/>
        <v>#REF!</v>
      </c>
      <c r="C1296" s="20" t="str">
        <f t="shared" ref="C1296:D1296" si="3881">#REF!</f>
        <v>#REF!</v>
      </c>
      <c r="D1296" s="20" t="str">
        <f t="shared" si="3881"/>
        <v>#REF!</v>
      </c>
      <c r="E1296" s="20" t="str">
        <f t="shared" si="1270"/>
        <v>#REF!</v>
      </c>
      <c r="F1296" s="22" t="str">
        <f t="shared" si="2"/>
        <v>#REF!</v>
      </c>
      <c r="G1296" s="20" t="str">
        <f t="shared" ref="G1296:I1296" si="3882">#REF!</f>
        <v>#REF!</v>
      </c>
      <c r="H1296" s="20" t="str">
        <f t="shared" si="3882"/>
        <v>#REF!</v>
      </c>
      <c r="I1296" s="20" t="str">
        <f t="shared" si="3882"/>
        <v>#REF!</v>
      </c>
      <c r="J1296" s="20" t="str">
        <f t="shared" si="1272"/>
        <v>#REF!</v>
      </c>
      <c r="K1296" s="20" t="str">
        <f t="shared" ref="K1296:L1296" si="3883">#REF!</f>
        <v>#REF!</v>
      </c>
      <c r="L1296" s="20" t="str">
        <f t="shared" si="3883"/>
        <v>#REF!</v>
      </c>
    </row>
    <row r="1297">
      <c r="A1297" s="20" t="str">
        <f t="shared" si="1267"/>
        <v>#REF!</v>
      </c>
      <c r="B1297" s="20" t="str">
        <f t="shared" si="1268"/>
        <v>#REF!</v>
      </c>
      <c r="C1297" s="20" t="str">
        <f t="shared" ref="C1297:D1297" si="3884">#REF!</f>
        <v>#REF!</v>
      </c>
      <c r="D1297" s="20" t="str">
        <f t="shared" si="3884"/>
        <v>#REF!</v>
      </c>
      <c r="E1297" s="20" t="str">
        <f t="shared" si="1270"/>
        <v>#REF!</v>
      </c>
      <c r="F1297" s="22" t="str">
        <f t="shared" si="2"/>
        <v>#REF!</v>
      </c>
      <c r="G1297" s="20" t="str">
        <f t="shared" ref="G1297:I1297" si="3885">#REF!</f>
        <v>#REF!</v>
      </c>
      <c r="H1297" s="20" t="str">
        <f t="shared" si="3885"/>
        <v>#REF!</v>
      </c>
      <c r="I1297" s="20" t="str">
        <f t="shared" si="3885"/>
        <v>#REF!</v>
      </c>
      <c r="J1297" s="20" t="str">
        <f t="shared" si="1272"/>
        <v>#REF!</v>
      </c>
      <c r="K1297" s="20" t="str">
        <f t="shared" ref="K1297:L1297" si="3886">#REF!</f>
        <v>#REF!</v>
      </c>
      <c r="L1297" s="20" t="str">
        <f t="shared" si="3886"/>
        <v>#REF!</v>
      </c>
    </row>
    <row r="1298">
      <c r="A1298" s="20" t="str">
        <f t="shared" si="1267"/>
        <v>#REF!</v>
      </c>
      <c r="B1298" s="20" t="str">
        <f t="shared" si="1268"/>
        <v>#REF!</v>
      </c>
      <c r="C1298" s="20" t="str">
        <f t="shared" ref="C1298:D1298" si="3887">#REF!</f>
        <v>#REF!</v>
      </c>
      <c r="D1298" s="20" t="str">
        <f t="shared" si="3887"/>
        <v>#REF!</v>
      </c>
      <c r="E1298" s="20" t="str">
        <f t="shared" si="1270"/>
        <v>#REF!</v>
      </c>
      <c r="F1298" s="22" t="str">
        <f t="shared" si="2"/>
        <v>#REF!</v>
      </c>
      <c r="G1298" s="20" t="str">
        <f t="shared" ref="G1298:I1298" si="3888">#REF!</f>
        <v>#REF!</v>
      </c>
      <c r="H1298" s="20" t="str">
        <f t="shared" si="3888"/>
        <v>#REF!</v>
      </c>
      <c r="I1298" s="20" t="str">
        <f t="shared" si="3888"/>
        <v>#REF!</v>
      </c>
      <c r="J1298" s="20" t="str">
        <f t="shared" si="1272"/>
        <v>#REF!</v>
      </c>
      <c r="K1298" s="20" t="str">
        <f t="shared" ref="K1298:L1298" si="3889">#REF!</f>
        <v>#REF!</v>
      </c>
      <c r="L1298" s="20" t="str">
        <f t="shared" si="3889"/>
        <v>#REF!</v>
      </c>
    </row>
    <row r="1299">
      <c r="A1299" s="20" t="str">
        <f t="shared" si="1267"/>
        <v>#REF!</v>
      </c>
      <c r="B1299" s="20" t="str">
        <f t="shared" si="1268"/>
        <v>#REF!</v>
      </c>
      <c r="C1299" s="20" t="str">
        <f t="shared" ref="C1299:D1299" si="3890">#REF!</f>
        <v>#REF!</v>
      </c>
      <c r="D1299" s="20" t="str">
        <f t="shared" si="3890"/>
        <v>#REF!</v>
      </c>
      <c r="E1299" s="20" t="str">
        <f t="shared" si="1270"/>
        <v>#REF!</v>
      </c>
      <c r="F1299" s="22" t="str">
        <f t="shared" si="2"/>
        <v>#REF!</v>
      </c>
      <c r="G1299" s="20" t="str">
        <f t="shared" ref="G1299:I1299" si="3891">#REF!</f>
        <v>#REF!</v>
      </c>
      <c r="H1299" s="20" t="str">
        <f t="shared" si="3891"/>
        <v>#REF!</v>
      </c>
      <c r="I1299" s="20" t="str">
        <f t="shared" si="3891"/>
        <v>#REF!</v>
      </c>
      <c r="J1299" s="20" t="str">
        <f t="shared" si="1272"/>
        <v>#REF!</v>
      </c>
      <c r="K1299" s="20" t="str">
        <f t="shared" ref="K1299:L1299" si="3892">#REF!</f>
        <v>#REF!</v>
      </c>
      <c r="L1299" s="20" t="str">
        <f t="shared" si="3892"/>
        <v>#REF!</v>
      </c>
    </row>
    <row r="1300">
      <c r="A1300" s="20" t="str">
        <f t="shared" si="1267"/>
        <v>#REF!</v>
      </c>
      <c r="B1300" s="20" t="str">
        <f t="shared" si="1268"/>
        <v>#REF!</v>
      </c>
      <c r="C1300" s="20" t="str">
        <f t="shared" ref="C1300:D1300" si="3893">#REF!</f>
        <v>#REF!</v>
      </c>
      <c r="D1300" s="20" t="str">
        <f t="shared" si="3893"/>
        <v>#REF!</v>
      </c>
      <c r="E1300" s="20" t="str">
        <f t="shared" si="1270"/>
        <v>#REF!</v>
      </c>
      <c r="F1300" s="22" t="str">
        <f t="shared" si="2"/>
        <v>#REF!</v>
      </c>
      <c r="G1300" s="20" t="str">
        <f t="shared" ref="G1300:I1300" si="3894">#REF!</f>
        <v>#REF!</v>
      </c>
      <c r="H1300" s="20" t="str">
        <f t="shared" si="3894"/>
        <v>#REF!</v>
      </c>
      <c r="I1300" s="20" t="str">
        <f t="shared" si="3894"/>
        <v>#REF!</v>
      </c>
      <c r="J1300" s="20" t="str">
        <f t="shared" si="1272"/>
        <v>#REF!</v>
      </c>
      <c r="K1300" s="20" t="str">
        <f t="shared" ref="K1300:L1300" si="3895">#REF!</f>
        <v>#REF!</v>
      </c>
      <c r="L1300" s="20" t="str">
        <f t="shared" si="3895"/>
        <v>#REF!</v>
      </c>
    </row>
    <row r="1301">
      <c r="A1301" s="20" t="str">
        <f t="shared" si="1267"/>
        <v>#REF!</v>
      </c>
      <c r="B1301" s="20" t="str">
        <f t="shared" si="1268"/>
        <v>#REF!</v>
      </c>
      <c r="C1301" s="20" t="str">
        <f t="shared" ref="C1301:D1301" si="3896">#REF!</f>
        <v>#REF!</v>
      </c>
      <c r="D1301" s="20" t="str">
        <f t="shared" si="3896"/>
        <v>#REF!</v>
      </c>
      <c r="E1301" s="20" t="str">
        <f t="shared" si="1270"/>
        <v>#REF!</v>
      </c>
      <c r="F1301" s="22" t="str">
        <f t="shared" si="2"/>
        <v>#REF!</v>
      </c>
      <c r="G1301" s="20" t="str">
        <f t="shared" ref="G1301:I1301" si="3897">#REF!</f>
        <v>#REF!</v>
      </c>
      <c r="H1301" s="20" t="str">
        <f t="shared" si="3897"/>
        <v>#REF!</v>
      </c>
      <c r="I1301" s="20" t="str">
        <f t="shared" si="3897"/>
        <v>#REF!</v>
      </c>
      <c r="J1301" s="20" t="str">
        <f t="shared" si="1272"/>
        <v>#REF!</v>
      </c>
      <c r="K1301" s="20" t="str">
        <f t="shared" ref="K1301:L1301" si="3898">#REF!</f>
        <v>#REF!</v>
      </c>
      <c r="L1301" s="20" t="str">
        <f t="shared" si="3898"/>
        <v>#REF!</v>
      </c>
    </row>
    <row r="1302">
      <c r="A1302" s="20" t="str">
        <f t="shared" si="1267"/>
        <v>#REF!</v>
      </c>
      <c r="B1302" s="20" t="str">
        <f t="shared" si="1268"/>
        <v>#REF!</v>
      </c>
      <c r="C1302" s="20" t="str">
        <f t="shared" ref="C1302:D1302" si="3899">#REF!</f>
        <v>#REF!</v>
      </c>
      <c r="D1302" s="20" t="str">
        <f t="shared" si="3899"/>
        <v>#REF!</v>
      </c>
      <c r="E1302" s="20" t="str">
        <f t="shared" si="1270"/>
        <v>#REF!</v>
      </c>
      <c r="F1302" s="22" t="str">
        <f t="shared" si="2"/>
        <v>#REF!</v>
      </c>
      <c r="G1302" s="20" t="str">
        <f t="shared" ref="G1302:I1302" si="3900">#REF!</f>
        <v>#REF!</v>
      </c>
      <c r="H1302" s="20" t="str">
        <f t="shared" si="3900"/>
        <v>#REF!</v>
      </c>
      <c r="I1302" s="20" t="str">
        <f t="shared" si="3900"/>
        <v>#REF!</v>
      </c>
      <c r="J1302" s="20" t="str">
        <f t="shared" si="1272"/>
        <v>#REF!</v>
      </c>
      <c r="K1302" s="20" t="str">
        <f t="shared" ref="K1302:L1302" si="3901">#REF!</f>
        <v>#REF!</v>
      </c>
      <c r="L1302" s="20" t="str">
        <f t="shared" si="3901"/>
        <v>#REF!</v>
      </c>
    </row>
    <row r="1303">
      <c r="A1303" s="20" t="str">
        <f t="shared" si="1267"/>
        <v>#REF!</v>
      </c>
      <c r="B1303" s="20" t="str">
        <f t="shared" si="1268"/>
        <v>#REF!</v>
      </c>
      <c r="C1303" s="20" t="str">
        <f t="shared" ref="C1303:D1303" si="3902">#REF!</f>
        <v>#REF!</v>
      </c>
      <c r="D1303" s="20" t="str">
        <f t="shared" si="3902"/>
        <v>#REF!</v>
      </c>
      <c r="E1303" s="20" t="str">
        <f t="shared" si="1270"/>
        <v>#REF!</v>
      </c>
      <c r="F1303" s="22" t="str">
        <f t="shared" si="2"/>
        <v>#REF!</v>
      </c>
      <c r="G1303" s="20" t="str">
        <f t="shared" ref="G1303:I1303" si="3903">#REF!</f>
        <v>#REF!</v>
      </c>
      <c r="H1303" s="20" t="str">
        <f t="shared" si="3903"/>
        <v>#REF!</v>
      </c>
      <c r="I1303" s="20" t="str">
        <f t="shared" si="3903"/>
        <v>#REF!</v>
      </c>
      <c r="J1303" s="20" t="str">
        <f t="shared" si="1272"/>
        <v>#REF!</v>
      </c>
      <c r="K1303" s="20" t="str">
        <f t="shared" ref="K1303:L1303" si="3904">#REF!</f>
        <v>#REF!</v>
      </c>
      <c r="L1303" s="20" t="str">
        <f t="shared" si="3904"/>
        <v>#REF!</v>
      </c>
    </row>
    <row r="1304">
      <c r="A1304" s="20" t="str">
        <f t="shared" si="1267"/>
        <v>#REF!</v>
      </c>
      <c r="B1304" s="20" t="str">
        <f t="shared" si="1268"/>
        <v>#REF!</v>
      </c>
      <c r="C1304" s="20" t="str">
        <f t="shared" ref="C1304:D1304" si="3905">#REF!</f>
        <v>#REF!</v>
      </c>
      <c r="D1304" s="20" t="str">
        <f t="shared" si="3905"/>
        <v>#REF!</v>
      </c>
      <c r="E1304" s="20" t="str">
        <f t="shared" si="1270"/>
        <v>#REF!</v>
      </c>
      <c r="F1304" s="22" t="str">
        <f t="shared" si="2"/>
        <v>#REF!</v>
      </c>
      <c r="G1304" s="20" t="str">
        <f t="shared" ref="G1304:I1304" si="3906">#REF!</f>
        <v>#REF!</v>
      </c>
      <c r="H1304" s="20" t="str">
        <f t="shared" si="3906"/>
        <v>#REF!</v>
      </c>
      <c r="I1304" s="20" t="str">
        <f t="shared" si="3906"/>
        <v>#REF!</v>
      </c>
      <c r="J1304" s="20" t="str">
        <f t="shared" si="1272"/>
        <v>#REF!</v>
      </c>
      <c r="K1304" s="20" t="str">
        <f t="shared" ref="K1304:L1304" si="3907">#REF!</f>
        <v>#REF!</v>
      </c>
      <c r="L1304" s="20" t="str">
        <f t="shared" si="3907"/>
        <v>#REF!</v>
      </c>
    </row>
    <row r="1305">
      <c r="A1305" s="20" t="str">
        <f t="shared" si="1267"/>
        <v>#REF!</v>
      </c>
      <c r="B1305" s="20" t="str">
        <f t="shared" si="1268"/>
        <v>#REF!</v>
      </c>
      <c r="C1305" s="20" t="str">
        <f t="shared" ref="C1305:D1305" si="3908">#REF!</f>
        <v>#REF!</v>
      </c>
      <c r="D1305" s="20" t="str">
        <f t="shared" si="3908"/>
        <v>#REF!</v>
      </c>
      <c r="E1305" s="20" t="str">
        <f t="shared" si="1270"/>
        <v>#REF!</v>
      </c>
      <c r="F1305" s="22" t="str">
        <f t="shared" si="2"/>
        <v>#REF!</v>
      </c>
      <c r="G1305" s="20" t="str">
        <f t="shared" ref="G1305:I1305" si="3909">#REF!</f>
        <v>#REF!</v>
      </c>
      <c r="H1305" s="20" t="str">
        <f t="shared" si="3909"/>
        <v>#REF!</v>
      </c>
      <c r="I1305" s="20" t="str">
        <f t="shared" si="3909"/>
        <v>#REF!</v>
      </c>
      <c r="J1305" s="20" t="str">
        <f t="shared" si="1272"/>
        <v>#REF!</v>
      </c>
      <c r="K1305" s="20" t="str">
        <f t="shared" ref="K1305:L1305" si="3910">#REF!</f>
        <v>#REF!</v>
      </c>
      <c r="L1305" s="20" t="str">
        <f t="shared" si="3910"/>
        <v>#REF!</v>
      </c>
    </row>
    <row r="1306">
      <c r="A1306" s="20" t="str">
        <f t="shared" si="1267"/>
        <v>#REF!</v>
      </c>
      <c r="B1306" s="20" t="str">
        <f t="shared" si="1268"/>
        <v>#REF!</v>
      </c>
      <c r="C1306" s="20" t="str">
        <f t="shared" ref="C1306:D1306" si="3911">#REF!</f>
        <v>#REF!</v>
      </c>
      <c r="D1306" s="20" t="str">
        <f t="shared" si="3911"/>
        <v>#REF!</v>
      </c>
      <c r="E1306" s="20" t="str">
        <f t="shared" si="1270"/>
        <v>#REF!</v>
      </c>
      <c r="F1306" s="22" t="str">
        <f t="shared" si="2"/>
        <v>#REF!</v>
      </c>
      <c r="G1306" s="20" t="str">
        <f t="shared" ref="G1306:I1306" si="3912">#REF!</f>
        <v>#REF!</v>
      </c>
      <c r="H1306" s="20" t="str">
        <f t="shared" si="3912"/>
        <v>#REF!</v>
      </c>
      <c r="I1306" s="20" t="str">
        <f t="shared" si="3912"/>
        <v>#REF!</v>
      </c>
      <c r="J1306" s="20" t="str">
        <f t="shared" si="1272"/>
        <v>#REF!</v>
      </c>
      <c r="K1306" s="20" t="str">
        <f t="shared" ref="K1306:L1306" si="3913">#REF!</f>
        <v>#REF!</v>
      </c>
      <c r="L1306" s="20" t="str">
        <f t="shared" si="3913"/>
        <v>#REF!</v>
      </c>
    </row>
    <row r="1307">
      <c r="A1307" s="20" t="str">
        <f t="shared" si="1267"/>
        <v>#REF!</v>
      </c>
      <c r="B1307" s="20" t="str">
        <f t="shared" si="1268"/>
        <v>#REF!</v>
      </c>
      <c r="C1307" s="20" t="str">
        <f t="shared" ref="C1307:D1307" si="3914">#REF!</f>
        <v>#REF!</v>
      </c>
      <c r="D1307" s="20" t="str">
        <f t="shared" si="3914"/>
        <v>#REF!</v>
      </c>
      <c r="E1307" s="20" t="str">
        <f t="shared" si="1270"/>
        <v>#REF!</v>
      </c>
      <c r="F1307" s="22" t="str">
        <f t="shared" si="2"/>
        <v>#REF!</v>
      </c>
      <c r="G1307" s="20" t="str">
        <f t="shared" ref="G1307:I1307" si="3915">#REF!</f>
        <v>#REF!</v>
      </c>
      <c r="H1307" s="20" t="str">
        <f t="shared" si="3915"/>
        <v>#REF!</v>
      </c>
      <c r="I1307" s="20" t="str">
        <f t="shared" si="3915"/>
        <v>#REF!</v>
      </c>
      <c r="J1307" s="20" t="str">
        <f t="shared" si="1272"/>
        <v>#REF!</v>
      </c>
      <c r="K1307" s="20" t="str">
        <f t="shared" ref="K1307:L1307" si="3916">#REF!</f>
        <v>#REF!</v>
      </c>
      <c r="L1307" s="20" t="str">
        <f t="shared" si="3916"/>
        <v>#REF!</v>
      </c>
    </row>
    <row r="1308">
      <c r="A1308" s="20" t="str">
        <f t="shared" si="1267"/>
        <v>#REF!</v>
      </c>
      <c r="B1308" s="20" t="str">
        <f t="shared" si="1268"/>
        <v>#REF!</v>
      </c>
      <c r="C1308" s="20" t="str">
        <f t="shared" ref="C1308:D1308" si="3917">#REF!</f>
        <v>#REF!</v>
      </c>
      <c r="D1308" s="20" t="str">
        <f t="shared" si="3917"/>
        <v>#REF!</v>
      </c>
      <c r="E1308" s="20" t="str">
        <f t="shared" si="1270"/>
        <v>#REF!</v>
      </c>
      <c r="F1308" s="22" t="str">
        <f t="shared" si="2"/>
        <v>#REF!</v>
      </c>
      <c r="G1308" s="20" t="str">
        <f t="shared" ref="G1308:I1308" si="3918">#REF!</f>
        <v>#REF!</v>
      </c>
      <c r="H1308" s="20" t="str">
        <f t="shared" si="3918"/>
        <v>#REF!</v>
      </c>
      <c r="I1308" s="20" t="str">
        <f t="shared" si="3918"/>
        <v>#REF!</v>
      </c>
      <c r="J1308" s="20" t="str">
        <f t="shared" si="1272"/>
        <v>#REF!</v>
      </c>
      <c r="K1308" s="20" t="str">
        <f t="shared" ref="K1308:L1308" si="3919">#REF!</f>
        <v>#REF!</v>
      </c>
      <c r="L1308" s="20" t="str">
        <f t="shared" si="3919"/>
        <v>#REF!</v>
      </c>
    </row>
    <row r="1309">
      <c r="A1309" s="20" t="str">
        <f t="shared" si="1267"/>
        <v>#REF!</v>
      </c>
      <c r="B1309" s="20" t="str">
        <f t="shared" si="1268"/>
        <v>#REF!</v>
      </c>
      <c r="C1309" s="20" t="str">
        <f t="shared" ref="C1309:D1309" si="3920">#REF!</f>
        <v>#REF!</v>
      </c>
      <c r="D1309" s="20" t="str">
        <f t="shared" si="3920"/>
        <v>#REF!</v>
      </c>
      <c r="E1309" s="20" t="str">
        <f t="shared" si="1270"/>
        <v>#REF!</v>
      </c>
      <c r="F1309" s="22" t="str">
        <f t="shared" si="2"/>
        <v>#REF!</v>
      </c>
      <c r="G1309" s="20" t="str">
        <f t="shared" ref="G1309:I1309" si="3921">#REF!</f>
        <v>#REF!</v>
      </c>
      <c r="H1309" s="20" t="str">
        <f t="shared" si="3921"/>
        <v>#REF!</v>
      </c>
      <c r="I1309" s="20" t="str">
        <f t="shared" si="3921"/>
        <v>#REF!</v>
      </c>
      <c r="J1309" s="20" t="str">
        <f t="shared" si="1272"/>
        <v>#REF!</v>
      </c>
      <c r="K1309" s="20" t="str">
        <f t="shared" ref="K1309:L1309" si="3922">#REF!</f>
        <v>#REF!</v>
      </c>
      <c r="L1309" s="20" t="str">
        <f t="shared" si="3922"/>
        <v>#REF!</v>
      </c>
    </row>
    <row r="1310">
      <c r="A1310" s="20" t="str">
        <f t="shared" si="1267"/>
        <v>#REF!</v>
      </c>
      <c r="B1310" s="20" t="str">
        <f t="shared" si="1268"/>
        <v>#REF!</v>
      </c>
      <c r="C1310" s="20" t="str">
        <f t="shared" ref="C1310:D1310" si="3923">#REF!</f>
        <v>#REF!</v>
      </c>
      <c r="D1310" s="20" t="str">
        <f t="shared" si="3923"/>
        <v>#REF!</v>
      </c>
      <c r="E1310" s="20" t="str">
        <f t="shared" si="1270"/>
        <v>#REF!</v>
      </c>
      <c r="F1310" s="22" t="str">
        <f t="shared" si="2"/>
        <v>#REF!</v>
      </c>
      <c r="G1310" s="20" t="str">
        <f t="shared" ref="G1310:I1310" si="3924">#REF!</f>
        <v>#REF!</v>
      </c>
      <c r="H1310" s="20" t="str">
        <f t="shared" si="3924"/>
        <v>#REF!</v>
      </c>
      <c r="I1310" s="20" t="str">
        <f t="shared" si="3924"/>
        <v>#REF!</v>
      </c>
      <c r="J1310" s="20" t="str">
        <f t="shared" si="1272"/>
        <v>#REF!</v>
      </c>
      <c r="K1310" s="20" t="str">
        <f t="shared" ref="K1310:L1310" si="3925">#REF!</f>
        <v>#REF!</v>
      </c>
      <c r="L1310" s="20" t="str">
        <f t="shared" si="3925"/>
        <v>#REF!</v>
      </c>
    </row>
    <row r="1311">
      <c r="A1311" s="20" t="str">
        <f t="shared" si="1267"/>
        <v>#REF!</v>
      </c>
      <c r="B1311" s="20" t="str">
        <f t="shared" si="1268"/>
        <v>#REF!</v>
      </c>
      <c r="C1311" s="20" t="str">
        <f t="shared" ref="C1311:D1311" si="3926">#REF!</f>
        <v>#REF!</v>
      </c>
      <c r="D1311" s="20" t="str">
        <f t="shared" si="3926"/>
        <v>#REF!</v>
      </c>
      <c r="E1311" s="20" t="str">
        <f t="shared" si="1270"/>
        <v>#REF!</v>
      </c>
      <c r="F1311" s="22" t="str">
        <f t="shared" si="2"/>
        <v>#REF!</v>
      </c>
      <c r="G1311" s="20" t="str">
        <f t="shared" ref="G1311:I1311" si="3927">#REF!</f>
        <v>#REF!</v>
      </c>
      <c r="H1311" s="20" t="str">
        <f t="shared" si="3927"/>
        <v>#REF!</v>
      </c>
      <c r="I1311" s="20" t="str">
        <f t="shared" si="3927"/>
        <v>#REF!</v>
      </c>
      <c r="J1311" s="20" t="str">
        <f t="shared" si="1272"/>
        <v>#REF!</v>
      </c>
      <c r="K1311" s="20" t="str">
        <f t="shared" ref="K1311:L1311" si="3928">#REF!</f>
        <v>#REF!</v>
      </c>
      <c r="L1311" s="20" t="str">
        <f t="shared" si="3928"/>
        <v>#REF!</v>
      </c>
    </row>
    <row r="1312">
      <c r="A1312" s="20" t="str">
        <f t="shared" si="1267"/>
        <v>#REF!</v>
      </c>
      <c r="B1312" s="20" t="str">
        <f t="shared" si="1268"/>
        <v>#REF!</v>
      </c>
      <c r="C1312" s="20" t="str">
        <f t="shared" ref="C1312:D1312" si="3929">#REF!</f>
        <v>#REF!</v>
      </c>
      <c r="D1312" s="20" t="str">
        <f t="shared" si="3929"/>
        <v>#REF!</v>
      </c>
      <c r="E1312" s="20" t="str">
        <f t="shared" si="1270"/>
        <v>#REF!</v>
      </c>
      <c r="F1312" s="22" t="str">
        <f t="shared" si="2"/>
        <v>#REF!</v>
      </c>
      <c r="G1312" s="20" t="str">
        <f t="shared" ref="G1312:I1312" si="3930">#REF!</f>
        <v>#REF!</v>
      </c>
      <c r="H1312" s="20" t="str">
        <f t="shared" si="3930"/>
        <v>#REF!</v>
      </c>
      <c r="I1312" s="20" t="str">
        <f t="shared" si="3930"/>
        <v>#REF!</v>
      </c>
      <c r="J1312" s="20" t="str">
        <f t="shared" si="1272"/>
        <v>#REF!</v>
      </c>
      <c r="K1312" s="20" t="str">
        <f t="shared" ref="K1312:L1312" si="3931">#REF!</f>
        <v>#REF!</v>
      </c>
      <c r="L1312" s="20" t="str">
        <f t="shared" si="3931"/>
        <v>#REF!</v>
      </c>
    </row>
    <row r="1313">
      <c r="A1313" s="20" t="str">
        <f t="shared" si="1267"/>
        <v>#REF!</v>
      </c>
      <c r="B1313" s="20" t="str">
        <f t="shared" si="1268"/>
        <v>#REF!</v>
      </c>
      <c r="C1313" s="20" t="str">
        <f t="shared" ref="C1313:D1313" si="3932">#REF!</f>
        <v>#REF!</v>
      </c>
      <c r="D1313" s="20" t="str">
        <f t="shared" si="3932"/>
        <v>#REF!</v>
      </c>
      <c r="E1313" s="20" t="str">
        <f t="shared" si="1270"/>
        <v>#REF!</v>
      </c>
      <c r="F1313" s="22" t="str">
        <f t="shared" si="2"/>
        <v>#REF!</v>
      </c>
      <c r="G1313" s="20" t="str">
        <f t="shared" ref="G1313:I1313" si="3933">#REF!</f>
        <v>#REF!</v>
      </c>
      <c r="H1313" s="20" t="str">
        <f t="shared" si="3933"/>
        <v>#REF!</v>
      </c>
      <c r="I1313" s="20" t="str">
        <f t="shared" si="3933"/>
        <v>#REF!</v>
      </c>
      <c r="J1313" s="20" t="str">
        <f t="shared" si="1272"/>
        <v>#REF!</v>
      </c>
      <c r="K1313" s="20" t="str">
        <f t="shared" ref="K1313:L1313" si="3934">#REF!</f>
        <v>#REF!</v>
      </c>
      <c r="L1313" s="20" t="str">
        <f t="shared" si="3934"/>
        <v>#REF!</v>
      </c>
    </row>
    <row r="1314">
      <c r="A1314" s="20" t="str">
        <f t="shared" si="1267"/>
        <v>#REF!</v>
      </c>
      <c r="B1314" s="20" t="str">
        <f t="shared" si="1268"/>
        <v>#REF!</v>
      </c>
      <c r="C1314" s="20" t="str">
        <f t="shared" ref="C1314:D1314" si="3935">#REF!</f>
        <v>#REF!</v>
      </c>
      <c r="D1314" s="20" t="str">
        <f t="shared" si="3935"/>
        <v>#REF!</v>
      </c>
      <c r="E1314" s="20" t="str">
        <f t="shared" si="1270"/>
        <v>#REF!</v>
      </c>
      <c r="F1314" s="22" t="str">
        <f t="shared" si="2"/>
        <v>#REF!</v>
      </c>
      <c r="G1314" s="20" t="str">
        <f t="shared" ref="G1314:I1314" si="3936">#REF!</f>
        <v>#REF!</v>
      </c>
      <c r="H1314" s="20" t="str">
        <f t="shared" si="3936"/>
        <v>#REF!</v>
      </c>
      <c r="I1314" s="20" t="str">
        <f t="shared" si="3936"/>
        <v>#REF!</v>
      </c>
      <c r="J1314" s="20" t="str">
        <f t="shared" si="1272"/>
        <v>#REF!</v>
      </c>
      <c r="K1314" s="20" t="str">
        <f t="shared" ref="K1314:L1314" si="3937">#REF!</f>
        <v>#REF!</v>
      </c>
      <c r="L1314" s="20" t="str">
        <f t="shared" si="3937"/>
        <v>#REF!</v>
      </c>
    </row>
    <row r="1315">
      <c r="A1315" s="20" t="str">
        <f t="shared" si="1267"/>
        <v>#REF!</v>
      </c>
      <c r="B1315" s="20" t="str">
        <f t="shared" si="1268"/>
        <v>#REF!</v>
      </c>
      <c r="C1315" s="20" t="str">
        <f t="shared" ref="C1315:D1315" si="3938">#REF!</f>
        <v>#REF!</v>
      </c>
      <c r="D1315" s="20" t="str">
        <f t="shared" si="3938"/>
        <v>#REF!</v>
      </c>
      <c r="E1315" s="20" t="str">
        <f t="shared" si="1270"/>
        <v>#REF!</v>
      </c>
      <c r="F1315" s="22" t="str">
        <f t="shared" si="2"/>
        <v>#REF!</v>
      </c>
      <c r="G1315" s="20" t="str">
        <f t="shared" ref="G1315:I1315" si="3939">#REF!</f>
        <v>#REF!</v>
      </c>
      <c r="H1315" s="20" t="str">
        <f t="shared" si="3939"/>
        <v>#REF!</v>
      </c>
      <c r="I1315" s="20" t="str">
        <f t="shared" si="3939"/>
        <v>#REF!</v>
      </c>
      <c r="J1315" s="20" t="str">
        <f t="shared" si="1272"/>
        <v>#REF!</v>
      </c>
      <c r="K1315" s="20" t="str">
        <f t="shared" ref="K1315:L1315" si="3940">#REF!</f>
        <v>#REF!</v>
      </c>
      <c r="L1315" s="20" t="str">
        <f t="shared" si="3940"/>
        <v>#REF!</v>
      </c>
    </row>
    <row r="1316">
      <c r="A1316" s="20" t="str">
        <f t="shared" si="1267"/>
        <v>#REF!</v>
      </c>
      <c r="B1316" s="20" t="str">
        <f t="shared" si="1268"/>
        <v>#REF!</v>
      </c>
      <c r="C1316" s="20" t="str">
        <f t="shared" ref="C1316:D1316" si="3941">#REF!</f>
        <v>#REF!</v>
      </c>
      <c r="D1316" s="20" t="str">
        <f t="shared" si="3941"/>
        <v>#REF!</v>
      </c>
      <c r="E1316" s="20" t="str">
        <f t="shared" si="1270"/>
        <v>#REF!</v>
      </c>
      <c r="F1316" s="22" t="str">
        <f t="shared" si="2"/>
        <v>#REF!</v>
      </c>
      <c r="G1316" s="20" t="str">
        <f t="shared" ref="G1316:I1316" si="3942">#REF!</f>
        <v>#REF!</v>
      </c>
      <c r="H1316" s="20" t="str">
        <f t="shared" si="3942"/>
        <v>#REF!</v>
      </c>
      <c r="I1316" s="20" t="str">
        <f t="shared" si="3942"/>
        <v>#REF!</v>
      </c>
      <c r="J1316" s="20" t="str">
        <f t="shared" si="1272"/>
        <v>#REF!</v>
      </c>
      <c r="K1316" s="20" t="str">
        <f t="shared" ref="K1316:L1316" si="3943">#REF!</f>
        <v>#REF!</v>
      </c>
      <c r="L1316" s="20" t="str">
        <f t="shared" si="3943"/>
        <v>#REF!</v>
      </c>
    </row>
    <row r="1317">
      <c r="A1317" s="20" t="str">
        <f t="shared" si="1267"/>
        <v>#REF!</v>
      </c>
      <c r="B1317" s="20" t="str">
        <f t="shared" si="1268"/>
        <v>#REF!</v>
      </c>
      <c r="C1317" s="20" t="str">
        <f t="shared" ref="C1317:D1317" si="3944">#REF!</f>
        <v>#REF!</v>
      </c>
      <c r="D1317" s="20" t="str">
        <f t="shared" si="3944"/>
        <v>#REF!</v>
      </c>
      <c r="E1317" s="20" t="str">
        <f t="shared" si="1270"/>
        <v>#REF!</v>
      </c>
      <c r="F1317" s="22" t="str">
        <f t="shared" si="2"/>
        <v>#REF!</v>
      </c>
      <c r="G1317" s="20" t="str">
        <f t="shared" ref="G1317:I1317" si="3945">#REF!</f>
        <v>#REF!</v>
      </c>
      <c r="H1317" s="20" t="str">
        <f t="shared" si="3945"/>
        <v>#REF!</v>
      </c>
      <c r="I1317" s="20" t="str">
        <f t="shared" si="3945"/>
        <v>#REF!</v>
      </c>
      <c r="J1317" s="20" t="str">
        <f t="shared" si="1272"/>
        <v>#REF!</v>
      </c>
      <c r="K1317" s="20" t="str">
        <f t="shared" ref="K1317:L1317" si="3946">#REF!</f>
        <v>#REF!</v>
      </c>
      <c r="L1317" s="20" t="str">
        <f t="shared" si="3946"/>
        <v>#REF!</v>
      </c>
    </row>
    <row r="1318">
      <c r="A1318" s="20" t="str">
        <f t="shared" si="1267"/>
        <v>#REF!</v>
      </c>
      <c r="B1318" s="20" t="str">
        <f t="shared" si="1268"/>
        <v>#REF!</v>
      </c>
      <c r="C1318" s="20" t="str">
        <f t="shared" ref="C1318:D1318" si="3947">#REF!</f>
        <v>#REF!</v>
      </c>
      <c r="D1318" s="20" t="str">
        <f t="shared" si="3947"/>
        <v>#REF!</v>
      </c>
      <c r="E1318" s="20" t="str">
        <f t="shared" si="1270"/>
        <v>#REF!</v>
      </c>
      <c r="F1318" s="22" t="str">
        <f t="shared" si="2"/>
        <v>#REF!</v>
      </c>
      <c r="G1318" s="20" t="str">
        <f t="shared" ref="G1318:I1318" si="3948">#REF!</f>
        <v>#REF!</v>
      </c>
      <c r="H1318" s="20" t="str">
        <f t="shared" si="3948"/>
        <v>#REF!</v>
      </c>
      <c r="I1318" s="20" t="str">
        <f t="shared" si="3948"/>
        <v>#REF!</v>
      </c>
      <c r="J1318" s="20" t="str">
        <f t="shared" si="1272"/>
        <v>#REF!</v>
      </c>
      <c r="K1318" s="20" t="str">
        <f t="shared" ref="K1318:L1318" si="3949">#REF!</f>
        <v>#REF!</v>
      </c>
      <c r="L1318" s="20" t="str">
        <f t="shared" si="3949"/>
        <v>#REF!</v>
      </c>
    </row>
    <row r="1319">
      <c r="A1319" s="20" t="str">
        <f t="shared" si="1267"/>
        <v>#REF!</v>
      </c>
      <c r="B1319" s="20" t="str">
        <f t="shared" si="1268"/>
        <v>#REF!</v>
      </c>
      <c r="C1319" s="20" t="str">
        <f t="shared" ref="C1319:D1319" si="3950">#REF!</f>
        <v>#REF!</v>
      </c>
      <c r="D1319" s="20" t="str">
        <f t="shared" si="3950"/>
        <v>#REF!</v>
      </c>
      <c r="E1319" s="20" t="str">
        <f t="shared" si="1270"/>
        <v>#REF!</v>
      </c>
      <c r="F1319" s="22" t="str">
        <f t="shared" si="2"/>
        <v>#REF!</v>
      </c>
      <c r="G1319" s="20" t="str">
        <f t="shared" ref="G1319:I1319" si="3951">#REF!</f>
        <v>#REF!</v>
      </c>
      <c r="H1319" s="20" t="str">
        <f t="shared" si="3951"/>
        <v>#REF!</v>
      </c>
      <c r="I1319" s="20" t="str">
        <f t="shared" si="3951"/>
        <v>#REF!</v>
      </c>
      <c r="J1319" s="20" t="str">
        <f t="shared" si="1272"/>
        <v>#REF!</v>
      </c>
      <c r="K1319" s="20" t="str">
        <f t="shared" ref="K1319:L1319" si="3952">#REF!</f>
        <v>#REF!</v>
      </c>
      <c r="L1319" s="20" t="str">
        <f t="shared" si="3952"/>
        <v>#REF!</v>
      </c>
    </row>
    <row r="1320">
      <c r="A1320" s="20" t="str">
        <f t="shared" si="1267"/>
        <v>#REF!</v>
      </c>
      <c r="B1320" s="20" t="str">
        <f t="shared" si="1268"/>
        <v>#REF!</v>
      </c>
      <c r="C1320" s="20" t="str">
        <f t="shared" ref="C1320:D1320" si="3953">#REF!</f>
        <v>#REF!</v>
      </c>
      <c r="D1320" s="20" t="str">
        <f t="shared" si="3953"/>
        <v>#REF!</v>
      </c>
      <c r="E1320" s="20" t="str">
        <f t="shared" si="1270"/>
        <v>#REF!</v>
      </c>
      <c r="F1320" s="22" t="str">
        <f t="shared" si="2"/>
        <v>#REF!</v>
      </c>
      <c r="G1320" s="20" t="str">
        <f t="shared" ref="G1320:I1320" si="3954">#REF!</f>
        <v>#REF!</v>
      </c>
      <c r="H1320" s="20" t="str">
        <f t="shared" si="3954"/>
        <v>#REF!</v>
      </c>
      <c r="I1320" s="20" t="str">
        <f t="shared" si="3954"/>
        <v>#REF!</v>
      </c>
      <c r="J1320" s="20" t="str">
        <f t="shared" si="1272"/>
        <v>#REF!</v>
      </c>
      <c r="K1320" s="20" t="str">
        <f t="shared" ref="K1320:L1320" si="3955">#REF!</f>
        <v>#REF!</v>
      </c>
      <c r="L1320" s="20" t="str">
        <f t="shared" si="3955"/>
        <v>#REF!</v>
      </c>
    </row>
    <row r="1321">
      <c r="A1321" s="20" t="str">
        <f t="shared" si="1267"/>
        <v>#REF!</v>
      </c>
      <c r="B1321" s="20" t="str">
        <f t="shared" si="1268"/>
        <v>#REF!</v>
      </c>
      <c r="C1321" s="20" t="str">
        <f t="shared" ref="C1321:D1321" si="3956">#REF!</f>
        <v>#REF!</v>
      </c>
      <c r="D1321" s="20" t="str">
        <f t="shared" si="3956"/>
        <v>#REF!</v>
      </c>
      <c r="E1321" s="20" t="str">
        <f t="shared" si="1270"/>
        <v>#REF!</v>
      </c>
      <c r="F1321" s="22" t="str">
        <f t="shared" si="2"/>
        <v>#REF!</v>
      </c>
      <c r="G1321" s="20" t="str">
        <f t="shared" ref="G1321:I1321" si="3957">#REF!</f>
        <v>#REF!</v>
      </c>
      <c r="H1321" s="20" t="str">
        <f t="shared" si="3957"/>
        <v>#REF!</v>
      </c>
      <c r="I1321" s="20" t="str">
        <f t="shared" si="3957"/>
        <v>#REF!</v>
      </c>
      <c r="J1321" s="20" t="str">
        <f t="shared" si="1272"/>
        <v>#REF!</v>
      </c>
      <c r="K1321" s="20" t="str">
        <f t="shared" ref="K1321:L1321" si="3958">#REF!</f>
        <v>#REF!</v>
      </c>
      <c r="L1321" s="20" t="str">
        <f t="shared" si="3958"/>
        <v>#REF!</v>
      </c>
    </row>
    <row r="1322">
      <c r="A1322" s="20" t="str">
        <f t="shared" si="1267"/>
        <v>#REF!</v>
      </c>
      <c r="B1322" s="20" t="str">
        <f t="shared" si="1268"/>
        <v>#REF!</v>
      </c>
      <c r="C1322" s="20" t="str">
        <f t="shared" ref="C1322:D1322" si="3959">#REF!</f>
        <v>#REF!</v>
      </c>
      <c r="D1322" s="20" t="str">
        <f t="shared" si="3959"/>
        <v>#REF!</v>
      </c>
      <c r="E1322" s="20" t="str">
        <f t="shared" si="1270"/>
        <v>#REF!</v>
      </c>
      <c r="F1322" s="22" t="str">
        <f t="shared" si="2"/>
        <v>#REF!</v>
      </c>
      <c r="G1322" s="20" t="str">
        <f t="shared" ref="G1322:I1322" si="3960">#REF!</f>
        <v>#REF!</v>
      </c>
      <c r="H1322" s="20" t="str">
        <f t="shared" si="3960"/>
        <v>#REF!</v>
      </c>
      <c r="I1322" s="20" t="str">
        <f t="shared" si="3960"/>
        <v>#REF!</v>
      </c>
      <c r="J1322" s="20" t="str">
        <f t="shared" si="1272"/>
        <v>#REF!</v>
      </c>
      <c r="K1322" s="20" t="str">
        <f t="shared" ref="K1322:L1322" si="3961">#REF!</f>
        <v>#REF!</v>
      </c>
      <c r="L1322" s="20" t="str">
        <f t="shared" si="3961"/>
        <v>#REF!</v>
      </c>
    </row>
    <row r="1323">
      <c r="A1323" s="20" t="str">
        <f t="shared" si="1267"/>
        <v>#REF!</v>
      </c>
      <c r="B1323" s="20" t="str">
        <f t="shared" si="1268"/>
        <v>#REF!</v>
      </c>
      <c r="C1323" s="20" t="str">
        <f t="shared" ref="C1323:D1323" si="3962">#REF!</f>
        <v>#REF!</v>
      </c>
      <c r="D1323" s="20" t="str">
        <f t="shared" si="3962"/>
        <v>#REF!</v>
      </c>
      <c r="E1323" s="20" t="str">
        <f t="shared" si="1270"/>
        <v>#REF!</v>
      </c>
      <c r="F1323" s="22" t="str">
        <f t="shared" si="2"/>
        <v>#REF!</v>
      </c>
      <c r="G1323" s="20" t="str">
        <f t="shared" ref="G1323:I1323" si="3963">#REF!</f>
        <v>#REF!</v>
      </c>
      <c r="H1323" s="20" t="str">
        <f t="shared" si="3963"/>
        <v>#REF!</v>
      </c>
      <c r="I1323" s="20" t="str">
        <f t="shared" si="3963"/>
        <v>#REF!</v>
      </c>
      <c r="J1323" s="20" t="str">
        <f t="shared" si="1272"/>
        <v>#REF!</v>
      </c>
      <c r="K1323" s="20" t="str">
        <f t="shared" ref="K1323:L1323" si="3964">#REF!</f>
        <v>#REF!</v>
      </c>
      <c r="L1323" s="20" t="str">
        <f t="shared" si="3964"/>
        <v>#REF!</v>
      </c>
    </row>
    <row r="1324">
      <c r="A1324" s="20" t="str">
        <f t="shared" si="1267"/>
        <v>#REF!</v>
      </c>
      <c r="B1324" s="20" t="str">
        <f t="shared" si="1268"/>
        <v>#REF!</v>
      </c>
      <c r="C1324" s="20" t="str">
        <f t="shared" ref="C1324:D1324" si="3965">#REF!</f>
        <v>#REF!</v>
      </c>
      <c r="D1324" s="20" t="str">
        <f t="shared" si="3965"/>
        <v>#REF!</v>
      </c>
      <c r="E1324" s="20" t="str">
        <f t="shared" si="1270"/>
        <v>#REF!</v>
      </c>
      <c r="F1324" s="22" t="str">
        <f t="shared" si="2"/>
        <v>#REF!</v>
      </c>
      <c r="G1324" s="20" t="str">
        <f t="shared" ref="G1324:I1324" si="3966">#REF!</f>
        <v>#REF!</v>
      </c>
      <c r="H1324" s="20" t="str">
        <f t="shared" si="3966"/>
        <v>#REF!</v>
      </c>
      <c r="I1324" s="20" t="str">
        <f t="shared" si="3966"/>
        <v>#REF!</v>
      </c>
      <c r="J1324" s="20" t="str">
        <f t="shared" si="1272"/>
        <v>#REF!</v>
      </c>
      <c r="K1324" s="20" t="str">
        <f t="shared" ref="K1324:L1324" si="3967">#REF!</f>
        <v>#REF!</v>
      </c>
      <c r="L1324" s="20" t="str">
        <f t="shared" si="3967"/>
        <v>#REF!</v>
      </c>
    </row>
    <row r="1325">
      <c r="A1325" s="20" t="str">
        <f t="shared" si="1267"/>
        <v>#REF!</v>
      </c>
      <c r="B1325" s="20" t="str">
        <f t="shared" si="1268"/>
        <v>#REF!</v>
      </c>
      <c r="C1325" s="20" t="str">
        <f t="shared" ref="C1325:D1325" si="3968">#REF!</f>
        <v>#REF!</v>
      </c>
      <c r="D1325" s="20" t="str">
        <f t="shared" si="3968"/>
        <v>#REF!</v>
      </c>
      <c r="E1325" s="20" t="str">
        <f t="shared" si="1270"/>
        <v>#REF!</v>
      </c>
      <c r="F1325" s="22" t="str">
        <f t="shared" si="2"/>
        <v>#REF!</v>
      </c>
      <c r="G1325" s="20" t="str">
        <f t="shared" ref="G1325:I1325" si="3969">#REF!</f>
        <v>#REF!</v>
      </c>
      <c r="H1325" s="20" t="str">
        <f t="shared" si="3969"/>
        <v>#REF!</v>
      </c>
      <c r="I1325" s="20" t="str">
        <f t="shared" si="3969"/>
        <v>#REF!</v>
      </c>
      <c r="J1325" s="20" t="str">
        <f t="shared" si="1272"/>
        <v>#REF!</v>
      </c>
      <c r="K1325" s="20" t="str">
        <f t="shared" ref="K1325:L1325" si="3970">#REF!</f>
        <v>#REF!</v>
      </c>
      <c r="L1325" s="20" t="str">
        <f t="shared" si="3970"/>
        <v>#REF!</v>
      </c>
    </row>
    <row r="1326">
      <c r="A1326" s="20" t="str">
        <f t="shared" si="1267"/>
        <v>#REF!</v>
      </c>
      <c r="B1326" s="20" t="str">
        <f t="shared" si="1268"/>
        <v>#REF!</v>
      </c>
      <c r="C1326" s="20" t="str">
        <f t="shared" ref="C1326:D1326" si="3971">#REF!</f>
        <v>#REF!</v>
      </c>
      <c r="D1326" s="20" t="str">
        <f t="shared" si="3971"/>
        <v>#REF!</v>
      </c>
      <c r="E1326" s="20" t="str">
        <f t="shared" si="1270"/>
        <v>#REF!</v>
      </c>
      <c r="F1326" s="22" t="str">
        <f t="shared" si="2"/>
        <v>#REF!</v>
      </c>
      <c r="G1326" s="20" t="str">
        <f t="shared" ref="G1326:I1326" si="3972">#REF!</f>
        <v>#REF!</v>
      </c>
      <c r="H1326" s="20" t="str">
        <f t="shared" si="3972"/>
        <v>#REF!</v>
      </c>
      <c r="I1326" s="20" t="str">
        <f t="shared" si="3972"/>
        <v>#REF!</v>
      </c>
      <c r="J1326" s="20" t="str">
        <f t="shared" si="1272"/>
        <v>#REF!</v>
      </c>
      <c r="K1326" s="20" t="str">
        <f t="shared" ref="K1326:L1326" si="3973">#REF!</f>
        <v>#REF!</v>
      </c>
      <c r="L1326" s="20" t="str">
        <f t="shared" si="3973"/>
        <v>#REF!</v>
      </c>
    </row>
    <row r="1327">
      <c r="A1327" s="20" t="str">
        <f t="shared" si="1267"/>
        <v>#REF!</v>
      </c>
      <c r="B1327" s="20" t="str">
        <f t="shared" si="1268"/>
        <v>#REF!</v>
      </c>
      <c r="C1327" s="20" t="str">
        <f t="shared" ref="C1327:D1327" si="3974">#REF!</f>
        <v>#REF!</v>
      </c>
      <c r="D1327" s="20" t="str">
        <f t="shared" si="3974"/>
        <v>#REF!</v>
      </c>
      <c r="E1327" s="20" t="str">
        <f t="shared" si="1270"/>
        <v>#REF!</v>
      </c>
      <c r="F1327" s="22" t="str">
        <f t="shared" si="2"/>
        <v>#REF!</v>
      </c>
      <c r="G1327" s="20" t="str">
        <f t="shared" ref="G1327:I1327" si="3975">#REF!</f>
        <v>#REF!</v>
      </c>
      <c r="H1327" s="20" t="str">
        <f t="shared" si="3975"/>
        <v>#REF!</v>
      </c>
      <c r="I1327" s="20" t="str">
        <f t="shared" si="3975"/>
        <v>#REF!</v>
      </c>
      <c r="J1327" s="20" t="str">
        <f t="shared" si="1272"/>
        <v>#REF!</v>
      </c>
      <c r="K1327" s="20" t="str">
        <f t="shared" ref="K1327:L1327" si="3976">#REF!</f>
        <v>#REF!</v>
      </c>
      <c r="L1327" s="20" t="str">
        <f t="shared" si="3976"/>
        <v>#REF!</v>
      </c>
    </row>
    <row r="1328">
      <c r="A1328" s="20" t="str">
        <f t="shared" si="1267"/>
        <v>#REF!</v>
      </c>
      <c r="B1328" s="20" t="str">
        <f t="shared" si="1268"/>
        <v>#REF!</v>
      </c>
      <c r="C1328" s="20" t="str">
        <f t="shared" ref="C1328:D1328" si="3977">#REF!</f>
        <v>#REF!</v>
      </c>
      <c r="D1328" s="20" t="str">
        <f t="shared" si="3977"/>
        <v>#REF!</v>
      </c>
      <c r="E1328" s="20" t="str">
        <f t="shared" si="1270"/>
        <v>#REF!</v>
      </c>
      <c r="F1328" s="22" t="str">
        <f t="shared" si="2"/>
        <v>#REF!</v>
      </c>
      <c r="G1328" s="20" t="str">
        <f t="shared" ref="G1328:I1328" si="3978">#REF!</f>
        <v>#REF!</v>
      </c>
      <c r="H1328" s="20" t="str">
        <f t="shared" si="3978"/>
        <v>#REF!</v>
      </c>
      <c r="I1328" s="20" t="str">
        <f t="shared" si="3978"/>
        <v>#REF!</v>
      </c>
      <c r="J1328" s="20" t="str">
        <f t="shared" si="1272"/>
        <v>#REF!</v>
      </c>
      <c r="K1328" s="20" t="str">
        <f t="shared" ref="K1328:L1328" si="3979">#REF!</f>
        <v>#REF!</v>
      </c>
      <c r="L1328" s="20" t="str">
        <f t="shared" si="3979"/>
        <v>#REF!</v>
      </c>
    </row>
    <row r="1329">
      <c r="A1329" s="20" t="str">
        <f t="shared" si="1267"/>
        <v>#REF!</v>
      </c>
      <c r="B1329" s="20" t="str">
        <f t="shared" si="1268"/>
        <v>#REF!</v>
      </c>
      <c r="C1329" s="20" t="str">
        <f t="shared" ref="C1329:D1329" si="3980">#REF!</f>
        <v>#REF!</v>
      </c>
      <c r="D1329" s="20" t="str">
        <f t="shared" si="3980"/>
        <v>#REF!</v>
      </c>
      <c r="E1329" s="20" t="str">
        <f t="shared" si="1270"/>
        <v>#REF!</v>
      </c>
      <c r="F1329" s="22" t="str">
        <f t="shared" si="2"/>
        <v>#REF!</v>
      </c>
      <c r="G1329" s="20" t="str">
        <f t="shared" ref="G1329:I1329" si="3981">#REF!</f>
        <v>#REF!</v>
      </c>
      <c r="H1329" s="20" t="str">
        <f t="shared" si="3981"/>
        <v>#REF!</v>
      </c>
      <c r="I1329" s="20" t="str">
        <f t="shared" si="3981"/>
        <v>#REF!</v>
      </c>
      <c r="J1329" s="20" t="str">
        <f t="shared" si="1272"/>
        <v>#REF!</v>
      </c>
      <c r="K1329" s="20" t="str">
        <f t="shared" ref="K1329:L1329" si="3982">#REF!</f>
        <v>#REF!</v>
      </c>
      <c r="L1329" s="20" t="str">
        <f t="shared" si="3982"/>
        <v>#REF!</v>
      </c>
    </row>
    <row r="1330">
      <c r="A1330" s="20" t="str">
        <f t="shared" si="1267"/>
        <v>#REF!</v>
      </c>
      <c r="B1330" s="20" t="str">
        <f t="shared" si="1268"/>
        <v>#REF!</v>
      </c>
      <c r="C1330" s="20" t="str">
        <f t="shared" ref="C1330:D1330" si="3983">#REF!</f>
        <v>#REF!</v>
      </c>
      <c r="D1330" s="20" t="str">
        <f t="shared" si="3983"/>
        <v>#REF!</v>
      </c>
      <c r="E1330" s="20" t="str">
        <f t="shared" si="1270"/>
        <v>#REF!</v>
      </c>
      <c r="F1330" s="22" t="str">
        <f t="shared" si="2"/>
        <v>#REF!</v>
      </c>
      <c r="G1330" s="20" t="str">
        <f t="shared" ref="G1330:I1330" si="3984">#REF!</f>
        <v>#REF!</v>
      </c>
      <c r="H1330" s="20" t="str">
        <f t="shared" si="3984"/>
        <v>#REF!</v>
      </c>
      <c r="I1330" s="20" t="str">
        <f t="shared" si="3984"/>
        <v>#REF!</v>
      </c>
      <c r="J1330" s="20" t="str">
        <f t="shared" si="1272"/>
        <v>#REF!</v>
      </c>
      <c r="K1330" s="20" t="str">
        <f t="shared" ref="K1330:L1330" si="3985">#REF!</f>
        <v>#REF!</v>
      </c>
      <c r="L1330" s="20" t="str">
        <f t="shared" si="3985"/>
        <v>#REF!</v>
      </c>
    </row>
    <row r="1331">
      <c r="A1331" s="20" t="str">
        <f t="shared" si="1267"/>
        <v>#REF!</v>
      </c>
      <c r="B1331" s="20" t="str">
        <f t="shared" si="1268"/>
        <v>#REF!</v>
      </c>
      <c r="C1331" s="20" t="str">
        <f t="shared" ref="C1331:D1331" si="3986">#REF!</f>
        <v>#REF!</v>
      </c>
      <c r="D1331" s="20" t="str">
        <f t="shared" si="3986"/>
        <v>#REF!</v>
      </c>
      <c r="E1331" s="20" t="str">
        <f t="shared" si="1270"/>
        <v>#REF!</v>
      </c>
      <c r="F1331" s="22" t="str">
        <f t="shared" si="2"/>
        <v>#REF!</v>
      </c>
      <c r="G1331" s="20" t="str">
        <f t="shared" ref="G1331:I1331" si="3987">#REF!</f>
        <v>#REF!</v>
      </c>
      <c r="H1331" s="20" t="str">
        <f t="shared" si="3987"/>
        <v>#REF!</v>
      </c>
      <c r="I1331" s="20" t="str">
        <f t="shared" si="3987"/>
        <v>#REF!</v>
      </c>
      <c r="J1331" s="20" t="str">
        <f t="shared" si="1272"/>
        <v>#REF!</v>
      </c>
      <c r="K1331" s="20" t="str">
        <f t="shared" ref="K1331:L1331" si="3988">#REF!</f>
        <v>#REF!</v>
      </c>
      <c r="L1331" s="20" t="str">
        <f t="shared" si="3988"/>
        <v>#REF!</v>
      </c>
    </row>
    <row r="1332">
      <c r="A1332" s="20" t="str">
        <f t="shared" si="1267"/>
        <v>#REF!</v>
      </c>
      <c r="B1332" s="20" t="str">
        <f t="shared" si="1268"/>
        <v>#REF!</v>
      </c>
      <c r="C1332" s="20" t="str">
        <f t="shared" ref="C1332:D1332" si="3989">#REF!</f>
        <v>#REF!</v>
      </c>
      <c r="D1332" s="20" t="str">
        <f t="shared" si="3989"/>
        <v>#REF!</v>
      </c>
      <c r="E1332" s="20" t="str">
        <f t="shared" si="1270"/>
        <v>#REF!</v>
      </c>
      <c r="F1332" s="22" t="str">
        <f t="shared" si="2"/>
        <v>#REF!</v>
      </c>
      <c r="G1332" s="20" t="str">
        <f t="shared" ref="G1332:I1332" si="3990">#REF!</f>
        <v>#REF!</v>
      </c>
      <c r="H1332" s="20" t="str">
        <f t="shared" si="3990"/>
        <v>#REF!</v>
      </c>
      <c r="I1332" s="20" t="str">
        <f t="shared" si="3990"/>
        <v>#REF!</v>
      </c>
      <c r="J1332" s="20" t="str">
        <f t="shared" si="1272"/>
        <v>#REF!</v>
      </c>
      <c r="K1332" s="20" t="str">
        <f t="shared" ref="K1332:L1332" si="3991">#REF!</f>
        <v>#REF!</v>
      </c>
      <c r="L1332" s="20" t="str">
        <f t="shared" si="3991"/>
        <v>#REF!</v>
      </c>
    </row>
    <row r="1333">
      <c r="A1333" s="20" t="str">
        <f t="shared" si="1267"/>
        <v>#REF!</v>
      </c>
      <c r="B1333" s="20" t="str">
        <f t="shared" si="1268"/>
        <v>#REF!</v>
      </c>
      <c r="C1333" s="20" t="str">
        <f t="shared" ref="C1333:D1333" si="3992">#REF!</f>
        <v>#REF!</v>
      </c>
      <c r="D1333" s="20" t="str">
        <f t="shared" si="3992"/>
        <v>#REF!</v>
      </c>
      <c r="E1333" s="20" t="str">
        <f t="shared" si="1270"/>
        <v>#REF!</v>
      </c>
      <c r="F1333" s="22" t="str">
        <f t="shared" si="2"/>
        <v>#REF!</v>
      </c>
      <c r="G1333" s="20" t="str">
        <f t="shared" ref="G1333:I1333" si="3993">#REF!</f>
        <v>#REF!</v>
      </c>
      <c r="H1333" s="20" t="str">
        <f t="shared" si="3993"/>
        <v>#REF!</v>
      </c>
      <c r="I1333" s="20" t="str">
        <f t="shared" si="3993"/>
        <v>#REF!</v>
      </c>
      <c r="J1333" s="20" t="str">
        <f t="shared" si="1272"/>
        <v>#REF!</v>
      </c>
      <c r="K1333" s="20" t="str">
        <f t="shared" ref="K1333:L1333" si="3994">#REF!</f>
        <v>#REF!</v>
      </c>
      <c r="L1333" s="20" t="str">
        <f t="shared" si="3994"/>
        <v>#REF!</v>
      </c>
    </row>
    <row r="1334">
      <c r="A1334" s="20" t="str">
        <f t="shared" si="1267"/>
        <v>#REF!</v>
      </c>
      <c r="B1334" s="20" t="str">
        <f t="shared" si="1268"/>
        <v>#REF!</v>
      </c>
      <c r="C1334" s="20" t="str">
        <f t="shared" ref="C1334:D1334" si="3995">#REF!</f>
        <v>#REF!</v>
      </c>
      <c r="D1334" s="20" t="str">
        <f t="shared" si="3995"/>
        <v>#REF!</v>
      </c>
      <c r="E1334" s="20" t="str">
        <f t="shared" si="1270"/>
        <v>#REF!</v>
      </c>
      <c r="F1334" s="22" t="str">
        <f t="shared" si="2"/>
        <v>#REF!</v>
      </c>
      <c r="G1334" s="20" t="str">
        <f t="shared" ref="G1334:I1334" si="3996">#REF!</f>
        <v>#REF!</v>
      </c>
      <c r="H1334" s="20" t="str">
        <f t="shared" si="3996"/>
        <v>#REF!</v>
      </c>
      <c r="I1334" s="20" t="str">
        <f t="shared" si="3996"/>
        <v>#REF!</v>
      </c>
      <c r="J1334" s="20" t="str">
        <f t="shared" si="1272"/>
        <v>#REF!</v>
      </c>
      <c r="K1334" s="20" t="str">
        <f t="shared" ref="K1334:L1334" si="3997">#REF!</f>
        <v>#REF!</v>
      </c>
      <c r="L1334" s="20" t="str">
        <f t="shared" si="3997"/>
        <v>#REF!</v>
      </c>
    </row>
    <row r="1335">
      <c r="A1335" s="20" t="str">
        <f t="shared" si="1267"/>
        <v>#REF!</v>
      </c>
      <c r="B1335" s="20" t="str">
        <f t="shared" si="1268"/>
        <v>#REF!</v>
      </c>
      <c r="C1335" s="20" t="str">
        <f t="shared" ref="C1335:D1335" si="3998">#REF!</f>
        <v>#REF!</v>
      </c>
      <c r="D1335" s="20" t="str">
        <f t="shared" si="3998"/>
        <v>#REF!</v>
      </c>
      <c r="E1335" s="20" t="str">
        <f t="shared" si="1270"/>
        <v>#REF!</v>
      </c>
      <c r="F1335" s="22" t="str">
        <f t="shared" si="2"/>
        <v>#REF!</v>
      </c>
      <c r="G1335" s="20" t="str">
        <f t="shared" ref="G1335:I1335" si="3999">#REF!</f>
        <v>#REF!</v>
      </c>
      <c r="H1335" s="20" t="str">
        <f t="shared" si="3999"/>
        <v>#REF!</v>
      </c>
      <c r="I1335" s="20" t="str">
        <f t="shared" si="3999"/>
        <v>#REF!</v>
      </c>
      <c r="J1335" s="20" t="str">
        <f t="shared" si="1272"/>
        <v>#REF!</v>
      </c>
      <c r="K1335" s="20" t="str">
        <f t="shared" ref="K1335:L1335" si="4000">#REF!</f>
        <v>#REF!</v>
      </c>
      <c r="L1335" s="20" t="str">
        <f t="shared" si="4000"/>
        <v>#REF!</v>
      </c>
    </row>
    <row r="1336">
      <c r="A1336" s="20" t="str">
        <f t="shared" si="1267"/>
        <v>#REF!</v>
      </c>
      <c r="B1336" s="20" t="str">
        <f t="shared" si="1268"/>
        <v>#REF!</v>
      </c>
      <c r="C1336" s="20" t="str">
        <f t="shared" ref="C1336:D1336" si="4001">#REF!</f>
        <v>#REF!</v>
      </c>
      <c r="D1336" s="20" t="str">
        <f t="shared" si="4001"/>
        <v>#REF!</v>
      </c>
      <c r="E1336" s="20" t="str">
        <f t="shared" si="1270"/>
        <v>#REF!</v>
      </c>
      <c r="F1336" s="22" t="str">
        <f t="shared" si="2"/>
        <v>#REF!</v>
      </c>
      <c r="G1336" s="20" t="str">
        <f t="shared" ref="G1336:I1336" si="4002">#REF!</f>
        <v>#REF!</v>
      </c>
      <c r="H1336" s="20" t="str">
        <f t="shared" si="4002"/>
        <v>#REF!</v>
      </c>
      <c r="I1336" s="20" t="str">
        <f t="shared" si="4002"/>
        <v>#REF!</v>
      </c>
      <c r="J1336" s="20" t="str">
        <f t="shared" si="1272"/>
        <v>#REF!</v>
      </c>
      <c r="K1336" s="20" t="str">
        <f t="shared" ref="K1336:L1336" si="4003">#REF!</f>
        <v>#REF!</v>
      </c>
      <c r="L1336" s="20" t="str">
        <f t="shared" si="4003"/>
        <v>#REF!</v>
      </c>
    </row>
    <row r="1337">
      <c r="A1337" s="20" t="str">
        <f t="shared" si="1267"/>
        <v>#REF!</v>
      </c>
      <c r="B1337" s="20" t="str">
        <f t="shared" si="1268"/>
        <v>#REF!</v>
      </c>
      <c r="C1337" s="20" t="str">
        <f t="shared" ref="C1337:D1337" si="4004">#REF!</f>
        <v>#REF!</v>
      </c>
      <c r="D1337" s="20" t="str">
        <f t="shared" si="4004"/>
        <v>#REF!</v>
      </c>
      <c r="E1337" s="20" t="str">
        <f t="shared" si="1270"/>
        <v>#REF!</v>
      </c>
      <c r="F1337" s="22" t="str">
        <f t="shared" si="2"/>
        <v>#REF!</v>
      </c>
      <c r="G1337" s="20" t="str">
        <f t="shared" ref="G1337:I1337" si="4005">#REF!</f>
        <v>#REF!</v>
      </c>
      <c r="H1337" s="20" t="str">
        <f t="shared" si="4005"/>
        <v>#REF!</v>
      </c>
      <c r="I1337" s="20" t="str">
        <f t="shared" si="4005"/>
        <v>#REF!</v>
      </c>
      <c r="J1337" s="20" t="str">
        <f t="shared" si="1272"/>
        <v>#REF!</v>
      </c>
      <c r="K1337" s="20" t="str">
        <f t="shared" ref="K1337:L1337" si="4006">#REF!</f>
        <v>#REF!</v>
      </c>
      <c r="L1337" s="20" t="str">
        <f t="shared" si="4006"/>
        <v>#REF!</v>
      </c>
    </row>
    <row r="1338">
      <c r="A1338" s="20" t="str">
        <f t="shared" si="1267"/>
        <v>#REF!</v>
      </c>
      <c r="B1338" s="20" t="str">
        <f t="shared" si="1268"/>
        <v>#REF!</v>
      </c>
      <c r="C1338" s="20" t="str">
        <f t="shared" ref="C1338:D1338" si="4007">#REF!</f>
        <v>#REF!</v>
      </c>
      <c r="D1338" s="20" t="str">
        <f t="shared" si="4007"/>
        <v>#REF!</v>
      </c>
      <c r="E1338" s="20" t="str">
        <f t="shared" si="1270"/>
        <v>#REF!</v>
      </c>
      <c r="F1338" s="22" t="str">
        <f t="shared" si="2"/>
        <v>#REF!</v>
      </c>
      <c r="G1338" s="20" t="str">
        <f t="shared" ref="G1338:I1338" si="4008">#REF!</f>
        <v>#REF!</v>
      </c>
      <c r="H1338" s="20" t="str">
        <f t="shared" si="4008"/>
        <v>#REF!</v>
      </c>
      <c r="I1338" s="20" t="str">
        <f t="shared" si="4008"/>
        <v>#REF!</v>
      </c>
      <c r="J1338" s="20" t="str">
        <f t="shared" si="1272"/>
        <v>#REF!</v>
      </c>
      <c r="K1338" s="20" t="str">
        <f t="shared" ref="K1338:L1338" si="4009">#REF!</f>
        <v>#REF!</v>
      </c>
      <c r="L1338" s="20" t="str">
        <f t="shared" si="4009"/>
        <v>#REF!</v>
      </c>
    </row>
    <row r="1339">
      <c r="A1339" s="20" t="str">
        <f t="shared" si="1267"/>
        <v>#REF!</v>
      </c>
      <c r="B1339" s="20" t="str">
        <f t="shared" si="1268"/>
        <v>#REF!</v>
      </c>
      <c r="C1339" s="20" t="str">
        <f t="shared" ref="C1339:D1339" si="4010">#REF!</f>
        <v>#REF!</v>
      </c>
      <c r="D1339" s="20" t="str">
        <f t="shared" si="4010"/>
        <v>#REF!</v>
      </c>
      <c r="E1339" s="20" t="str">
        <f t="shared" si="1270"/>
        <v>#REF!</v>
      </c>
      <c r="F1339" s="22" t="str">
        <f t="shared" si="2"/>
        <v>#REF!</v>
      </c>
      <c r="G1339" s="20" t="str">
        <f t="shared" ref="G1339:I1339" si="4011">#REF!</f>
        <v>#REF!</v>
      </c>
      <c r="H1339" s="20" t="str">
        <f t="shared" si="4011"/>
        <v>#REF!</v>
      </c>
      <c r="I1339" s="20" t="str">
        <f t="shared" si="4011"/>
        <v>#REF!</v>
      </c>
      <c r="J1339" s="20" t="str">
        <f t="shared" si="1272"/>
        <v>#REF!</v>
      </c>
      <c r="K1339" s="20" t="str">
        <f t="shared" ref="K1339:L1339" si="4012">#REF!</f>
        <v>#REF!</v>
      </c>
      <c r="L1339" s="20" t="str">
        <f t="shared" si="4012"/>
        <v>#REF!</v>
      </c>
    </row>
    <row r="1340">
      <c r="A1340" s="20" t="str">
        <f t="shared" si="1267"/>
        <v>#REF!</v>
      </c>
      <c r="B1340" s="20" t="str">
        <f t="shared" si="1268"/>
        <v>#REF!</v>
      </c>
      <c r="C1340" s="20" t="str">
        <f t="shared" ref="C1340:D1340" si="4013">#REF!</f>
        <v>#REF!</v>
      </c>
      <c r="D1340" s="20" t="str">
        <f t="shared" si="4013"/>
        <v>#REF!</v>
      </c>
      <c r="E1340" s="20" t="str">
        <f t="shared" si="1270"/>
        <v>#REF!</v>
      </c>
      <c r="F1340" s="22" t="str">
        <f t="shared" si="2"/>
        <v>#REF!</v>
      </c>
      <c r="G1340" s="20" t="str">
        <f t="shared" ref="G1340:I1340" si="4014">#REF!</f>
        <v>#REF!</v>
      </c>
      <c r="H1340" s="20" t="str">
        <f t="shared" si="4014"/>
        <v>#REF!</v>
      </c>
      <c r="I1340" s="20" t="str">
        <f t="shared" si="4014"/>
        <v>#REF!</v>
      </c>
      <c r="J1340" s="20" t="str">
        <f t="shared" si="1272"/>
        <v>#REF!</v>
      </c>
      <c r="K1340" s="20" t="str">
        <f t="shared" ref="K1340:L1340" si="4015">#REF!</f>
        <v>#REF!</v>
      </c>
      <c r="L1340" s="20" t="str">
        <f t="shared" si="4015"/>
        <v>#REF!</v>
      </c>
    </row>
    <row r="1341">
      <c r="A1341" s="20" t="str">
        <f t="shared" si="1267"/>
        <v>#REF!</v>
      </c>
      <c r="B1341" s="20" t="str">
        <f t="shared" si="1268"/>
        <v>#REF!</v>
      </c>
      <c r="C1341" s="20" t="str">
        <f t="shared" ref="C1341:D1341" si="4016">#REF!</f>
        <v>#REF!</v>
      </c>
      <c r="D1341" s="20" t="str">
        <f t="shared" si="4016"/>
        <v>#REF!</v>
      </c>
      <c r="E1341" s="20" t="str">
        <f t="shared" si="1270"/>
        <v>#REF!</v>
      </c>
      <c r="F1341" s="22" t="str">
        <f t="shared" si="2"/>
        <v>#REF!</v>
      </c>
      <c r="G1341" s="20" t="str">
        <f t="shared" ref="G1341:I1341" si="4017">#REF!</f>
        <v>#REF!</v>
      </c>
      <c r="H1341" s="20" t="str">
        <f t="shared" si="4017"/>
        <v>#REF!</v>
      </c>
      <c r="I1341" s="20" t="str">
        <f t="shared" si="4017"/>
        <v>#REF!</v>
      </c>
      <c r="J1341" s="20" t="str">
        <f t="shared" si="1272"/>
        <v>#REF!</v>
      </c>
      <c r="K1341" s="20" t="str">
        <f t="shared" ref="K1341:L1341" si="4018">#REF!</f>
        <v>#REF!</v>
      </c>
      <c r="L1341" s="20" t="str">
        <f t="shared" si="4018"/>
        <v>#REF!</v>
      </c>
    </row>
    <row r="1342">
      <c r="A1342" s="20" t="str">
        <f t="shared" si="1267"/>
        <v>#REF!</v>
      </c>
      <c r="B1342" s="20" t="str">
        <f t="shared" si="1268"/>
        <v>#REF!</v>
      </c>
      <c r="C1342" s="20" t="str">
        <f t="shared" ref="C1342:D1342" si="4019">#REF!</f>
        <v>#REF!</v>
      </c>
      <c r="D1342" s="20" t="str">
        <f t="shared" si="4019"/>
        <v>#REF!</v>
      </c>
      <c r="E1342" s="20" t="str">
        <f t="shared" si="1270"/>
        <v>#REF!</v>
      </c>
      <c r="F1342" s="22" t="str">
        <f t="shared" si="2"/>
        <v>#REF!</v>
      </c>
      <c r="G1342" s="20" t="str">
        <f t="shared" ref="G1342:I1342" si="4020">#REF!</f>
        <v>#REF!</v>
      </c>
      <c r="H1342" s="20" t="str">
        <f t="shared" si="4020"/>
        <v>#REF!</v>
      </c>
      <c r="I1342" s="20" t="str">
        <f t="shared" si="4020"/>
        <v>#REF!</v>
      </c>
      <c r="J1342" s="20" t="str">
        <f t="shared" si="1272"/>
        <v>#REF!</v>
      </c>
      <c r="K1342" s="20" t="str">
        <f t="shared" ref="K1342:L1342" si="4021">#REF!</f>
        <v>#REF!</v>
      </c>
      <c r="L1342" s="20" t="str">
        <f t="shared" si="4021"/>
        <v>#REF!</v>
      </c>
    </row>
    <row r="1343">
      <c r="A1343" s="20" t="str">
        <f t="shared" si="1267"/>
        <v>#REF!</v>
      </c>
      <c r="B1343" s="20" t="str">
        <f t="shared" si="1268"/>
        <v>#REF!</v>
      </c>
      <c r="C1343" s="20" t="str">
        <f t="shared" ref="C1343:D1343" si="4022">#REF!</f>
        <v>#REF!</v>
      </c>
      <c r="D1343" s="20" t="str">
        <f t="shared" si="4022"/>
        <v>#REF!</v>
      </c>
      <c r="E1343" s="20" t="str">
        <f t="shared" si="1270"/>
        <v>#REF!</v>
      </c>
      <c r="F1343" s="22" t="str">
        <f t="shared" si="2"/>
        <v>#REF!</v>
      </c>
      <c r="G1343" s="20" t="str">
        <f t="shared" ref="G1343:I1343" si="4023">#REF!</f>
        <v>#REF!</v>
      </c>
      <c r="H1343" s="20" t="str">
        <f t="shared" si="4023"/>
        <v>#REF!</v>
      </c>
      <c r="I1343" s="20" t="str">
        <f t="shared" si="4023"/>
        <v>#REF!</v>
      </c>
      <c r="J1343" s="20" t="str">
        <f t="shared" si="1272"/>
        <v>#REF!</v>
      </c>
      <c r="K1343" s="20" t="str">
        <f t="shared" ref="K1343:L1343" si="4024">#REF!</f>
        <v>#REF!</v>
      </c>
      <c r="L1343" s="20" t="str">
        <f t="shared" si="4024"/>
        <v>#REF!</v>
      </c>
    </row>
    <row r="1344">
      <c r="A1344" s="20" t="str">
        <f t="shared" si="1267"/>
        <v>#REF!</v>
      </c>
      <c r="B1344" s="20" t="str">
        <f t="shared" si="1268"/>
        <v>#REF!</v>
      </c>
      <c r="C1344" s="20" t="str">
        <f t="shared" ref="C1344:D1344" si="4025">#REF!</f>
        <v>#REF!</v>
      </c>
      <c r="D1344" s="20" t="str">
        <f t="shared" si="4025"/>
        <v>#REF!</v>
      </c>
      <c r="E1344" s="20" t="str">
        <f t="shared" si="1270"/>
        <v>#REF!</v>
      </c>
      <c r="F1344" s="22" t="str">
        <f t="shared" si="2"/>
        <v>#REF!</v>
      </c>
      <c r="G1344" s="20" t="str">
        <f t="shared" ref="G1344:I1344" si="4026">#REF!</f>
        <v>#REF!</v>
      </c>
      <c r="H1344" s="20" t="str">
        <f t="shared" si="4026"/>
        <v>#REF!</v>
      </c>
      <c r="I1344" s="20" t="str">
        <f t="shared" si="4026"/>
        <v>#REF!</v>
      </c>
      <c r="J1344" s="20" t="str">
        <f t="shared" si="1272"/>
        <v>#REF!</v>
      </c>
      <c r="K1344" s="20" t="str">
        <f t="shared" ref="K1344:L1344" si="4027">#REF!</f>
        <v>#REF!</v>
      </c>
      <c r="L1344" s="20" t="str">
        <f t="shared" si="4027"/>
        <v>#REF!</v>
      </c>
    </row>
    <row r="1345">
      <c r="A1345" s="20" t="str">
        <f t="shared" si="1267"/>
        <v>#REF!</v>
      </c>
      <c r="B1345" s="20" t="str">
        <f t="shared" si="1268"/>
        <v>#REF!</v>
      </c>
      <c r="C1345" s="20" t="str">
        <f t="shared" ref="C1345:D1345" si="4028">#REF!</f>
        <v>#REF!</v>
      </c>
      <c r="D1345" s="20" t="str">
        <f t="shared" si="4028"/>
        <v>#REF!</v>
      </c>
      <c r="E1345" s="20" t="str">
        <f t="shared" si="1270"/>
        <v>#REF!</v>
      </c>
      <c r="F1345" s="22" t="str">
        <f t="shared" si="2"/>
        <v>#REF!</v>
      </c>
      <c r="G1345" s="20" t="str">
        <f t="shared" ref="G1345:I1345" si="4029">#REF!</f>
        <v>#REF!</v>
      </c>
      <c r="H1345" s="20" t="str">
        <f t="shared" si="4029"/>
        <v>#REF!</v>
      </c>
      <c r="I1345" s="20" t="str">
        <f t="shared" si="4029"/>
        <v>#REF!</v>
      </c>
      <c r="J1345" s="20" t="str">
        <f t="shared" si="1272"/>
        <v>#REF!</v>
      </c>
      <c r="K1345" s="20" t="str">
        <f t="shared" ref="K1345:L1345" si="4030">#REF!</f>
        <v>#REF!</v>
      </c>
      <c r="L1345" s="20" t="str">
        <f t="shared" si="4030"/>
        <v>#REF!</v>
      </c>
    </row>
    <row r="1346">
      <c r="A1346" s="20" t="str">
        <f t="shared" si="1267"/>
        <v>#REF!</v>
      </c>
      <c r="B1346" s="20" t="str">
        <f t="shared" si="1268"/>
        <v>#REF!</v>
      </c>
      <c r="C1346" s="20" t="str">
        <f t="shared" ref="C1346:D1346" si="4031">#REF!</f>
        <v>#REF!</v>
      </c>
      <c r="D1346" s="20" t="str">
        <f t="shared" si="4031"/>
        <v>#REF!</v>
      </c>
      <c r="E1346" s="20" t="str">
        <f t="shared" si="1270"/>
        <v>#REF!</v>
      </c>
      <c r="F1346" s="22" t="str">
        <f t="shared" si="2"/>
        <v>#REF!</v>
      </c>
      <c r="G1346" s="20" t="str">
        <f t="shared" ref="G1346:I1346" si="4032">#REF!</f>
        <v>#REF!</v>
      </c>
      <c r="H1346" s="20" t="str">
        <f t="shared" si="4032"/>
        <v>#REF!</v>
      </c>
      <c r="I1346" s="20" t="str">
        <f t="shared" si="4032"/>
        <v>#REF!</v>
      </c>
      <c r="J1346" s="20" t="str">
        <f t="shared" si="1272"/>
        <v>#REF!</v>
      </c>
      <c r="K1346" s="20" t="str">
        <f t="shared" ref="K1346:L1346" si="4033">#REF!</f>
        <v>#REF!</v>
      </c>
      <c r="L1346" s="20" t="str">
        <f t="shared" si="4033"/>
        <v>#REF!</v>
      </c>
    </row>
    <row r="1347">
      <c r="A1347" s="20" t="str">
        <f t="shared" si="1267"/>
        <v>#REF!</v>
      </c>
      <c r="B1347" s="20" t="str">
        <f t="shared" si="1268"/>
        <v>#REF!</v>
      </c>
      <c r="C1347" s="20" t="str">
        <f t="shared" ref="C1347:D1347" si="4034">#REF!</f>
        <v>#REF!</v>
      </c>
      <c r="D1347" s="20" t="str">
        <f t="shared" si="4034"/>
        <v>#REF!</v>
      </c>
      <c r="E1347" s="20" t="str">
        <f t="shared" si="1270"/>
        <v>#REF!</v>
      </c>
      <c r="F1347" s="22" t="str">
        <f t="shared" si="2"/>
        <v>#REF!</v>
      </c>
      <c r="G1347" s="20" t="str">
        <f t="shared" ref="G1347:I1347" si="4035">#REF!</f>
        <v>#REF!</v>
      </c>
      <c r="H1347" s="20" t="str">
        <f t="shared" si="4035"/>
        <v>#REF!</v>
      </c>
      <c r="I1347" s="20" t="str">
        <f t="shared" si="4035"/>
        <v>#REF!</v>
      </c>
      <c r="J1347" s="20" t="str">
        <f t="shared" si="1272"/>
        <v>#REF!</v>
      </c>
      <c r="K1347" s="20" t="str">
        <f t="shared" ref="K1347:L1347" si="4036">#REF!</f>
        <v>#REF!</v>
      </c>
      <c r="L1347" s="20" t="str">
        <f t="shared" si="4036"/>
        <v>#REF!</v>
      </c>
    </row>
    <row r="1348">
      <c r="A1348" s="20" t="str">
        <f t="shared" si="1267"/>
        <v>#REF!</v>
      </c>
      <c r="B1348" s="20" t="str">
        <f t="shared" si="1268"/>
        <v>#REF!</v>
      </c>
      <c r="C1348" s="20" t="str">
        <f t="shared" ref="C1348:D1348" si="4037">#REF!</f>
        <v>#REF!</v>
      </c>
      <c r="D1348" s="20" t="str">
        <f t="shared" si="4037"/>
        <v>#REF!</v>
      </c>
      <c r="E1348" s="20" t="str">
        <f t="shared" si="1270"/>
        <v>#REF!</v>
      </c>
      <c r="F1348" s="22" t="str">
        <f t="shared" si="2"/>
        <v>#REF!</v>
      </c>
      <c r="G1348" s="20" t="str">
        <f t="shared" ref="G1348:I1348" si="4038">#REF!</f>
        <v>#REF!</v>
      </c>
      <c r="H1348" s="20" t="str">
        <f t="shared" si="4038"/>
        <v>#REF!</v>
      </c>
      <c r="I1348" s="20" t="str">
        <f t="shared" si="4038"/>
        <v>#REF!</v>
      </c>
      <c r="J1348" s="20" t="str">
        <f t="shared" si="1272"/>
        <v>#REF!</v>
      </c>
      <c r="K1348" s="20" t="str">
        <f t="shared" ref="K1348:L1348" si="4039">#REF!</f>
        <v>#REF!</v>
      </c>
      <c r="L1348" s="20" t="str">
        <f t="shared" si="4039"/>
        <v>#REF!</v>
      </c>
    </row>
    <row r="1349">
      <c r="A1349" s="20" t="str">
        <f t="shared" si="1267"/>
        <v>#REF!</v>
      </c>
      <c r="B1349" s="20" t="str">
        <f t="shared" si="1268"/>
        <v>#REF!</v>
      </c>
      <c r="C1349" s="20" t="str">
        <f t="shared" ref="C1349:D1349" si="4040">#REF!</f>
        <v>#REF!</v>
      </c>
      <c r="D1349" s="20" t="str">
        <f t="shared" si="4040"/>
        <v>#REF!</v>
      </c>
      <c r="E1349" s="20" t="str">
        <f t="shared" si="1270"/>
        <v>#REF!</v>
      </c>
      <c r="F1349" s="22" t="str">
        <f t="shared" si="2"/>
        <v>#REF!</v>
      </c>
      <c r="G1349" s="20" t="str">
        <f t="shared" ref="G1349:I1349" si="4041">#REF!</f>
        <v>#REF!</v>
      </c>
      <c r="H1349" s="20" t="str">
        <f t="shared" si="4041"/>
        <v>#REF!</v>
      </c>
      <c r="I1349" s="20" t="str">
        <f t="shared" si="4041"/>
        <v>#REF!</v>
      </c>
      <c r="J1349" s="20" t="str">
        <f t="shared" si="1272"/>
        <v>#REF!</v>
      </c>
      <c r="K1349" s="20" t="str">
        <f t="shared" ref="K1349:L1349" si="4042">#REF!</f>
        <v>#REF!</v>
      </c>
      <c r="L1349" s="20" t="str">
        <f t="shared" si="4042"/>
        <v>#REF!</v>
      </c>
    </row>
    <row r="1350">
      <c r="A1350" s="20" t="str">
        <f t="shared" si="1267"/>
        <v>#REF!</v>
      </c>
      <c r="B1350" s="20" t="str">
        <f t="shared" si="1268"/>
        <v>#REF!</v>
      </c>
      <c r="C1350" s="20" t="str">
        <f t="shared" ref="C1350:D1350" si="4043">#REF!</f>
        <v>#REF!</v>
      </c>
      <c r="D1350" s="20" t="str">
        <f t="shared" si="4043"/>
        <v>#REF!</v>
      </c>
      <c r="E1350" s="20" t="str">
        <f t="shared" si="1270"/>
        <v>#REF!</v>
      </c>
      <c r="F1350" s="22" t="str">
        <f t="shared" si="2"/>
        <v>#REF!</v>
      </c>
      <c r="G1350" s="20" t="str">
        <f t="shared" ref="G1350:I1350" si="4044">#REF!</f>
        <v>#REF!</v>
      </c>
      <c r="H1350" s="20" t="str">
        <f t="shared" si="4044"/>
        <v>#REF!</v>
      </c>
      <c r="I1350" s="20" t="str">
        <f t="shared" si="4044"/>
        <v>#REF!</v>
      </c>
      <c r="J1350" s="20" t="str">
        <f t="shared" si="1272"/>
        <v>#REF!</v>
      </c>
      <c r="K1350" s="20" t="str">
        <f t="shared" ref="K1350:L1350" si="4045">#REF!</f>
        <v>#REF!</v>
      </c>
      <c r="L1350" s="20" t="str">
        <f t="shared" si="4045"/>
        <v>#REF!</v>
      </c>
    </row>
    <row r="1351">
      <c r="A1351" s="20" t="str">
        <f t="shared" si="1267"/>
        <v>#REF!</v>
      </c>
      <c r="B1351" s="20" t="str">
        <f t="shared" si="1268"/>
        <v>#REF!</v>
      </c>
      <c r="C1351" s="20" t="str">
        <f t="shared" ref="C1351:D1351" si="4046">#REF!</f>
        <v>#REF!</v>
      </c>
      <c r="D1351" s="20" t="str">
        <f t="shared" si="4046"/>
        <v>#REF!</v>
      </c>
      <c r="E1351" s="20" t="str">
        <f t="shared" si="1270"/>
        <v>#REF!</v>
      </c>
      <c r="F1351" s="22" t="str">
        <f t="shared" si="2"/>
        <v>#REF!</v>
      </c>
      <c r="G1351" s="20" t="str">
        <f t="shared" ref="G1351:I1351" si="4047">#REF!</f>
        <v>#REF!</v>
      </c>
      <c r="H1351" s="20" t="str">
        <f t="shared" si="4047"/>
        <v>#REF!</v>
      </c>
      <c r="I1351" s="20" t="str">
        <f t="shared" si="4047"/>
        <v>#REF!</v>
      </c>
      <c r="J1351" s="20" t="str">
        <f t="shared" si="1272"/>
        <v>#REF!</v>
      </c>
      <c r="K1351" s="20" t="str">
        <f t="shared" ref="K1351:L1351" si="4048">#REF!</f>
        <v>#REF!</v>
      </c>
      <c r="L1351" s="20" t="str">
        <f t="shared" si="4048"/>
        <v>#REF!</v>
      </c>
    </row>
    <row r="1352">
      <c r="A1352" s="20" t="str">
        <f t="shared" si="1267"/>
        <v>#REF!</v>
      </c>
      <c r="B1352" s="20" t="str">
        <f t="shared" si="1268"/>
        <v>#REF!</v>
      </c>
      <c r="C1352" s="20" t="str">
        <f t="shared" ref="C1352:D1352" si="4049">#REF!</f>
        <v>#REF!</v>
      </c>
      <c r="D1352" s="20" t="str">
        <f t="shared" si="4049"/>
        <v>#REF!</v>
      </c>
      <c r="E1352" s="20" t="str">
        <f t="shared" si="1270"/>
        <v>#REF!</v>
      </c>
      <c r="F1352" s="22" t="str">
        <f t="shared" si="2"/>
        <v>#REF!</v>
      </c>
      <c r="G1352" s="20" t="str">
        <f t="shared" ref="G1352:I1352" si="4050">#REF!</f>
        <v>#REF!</v>
      </c>
      <c r="H1352" s="20" t="str">
        <f t="shared" si="4050"/>
        <v>#REF!</v>
      </c>
      <c r="I1352" s="20" t="str">
        <f t="shared" si="4050"/>
        <v>#REF!</v>
      </c>
      <c r="J1352" s="20" t="str">
        <f t="shared" si="1272"/>
        <v>#REF!</v>
      </c>
      <c r="K1352" s="20" t="str">
        <f t="shared" ref="K1352:L1352" si="4051">#REF!</f>
        <v>#REF!</v>
      </c>
      <c r="L1352" s="20" t="str">
        <f t="shared" si="4051"/>
        <v>#REF!</v>
      </c>
    </row>
    <row r="1353">
      <c r="A1353" s="20" t="str">
        <f t="shared" si="1267"/>
        <v>#REF!</v>
      </c>
      <c r="B1353" s="20" t="str">
        <f t="shared" si="1268"/>
        <v>#REF!</v>
      </c>
      <c r="C1353" s="20" t="str">
        <f t="shared" ref="C1353:D1353" si="4052">#REF!</f>
        <v>#REF!</v>
      </c>
      <c r="D1353" s="20" t="str">
        <f t="shared" si="4052"/>
        <v>#REF!</v>
      </c>
      <c r="E1353" s="20" t="str">
        <f t="shared" si="1270"/>
        <v>#REF!</v>
      </c>
      <c r="F1353" s="22" t="str">
        <f t="shared" si="2"/>
        <v>#REF!</v>
      </c>
      <c r="G1353" s="20" t="str">
        <f t="shared" ref="G1353:I1353" si="4053">#REF!</f>
        <v>#REF!</v>
      </c>
      <c r="H1353" s="20" t="str">
        <f t="shared" si="4053"/>
        <v>#REF!</v>
      </c>
      <c r="I1353" s="20" t="str">
        <f t="shared" si="4053"/>
        <v>#REF!</v>
      </c>
      <c r="J1353" s="20" t="str">
        <f t="shared" si="1272"/>
        <v>#REF!</v>
      </c>
      <c r="K1353" s="20" t="str">
        <f t="shared" ref="K1353:L1353" si="4054">#REF!</f>
        <v>#REF!</v>
      </c>
      <c r="L1353" s="20" t="str">
        <f t="shared" si="4054"/>
        <v>#REF!</v>
      </c>
    </row>
    <row r="1354">
      <c r="A1354" s="20" t="str">
        <f t="shared" si="1267"/>
        <v>#REF!</v>
      </c>
      <c r="B1354" s="20" t="str">
        <f t="shared" si="1268"/>
        <v>#REF!</v>
      </c>
      <c r="C1354" s="20" t="str">
        <f t="shared" ref="C1354:D1354" si="4055">#REF!</f>
        <v>#REF!</v>
      </c>
      <c r="D1354" s="20" t="str">
        <f t="shared" si="4055"/>
        <v>#REF!</v>
      </c>
      <c r="E1354" s="20" t="str">
        <f t="shared" si="1270"/>
        <v>#REF!</v>
      </c>
      <c r="F1354" s="22" t="str">
        <f t="shared" si="2"/>
        <v>#REF!</v>
      </c>
      <c r="G1354" s="20" t="str">
        <f t="shared" ref="G1354:I1354" si="4056">#REF!</f>
        <v>#REF!</v>
      </c>
      <c r="H1354" s="20" t="str">
        <f t="shared" si="4056"/>
        <v>#REF!</v>
      </c>
      <c r="I1354" s="20" t="str">
        <f t="shared" si="4056"/>
        <v>#REF!</v>
      </c>
      <c r="J1354" s="20" t="str">
        <f t="shared" si="1272"/>
        <v>#REF!</v>
      </c>
      <c r="K1354" s="20" t="str">
        <f t="shared" ref="K1354:L1354" si="4057">#REF!</f>
        <v>#REF!</v>
      </c>
      <c r="L1354" s="20" t="str">
        <f t="shared" si="4057"/>
        <v>#REF!</v>
      </c>
    </row>
    <row r="1355">
      <c r="A1355" s="20" t="str">
        <f t="shared" si="1267"/>
        <v>#REF!</v>
      </c>
      <c r="B1355" s="20" t="str">
        <f t="shared" si="1268"/>
        <v>#REF!</v>
      </c>
      <c r="C1355" s="20" t="str">
        <f t="shared" ref="C1355:D1355" si="4058">#REF!</f>
        <v>#REF!</v>
      </c>
      <c r="D1355" s="20" t="str">
        <f t="shared" si="4058"/>
        <v>#REF!</v>
      </c>
      <c r="E1355" s="20" t="str">
        <f t="shared" si="1270"/>
        <v>#REF!</v>
      </c>
      <c r="F1355" s="22" t="str">
        <f t="shared" si="2"/>
        <v>#REF!</v>
      </c>
      <c r="G1355" s="20" t="str">
        <f t="shared" ref="G1355:I1355" si="4059">#REF!</f>
        <v>#REF!</v>
      </c>
      <c r="H1355" s="20" t="str">
        <f t="shared" si="4059"/>
        <v>#REF!</v>
      </c>
      <c r="I1355" s="20" t="str">
        <f t="shared" si="4059"/>
        <v>#REF!</v>
      </c>
      <c r="J1355" s="20" t="str">
        <f t="shared" si="1272"/>
        <v>#REF!</v>
      </c>
      <c r="K1355" s="20" t="str">
        <f t="shared" ref="K1355:L1355" si="4060">#REF!</f>
        <v>#REF!</v>
      </c>
      <c r="L1355" s="20" t="str">
        <f t="shared" si="4060"/>
        <v>#REF!</v>
      </c>
    </row>
    <row r="1356">
      <c r="A1356" s="20" t="str">
        <f t="shared" si="1267"/>
        <v>#REF!</v>
      </c>
      <c r="B1356" s="20" t="str">
        <f t="shared" si="1268"/>
        <v>#REF!</v>
      </c>
      <c r="C1356" s="20" t="str">
        <f t="shared" ref="C1356:D1356" si="4061">#REF!</f>
        <v>#REF!</v>
      </c>
      <c r="D1356" s="20" t="str">
        <f t="shared" si="4061"/>
        <v>#REF!</v>
      </c>
      <c r="E1356" s="20" t="str">
        <f t="shared" si="1270"/>
        <v>#REF!</v>
      </c>
      <c r="F1356" s="22" t="str">
        <f t="shared" si="2"/>
        <v>#REF!</v>
      </c>
      <c r="G1356" s="20" t="str">
        <f t="shared" ref="G1356:I1356" si="4062">#REF!</f>
        <v>#REF!</v>
      </c>
      <c r="H1356" s="20" t="str">
        <f t="shared" si="4062"/>
        <v>#REF!</v>
      </c>
      <c r="I1356" s="20" t="str">
        <f t="shared" si="4062"/>
        <v>#REF!</v>
      </c>
      <c r="J1356" s="20" t="str">
        <f t="shared" si="1272"/>
        <v>#REF!</v>
      </c>
      <c r="K1356" s="20" t="str">
        <f t="shared" ref="K1356:L1356" si="4063">#REF!</f>
        <v>#REF!</v>
      </c>
      <c r="L1356" s="20" t="str">
        <f t="shared" si="4063"/>
        <v>#REF!</v>
      </c>
    </row>
    <row r="1357">
      <c r="A1357" s="20" t="str">
        <f t="shared" si="1267"/>
        <v>#REF!</v>
      </c>
      <c r="B1357" s="20" t="str">
        <f t="shared" si="1268"/>
        <v>#REF!</v>
      </c>
      <c r="C1357" s="20" t="str">
        <f t="shared" ref="C1357:D1357" si="4064">#REF!</f>
        <v>#REF!</v>
      </c>
      <c r="D1357" s="20" t="str">
        <f t="shared" si="4064"/>
        <v>#REF!</v>
      </c>
      <c r="E1357" s="20" t="str">
        <f t="shared" si="1270"/>
        <v>#REF!</v>
      </c>
      <c r="F1357" s="22" t="str">
        <f t="shared" si="2"/>
        <v>#REF!</v>
      </c>
      <c r="G1357" s="20" t="str">
        <f t="shared" ref="G1357:I1357" si="4065">#REF!</f>
        <v>#REF!</v>
      </c>
      <c r="H1357" s="20" t="str">
        <f t="shared" si="4065"/>
        <v>#REF!</v>
      </c>
      <c r="I1357" s="20" t="str">
        <f t="shared" si="4065"/>
        <v>#REF!</v>
      </c>
      <c r="J1357" s="20" t="str">
        <f t="shared" si="1272"/>
        <v>#REF!</v>
      </c>
      <c r="K1357" s="20" t="str">
        <f t="shared" ref="K1357:L1357" si="4066">#REF!</f>
        <v>#REF!</v>
      </c>
      <c r="L1357" s="20" t="str">
        <f t="shared" si="4066"/>
        <v>#REF!</v>
      </c>
    </row>
    <row r="1358">
      <c r="A1358" s="20" t="str">
        <f t="shared" si="1267"/>
        <v>#REF!</v>
      </c>
      <c r="B1358" s="20" t="str">
        <f t="shared" si="1268"/>
        <v>#REF!</v>
      </c>
      <c r="C1358" s="20" t="str">
        <f t="shared" ref="C1358:D1358" si="4067">#REF!</f>
        <v>#REF!</v>
      </c>
      <c r="D1358" s="20" t="str">
        <f t="shared" si="4067"/>
        <v>#REF!</v>
      </c>
      <c r="E1358" s="20" t="str">
        <f t="shared" si="1270"/>
        <v>#REF!</v>
      </c>
      <c r="F1358" s="22" t="str">
        <f t="shared" si="2"/>
        <v>#REF!</v>
      </c>
      <c r="G1358" s="20" t="str">
        <f t="shared" ref="G1358:I1358" si="4068">#REF!</f>
        <v>#REF!</v>
      </c>
      <c r="H1358" s="20" t="str">
        <f t="shared" si="4068"/>
        <v>#REF!</v>
      </c>
      <c r="I1358" s="20" t="str">
        <f t="shared" si="4068"/>
        <v>#REF!</v>
      </c>
      <c r="J1358" s="20" t="str">
        <f t="shared" si="1272"/>
        <v>#REF!</v>
      </c>
      <c r="K1358" s="20" t="str">
        <f t="shared" ref="K1358:L1358" si="4069">#REF!</f>
        <v>#REF!</v>
      </c>
      <c r="L1358" s="20" t="str">
        <f t="shared" si="4069"/>
        <v>#REF!</v>
      </c>
    </row>
    <row r="1359">
      <c r="A1359" s="20" t="str">
        <f t="shared" si="1267"/>
        <v>#REF!</v>
      </c>
      <c r="B1359" s="20" t="str">
        <f t="shared" si="1268"/>
        <v>#REF!</v>
      </c>
      <c r="C1359" s="20" t="str">
        <f t="shared" ref="C1359:D1359" si="4070">#REF!</f>
        <v>#REF!</v>
      </c>
      <c r="D1359" s="20" t="str">
        <f t="shared" si="4070"/>
        <v>#REF!</v>
      </c>
      <c r="E1359" s="20" t="str">
        <f t="shared" si="1270"/>
        <v>#REF!</v>
      </c>
      <c r="F1359" s="22" t="str">
        <f t="shared" si="2"/>
        <v>#REF!</v>
      </c>
      <c r="G1359" s="20" t="str">
        <f t="shared" ref="G1359:I1359" si="4071">#REF!</f>
        <v>#REF!</v>
      </c>
      <c r="H1359" s="20" t="str">
        <f t="shared" si="4071"/>
        <v>#REF!</v>
      </c>
      <c r="I1359" s="20" t="str">
        <f t="shared" si="4071"/>
        <v>#REF!</v>
      </c>
      <c r="J1359" s="20" t="str">
        <f t="shared" si="1272"/>
        <v>#REF!</v>
      </c>
      <c r="K1359" s="20" t="str">
        <f t="shared" ref="K1359:L1359" si="4072">#REF!</f>
        <v>#REF!</v>
      </c>
      <c r="L1359" s="20" t="str">
        <f t="shared" si="4072"/>
        <v>#REF!</v>
      </c>
    </row>
    <row r="1360">
      <c r="A1360" s="20" t="str">
        <f t="shared" si="1267"/>
        <v>#REF!</v>
      </c>
      <c r="B1360" s="20" t="str">
        <f t="shared" si="1268"/>
        <v>#REF!</v>
      </c>
      <c r="C1360" s="20" t="str">
        <f t="shared" ref="C1360:D1360" si="4073">#REF!</f>
        <v>#REF!</v>
      </c>
      <c r="D1360" s="20" t="str">
        <f t="shared" si="4073"/>
        <v>#REF!</v>
      </c>
      <c r="E1360" s="20" t="str">
        <f t="shared" si="1270"/>
        <v>#REF!</v>
      </c>
      <c r="F1360" s="22" t="str">
        <f t="shared" si="2"/>
        <v>#REF!</v>
      </c>
      <c r="G1360" s="20" t="str">
        <f t="shared" ref="G1360:I1360" si="4074">#REF!</f>
        <v>#REF!</v>
      </c>
      <c r="H1360" s="20" t="str">
        <f t="shared" si="4074"/>
        <v>#REF!</v>
      </c>
      <c r="I1360" s="20" t="str">
        <f t="shared" si="4074"/>
        <v>#REF!</v>
      </c>
      <c r="J1360" s="20" t="str">
        <f t="shared" si="1272"/>
        <v>#REF!</v>
      </c>
      <c r="K1360" s="20" t="str">
        <f t="shared" ref="K1360:L1360" si="4075">#REF!</f>
        <v>#REF!</v>
      </c>
      <c r="L1360" s="20" t="str">
        <f t="shared" si="4075"/>
        <v>#REF!</v>
      </c>
    </row>
    <row r="1361">
      <c r="A1361" s="20" t="str">
        <f t="shared" si="1267"/>
        <v>#REF!</v>
      </c>
      <c r="B1361" s="20" t="str">
        <f t="shared" si="1268"/>
        <v>#REF!</v>
      </c>
      <c r="C1361" s="20" t="str">
        <f t="shared" ref="C1361:D1361" si="4076">#REF!</f>
        <v>#REF!</v>
      </c>
      <c r="D1361" s="20" t="str">
        <f t="shared" si="4076"/>
        <v>#REF!</v>
      </c>
      <c r="E1361" s="20" t="str">
        <f t="shared" si="1270"/>
        <v>#REF!</v>
      </c>
      <c r="F1361" s="22" t="str">
        <f t="shared" si="2"/>
        <v>#REF!</v>
      </c>
      <c r="G1361" s="20" t="str">
        <f t="shared" ref="G1361:I1361" si="4077">#REF!</f>
        <v>#REF!</v>
      </c>
      <c r="H1361" s="20" t="str">
        <f t="shared" si="4077"/>
        <v>#REF!</v>
      </c>
      <c r="I1361" s="20" t="str">
        <f t="shared" si="4077"/>
        <v>#REF!</v>
      </c>
      <c r="J1361" s="20" t="str">
        <f t="shared" si="1272"/>
        <v>#REF!</v>
      </c>
      <c r="K1361" s="20" t="str">
        <f t="shared" ref="K1361:L1361" si="4078">#REF!</f>
        <v>#REF!</v>
      </c>
      <c r="L1361" s="20" t="str">
        <f t="shared" si="4078"/>
        <v>#REF!</v>
      </c>
    </row>
    <row r="1362">
      <c r="A1362" s="20" t="str">
        <f t="shared" si="1267"/>
        <v>#REF!</v>
      </c>
      <c r="B1362" s="20" t="str">
        <f t="shared" si="1268"/>
        <v>#REF!</v>
      </c>
      <c r="C1362" s="20" t="str">
        <f t="shared" ref="C1362:D1362" si="4079">#REF!</f>
        <v>#REF!</v>
      </c>
      <c r="D1362" s="20" t="str">
        <f t="shared" si="4079"/>
        <v>#REF!</v>
      </c>
      <c r="E1362" s="20" t="str">
        <f t="shared" si="1270"/>
        <v>#REF!</v>
      </c>
      <c r="F1362" s="22" t="str">
        <f t="shared" si="2"/>
        <v>#REF!</v>
      </c>
      <c r="G1362" s="20" t="str">
        <f t="shared" ref="G1362:I1362" si="4080">#REF!</f>
        <v>#REF!</v>
      </c>
      <c r="H1362" s="20" t="str">
        <f t="shared" si="4080"/>
        <v>#REF!</v>
      </c>
      <c r="I1362" s="20" t="str">
        <f t="shared" si="4080"/>
        <v>#REF!</v>
      </c>
      <c r="J1362" s="20" t="str">
        <f t="shared" si="1272"/>
        <v>#REF!</v>
      </c>
      <c r="K1362" s="20" t="str">
        <f t="shared" ref="K1362:L1362" si="4081">#REF!</f>
        <v>#REF!</v>
      </c>
      <c r="L1362" s="20" t="str">
        <f t="shared" si="4081"/>
        <v>#REF!</v>
      </c>
    </row>
    <row r="1363">
      <c r="A1363" s="20" t="str">
        <f t="shared" si="1267"/>
        <v>#REF!</v>
      </c>
      <c r="B1363" s="20" t="str">
        <f t="shared" si="1268"/>
        <v>#REF!</v>
      </c>
      <c r="C1363" s="20" t="str">
        <f t="shared" ref="C1363:D1363" si="4082">#REF!</f>
        <v>#REF!</v>
      </c>
      <c r="D1363" s="20" t="str">
        <f t="shared" si="4082"/>
        <v>#REF!</v>
      </c>
      <c r="E1363" s="20" t="str">
        <f t="shared" si="1270"/>
        <v>#REF!</v>
      </c>
      <c r="F1363" s="22" t="str">
        <f t="shared" si="2"/>
        <v>#REF!</v>
      </c>
      <c r="G1363" s="20" t="str">
        <f t="shared" ref="G1363:I1363" si="4083">#REF!</f>
        <v>#REF!</v>
      </c>
      <c r="H1363" s="20" t="str">
        <f t="shared" si="4083"/>
        <v>#REF!</v>
      </c>
      <c r="I1363" s="20" t="str">
        <f t="shared" si="4083"/>
        <v>#REF!</v>
      </c>
      <c r="J1363" s="20" t="str">
        <f t="shared" si="1272"/>
        <v>#REF!</v>
      </c>
      <c r="K1363" s="20" t="str">
        <f t="shared" ref="K1363:L1363" si="4084">#REF!</f>
        <v>#REF!</v>
      </c>
      <c r="L1363" s="20" t="str">
        <f t="shared" si="4084"/>
        <v>#REF!</v>
      </c>
    </row>
    <row r="1364">
      <c r="A1364" s="20" t="str">
        <f t="shared" si="1267"/>
        <v>#REF!</v>
      </c>
      <c r="B1364" s="20" t="str">
        <f t="shared" si="1268"/>
        <v>#REF!</v>
      </c>
      <c r="C1364" s="20" t="str">
        <f t="shared" ref="C1364:D1364" si="4085">#REF!</f>
        <v>#REF!</v>
      </c>
      <c r="D1364" s="20" t="str">
        <f t="shared" si="4085"/>
        <v>#REF!</v>
      </c>
      <c r="E1364" s="20" t="str">
        <f t="shared" si="1270"/>
        <v>#REF!</v>
      </c>
      <c r="F1364" s="22" t="str">
        <f t="shared" si="2"/>
        <v>#REF!</v>
      </c>
      <c r="G1364" s="20" t="str">
        <f t="shared" ref="G1364:I1364" si="4086">#REF!</f>
        <v>#REF!</v>
      </c>
      <c r="H1364" s="20" t="str">
        <f t="shared" si="4086"/>
        <v>#REF!</v>
      </c>
      <c r="I1364" s="20" t="str">
        <f t="shared" si="4086"/>
        <v>#REF!</v>
      </c>
      <c r="J1364" s="20" t="str">
        <f t="shared" si="1272"/>
        <v>#REF!</v>
      </c>
      <c r="K1364" s="20" t="str">
        <f t="shared" ref="K1364:L1364" si="4087">#REF!</f>
        <v>#REF!</v>
      </c>
      <c r="L1364" s="20" t="str">
        <f t="shared" si="4087"/>
        <v>#REF!</v>
      </c>
    </row>
    <row r="1365">
      <c r="A1365" s="20" t="str">
        <f t="shared" si="1267"/>
        <v>#REF!</v>
      </c>
      <c r="B1365" s="20" t="str">
        <f t="shared" si="1268"/>
        <v>#REF!</v>
      </c>
      <c r="C1365" s="20" t="str">
        <f t="shared" ref="C1365:D1365" si="4088">#REF!</f>
        <v>#REF!</v>
      </c>
      <c r="D1365" s="20" t="str">
        <f t="shared" si="4088"/>
        <v>#REF!</v>
      </c>
      <c r="E1365" s="20" t="str">
        <f t="shared" si="1270"/>
        <v>#REF!</v>
      </c>
      <c r="F1365" s="22" t="str">
        <f t="shared" si="2"/>
        <v>#REF!</v>
      </c>
      <c r="G1365" s="20" t="str">
        <f t="shared" ref="G1365:I1365" si="4089">#REF!</f>
        <v>#REF!</v>
      </c>
      <c r="H1365" s="20" t="str">
        <f t="shared" si="4089"/>
        <v>#REF!</v>
      </c>
      <c r="I1365" s="20" t="str">
        <f t="shared" si="4089"/>
        <v>#REF!</v>
      </c>
      <c r="J1365" s="20" t="str">
        <f t="shared" si="1272"/>
        <v>#REF!</v>
      </c>
      <c r="K1365" s="20" t="str">
        <f t="shared" ref="K1365:L1365" si="4090">#REF!</f>
        <v>#REF!</v>
      </c>
      <c r="L1365" s="20" t="str">
        <f t="shared" si="4090"/>
        <v>#REF!</v>
      </c>
    </row>
    <row r="1366">
      <c r="A1366" s="20" t="str">
        <f t="shared" si="1267"/>
        <v>#REF!</v>
      </c>
      <c r="B1366" s="20" t="str">
        <f t="shared" si="1268"/>
        <v>#REF!</v>
      </c>
      <c r="C1366" s="20" t="str">
        <f t="shared" ref="C1366:D1366" si="4091">#REF!</f>
        <v>#REF!</v>
      </c>
      <c r="D1366" s="20" t="str">
        <f t="shared" si="4091"/>
        <v>#REF!</v>
      </c>
      <c r="E1366" s="20" t="str">
        <f t="shared" si="1270"/>
        <v>#REF!</v>
      </c>
      <c r="F1366" s="22" t="str">
        <f t="shared" si="2"/>
        <v>#REF!</v>
      </c>
      <c r="G1366" s="20" t="str">
        <f t="shared" ref="G1366:I1366" si="4092">#REF!</f>
        <v>#REF!</v>
      </c>
      <c r="H1366" s="20" t="str">
        <f t="shared" si="4092"/>
        <v>#REF!</v>
      </c>
      <c r="I1366" s="20" t="str">
        <f t="shared" si="4092"/>
        <v>#REF!</v>
      </c>
      <c r="J1366" s="20" t="str">
        <f t="shared" si="1272"/>
        <v>#REF!</v>
      </c>
      <c r="K1366" s="20" t="str">
        <f t="shared" ref="K1366:L1366" si="4093">#REF!</f>
        <v>#REF!</v>
      </c>
      <c r="L1366" s="20" t="str">
        <f t="shared" si="4093"/>
        <v>#REF!</v>
      </c>
    </row>
    <row r="1367">
      <c r="A1367" s="20" t="str">
        <f t="shared" si="1267"/>
        <v>#REF!</v>
      </c>
      <c r="B1367" s="20" t="str">
        <f t="shared" si="1268"/>
        <v>#REF!</v>
      </c>
      <c r="C1367" s="20" t="str">
        <f t="shared" ref="C1367:D1367" si="4094">#REF!</f>
        <v>#REF!</v>
      </c>
      <c r="D1367" s="20" t="str">
        <f t="shared" si="4094"/>
        <v>#REF!</v>
      </c>
      <c r="E1367" s="20" t="str">
        <f t="shared" si="1270"/>
        <v>#REF!</v>
      </c>
      <c r="F1367" s="22" t="str">
        <f t="shared" si="2"/>
        <v>#REF!</v>
      </c>
      <c r="G1367" s="20" t="str">
        <f t="shared" ref="G1367:I1367" si="4095">#REF!</f>
        <v>#REF!</v>
      </c>
      <c r="H1367" s="20" t="str">
        <f t="shared" si="4095"/>
        <v>#REF!</v>
      </c>
      <c r="I1367" s="20" t="str">
        <f t="shared" si="4095"/>
        <v>#REF!</v>
      </c>
      <c r="J1367" s="20" t="str">
        <f t="shared" si="1272"/>
        <v>#REF!</v>
      </c>
      <c r="K1367" s="20" t="str">
        <f t="shared" ref="K1367:L1367" si="4096">#REF!</f>
        <v>#REF!</v>
      </c>
      <c r="L1367" s="20" t="str">
        <f t="shared" si="4096"/>
        <v>#REF!</v>
      </c>
    </row>
    <row r="1368">
      <c r="A1368" s="20" t="str">
        <f t="shared" si="1267"/>
        <v>#REF!</v>
      </c>
      <c r="B1368" s="20" t="str">
        <f t="shared" si="1268"/>
        <v>#REF!</v>
      </c>
      <c r="C1368" s="20" t="str">
        <f t="shared" ref="C1368:D1368" si="4097">#REF!</f>
        <v>#REF!</v>
      </c>
      <c r="D1368" s="20" t="str">
        <f t="shared" si="4097"/>
        <v>#REF!</v>
      </c>
      <c r="E1368" s="20" t="str">
        <f t="shared" si="1270"/>
        <v>#REF!</v>
      </c>
      <c r="F1368" s="22" t="str">
        <f t="shared" si="2"/>
        <v>#REF!</v>
      </c>
      <c r="G1368" s="20" t="str">
        <f t="shared" ref="G1368:I1368" si="4098">#REF!</f>
        <v>#REF!</v>
      </c>
      <c r="H1368" s="20" t="str">
        <f t="shared" si="4098"/>
        <v>#REF!</v>
      </c>
      <c r="I1368" s="20" t="str">
        <f t="shared" si="4098"/>
        <v>#REF!</v>
      </c>
      <c r="J1368" s="20" t="str">
        <f t="shared" si="1272"/>
        <v>#REF!</v>
      </c>
      <c r="K1368" s="20" t="str">
        <f t="shared" ref="K1368:L1368" si="4099">#REF!</f>
        <v>#REF!</v>
      </c>
      <c r="L1368" s="20" t="str">
        <f t="shared" si="4099"/>
        <v>#REF!</v>
      </c>
    </row>
    <row r="1369">
      <c r="A1369" s="20" t="str">
        <f t="shared" si="1267"/>
        <v>#REF!</v>
      </c>
      <c r="B1369" s="20" t="str">
        <f t="shared" si="1268"/>
        <v>#REF!</v>
      </c>
      <c r="C1369" s="20" t="str">
        <f t="shared" ref="C1369:D1369" si="4100">#REF!</f>
        <v>#REF!</v>
      </c>
      <c r="D1369" s="20" t="str">
        <f t="shared" si="4100"/>
        <v>#REF!</v>
      </c>
      <c r="E1369" s="20" t="str">
        <f t="shared" si="1270"/>
        <v>#REF!</v>
      </c>
      <c r="F1369" s="22" t="str">
        <f t="shared" si="2"/>
        <v>#REF!</v>
      </c>
      <c r="G1369" s="20" t="str">
        <f t="shared" ref="G1369:I1369" si="4101">#REF!</f>
        <v>#REF!</v>
      </c>
      <c r="H1369" s="20" t="str">
        <f t="shared" si="4101"/>
        <v>#REF!</v>
      </c>
      <c r="I1369" s="20" t="str">
        <f t="shared" si="4101"/>
        <v>#REF!</v>
      </c>
      <c r="J1369" s="20" t="str">
        <f t="shared" si="1272"/>
        <v>#REF!</v>
      </c>
      <c r="K1369" s="20" t="str">
        <f t="shared" ref="K1369:L1369" si="4102">#REF!</f>
        <v>#REF!</v>
      </c>
      <c r="L1369" s="20" t="str">
        <f t="shared" si="4102"/>
        <v>#REF!</v>
      </c>
    </row>
    <row r="1370">
      <c r="A1370" s="20" t="str">
        <f t="shared" si="1267"/>
        <v>#REF!</v>
      </c>
      <c r="B1370" s="20" t="str">
        <f t="shared" si="1268"/>
        <v>#REF!</v>
      </c>
      <c r="C1370" s="20" t="str">
        <f t="shared" ref="C1370:D1370" si="4103">#REF!</f>
        <v>#REF!</v>
      </c>
      <c r="D1370" s="20" t="str">
        <f t="shared" si="4103"/>
        <v>#REF!</v>
      </c>
      <c r="E1370" s="20" t="str">
        <f t="shared" si="1270"/>
        <v>#REF!</v>
      </c>
      <c r="F1370" s="22" t="str">
        <f t="shared" si="2"/>
        <v>#REF!</v>
      </c>
      <c r="G1370" s="20" t="str">
        <f t="shared" ref="G1370:I1370" si="4104">#REF!</f>
        <v>#REF!</v>
      </c>
      <c r="H1370" s="20" t="str">
        <f t="shared" si="4104"/>
        <v>#REF!</v>
      </c>
      <c r="I1370" s="20" t="str">
        <f t="shared" si="4104"/>
        <v>#REF!</v>
      </c>
      <c r="J1370" s="20" t="str">
        <f t="shared" si="1272"/>
        <v>#REF!</v>
      </c>
      <c r="K1370" s="20" t="str">
        <f t="shared" ref="K1370:L1370" si="4105">#REF!</f>
        <v>#REF!</v>
      </c>
      <c r="L1370" s="20" t="str">
        <f t="shared" si="4105"/>
        <v>#REF!</v>
      </c>
    </row>
    <row r="1371">
      <c r="A1371" s="20" t="str">
        <f t="shared" si="1267"/>
        <v>#REF!</v>
      </c>
      <c r="B1371" s="20" t="str">
        <f t="shared" si="1268"/>
        <v>#REF!</v>
      </c>
      <c r="C1371" s="20" t="str">
        <f t="shared" ref="C1371:D1371" si="4106">#REF!</f>
        <v>#REF!</v>
      </c>
      <c r="D1371" s="20" t="str">
        <f t="shared" si="4106"/>
        <v>#REF!</v>
      </c>
      <c r="E1371" s="20" t="str">
        <f t="shared" si="1270"/>
        <v>#REF!</v>
      </c>
      <c r="F1371" s="22" t="str">
        <f t="shared" si="2"/>
        <v>#REF!</v>
      </c>
      <c r="G1371" s="20" t="str">
        <f t="shared" ref="G1371:I1371" si="4107">#REF!</f>
        <v>#REF!</v>
      </c>
      <c r="H1371" s="20" t="str">
        <f t="shared" si="4107"/>
        <v>#REF!</v>
      </c>
      <c r="I1371" s="20" t="str">
        <f t="shared" si="4107"/>
        <v>#REF!</v>
      </c>
      <c r="J1371" s="20" t="str">
        <f t="shared" si="1272"/>
        <v>#REF!</v>
      </c>
      <c r="K1371" s="20" t="str">
        <f t="shared" ref="K1371:L1371" si="4108">#REF!</f>
        <v>#REF!</v>
      </c>
      <c r="L1371" s="20" t="str">
        <f t="shared" si="4108"/>
        <v>#REF!</v>
      </c>
    </row>
    <row r="1372">
      <c r="A1372" s="20" t="str">
        <f t="shared" si="1267"/>
        <v>#REF!</v>
      </c>
      <c r="B1372" s="20" t="str">
        <f t="shared" si="1268"/>
        <v>#REF!</v>
      </c>
      <c r="C1372" s="20" t="str">
        <f t="shared" ref="C1372:D1372" si="4109">#REF!</f>
        <v>#REF!</v>
      </c>
      <c r="D1372" s="20" t="str">
        <f t="shared" si="4109"/>
        <v>#REF!</v>
      </c>
      <c r="E1372" s="20" t="str">
        <f t="shared" si="1270"/>
        <v>#REF!</v>
      </c>
      <c r="F1372" s="22" t="str">
        <f t="shared" si="2"/>
        <v>#REF!</v>
      </c>
      <c r="G1372" s="20" t="str">
        <f t="shared" ref="G1372:I1372" si="4110">#REF!</f>
        <v>#REF!</v>
      </c>
      <c r="H1372" s="20" t="str">
        <f t="shared" si="4110"/>
        <v>#REF!</v>
      </c>
      <c r="I1372" s="20" t="str">
        <f t="shared" si="4110"/>
        <v>#REF!</v>
      </c>
      <c r="J1372" s="20" t="str">
        <f t="shared" si="1272"/>
        <v>#REF!</v>
      </c>
      <c r="K1372" s="20" t="str">
        <f t="shared" ref="K1372:L1372" si="4111">#REF!</f>
        <v>#REF!</v>
      </c>
      <c r="L1372" s="20" t="str">
        <f t="shared" si="4111"/>
        <v>#REF!</v>
      </c>
    </row>
    <row r="1373">
      <c r="A1373" s="20" t="str">
        <f t="shared" si="1267"/>
        <v>#REF!</v>
      </c>
      <c r="B1373" s="20" t="str">
        <f t="shared" si="1268"/>
        <v>#REF!</v>
      </c>
      <c r="C1373" s="20" t="str">
        <f t="shared" ref="C1373:D1373" si="4112">#REF!</f>
        <v>#REF!</v>
      </c>
      <c r="D1373" s="20" t="str">
        <f t="shared" si="4112"/>
        <v>#REF!</v>
      </c>
      <c r="E1373" s="20" t="str">
        <f t="shared" si="1270"/>
        <v>#REF!</v>
      </c>
      <c r="F1373" s="22" t="str">
        <f t="shared" si="2"/>
        <v>#REF!</v>
      </c>
      <c r="G1373" s="20" t="str">
        <f t="shared" ref="G1373:I1373" si="4113">#REF!</f>
        <v>#REF!</v>
      </c>
      <c r="H1373" s="20" t="str">
        <f t="shared" si="4113"/>
        <v>#REF!</v>
      </c>
      <c r="I1373" s="20" t="str">
        <f t="shared" si="4113"/>
        <v>#REF!</v>
      </c>
      <c r="J1373" s="20" t="str">
        <f t="shared" si="1272"/>
        <v>#REF!</v>
      </c>
      <c r="K1373" s="20" t="str">
        <f t="shared" ref="K1373:L1373" si="4114">#REF!</f>
        <v>#REF!</v>
      </c>
      <c r="L1373" s="20" t="str">
        <f t="shared" si="4114"/>
        <v>#REF!</v>
      </c>
    </row>
    <row r="1374">
      <c r="A1374" s="20" t="str">
        <f t="shared" si="1267"/>
        <v>#REF!</v>
      </c>
      <c r="B1374" s="20" t="str">
        <f t="shared" si="1268"/>
        <v>#REF!</v>
      </c>
      <c r="C1374" s="20" t="str">
        <f t="shared" ref="C1374:D1374" si="4115">#REF!</f>
        <v>#REF!</v>
      </c>
      <c r="D1374" s="20" t="str">
        <f t="shared" si="4115"/>
        <v>#REF!</v>
      </c>
      <c r="E1374" s="20" t="str">
        <f t="shared" si="1270"/>
        <v>#REF!</v>
      </c>
      <c r="F1374" s="22" t="str">
        <f t="shared" si="2"/>
        <v>#REF!</v>
      </c>
      <c r="G1374" s="20" t="str">
        <f t="shared" ref="G1374:I1374" si="4116">#REF!</f>
        <v>#REF!</v>
      </c>
      <c r="H1374" s="20" t="str">
        <f t="shared" si="4116"/>
        <v>#REF!</v>
      </c>
      <c r="I1374" s="20" t="str">
        <f t="shared" si="4116"/>
        <v>#REF!</v>
      </c>
      <c r="J1374" s="20" t="str">
        <f t="shared" si="1272"/>
        <v>#REF!</v>
      </c>
      <c r="K1374" s="20" t="str">
        <f t="shared" ref="K1374:L1374" si="4117">#REF!</f>
        <v>#REF!</v>
      </c>
      <c r="L1374" s="20" t="str">
        <f t="shared" si="4117"/>
        <v>#REF!</v>
      </c>
    </row>
    <row r="1375">
      <c r="A1375" s="20" t="str">
        <f t="shared" si="1267"/>
        <v>#REF!</v>
      </c>
      <c r="B1375" s="20" t="str">
        <f t="shared" si="1268"/>
        <v>#REF!</v>
      </c>
      <c r="C1375" s="20" t="str">
        <f t="shared" ref="C1375:D1375" si="4118">#REF!</f>
        <v>#REF!</v>
      </c>
      <c r="D1375" s="20" t="str">
        <f t="shared" si="4118"/>
        <v>#REF!</v>
      </c>
      <c r="E1375" s="20" t="str">
        <f t="shared" si="1270"/>
        <v>#REF!</v>
      </c>
      <c r="F1375" s="22" t="str">
        <f t="shared" si="2"/>
        <v>#REF!</v>
      </c>
      <c r="G1375" s="20" t="str">
        <f t="shared" ref="G1375:I1375" si="4119">#REF!</f>
        <v>#REF!</v>
      </c>
      <c r="H1375" s="20" t="str">
        <f t="shared" si="4119"/>
        <v>#REF!</v>
      </c>
      <c r="I1375" s="20" t="str">
        <f t="shared" si="4119"/>
        <v>#REF!</v>
      </c>
      <c r="J1375" s="20" t="str">
        <f t="shared" si="1272"/>
        <v>#REF!</v>
      </c>
      <c r="K1375" s="20" t="str">
        <f t="shared" ref="K1375:L1375" si="4120">#REF!</f>
        <v>#REF!</v>
      </c>
      <c r="L1375" s="20" t="str">
        <f t="shared" si="4120"/>
        <v>#REF!</v>
      </c>
    </row>
    <row r="1376">
      <c r="A1376" s="20" t="str">
        <f t="shared" si="1267"/>
        <v>#REF!</v>
      </c>
      <c r="B1376" s="20" t="str">
        <f t="shared" si="1268"/>
        <v>#REF!</v>
      </c>
      <c r="C1376" s="20" t="str">
        <f t="shared" ref="C1376:D1376" si="4121">#REF!</f>
        <v>#REF!</v>
      </c>
      <c r="D1376" s="20" t="str">
        <f t="shared" si="4121"/>
        <v>#REF!</v>
      </c>
      <c r="E1376" s="20" t="str">
        <f t="shared" si="1270"/>
        <v>#REF!</v>
      </c>
      <c r="F1376" s="22" t="str">
        <f t="shared" si="2"/>
        <v>#REF!</v>
      </c>
      <c r="G1376" s="20" t="str">
        <f t="shared" ref="G1376:I1376" si="4122">#REF!</f>
        <v>#REF!</v>
      </c>
      <c r="H1376" s="20" t="str">
        <f t="shared" si="4122"/>
        <v>#REF!</v>
      </c>
      <c r="I1376" s="20" t="str">
        <f t="shared" si="4122"/>
        <v>#REF!</v>
      </c>
      <c r="J1376" s="20" t="str">
        <f t="shared" si="1272"/>
        <v>#REF!</v>
      </c>
      <c r="K1376" s="20" t="str">
        <f t="shared" ref="K1376:L1376" si="4123">#REF!</f>
        <v>#REF!</v>
      </c>
      <c r="L1376" s="20" t="str">
        <f t="shared" si="4123"/>
        <v>#REF!</v>
      </c>
    </row>
    <row r="1377">
      <c r="A1377" s="20" t="str">
        <f t="shared" si="1267"/>
        <v>#REF!</v>
      </c>
      <c r="B1377" s="20" t="str">
        <f t="shared" si="1268"/>
        <v>#REF!</v>
      </c>
      <c r="C1377" s="20" t="str">
        <f t="shared" ref="C1377:D1377" si="4124">#REF!</f>
        <v>#REF!</v>
      </c>
      <c r="D1377" s="20" t="str">
        <f t="shared" si="4124"/>
        <v>#REF!</v>
      </c>
      <c r="E1377" s="20" t="str">
        <f t="shared" si="1270"/>
        <v>#REF!</v>
      </c>
      <c r="F1377" s="22" t="str">
        <f t="shared" si="2"/>
        <v>#REF!</v>
      </c>
      <c r="G1377" s="20" t="str">
        <f t="shared" ref="G1377:I1377" si="4125">#REF!</f>
        <v>#REF!</v>
      </c>
      <c r="H1377" s="20" t="str">
        <f t="shared" si="4125"/>
        <v>#REF!</v>
      </c>
      <c r="I1377" s="20" t="str">
        <f t="shared" si="4125"/>
        <v>#REF!</v>
      </c>
      <c r="J1377" s="20" t="str">
        <f t="shared" si="1272"/>
        <v>#REF!</v>
      </c>
      <c r="K1377" s="20" t="str">
        <f t="shared" ref="K1377:L1377" si="4126">#REF!</f>
        <v>#REF!</v>
      </c>
      <c r="L1377" s="20" t="str">
        <f t="shared" si="4126"/>
        <v>#REF!</v>
      </c>
    </row>
    <row r="1378">
      <c r="A1378" s="20" t="str">
        <f t="shared" si="1267"/>
        <v>#REF!</v>
      </c>
      <c r="B1378" s="20" t="str">
        <f t="shared" si="1268"/>
        <v>#REF!</v>
      </c>
      <c r="C1378" s="20" t="str">
        <f t="shared" ref="C1378:D1378" si="4127">#REF!</f>
        <v>#REF!</v>
      </c>
      <c r="D1378" s="20" t="str">
        <f t="shared" si="4127"/>
        <v>#REF!</v>
      </c>
      <c r="E1378" s="20" t="str">
        <f t="shared" si="1270"/>
        <v>#REF!</v>
      </c>
      <c r="F1378" s="22" t="str">
        <f t="shared" si="2"/>
        <v>#REF!</v>
      </c>
      <c r="G1378" s="20" t="str">
        <f t="shared" ref="G1378:I1378" si="4128">#REF!</f>
        <v>#REF!</v>
      </c>
      <c r="H1378" s="20" t="str">
        <f t="shared" si="4128"/>
        <v>#REF!</v>
      </c>
      <c r="I1378" s="20" t="str">
        <f t="shared" si="4128"/>
        <v>#REF!</v>
      </c>
      <c r="J1378" s="20" t="str">
        <f t="shared" si="1272"/>
        <v>#REF!</v>
      </c>
      <c r="K1378" s="20" t="str">
        <f t="shared" ref="K1378:L1378" si="4129">#REF!</f>
        <v>#REF!</v>
      </c>
      <c r="L1378" s="20" t="str">
        <f t="shared" si="4129"/>
        <v>#REF!</v>
      </c>
    </row>
    <row r="1379">
      <c r="A1379" s="20" t="str">
        <f t="shared" si="1267"/>
        <v>#REF!</v>
      </c>
      <c r="B1379" s="20" t="str">
        <f t="shared" si="1268"/>
        <v>#REF!</v>
      </c>
      <c r="C1379" s="20" t="str">
        <f t="shared" ref="C1379:D1379" si="4130">#REF!</f>
        <v>#REF!</v>
      </c>
      <c r="D1379" s="20" t="str">
        <f t="shared" si="4130"/>
        <v>#REF!</v>
      </c>
      <c r="E1379" s="20" t="str">
        <f t="shared" si="1270"/>
        <v>#REF!</v>
      </c>
      <c r="F1379" s="22" t="str">
        <f t="shared" si="2"/>
        <v>#REF!</v>
      </c>
      <c r="G1379" s="20" t="str">
        <f t="shared" ref="G1379:I1379" si="4131">#REF!</f>
        <v>#REF!</v>
      </c>
      <c r="H1379" s="20" t="str">
        <f t="shared" si="4131"/>
        <v>#REF!</v>
      </c>
      <c r="I1379" s="20" t="str">
        <f t="shared" si="4131"/>
        <v>#REF!</v>
      </c>
      <c r="J1379" s="20" t="str">
        <f t="shared" si="1272"/>
        <v>#REF!</v>
      </c>
      <c r="K1379" s="20" t="str">
        <f t="shared" ref="K1379:L1379" si="4132">#REF!</f>
        <v>#REF!</v>
      </c>
      <c r="L1379" s="20" t="str">
        <f t="shared" si="4132"/>
        <v>#REF!</v>
      </c>
    </row>
    <row r="1380">
      <c r="A1380" s="20" t="str">
        <f t="shared" si="1267"/>
        <v>#REF!</v>
      </c>
      <c r="B1380" s="20" t="str">
        <f t="shared" si="1268"/>
        <v>#REF!</v>
      </c>
      <c r="C1380" s="20" t="str">
        <f t="shared" ref="C1380:D1380" si="4133">#REF!</f>
        <v>#REF!</v>
      </c>
      <c r="D1380" s="20" t="str">
        <f t="shared" si="4133"/>
        <v>#REF!</v>
      </c>
      <c r="E1380" s="20" t="str">
        <f t="shared" si="1270"/>
        <v>#REF!</v>
      </c>
      <c r="F1380" s="22" t="str">
        <f t="shared" si="2"/>
        <v>#REF!</v>
      </c>
      <c r="G1380" s="20" t="str">
        <f t="shared" ref="G1380:I1380" si="4134">#REF!</f>
        <v>#REF!</v>
      </c>
      <c r="H1380" s="20" t="str">
        <f t="shared" si="4134"/>
        <v>#REF!</v>
      </c>
      <c r="I1380" s="20" t="str">
        <f t="shared" si="4134"/>
        <v>#REF!</v>
      </c>
      <c r="J1380" s="20" t="str">
        <f t="shared" si="1272"/>
        <v>#REF!</v>
      </c>
      <c r="K1380" s="20" t="str">
        <f t="shared" ref="K1380:L1380" si="4135">#REF!</f>
        <v>#REF!</v>
      </c>
      <c r="L1380" s="20" t="str">
        <f t="shared" si="4135"/>
        <v>#REF!</v>
      </c>
    </row>
    <row r="1381">
      <c r="A1381" s="20" t="str">
        <f t="shared" si="1267"/>
        <v>#REF!</v>
      </c>
      <c r="B1381" s="20" t="str">
        <f t="shared" si="1268"/>
        <v>#REF!</v>
      </c>
      <c r="C1381" s="20" t="str">
        <f t="shared" ref="C1381:D1381" si="4136">#REF!</f>
        <v>#REF!</v>
      </c>
      <c r="D1381" s="20" t="str">
        <f t="shared" si="4136"/>
        <v>#REF!</v>
      </c>
      <c r="E1381" s="20" t="str">
        <f t="shared" si="1270"/>
        <v>#REF!</v>
      </c>
      <c r="F1381" s="22" t="str">
        <f t="shared" si="2"/>
        <v>#REF!</v>
      </c>
      <c r="G1381" s="20" t="str">
        <f t="shared" ref="G1381:I1381" si="4137">#REF!</f>
        <v>#REF!</v>
      </c>
      <c r="H1381" s="20" t="str">
        <f t="shared" si="4137"/>
        <v>#REF!</v>
      </c>
      <c r="I1381" s="20" t="str">
        <f t="shared" si="4137"/>
        <v>#REF!</v>
      </c>
      <c r="J1381" s="20" t="str">
        <f t="shared" si="1272"/>
        <v>#REF!</v>
      </c>
      <c r="K1381" s="20" t="str">
        <f t="shared" ref="K1381:L1381" si="4138">#REF!</f>
        <v>#REF!</v>
      </c>
      <c r="L1381" s="20" t="str">
        <f t="shared" si="4138"/>
        <v>#REF!</v>
      </c>
    </row>
    <row r="1382">
      <c r="A1382" s="20" t="str">
        <f t="shared" si="1267"/>
        <v>#REF!</v>
      </c>
      <c r="B1382" s="20" t="str">
        <f t="shared" si="1268"/>
        <v>#REF!</v>
      </c>
      <c r="C1382" s="20" t="str">
        <f t="shared" ref="C1382:D1382" si="4139">#REF!</f>
        <v>#REF!</v>
      </c>
      <c r="D1382" s="20" t="str">
        <f t="shared" si="4139"/>
        <v>#REF!</v>
      </c>
      <c r="E1382" s="20" t="str">
        <f t="shared" si="1270"/>
        <v>#REF!</v>
      </c>
      <c r="F1382" s="22" t="str">
        <f t="shared" si="2"/>
        <v>#REF!</v>
      </c>
      <c r="G1382" s="20" t="str">
        <f t="shared" ref="G1382:I1382" si="4140">#REF!</f>
        <v>#REF!</v>
      </c>
      <c r="H1382" s="20" t="str">
        <f t="shared" si="4140"/>
        <v>#REF!</v>
      </c>
      <c r="I1382" s="20" t="str">
        <f t="shared" si="4140"/>
        <v>#REF!</v>
      </c>
      <c r="J1382" s="20" t="str">
        <f t="shared" si="1272"/>
        <v>#REF!</v>
      </c>
      <c r="K1382" s="20" t="str">
        <f t="shared" ref="K1382:L1382" si="4141">#REF!</f>
        <v>#REF!</v>
      </c>
      <c r="L1382" s="20" t="str">
        <f t="shared" si="4141"/>
        <v>#REF!</v>
      </c>
    </row>
    <row r="1383">
      <c r="A1383" s="20" t="str">
        <f t="shared" si="1267"/>
        <v>#REF!</v>
      </c>
      <c r="B1383" s="20" t="str">
        <f t="shared" si="1268"/>
        <v>#REF!</v>
      </c>
      <c r="C1383" s="20" t="str">
        <f t="shared" ref="C1383:D1383" si="4142">#REF!</f>
        <v>#REF!</v>
      </c>
      <c r="D1383" s="20" t="str">
        <f t="shared" si="4142"/>
        <v>#REF!</v>
      </c>
      <c r="E1383" s="20" t="str">
        <f t="shared" si="1270"/>
        <v>#REF!</v>
      </c>
      <c r="F1383" s="22" t="str">
        <f t="shared" si="2"/>
        <v>#REF!</v>
      </c>
      <c r="G1383" s="20" t="str">
        <f t="shared" ref="G1383:I1383" si="4143">#REF!</f>
        <v>#REF!</v>
      </c>
      <c r="H1383" s="20" t="str">
        <f t="shared" si="4143"/>
        <v>#REF!</v>
      </c>
      <c r="I1383" s="20" t="str">
        <f t="shared" si="4143"/>
        <v>#REF!</v>
      </c>
      <c r="J1383" s="20" t="str">
        <f t="shared" si="1272"/>
        <v>#REF!</v>
      </c>
      <c r="K1383" s="20" t="str">
        <f t="shared" ref="K1383:L1383" si="4144">#REF!</f>
        <v>#REF!</v>
      </c>
      <c r="L1383" s="20" t="str">
        <f t="shared" si="4144"/>
        <v>#REF!</v>
      </c>
    </row>
    <row r="1384">
      <c r="A1384" s="20" t="str">
        <f t="shared" si="1267"/>
        <v>#REF!</v>
      </c>
      <c r="B1384" s="20" t="str">
        <f t="shared" si="1268"/>
        <v>#REF!</v>
      </c>
      <c r="C1384" s="20" t="str">
        <f t="shared" ref="C1384:D1384" si="4145">#REF!</f>
        <v>#REF!</v>
      </c>
      <c r="D1384" s="20" t="str">
        <f t="shared" si="4145"/>
        <v>#REF!</v>
      </c>
      <c r="E1384" s="20" t="str">
        <f t="shared" si="1270"/>
        <v>#REF!</v>
      </c>
      <c r="F1384" s="22" t="str">
        <f t="shared" si="2"/>
        <v>#REF!</v>
      </c>
      <c r="G1384" s="20" t="str">
        <f t="shared" ref="G1384:I1384" si="4146">#REF!</f>
        <v>#REF!</v>
      </c>
      <c r="H1384" s="20" t="str">
        <f t="shared" si="4146"/>
        <v>#REF!</v>
      </c>
      <c r="I1384" s="20" t="str">
        <f t="shared" si="4146"/>
        <v>#REF!</v>
      </c>
      <c r="J1384" s="20" t="str">
        <f t="shared" si="1272"/>
        <v>#REF!</v>
      </c>
      <c r="K1384" s="20" t="str">
        <f t="shared" ref="K1384:L1384" si="4147">#REF!</f>
        <v>#REF!</v>
      </c>
      <c r="L1384" s="20" t="str">
        <f t="shared" si="4147"/>
        <v>#REF!</v>
      </c>
    </row>
    <row r="1385">
      <c r="A1385" s="20" t="str">
        <f t="shared" si="1267"/>
        <v>#REF!</v>
      </c>
      <c r="B1385" s="20" t="str">
        <f t="shared" si="1268"/>
        <v>#REF!</v>
      </c>
      <c r="C1385" s="20" t="str">
        <f t="shared" ref="C1385:D1385" si="4148">#REF!</f>
        <v>#REF!</v>
      </c>
      <c r="D1385" s="20" t="str">
        <f t="shared" si="4148"/>
        <v>#REF!</v>
      </c>
      <c r="E1385" s="20" t="str">
        <f t="shared" si="1270"/>
        <v>#REF!</v>
      </c>
      <c r="F1385" s="22" t="str">
        <f t="shared" si="2"/>
        <v>#REF!</v>
      </c>
      <c r="G1385" s="20" t="str">
        <f t="shared" ref="G1385:I1385" si="4149">#REF!</f>
        <v>#REF!</v>
      </c>
      <c r="H1385" s="20" t="str">
        <f t="shared" si="4149"/>
        <v>#REF!</v>
      </c>
      <c r="I1385" s="20" t="str">
        <f t="shared" si="4149"/>
        <v>#REF!</v>
      </c>
      <c r="J1385" s="20" t="str">
        <f t="shared" si="1272"/>
        <v>#REF!</v>
      </c>
      <c r="K1385" s="20" t="str">
        <f t="shared" ref="K1385:L1385" si="4150">#REF!</f>
        <v>#REF!</v>
      </c>
      <c r="L1385" s="20" t="str">
        <f t="shared" si="4150"/>
        <v>#REF!</v>
      </c>
    </row>
    <row r="1386">
      <c r="A1386" s="20" t="str">
        <f t="shared" si="1267"/>
        <v>#REF!</v>
      </c>
      <c r="B1386" s="20" t="str">
        <f t="shared" si="1268"/>
        <v>#REF!</v>
      </c>
      <c r="C1386" s="20" t="str">
        <f t="shared" ref="C1386:D1386" si="4151">#REF!</f>
        <v>#REF!</v>
      </c>
      <c r="D1386" s="20" t="str">
        <f t="shared" si="4151"/>
        <v>#REF!</v>
      </c>
      <c r="E1386" s="20" t="str">
        <f t="shared" si="1270"/>
        <v>#REF!</v>
      </c>
      <c r="F1386" s="22" t="str">
        <f t="shared" si="2"/>
        <v>#REF!</v>
      </c>
      <c r="G1386" s="20" t="str">
        <f t="shared" ref="G1386:I1386" si="4152">#REF!</f>
        <v>#REF!</v>
      </c>
      <c r="H1386" s="20" t="str">
        <f t="shared" si="4152"/>
        <v>#REF!</v>
      </c>
      <c r="I1386" s="20" t="str">
        <f t="shared" si="4152"/>
        <v>#REF!</v>
      </c>
      <c r="J1386" s="20" t="str">
        <f t="shared" si="1272"/>
        <v>#REF!</v>
      </c>
      <c r="K1386" s="20" t="str">
        <f t="shared" ref="K1386:L1386" si="4153">#REF!</f>
        <v>#REF!</v>
      </c>
      <c r="L1386" s="20" t="str">
        <f t="shared" si="4153"/>
        <v>#REF!</v>
      </c>
    </row>
    <row r="1387">
      <c r="A1387" s="20" t="str">
        <f t="shared" si="1267"/>
        <v>#REF!</v>
      </c>
      <c r="B1387" s="20" t="str">
        <f t="shared" si="1268"/>
        <v>#REF!</v>
      </c>
      <c r="C1387" s="20" t="str">
        <f t="shared" ref="C1387:D1387" si="4154">#REF!</f>
        <v>#REF!</v>
      </c>
      <c r="D1387" s="20" t="str">
        <f t="shared" si="4154"/>
        <v>#REF!</v>
      </c>
      <c r="E1387" s="20" t="str">
        <f t="shared" si="1270"/>
        <v>#REF!</v>
      </c>
      <c r="F1387" s="22" t="str">
        <f t="shared" si="2"/>
        <v>#REF!</v>
      </c>
      <c r="G1387" s="20" t="str">
        <f t="shared" ref="G1387:I1387" si="4155">#REF!</f>
        <v>#REF!</v>
      </c>
      <c r="H1387" s="20" t="str">
        <f t="shared" si="4155"/>
        <v>#REF!</v>
      </c>
      <c r="I1387" s="20" t="str">
        <f t="shared" si="4155"/>
        <v>#REF!</v>
      </c>
      <c r="J1387" s="20" t="str">
        <f t="shared" si="1272"/>
        <v>#REF!</v>
      </c>
      <c r="K1387" s="20" t="str">
        <f t="shared" ref="K1387:L1387" si="4156">#REF!</f>
        <v>#REF!</v>
      </c>
      <c r="L1387" s="20" t="str">
        <f t="shared" si="4156"/>
        <v>#REF!</v>
      </c>
    </row>
    <row r="1388">
      <c r="A1388" s="20" t="str">
        <f t="shared" si="1267"/>
        <v>#REF!</v>
      </c>
      <c r="B1388" s="20" t="str">
        <f t="shared" si="1268"/>
        <v>#REF!</v>
      </c>
      <c r="C1388" s="20" t="str">
        <f t="shared" ref="C1388:D1388" si="4157">#REF!</f>
        <v>#REF!</v>
      </c>
      <c r="D1388" s="20" t="str">
        <f t="shared" si="4157"/>
        <v>#REF!</v>
      </c>
      <c r="E1388" s="20" t="str">
        <f t="shared" si="1270"/>
        <v>#REF!</v>
      </c>
      <c r="F1388" s="22" t="str">
        <f t="shared" si="2"/>
        <v>#REF!</v>
      </c>
      <c r="G1388" s="20" t="str">
        <f t="shared" ref="G1388:I1388" si="4158">#REF!</f>
        <v>#REF!</v>
      </c>
      <c r="H1388" s="20" t="str">
        <f t="shared" si="4158"/>
        <v>#REF!</v>
      </c>
      <c r="I1388" s="20" t="str">
        <f t="shared" si="4158"/>
        <v>#REF!</v>
      </c>
      <c r="J1388" s="20" t="str">
        <f t="shared" si="1272"/>
        <v>#REF!</v>
      </c>
      <c r="K1388" s="20" t="str">
        <f t="shared" ref="K1388:L1388" si="4159">#REF!</f>
        <v>#REF!</v>
      </c>
      <c r="L1388" s="20" t="str">
        <f t="shared" si="4159"/>
        <v>#REF!</v>
      </c>
    </row>
    <row r="1389">
      <c r="A1389" s="20" t="str">
        <f t="shared" si="1267"/>
        <v>#REF!</v>
      </c>
      <c r="B1389" s="20" t="str">
        <f t="shared" si="1268"/>
        <v>#REF!</v>
      </c>
      <c r="C1389" s="20" t="str">
        <f t="shared" ref="C1389:D1389" si="4160">#REF!</f>
        <v>#REF!</v>
      </c>
      <c r="D1389" s="20" t="str">
        <f t="shared" si="4160"/>
        <v>#REF!</v>
      </c>
      <c r="E1389" s="20" t="str">
        <f t="shared" si="1270"/>
        <v>#REF!</v>
      </c>
      <c r="F1389" s="22" t="str">
        <f t="shared" si="2"/>
        <v>#REF!</v>
      </c>
      <c r="G1389" s="20" t="str">
        <f t="shared" ref="G1389:I1389" si="4161">#REF!</f>
        <v>#REF!</v>
      </c>
      <c r="H1389" s="20" t="str">
        <f t="shared" si="4161"/>
        <v>#REF!</v>
      </c>
      <c r="I1389" s="20" t="str">
        <f t="shared" si="4161"/>
        <v>#REF!</v>
      </c>
      <c r="J1389" s="20" t="str">
        <f t="shared" si="1272"/>
        <v>#REF!</v>
      </c>
      <c r="K1389" s="20" t="str">
        <f t="shared" ref="K1389:L1389" si="4162">#REF!</f>
        <v>#REF!</v>
      </c>
      <c r="L1389" s="20" t="str">
        <f t="shared" si="4162"/>
        <v>#REF!</v>
      </c>
    </row>
    <row r="1390">
      <c r="A1390" s="20" t="str">
        <f t="shared" si="1267"/>
        <v>#REF!</v>
      </c>
      <c r="B1390" s="20" t="str">
        <f t="shared" si="1268"/>
        <v>#REF!</v>
      </c>
      <c r="C1390" s="20" t="str">
        <f t="shared" ref="C1390:D1390" si="4163">#REF!</f>
        <v>#REF!</v>
      </c>
      <c r="D1390" s="20" t="str">
        <f t="shared" si="4163"/>
        <v>#REF!</v>
      </c>
      <c r="E1390" s="20" t="str">
        <f t="shared" si="1270"/>
        <v>#REF!</v>
      </c>
      <c r="F1390" s="22" t="str">
        <f t="shared" si="2"/>
        <v>#REF!</v>
      </c>
      <c r="G1390" s="20" t="str">
        <f t="shared" ref="G1390:I1390" si="4164">#REF!</f>
        <v>#REF!</v>
      </c>
      <c r="H1390" s="20" t="str">
        <f t="shared" si="4164"/>
        <v>#REF!</v>
      </c>
      <c r="I1390" s="20" t="str">
        <f t="shared" si="4164"/>
        <v>#REF!</v>
      </c>
      <c r="J1390" s="20" t="str">
        <f t="shared" si="1272"/>
        <v>#REF!</v>
      </c>
      <c r="K1390" s="20" t="str">
        <f t="shared" ref="K1390:L1390" si="4165">#REF!</f>
        <v>#REF!</v>
      </c>
      <c r="L1390" s="20" t="str">
        <f t="shared" si="4165"/>
        <v>#REF!</v>
      </c>
    </row>
    <row r="1391">
      <c r="A1391" s="20" t="str">
        <f t="shared" si="1267"/>
        <v>#REF!</v>
      </c>
      <c r="B1391" s="20" t="str">
        <f t="shared" si="1268"/>
        <v>#REF!</v>
      </c>
      <c r="C1391" s="20" t="str">
        <f t="shared" ref="C1391:D1391" si="4166">#REF!</f>
        <v>#REF!</v>
      </c>
      <c r="D1391" s="20" t="str">
        <f t="shared" si="4166"/>
        <v>#REF!</v>
      </c>
      <c r="E1391" s="20" t="str">
        <f t="shared" si="1270"/>
        <v>#REF!</v>
      </c>
      <c r="F1391" s="22" t="str">
        <f t="shared" si="2"/>
        <v>#REF!</v>
      </c>
      <c r="G1391" s="20" t="str">
        <f t="shared" ref="G1391:I1391" si="4167">#REF!</f>
        <v>#REF!</v>
      </c>
      <c r="H1391" s="20" t="str">
        <f t="shared" si="4167"/>
        <v>#REF!</v>
      </c>
      <c r="I1391" s="20" t="str">
        <f t="shared" si="4167"/>
        <v>#REF!</v>
      </c>
      <c r="J1391" s="20" t="str">
        <f t="shared" si="1272"/>
        <v>#REF!</v>
      </c>
      <c r="K1391" s="20" t="str">
        <f t="shared" ref="K1391:L1391" si="4168">#REF!</f>
        <v>#REF!</v>
      </c>
      <c r="L1391" s="20" t="str">
        <f t="shared" si="4168"/>
        <v>#REF!</v>
      </c>
    </row>
    <row r="1392">
      <c r="A1392" s="20" t="str">
        <f t="shared" si="1267"/>
        <v>#REF!</v>
      </c>
      <c r="B1392" s="20" t="str">
        <f t="shared" si="1268"/>
        <v>#REF!</v>
      </c>
      <c r="C1392" s="20" t="str">
        <f t="shared" ref="C1392:D1392" si="4169">#REF!</f>
        <v>#REF!</v>
      </c>
      <c r="D1392" s="20" t="str">
        <f t="shared" si="4169"/>
        <v>#REF!</v>
      </c>
      <c r="E1392" s="20" t="str">
        <f t="shared" si="1270"/>
        <v>#REF!</v>
      </c>
      <c r="F1392" s="22" t="str">
        <f t="shared" si="2"/>
        <v>#REF!</v>
      </c>
      <c r="G1392" s="20" t="str">
        <f t="shared" ref="G1392:I1392" si="4170">#REF!</f>
        <v>#REF!</v>
      </c>
      <c r="H1392" s="20" t="str">
        <f t="shared" si="4170"/>
        <v>#REF!</v>
      </c>
      <c r="I1392" s="20" t="str">
        <f t="shared" si="4170"/>
        <v>#REF!</v>
      </c>
      <c r="J1392" s="20" t="str">
        <f t="shared" si="1272"/>
        <v>#REF!</v>
      </c>
      <c r="K1392" s="20" t="str">
        <f t="shared" ref="K1392:L1392" si="4171">#REF!</f>
        <v>#REF!</v>
      </c>
      <c r="L1392" s="20" t="str">
        <f t="shared" si="4171"/>
        <v>#REF!</v>
      </c>
    </row>
    <row r="1393">
      <c r="A1393" s="20" t="str">
        <f t="shared" si="1267"/>
        <v>#REF!</v>
      </c>
      <c r="B1393" s="20" t="str">
        <f t="shared" si="1268"/>
        <v>#REF!</v>
      </c>
      <c r="C1393" s="20" t="str">
        <f t="shared" ref="C1393:D1393" si="4172">#REF!</f>
        <v>#REF!</v>
      </c>
      <c r="D1393" s="20" t="str">
        <f t="shared" si="4172"/>
        <v>#REF!</v>
      </c>
      <c r="E1393" s="20" t="str">
        <f t="shared" si="1270"/>
        <v>#REF!</v>
      </c>
      <c r="F1393" s="22" t="str">
        <f t="shared" si="2"/>
        <v>#REF!</v>
      </c>
      <c r="G1393" s="20" t="str">
        <f t="shared" ref="G1393:I1393" si="4173">#REF!</f>
        <v>#REF!</v>
      </c>
      <c r="H1393" s="20" t="str">
        <f t="shared" si="4173"/>
        <v>#REF!</v>
      </c>
      <c r="I1393" s="20" t="str">
        <f t="shared" si="4173"/>
        <v>#REF!</v>
      </c>
      <c r="J1393" s="20" t="str">
        <f t="shared" si="1272"/>
        <v>#REF!</v>
      </c>
      <c r="K1393" s="20" t="str">
        <f t="shared" ref="K1393:L1393" si="4174">#REF!</f>
        <v>#REF!</v>
      </c>
      <c r="L1393" s="20" t="str">
        <f t="shared" si="4174"/>
        <v>#REF!</v>
      </c>
    </row>
    <row r="1394">
      <c r="A1394" s="20" t="str">
        <f t="shared" si="1267"/>
        <v>#REF!</v>
      </c>
      <c r="B1394" s="20" t="str">
        <f t="shared" si="1268"/>
        <v>#REF!</v>
      </c>
      <c r="C1394" s="20" t="str">
        <f t="shared" ref="C1394:D1394" si="4175">#REF!</f>
        <v>#REF!</v>
      </c>
      <c r="D1394" s="20" t="str">
        <f t="shared" si="4175"/>
        <v>#REF!</v>
      </c>
      <c r="E1394" s="20" t="str">
        <f t="shared" si="1270"/>
        <v>#REF!</v>
      </c>
      <c r="F1394" s="22" t="str">
        <f t="shared" si="2"/>
        <v>#REF!</v>
      </c>
      <c r="G1394" s="20" t="str">
        <f t="shared" ref="G1394:I1394" si="4176">#REF!</f>
        <v>#REF!</v>
      </c>
      <c r="H1394" s="20" t="str">
        <f t="shared" si="4176"/>
        <v>#REF!</v>
      </c>
      <c r="I1394" s="20" t="str">
        <f t="shared" si="4176"/>
        <v>#REF!</v>
      </c>
      <c r="J1394" s="20" t="str">
        <f t="shared" si="1272"/>
        <v>#REF!</v>
      </c>
      <c r="K1394" s="20" t="str">
        <f t="shared" ref="K1394:L1394" si="4177">#REF!</f>
        <v>#REF!</v>
      </c>
      <c r="L1394" s="20" t="str">
        <f t="shared" si="4177"/>
        <v>#REF!</v>
      </c>
    </row>
    <row r="1395">
      <c r="A1395" s="20" t="str">
        <f t="shared" si="1267"/>
        <v>#REF!</v>
      </c>
      <c r="B1395" s="20" t="str">
        <f t="shared" si="1268"/>
        <v>#REF!</v>
      </c>
      <c r="C1395" s="20" t="str">
        <f t="shared" ref="C1395:D1395" si="4178">#REF!</f>
        <v>#REF!</v>
      </c>
      <c r="D1395" s="20" t="str">
        <f t="shared" si="4178"/>
        <v>#REF!</v>
      </c>
      <c r="E1395" s="20" t="str">
        <f t="shared" si="1270"/>
        <v>#REF!</v>
      </c>
      <c r="F1395" s="22" t="str">
        <f t="shared" si="2"/>
        <v>#REF!</v>
      </c>
      <c r="G1395" s="20" t="str">
        <f t="shared" ref="G1395:I1395" si="4179">#REF!</f>
        <v>#REF!</v>
      </c>
      <c r="H1395" s="20" t="str">
        <f t="shared" si="4179"/>
        <v>#REF!</v>
      </c>
      <c r="I1395" s="20" t="str">
        <f t="shared" si="4179"/>
        <v>#REF!</v>
      </c>
      <c r="J1395" s="20" t="str">
        <f t="shared" si="1272"/>
        <v>#REF!</v>
      </c>
      <c r="K1395" s="20" t="str">
        <f t="shared" ref="K1395:L1395" si="4180">#REF!</f>
        <v>#REF!</v>
      </c>
      <c r="L1395" s="20" t="str">
        <f t="shared" si="4180"/>
        <v>#REF!</v>
      </c>
    </row>
    <row r="1396">
      <c r="A1396" s="20" t="str">
        <f t="shared" si="1267"/>
        <v>#REF!</v>
      </c>
      <c r="B1396" s="20" t="str">
        <f t="shared" si="1268"/>
        <v>#REF!</v>
      </c>
      <c r="C1396" s="20" t="str">
        <f t="shared" ref="C1396:D1396" si="4181">#REF!</f>
        <v>#REF!</v>
      </c>
      <c r="D1396" s="20" t="str">
        <f t="shared" si="4181"/>
        <v>#REF!</v>
      </c>
      <c r="E1396" s="20" t="str">
        <f t="shared" si="1270"/>
        <v>#REF!</v>
      </c>
      <c r="F1396" s="22" t="str">
        <f t="shared" si="2"/>
        <v>#REF!</v>
      </c>
      <c r="G1396" s="20" t="str">
        <f t="shared" ref="G1396:I1396" si="4182">#REF!</f>
        <v>#REF!</v>
      </c>
      <c r="H1396" s="20" t="str">
        <f t="shared" si="4182"/>
        <v>#REF!</v>
      </c>
      <c r="I1396" s="20" t="str">
        <f t="shared" si="4182"/>
        <v>#REF!</v>
      </c>
      <c r="J1396" s="20" t="str">
        <f t="shared" si="1272"/>
        <v>#REF!</v>
      </c>
      <c r="K1396" s="20" t="str">
        <f t="shared" ref="K1396:L1396" si="4183">#REF!</f>
        <v>#REF!</v>
      </c>
      <c r="L1396" s="20" t="str">
        <f t="shared" si="4183"/>
        <v>#REF!</v>
      </c>
    </row>
    <row r="1397">
      <c r="A1397" s="20" t="str">
        <f t="shared" si="1267"/>
        <v>#REF!</v>
      </c>
      <c r="B1397" s="20" t="str">
        <f t="shared" si="1268"/>
        <v>#REF!</v>
      </c>
      <c r="C1397" s="20" t="str">
        <f t="shared" ref="C1397:D1397" si="4184">#REF!</f>
        <v>#REF!</v>
      </c>
      <c r="D1397" s="20" t="str">
        <f t="shared" si="4184"/>
        <v>#REF!</v>
      </c>
      <c r="E1397" s="20" t="str">
        <f t="shared" si="1270"/>
        <v>#REF!</v>
      </c>
      <c r="F1397" s="22" t="str">
        <f t="shared" si="2"/>
        <v>#REF!</v>
      </c>
      <c r="G1397" s="20" t="str">
        <f t="shared" ref="G1397:I1397" si="4185">#REF!</f>
        <v>#REF!</v>
      </c>
      <c r="H1397" s="20" t="str">
        <f t="shared" si="4185"/>
        <v>#REF!</v>
      </c>
      <c r="I1397" s="20" t="str">
        <f t="shared" si="4185"/>
        <v>#REF!</v>
      </c>
      <c r="J1397" s="20" t="str">
        <f t="shared" si="1272"/>
        <v>#REF!</v>
      </c>
      <c r="K1397" s="20" t="str">
        <f t="shared" ref="K1397:L1397" si="4186">#REF!</f>
        <v>#REF!</v>
      </c>
      <c r="L1397" s="20" t="str">
        <f t="shared" si="4186"/>
        <v>#REF!</v>
      </c>
    </row>
    <row r="1398">
      <c r="A1398" s="20" t="str">
        <f t="shared" si="1267"/>
        <v>#REF!</v>
      </c>
      <c r="B1398" s="20" t="str">
        <f t="shared" si="1268"/>
        <v>#REF!</v>
      </c>
      <c r="C1398" s="20" t="str">
        <f t="shared" ref="C1398:D1398" si="4187">#REF!</f>
        <v>#REF!</v>
      </c>
      <c r="D1398" s="20" t="str">
        <f t="shared" si="4187"/>
        <v>#REF!</v>
      </c>
      <c r="E1398" s="20" t="str">
        <f t="shared" si="1270"/>
        <v>#REF!</v>
      </c>
      <c r="F1398" s="22" t="str">
        <f t="shared" si="2"/>
        <v>#REF!</v>
      </c>
      <c r="G1398" s="20" t="str">
        <f t="shared" ref="G1398:I1398" si="4188">#REF!</f>
        <v>#REF!</v>
      </c>
      <c r="H1398" s="20" t="str">
        <f t="shared" si="4188"/>
        <v>#REF!</v>
      </c>
      <c r="I1398" s="20" t="str">
        <f t="shared" si="4188"/>
        <v>#REF!</v>
      </c>
      <c r="J1398" s="20" t="str">
        <f t="shared" si="1272"/>
        <v>#REF!</v>
      </c>
      <c r="K1398" s="20" t="str">
        <f t="shared" ref="K1398:L1398" si="4189">#REF!</f>
        <v>#REF!</v>
      </c>
      <c r="L1398" s="20" t="str">
        <f t="shared" si="4189"/>
        <v>#REF!</v>
      </c>
    </row>
    <row r="1399">
      <c r="A1399" s="20" t="str">
        <f t="shared" si="1267"/>
        <v>#REF!</v>
      </c>
      <c r="B1399" s="20" t="str">
        <f t="shared" si="1268"/>
        <v>#REF!</v>
      </c>
      <c r="C1399" s="20" t="str">
        <f t="shared" ref="C1399:D1399" si="4190">#REF!</f>
        <v>#REF!</v>
      </c>
      <c r="D1399" s="20" t="str">
        <f t="shared" si="4190"/>
        <v>#REF!</v>
      </c>
      <c r="E1399" s="20" t="str">
        <f t="shared" si="1270"/>
        <v>#REF!</v>
      </c>
      <c r="F1399" s="22" t="str">
        <f t="shared" si="2"/>
        <v>#REF!</v>
      </c>
      <c r="G1399" s="20" t="str">
        <f t="shared" ref="G1399:I1399" si="4191">#REF!</f>
        <v>#REF!</v>
      </c>
      <c r="H1399" s="20" t="str">
        <f t="shared" si="4191"/>
        <v>#REF!</v>
      </c>
      <c r="I1399" s="20" t="str">
        <f t="shared" si="4191"/>
        <v>#REF!</v>
      </c>
      <c r="J1399" s="20" t="str">
        <f t="shared" si="1272"/>
        <v>#REF!</v>
      </c>
      <c r="K1399" s="20" t="str">
        <f t="shared" ref="K1399:L1399" si="4192">#REF!</f>
        <v>#REF!</v>
      </c>
      <c r="L1399" s="20" t="str">
        <f t="shared" si="4192"/>
        <v>#REF!</v>
      </c>
    </row>
    <row r="1400">
      <c r="A1400" s="20" t="str">
        <f t="shared" si="1267"/>
        <v>#REF!</v>
      </c>
      <c r="B1400" s="20" t="str">
        <f t="shared" si="1268"/>
        <v>#REF!</v>
      </c>
      <c r="C1400" s="20" t="str">
        <f t="shared" ref="C1400:D1400" si="4193">#REF!</f>
        <v>#REF!</v>
      </c>
      <c r="D1400" s="20" t="str">
        <f t="shared" si="4193"/>
        <v>#REF!</v>
      </c>
      <c r="E1400" s="20" t="str">
        <f t="shared" si="1270"/>
        <v>#REF!</v>
      </c>
      <c r="F1400" s="22" t="str">
        <f t="shared" si="2"/>
        <v>#REF!</v>
      </c>
      <c r="G1400" s="20" t="str">
        <f t="shared" ref="G1400:I1400" si="4194">#REF!</f>
        <v>#REF!</v>
      </c>
      <c r="H1400" s="20" t="str">
        <f t="shared" si="4194"/>
        <v>#REF!</v>
      </c>
      <c r="I1400" s="20" t="str">
        <f t="shared" si="4194"/>
        <v>#REF!</v>
      </c>
      <c r="J1400" s="20" t="str">
        <f t="shared" si="1272"/>
        <v>#REF!</v>
      </c>
      <c r="K1400" s="20" t="str">
        <f t="shared" ref="K1400:L1400" si="4195">#REF!</f>
        <v>#REF!</v>
      </c>
      <c r="L1400" s="20" t="str">
        <f t="shared" si="4195"/>
        <v>#REF!</v>
      </c>
    </row>
    <row r="1401">
      <c r="A1401" s="20" t="str">
        <f t="shared" si="1267"/>
        <v>#REF!</v>
      </c>
      <c r="B1401" s="20" t="str">
        <f t="shared" si="1268"/>
        <v>#REF!</v>
      </c>
      <c r="C1401" s="20" t="str">
        <f t="shared" ref="C1401:D1401" si="4196">#REF!</f>
        <v>#REF!</v>
      </c>
      <c r="D1401" s="20" t="str">
        <f t="shared" si="4196"/>
        <v>#REF!</v>
      </c>
      <c r="E1401" s="20" t="str">
        <f t="shared" si="1270"/>
        <v>#REF!</v>
      </c>
      <c r="F1401" s="22" t="str">
        <f t="shared" si="2"/>
        <v>#REF!</v>
      </c>
      <c r="G1401" s="20" t="str">
        <f t="shared" ref="G1401:I1401" si="4197">#REF!</f>
        <v>#REF!</v>
      </c>
      <c r="H1401" s="20" t="str">
        <f t="shared" si="4197"/>
        <v>#REF!</v>
      </c>
      <c r="I1401" s="20" t="str">
        <f t="shared" si="4197"/>
        <v>#REF!</v>
      </c>
      <c r="J1401" s="20" t="str">
        <f t="shared" si="1272"/>
        <v>#REF!</v>
      </c>
      <c r="K1401" s="20" t="str">
        <f t="shared" ref="K1401:L1401" si="4198">#REF!</f>
        <v>#REF!</v>
      </c>
      <c r="L1401" s="20" t="str">
        <f t="shared" si="4198"/>
        <v>#REF!</v>
      </c>
    </row>
    <row r="1402">
      <c r="A1402" s="20" t="str">
        <f t="shared" si="1267"/>
        <v>#REF!</v>
      </c>
      <c r="B1402" s="20" t="str">
        <f t="shared" si="1268"/>
        <v>#REF!</v>
      </c>
      <c r="C1402" s="20" t="str">
        <f t="shared" ref="C1402:D1402" si="4199">#REF!</f>
        <v>#REF!</v>
      </c>
      <c r="D1402" s="20" t="str">
        <f t="shared" si="4199"/>
        <v>#REF!</v>
      </c>
      <c r="E1402" s="20" t="str">
        <f t="shared" si="1270"/>
        <v>#REF!</v>
      </c>
      <c r="F1402" s="22" t="str">
        <f t="shared" si="2"/>
        <v>#REF!</v>
      </c>
      <c r="G1402" s="20" t="str">
        <f t="shared" ref="G1402:I1402" si="4200">#REF!</f>
        <v>#REF!</v>
      </c>
      <c r="H1402" s="20" t="str">
        <f t="shared" si="4200"/>
        <v>#REF!</v>
      </c>
      <c r="I1402" s="20" t="str">
        <f t="shared" si="4200"/>
        <v>#REF!</v>
      </c>
      <c r="J1402" s="20" t="str">
        <f t="shared" si="1272"/>
        <v>#REF!</v>
      </c>
      <c r="K1402" s="20" t="str">
        <f t="shared" ref="K1402:L1402" si="4201">#REF!</f>
        <v>#REF!</v>
      </c>
      <c r="L1402" s="20" t="str">
        <f t="shared" si="4201"/>
        <v>#REF!</v>
      </c>
    </row>
    <row r="1403">
      <c r="A1403" s="20" t="str">
        <f t="shared" si="1267"/>
        <v>#REF!</v>
      </c>
      <c r="B1403" s="20" t="str">
        <f t="shared" si="1268"/>
        <v>#REF!</v>
      </c>
      <c r="C1403" s="20" t="str">
        <f t="shared" ref="C1403:D1403" si="4202">#REF!</f>
        <v>#REF!</v>
      </c>
      <c r="D1403" s="20" t="str">
        <f t="shared" si="4202"/>
        <v>#REF!</v>
      </c>
      <c r="E1403" s="20" t="str">
        <f t="shared" si="1270"/>
        <v>#REF!</v>
      </c>
      <c r="F1403" s="22" t="str">
        <f t="shared" si="2"/>
        <v>#REF!</v>
      </c>
      <c r="G1403" s="20" t="str">
        <f t="shared" ref="G1403:I1403" si="4203">#REF!</f>
        <v>#REF!</v>
      </c>
      <c r="H1403" s="20" t="str">
        <f t="shared" si="4203"/>
        <v>#REF!</v>
      </c>
      <c r="I1403" s="20" t="str">
        <f t="shared" si="4203"/>
        <v>#REF!</v>
      </c>
      <c r="J1403" s="20" t="str">
        <f t="shared" si="1272"/>
        <v>#REF!</v>
      </c>
      <c r="K1403" s="20" t="str">
        <f t="shared" ref="K1403:L1403" si="4204">#REF!</f>
        <v>#REF!</v>
      </c>
      <c r="L1403" s="20" t="str">
        <f t="shared" si="4204"/>
        <v>#REF!</v>
      </c>
    </row>
    <row r="1404">
      <c r="A1404" s="20" t="str">
        <f t="shared" si="1267"/>
        <v>#REF!</v>
      </c>
      <c r="B1404" s="20" t="str">
        <f t="shared" si="1268"/>
        <v>#REF!</v>
      </c>
      <c r="C1404" s="20" t="str">
        <f t="shared" ref="C1404:D1404" si="4205">#REF!</f>
        <v>#REF!</v>
      </c>
      <c r="D1404" s="20" t="str">
        <f t="shared" si="4205"/>
        <v>#REF!</v>
      </c>
      <c r="E1404" s="20" t="str">
        <f t="shared" si="1270"/>
        <v>#REF!</v>
      </c>
      <c r="F1404" s="22" t="str">
        <f t="shared" si="2"/>
        <v>#REF!</v>
      </c>
      <c r="G1404" s="20" t="str">
        <f t="shared" ref="G1404:I1404" si="4206">#REF!</f>
        <v>#REF!</v>
      </c>
      <c r="H1404" s="20" t="str">
        <f t="shared" si="4206"/>
        <v>#REF!</v>
      </c>
      <c r="I1404" s="20" t="str">
        <f t="shared" si="4206"/>
        <v>#REF!</v>
      </c>
      <c r="J1404" s="20" t="str">
        <f t="shared" si="1272"/>
        <v>#REF!</v>
      </c>
      <c r="K1404" s="20" t="str">
        <f t="shared" ref="K1404:L1404" si="4207">#REF!</f>
        <v>#REF!</v>
      </c>
      <c r="L1404" s="20" t="str">
        <f t="shared" si="4207"/>
        <v>#REF!</v>
      </c>
    </row>
    <row r="1405">
      <c r="A1405" s="20" t="str">
        <f t="shared" si="1267"/>
        <v>#REF!</v>
      </c>
      <c r="B1405" s="20" t="str">
        <f t="shared" si="1268"/>
        <v>#REF!</v>
      </c>
      <c r="C1405" s="20" t="str">
        <f t="shared" ref="C1405:D1405" si="4208">#REF!</f>
        <v>#REF!</v>
      </c>
      <c r="D1405" s="20" t="str">
        <f t="shared" si="4208"/>
        <v>#REF!</v>
      </c>
      <c r="E1405" s="20" t="str">
        <f t="shared" si="1270"/>
        <v>#REF!</v>
      </c>
      <c r="F1405" s="22" t="str">
        <f t="shared" si="2"/>
        <v>#REF!</v>
      </c>
      <c r="G1405" s="20" t="str">
        <f t="shared" ref="G1405:I1405" si="4209">#REF!</f>
        <v>#REF!</v>
      </c>
      <c r="H1405" s="20" t="str">
        <f t="shared" si="4209"/>
        <v>#REF!</v>
      </c>
      <c r="I1405" s="20" t="str">
        <f t="shared" si="4209"/>
        <v>#REF!</v>
      </c>
      <c r="J1405" s="20" t="str">
        <f t="shared" si="1272"/>
        <v>#REF!</v>
      </c>
      <c r="K1405" s="20" t="str">
        <f t="shared" ref="K1405:L1405" si="4210">#REF!</f>
        <v>#REF!</v>
      </c>
      <c r="L1405" s="20" t="str">
        <f t="shared" si="4210"/>
        <v>#REF!</v>
      </c>
    </row>
    <row r="1406">
      <c r="A1406" s="20" t="str">
        <f t="shared" si="1267"/>
        <v>#REF!</v>
      </c>
      <c r="B1406" s="20" t="str">
        <f t="shared" si="1268"/>
        <v>#REF!</v>
      </c>
      <c r="C1406" s="20" t="str">
        <f t="shared" ref="C1406:D1406" si="4211">#REF!</f>
        <v>#REF!</v>
      </c>
      <c r="D1406" s="20" t="str">
        <f t="shared" si="4211"/>
        <v>#REF!</v>
      </c>
      <c r="E1406" s="20" t="str">
        <f t="shared" si="1270"/>
        <v>#REF!</v>
      </c>
      <c r="F1406" s="22" t="str">
        <f t="shared" si="2"/>
        <v>#REF!</v>
      </c>
      <c r="G1406" s="20" t="str">
        <f t="shared" ref="G1406:I1406" si="4212">#REF!</f>
        <v>#REF!</v>
      </c>
      <c r="H1406" s="20" t="str">
        <f t="shared" si="4212"/>
        <v>#REF!</v>
      </c>
      <c r="I1406" s="20" t="str">
        <f t="shared" si="4212"/>
        <v>#REF!</v>
      </c>
      <c r="J1406" s="20" t="str">
        <f t="shared" si="1272"/>
        <v>#REF!</v>
      </c>
      <c r="K1406" s="20" t="str">
        <f t="shared" ref="K1406:L1406" si="4213">#REF!</f>
        <v>#REF!</v>
      </c>
      <c r="L1406" s="20" t="str">
        <f t="shared" si="4213"/>
        <v>#REF!</v>
      </c>
    </row>
    <row r="1407">
      <c r="A1407" s="20" t="str">
        <f t="shared" si="1267"/>
        <v>#REF!</v>
      </c>
      <c r="B1407" s="20" t="str">
        <f t="shared" si="1268"/>
        <v>#REF!</v>
      </c>
      <c r="C1407" s="20" t="str">
        <f t="shared" ref="C1407:D1407" si="4214">#REF!</f>
        <v>#REF!</v>
      </c>
      <c r="D1407" s="20" t="str">
        <f t="shared" si="4214"/>
        <v>#REF!</v>
      </c>
      <c r="E1407" s="20" t="str">
        <f t="shared" si="1270"/>
        <v>#REF!</v>
      </c>
      <c r="F1407" s="22" t="str">
        <f t="shared" si="2"/>
        <v>#REF!</v>
      </c>
      <c r="G1407" s="20" t="str">
        <f t="shared" ref="G1407:I1407" si="4215">#REF!</f>
        <v>#REF!</v>
      </c>
      <c r="H1407" s="20" t="str">
        <f t="shared" si="4215"/>
        <v>#REF!</v>
      </c>
      <c r="I1407" s="20" t="str">
        <f t="shared" si="4215"/>
        <v>#REF!</v>
      </c>
      <c r="J1407" s="20" t="str">
        <f t="shared" si="1272"/>
        <v>#REF!</v>
      </c>
      <c r="K1407" s="20" t="str">
        <f t="shared" ref="K1407:L1407" si="4216">#REF!</f>
        <v>#REF!</v>
      </c>
      <c r="L1407" s="20" t="str">
        <f t="shared" si="4216"/>
        <v>#REF!</v>
      </c>
    </row>
    <row r="1408">
      <c r="A1408" s="20" t="str">
        <f t="shared" si="1267"/>
        <v>#REF!</v>
      </c>
      <c r="B1408" s="20" t="str">
        <f t="shared" si="1268"/>
        <v>#REF!</v>
      </c>
      <c r="C1408" s="20" t="str">
        <f t="shared" ref="C1408:D1408" si="4217">#REF!</f>
        <v>#REF!</v>
      </c>
      <c r="D1408" s="20" t="str">
        <f t="shared" si="4217"/>
        <v>#REF!</v>
      </c>
      <c r="E1408" s="20" t="str">
        <f t="shared" si="1270"/>
        <v>#REF!</v>
      </c>
      <c r="F1408" s="22" t="str">
        <f t="shared" si="2"/>
        <v>#REF!</v>
      </c>
      <c r="G1408" s="20" t="str">
        <f t="shared" ref="G1408:I1408" si="4218">#REF!</f>
        <v>#REF!</v>
      </c>
      <c r="H1408" s="20" t="str">
        <f t="shared" si="4218"/>
        <v>#REF!</v>
      </c>
      <c r="I1408" s="20" t="str">
        <f t="shared" si="4218"/>
        <v>#REF!</v>
      </c>
      <c r="J1408" s="20" t="str">
        <f t="shared" si="1272"/>
        <v>#REF!</v>
      </c>
      <c r="K1408" s="20" t="str">
        <f t="shared" ref="K1408:L1408" si="4219">#REF!</f>
        <v>#REF!</v>
      </c>
      <c r="L1408" s="20" t="str">
        <f t="shared" si="4219"/>
        <v>#REF!</v>
      </c>
    </row>
    <row r="1409">
      <c r="A1409" s="20" t="str">
        <f t="shared" si="1267"/>
        <v>#REF!</v>
      </c>
      <c r="B1409" s="20" t="str">
        <f t="shared" si="1268"/>
        <v>#REF!</v>
      </c>
      <c r="C1409" s="20" t="str">
        <f t="shared" ref="C1409:D1409" si="4220">#REF!</f>
        <v>#REF!</v>
      </c>
      <c r="D1409" s="20" t="str">
        <f t="shared" si="4220"/>
        <v>#REF!</v>
      </c>
      <c r="E1409" s="20" t="str">
        <f t="shared" si="1270"/>
        <v>#REF!</v>
      </c>
      <c r="F1409" s="22" t="str">
        <f t="shared" si="2"/>
        <v>#REF!</v>
      </c>
      <c r="G1409" s="20" t="str">
        <f t="shared" ref="G1409:I1409" si="4221">#REF!</f>
        <v>#REF!</v>
      </c>
      <c r="H1409" s="20" t="str">
        <f t="shared" si="4221"/>
        <v>#REF!</v>
      </c>
      <c r="I1409" s="20" t="str">
        <f t="shared" si="4221"/>
        <v>#REF!</v>
      </c>
      <c r="J1409" s="20" t="str">
        <f t="shared" si="1272"/>
        <v>#REF!</v>
      </c>
      <c r="K1409" s="20" t="str">
        <f t="shared" ref="K1409:L1409" si="4222">#REF!</f>
        <v>#REF!</v>
      </c>
      <c r="L1409" s="20" t="str">
        <f t="shared" si="4222"/>
        <v>#REF!</v>
      </c>
    </row>
    <row r="1410">
      <c r="A1410" s="20" t="str">
        <f t="shared" si="1267"/>
        <v>#REF!</v>
      </c>
      <c r="B1410" s="20" t="str">
        <f t="shared" si="1268"/>
        <v>#REF!</v>
      </c>
      <c r="C1410" s="20" t="str">
        <f t="shared" ref="C1410:D1410" si="4223">#REF!</f>
        <v>#REF!</v>
      </c>
      <c r="D1410" s="20" t="str">
        <f t="shared" si="4223"/>
        <v>#REF!</v>
      </c>
      <c r="E1410" s="20" t="str">
        <f t="shared" si="1270"/>
        <v>#REF!</v>
      </c>
      <c r="F1410" s="22" t="str">
        <f t="shared" si="2"/>
        <v>#REF!</v>
      </c>
      <c r="G1410" s="20" t="str">
        <f t="shared" ref="G1410:I1410" si="4224">#REF!</f>
        <v>#REF!</v>
      </c>
      <c r="H1410" s="20" t="str">
        <f t="shared" si="4224"/>
        <v>#REF!</v>
      </c>
      <c r="I1410" s="20" t="str">
        <f t="shared" si="4224"/>
        <v>#REF!</v>
      </c>
      <c r="J1410" s="20" t="str">
        <f t="shared" si="1272"/>
        <v>#REF!</v>
      </c>
      <c r="K1410" s="20" t="str">
        <f t="shared" ref="K1410:L1410" si="4225">#REF!</f>
        <v>#REF!</v>
      </c>
      <c r="L1410" s="20" t="str">
        <f t="shared" si="4225"/>
        <v>#REF!</v>
      </c>
    </row>
    <row r="1411">
      <c r="A1411" s="20" t="str">
        <f t="shared" si="1267"/>
        <v>#REF!</v>
      </c>
      <c r="B1411" s="20" t="str">
        <f t="shared" si="1268"/>
        <v>#REF!</v>
      </c>
      <c r="C1411" s="20" t="str">
        <f t="shared" ref="C1411:D1411" si="4226">#REF!</f>
        <v>#REF!</v>
      </c>
      <c r="D1411" s="20" t="str">
        <f t="shared" si="4226"/>
        <v>#REF!</v>
      </c>
      <c r="E1411" s="20" t="str">
        <f t="shared" si="1270"/>
        <v>#REF!</v>
      </c>
      <c r="F1411" s="22" t="str">
        <f t="shared" si="2"/>
        <v>#REF!</v>
      </c>
      <c r="G1411" s="20" t="str">
        <f t="shared" ref="G1411:I1411" si="4227">#REF!</f>
        <v>#REF!</v>
      </c>
      <c r="H1411" s="20" t="str">
        <f t="shared" si="4227"/>
        <v>#REF!</v>
      </c>
      <c r="I1411" s="20" t="str">
        <f t="shared" si="4227"/>
        <v>#REF!</v>
      </c>
      <c r="J1411" s="20" t="str">
        <f t="shared" si="1272"/>
        <v>#REF!</v>
      </c>
      <c r="K1411" s="20" t="str">
        <f t="shared" ref="K1411:L1411" si="4228">#REF!</f>
        <v>#REF!</v>
      </c>
      <c r="L1411" s="20" t="str">
        <f t="shared" si="4228"/>
        <v>#REF!</v>
      </c>
    </row>
    <row r="1412">
      <c r="A1412" s="20" t="str">
        <f t="shared" si="1267"/>
        <v>#REF!</v>
      </c>
      <c r="B1412" s="20" t="str">
        <f t="shared" si="1268"/>
        <v>#REF!</v>
      </c>
      <c r="C1412" s="20" t="str">
        <f t="shared" ref="C1412:D1412" si="4229">#REF!</f>
        <v>#REF!</v>
      </c>
      <c r="D1412" s="20" t="str">
        <f t="shared" si="4229"/>
        <v>#REF!</v>
      </c>
      <c r="E1412" s="20" t="str">
        <f t="shared" si="1270"/>
        <v>#REF!</v>
      </c>
      <c r="F1412" s="22" t="str">
        <f t="shared" si="2"/>
        <v>#REF!</v>
      </c>
      <c r="G1412" s="20" t="str">
        <f t="shared" ref="G1412:I1412" si="4230">#REF!</f>
        <v>#REF!</v>
      </c>
      <c r="H1412" s="20" t="str">
        <f t="shared" si="4230"/>
        <v>#REF!</v>
      </c>
      <c r="I1412" s="20" t="str">
        <f t="shared" si="4230"/>
        <v>#REF!</v>
      </c>
      <c r="J1412" s="20" t="str">
        <f t="shared" si="1272"/>
        <v>#REF!</v>
      </c>
      <c r="K1412" s="20" t="str">
        <f t="shared" ref="K1412:L1412" si="4231">#REF!</f>
        <v>#REF!</v>
      </c>
      <c r="L1412" s="20" t="str">
        <f t="shared" si="4231"/>
        <v>#REF!</v>
      </c>
    </row>
    <row r="1413">
      <c r="A1413" s="20" t="str">
        <f t="shared" si="1267"/>
        <v>#REF!</v>
      </c>
      <c r="B1413" s="20" t="str">
        <f t="shared" si="1268"/>
        <v>#REF!</v>
      </c>
      <c r="C1413" s="20" t="str">
        <f t="shared" ref="C1413:D1413" si="4232">#REF!</f>
        <v>#REF!</v>
      </c>
      <c r="D1413" s="20" t="str">
        <f t="shared" si="4232"/>
        <v>#REF!</v>
      </c>
      <c r="E1413" s="20" t="str">
        <f t="shared" si="1270"/>
        <v>#REF!</v>
      </c>
      <c r="F1413" s="22" t="str">
        <f t="shared" si="2"/>
        <v>#REF!</v>
      </c>
      <c r="G1413" s="20" t="str">
        <f t="shared" ref="G1413:I1413" si="4233">#REF!</f>
        <v>#REF!</v>
      </c>
      <c r="H1413" s="20" t="str">
        <f t="shared" si="4233"/>
        <v>#REF!</v>
      </c>
      <c r="I1413" s="20" t="str">
        <f t="shared" si="4233"/>
        <v>#REF!</v>
      </c>
      <c r="J1413" s="20" t="str">
        <f t="shared" si="1272"/>
        <v>#REF!</v>
      </c>
      <c r="K1413" s="20" t="str">
        <f t="shared" ref="K1413:L1413" si="4234">#REF!</f>
        <v>#REF!</v>
      </c>
      <c r="L1413" s="20" t="str">
        <f t="shared" si="4234"/>
        <v>#REF!</v>
      </c>
    </row>
    <row r="1414">
      <c r="A1414" s="20" t="str">
        <f t="shared" si="1267"/>
        <v>#REF!</v>
      </c>
      <c r="B1414" s="20" t="str">
        <f t="shared" si="1268"/>
        <v>#REF!</v>
      </c>
      <c r="C1414" s="20" t="str">
        <f t="shared" ref="C1414:D1414" si="4235">#REF!</f>
        <v>#REF!</v>
      </c>
      <c r="D1414" s="20" t="str">
        <f t="shared" si="4235"/>
        <v>#REF!</v>
      </c>
      <c r="E1414" s="20" t="str">
        <f t="shared" si="1270"/>
        <v>#REF!</v>
      </c>
      <c r="F1414" s="22" t="str">
        <f t="shared" si="2"/>
        <v>#REF!</v>
      </c>
      <c r="G1414" s="20" t="str">
        <f t="shared" ref="G1414:I1414" si="4236">#REF!</f>
        <v>#REF!</v>
      </c>
      <c r="H1414" s="20" t="str">
        <f t="shared" si="4236"/>
        <v>#REF!</v>
      </c>
      <c r="I1414" s="20" t="str">
        <f t="shared" si="4236"/>
        <v>#REF!</v>
      </c>
      <c r="J1414" s="20" t="str">
        <f t="shared" si="1272"/>
        <v>#REF!</v>
      </c>
      <c r="K1414" s="20" t="str">
        <f t="shared" ref="K1414:L1414" si="4237">#REF!</f>
        <v>#REF!</v>
      </c>
      <c r="L1414" s="20" t="str">
        <f t="shared" si="4237"/>
        <v>#REF!</v>
      </c>
    </row>
    <row r="1415">
      <c r="A1415" s="20" t="str">
        <f t="shared" si="1267"/>
        <v>#REF!</v>
      </c>
      <c r="B1415" s="20" t="str">
        <f t="shared" si="1268"/>
        <v>#REF!</v>
      </c>
      <c r="C1415" s="20" t="str">
        <f t="shared" ref="C1415:D1415" si="4238">#REF!</f>
        <v>#REF!</v>
      </c>
      <c r="D1415" s="20" t="str">
        <f t="shared" si="4238"/>
        <v>#REF!</v>
      </c>
      <c r="E1415" s="20" t="str">
        <f t="shared" si="1270"/>
        <v>#REF!</v>
      </c>
      <c r="F1415" s="22" t="str">
        <f t="shared" si="2"/>
        <v>#REF!</v>
      </c>
      <c r="G1415" s="20" t="str">
        <f t="shared" ref="G1415:I1415" si="4239">#REF!</f>
        <v>#REF!</v>
      </c>
      <c r="H1415" s="20" t="str">
        <f t="shared" si="4239"/>
        <v>#REF!</v>
      </c>
      <c r="I1415" s="20" t="str">
        <f t="shared" si="4239"/>
        <v>#REF!</v>
      </c>
      <c r="J1415" s="20" t="str">
        <f t="shared" si="1272"/>
        <v>#REF!</v>
      </c>
      <c r="K1415" s="20" t="str">
        <f t="shared" ref="K1415:L1415" si="4240">#REF!</f>
        <v>#REF!</v>
      </c>
      <c r="L1415" s="20" t="str">
        <f t="shared" si="4240"/>
        <v>#REF!</v>
      </c>
    </row>
    <row r="1416">
      <c r="A1416" s="20" t="str">
        <f t="shared" si="1267"/>
        <v>#REF!</v>
      </c>
      <c r="B1416" s="20" t="str">
        <f t="shared" si="1268"/>
        <v>#REF!</v>
      </c>
      <c r="C1416" s="20" t="str">
        <f t="shared" ref="C1416:D1416" si="4241">#REF!</f>
        <v>#REF!</v>
      </c>
      <c r="D1416" s="20" t="str">
        <f t="shared" si="4241"/>
        <v>#REF!</v>
      </c>
      <c r="E1416" s="20" t="str">
        <f t="shared" si="1270"/>
        <v>#REF!</v>
      </c>
      <c r="F1416" s="22" t="str">
        <f t="shared" si="2"/>
        <v>#REF!</v>
      </c>
      <c r="G1416" s="20" t="str">
        <f t="shared" ref="G1416:I1416" si="4242">#REF!</f>
        <v>#REF!</v>
      </c>
      <c r="H1416" s="20" t="str">
        <f t="shared" si="4242"/>
        <v>#REF!</v>
      </c>
      <c r="I1416" s="20" t="str">
        <f t="shared" si="4242"/>
        <v>#REF!</v>
      </c>
      <c r="J1416" s="20" t="str">
        <f t="shared" si="1272"/>
        <v>#REF!</v>
      </c>
      <c r="K1416" s="20" t="str">
        <f t="shared" ref="K1416:L1416" si="4243">#REF!</f>
        <v>#REF!</v>
      </c>
      <c r="L1416" s="20" t="str">
        <f t="shared" si="4243"/>
        <v>#REF!</v>
      </c>
    </row>
    <row r="1417">
      <c r="A1417" s="20" t="str">
        <f t="shared" si="1267"/>
        <v>#REF!</v>
      </c>
      <c r="B1417" s="20" t="str">
        <f t="shared" si="1268"/>
        <v>#REF!</v>
      </c>
      <c r="C1417" s="20" t="str">
        <f t="shared" ref="C1417:D1417" si="4244">#REF!</f>
        <v>#REF!</v>
      </c>
      <c r="D1417" s="20" t="str">
        <f t="shared" si="4244"/>
        <v>#REF!</v>
      </c>
      <c r="E1417" s="20" t="str">
        <f t="shared" si="1270"/>
        <v>#REF!</v>
      </c>
      <c r="F1417" s="22" t="str">
        <f t="shared" si="2"/>
        <v>#REF!</v>
      </c>
      <c r="G1417" s="20" t="str">
        <f t="shared" ref="G1417:I1417" si="4245">#REF!</f>
        <v>#REF!</v>
      </c>
      <c r="H1417" s="20" t="str">
        <f t="shared" si="4245"/>
        <v>#REF!</v>
      </c>
      <c r="I1417" s="20" t="str">
        <f t="shared" si="4245"/>
        <v>#REF!</v>
      </c>
      <c r="J1417" s="20" t="str">
        <f t="shared" si="1272"/>
        <v>#REF!</v>
      </c>
      <c r="K1417" s="20" t="str">
        <f t="shared" ref="K1417:L1417" si="4246">#REF!</f>
        <v>#REF!</v>
      </c>
      <c r="L1417" s="20" t="str">
        <f t="shared" si="4246"/>
        <v>#REF!</v>
      </c>
    </row>
    <row r="1418">
      <c r="A1418" s="20" t="str">
        <f t="shared" si="1267"/>
        <v>#REF!</v>
      </c>
      <c r="B1418" s="20" t="str">
        <f t="shared" si="1268"/>
        <v>#REF!</v>
      </c>
      <c r="C1418" s="20" t="str">
        <f t="shared" ref="C1418:D1418" si="4247">#REF!</f>
        <v>#REF!</v>
      </c>
      <c r="D1418" s="20" t="str">
        <f t="shared" si="4247"/>
        <v>#REF!</v>
      </c>
      <c r="E1418" s="20" t="str">
        <f t="shared" si="1270"/>
        <v>#REF!</v>
      </c>
      <c r="F1418" s="22" t="str">
        <f t="shared" si="2"/>
        <v>#REF!</v>
      </c>
      <c r="G1418" s="20" t="str">
        <f t="shared" ref="G1418:I1418" si="4248">#REF!</f>
        <v>#REF!</v>
      </c>
      <c r="H1418" s="20" t="str">
        <f t="shared" si="4248"/>
        <v>#REF!</v>
      </c>
      <c r="I1418" s="20" t="str">
        <f t="shared" si="4248"/>
        <v>#REF!</v>
      </c>
      <c r="J1418" s="20" t="str">
        <f t="shared" si="1272"/>
        <v>#REF!</v>
      </c>
      <c r="K1418" s="20" t="str">
        <f t="shared" ref="K1418:L1418" si="4249">#REF!</f>
        <v>#REF!</v>
      </c>
      <c r="L1418" s="20" t="str">
        <f t="shared" si="4249"/>
        <v>#REF!</v>
      </c>
    </row>
    <row r="1419">
      <c r="A1419" s="20" t="str">
        <f t="shared" si="1267"/>
        <v>#REF!</v>
      </c>
      <c r="B1419" s="20" t="str">
        <f t="shared" si="1268"/>
        <v>#REF!</v>
      </c>
      <c r="C1419" s="20" t="str">
        <f t="shared" ref="C1419:D1419" si="4250">#REF!</f>
        <v>#REF!</v>
      </c>
      <c r="D1419" s="20" t="str">
        <f t="shared" si="4250"/>
        <v>#REF!</v>
      </c>
      <c r="E1419" s="20" t="str">
        <f t="shared" si="1270"/>
        <v>#REF!</v>
      </c>
      <c r="F1419" s="22" t="str">
        <f t="shared" si="2"/>
        <v>#REF!</v>
      </c>
      <c r="G1419" s="20" t="str">
        <f t="shared" ref="G1419:I1419" si="4251">#REF!</f>
        <v>#REF!</v>
      </c>
      <c r="H1419" s="20" t="str">
        <f t="shared" si="4251"/>
        <v>#REF!</v>
      </c>
      <c r="I1419" s="20" t="str">
        <f t="shared" si="4251"/>
        <v>#REF!</v>
      </c>
      <c r="J1419" s="20" t="str">
        <f t="shared" si="1272"/>
        <v>#REF!</v>
      </c>
      <c r="K1419" s="20" t="str">
        <f t="shared" ref="K1419:L1419" si="4252">#REF!</f>
        <v>#REF!</v>
      </c>
      <c r="L1419" s="20" t="str">
        <f t="shared" si="4252"/>
        <v>#REF!</v>
      </c>
    </row>
    <row r="1420">
      <c r="A1420" s="20" t="str">
        <f t="shared" si="1267"/>
        <v>#REF!</v>
      </c>
      <c r="B1420" s="20" t="str">
        <f t="shared" si="1268"/>
        <v>#REF!</v>
      </c>
      <c r="C1420" s="20" t="str">
        <f t="shared" ref="C1420:D1420" si="4253">#REF!</f>
        <v>#REF!</v>
      </c>
      <c r="D1420" s="20" t="str">
        <f t="shared" si="4253"/>
        <v>#REF!</v>
      </c>
      <c r="E1420" s="20" t="str">
        <f t="shared" si="1270"/>
        <v>#REF!</v>
      </c>
      <c r="F1420" s="22" t="str">
        <f t="shared" si="2"/>
        <v>#REF!</v>
      </c>
      <c r="G1420" s="20" t="str">
        <f t="shared" ref="G1420:I1420" si="4254">#REF!</f>
        <v>#REF!</v>
      </c>
      <c r="H1420" s="20" t="str">
        <f t="shared" si="4254"/>
        <v>#REF!</v>
      </c>
      <c r="I1420" s="20" t="str">
        <f t="shared" si="4254"/>
        <v>#REF!</v>
      </c>
      <c r="J1420" s="20" t="str">
        <f t="shared" si="1272"/>
        <v>#REF!</v>
      </c>
      <c r="K1420" s="20" t="str">
        <f t="shared" ref="K1420:L1420" si="4255">#REF!</f>
        <v>#REF!</v>
      </c>
      <c r="L1420" s="20" t="str">
        <f t="shared" si="4255"/>
        <v>#REF!</v>
      </c>
    </row>
    <row r="1421">
      <c r="A1421" s="20" t="str">
        <f t="shared" si="1267"/>
        <v>#REF!</v>
      </c>
      <c r="B1421" s="20" t="str">
        <f t="shared" si="1268"/>
        <v>#REF!</v>
      </c>
      <c r="C1421" s="20" t="str">
        <f t="shared" ref="C1421:D1421" si="4256">#REF!</f>
        <v>#REF!</v>
      </c>
      <c r="D1421" s="20" t="str">
        <f t="shared" si="4256"/>
        <v>#REF!</v>
      </c>
      <c r="E1421" s="20" t="str">
        <f t="shared" si="1270"/>
        <v>#REF!</v>
      </c>
      <c r="F1421" s="22" t="str">
        <f t="shared" si="2"/>
        <v>#REF!</v>
      </c>
      <c r="G1421" s="20" t="str">
        <f t="shared" ref="G1421:I1421" si="4257">#REF!</f>
        <v>#REF!</v>
      </c>
      <c r="H1421" s="20" t="str">
        <f t="shared" si="4257"/>
        <v>#REF!</v>
      </c>
      <c r="I1421" s="20" t="str">
        <f t="shared" si="4257"/>
        <v>#REF!</v>
      </c>
      <c r="J1421" s="20" t="str">
        <f t="shared" si="1272"/>
        <v>#REF!</v>
      </c>
      <c r="K1421" s="20" t="str">
        <f t="shared" ref="K1421:L1421" si="4258">#REF!</f>
        <v>#REF!</v>
      </c>
      <c r="L1421" s="20" t="str">
        <f t="shared" si="4258"/>
        <v>#REF!</v>
      </c>
    </row>
    <row r="1422">
      <c r="A1422" s="20" t="str">
        <f t="shared" si="1267"/>
        <v>#REF!</v>
      </c>
      <c r="B1422" s="20" t="str">
        <f t="shared" si="1268"/>
        <v>#REF!</v>
      </c>
      <c r="C1422" s="20" t="str">
        <f t="shared" ref="C1422:D1422" si="4259">#REF!</f>
        <v>#REF!</v>
      </c>
      <c r="D1422" s="20" t="str">
        <f t="shared" si="4259"/>
        <v>#REF!</v>
      </c>
      <c r="E1422" s="20" t="str">
        <f t="shared" si="1270"/>
        <v>#REF!</v>
      </c>
      <c r="F1422" s="22" t="str">
        <f t="shared" si="2"/>
        <v>#REF!</v>
      </c>
      <c r="G1422" s="20" t="str">
        <f t="shared" ref="G1422:I1422" si="4260">#REF!</f>
        <v>#REF!</v>
      </c>
      <c r="H1422" s="20" t="str">
        <f t="shared" si="4260"/>
        <v>#REF!</v>
      </c>
      <c r="I1422" s="20" t="str">
        <f t="shared" si="4260"/>
        <v>#REF!</v>
      </c>
      <c r="J1422" s="20" t="str">
        <f t="shared" si="1272"/>
        <v>#REF!</v>
      </c>
      <c r="K1422" s="20" t="str">
        <f t="shared" ref="K1422:L1422" si="4261">#REF!</f>
        <v>#REF!</v>
      </c>
      <c r="L1422" s="20" t="str">
        <f t="shared" si="4261"/>
        <v>#REF!</v>
      </c>
    </row>
    <row r="1423">
      <c r="A1423" s="20" t="str">
        <f t="shared" si="1267"/>
        <v>#REF!</v>
      </c>
      <c r="B1423" s="20" t="str">
        <f t="shared" si="1268"/>
        <v>#REF!</v>
      </c>
      <c r="C1423" s="20" t="str">
        <f t="shared" ref="C1423:D1423" si="4262">#REF!</f>
        <v>#REF!</v>
      </c>
      <c r="D1423" s="20" t="str">
        <f t="shared" si="4262"/>
        <v>#REF!</v>
      </c>
      <c r="E1423" s="20" t="str">
        <f t="shared" si="1270"/>
        <v>#REF!</v>
      </c>
      <c r="F1423" s="22" t="str">
        <f t="shared" si="2"/>
        <v>#REF!</v>
      </c>
      <c r="G1423" s="20" t="str">
        <f t="shared" ref="G1423:I1423" si="4263">#REF!</f>
        <v>#REF!</v>
      </c>
      <c r="H1423" s="20" t="str">
        <f t="shared" si="4263"/>
        <v>#REF!</v>
      </c>
      <c r="I1423" s="20" t="str">
        <f t="shared" si="4263"/>
        <v>#REF!</v>
      </c>
      <c r="J1423" s="20" t="str">
        <f t="shared" si="1272"/>
        <v>#REF!</v>
      </c>
      <c r="K1423" s="20" t="str">
        <f t="shared" ref="K1423:L1423" si="4264">#REF!</f>
        <v>#REF!</v>
      </c>
      <c r="L1423" s="20" t="str">
        <f t="shared" si="4264"/>
        <v>#REF!</v>
      </c>
    </row>
    <row r="1424">
      <c r="A1424" s="20" t="str">
        <f t="shared" si="1267"/>
        <v>#REF!</v>
      </c>
      <c r="B1424" s="20" t="str">
        <f t="shared" si="1268"/>
        <v>#REF!</v>
      </c>
      <c r="C1424" s="20" t="str">
        <f t="shared" ref="C1424:D1424" si="4265">#REF!</f>
        <v>#REF!</v>
      </c>
      <c r="D1424" s="20" t="str">
        <f t="shared" si="4265"/>
        <v>#REF!</v>
      </c>
      <c r="E1424" s="20" t="str">
        <f t="shared" si="1270"/>
        <v>#REF!</v>
      </c>
      <c r="F1424" s="22" t="str">
        <f t="shared" si="2"/>
        <v>#REF!</v>
      </c>
      <c r="G1424" s="20" t="str">
        <f t="shared" ref="G1424:I1424" si="4266">#REF!</f>
        <v>#REF!</v>
      </c>
      <c r="H1424" s="20" t="str">
        <f t="shared" si="4266"/>
        <v>#REF!</v>
      </c>
      <c r="I1424" s="20" t="str">
        <f t="shared" si="4266"/>
        <v>#REF!</v>
      </c>
      <c r="J1424" s="20" t="str">
        <f t="shared" si="1272"/>
        <v>#REF!</v>
      </c>
      <c r="K1424" s="20" t="str">
        <f t="shared" ref="K1424:L1424" si="4267">#REF!</f>
        <v>#REF!</v>
      </c>
      <c r="L1424" s="20" t="str">
        <f t="shared" si="4267"/>
        <v>#REF!</v>
      </c>
    </row>
    <row r="1425">
      <c r="A1425" s="20" t="str">
        <f t="shared" si="1267"/>
        <v>#REF!</v>
      </c>
      <c r="B1425" s="20" t="str">
        <f t="shared" si="1268"/>
        <v>#REF!</v>
      </c>
      <c r="C1425" s="20" t="str">
        <f t="shared" ref="C1425:D1425" si="4268">#REF!</f>
        <v>#REF!</v>
      </c>
      <c r="D1425" s="20" t="str">
        <f t="shared" si="4268"/>
        <v>#REF!</v>
      </c>
      <c r="E1425" s="20" t="str">
        <f t="shared" si="1270"/>
        <v>#REF!</v>
      </c>
      <c r="F1425" s="22" t="str">
        <f t="shared" si="2"/>
        <v>#REF!</v>
      </c>
      <c r="G1425" s="20" t="str">
        <f t="shared" ref="G1425:I1425" si="4269">#REF!</f>
        <v>#REF!</v>
      </c>
      <c r="H1425" s="20" t="str">
        <f t="shared" si="4269"/>
        <v>#REF!</v>
      </c>
      <c r="I1425" s="20" t="str">
        <f t="shared" si="4269"/>
        <v>#REF!</v>
      </c>
      <c r="J1425" s="20" t="str">
        <f t="shared" si="1272"/>
        <v>#REF!</v>
      </c>
      <c r="K1425" s="20" t="str">
        <f t="shared" ref="K1425:L1425" si="4270">#REF!</f>
        <v>#REF!</v>
      </c>
      <c r="L1425" s="20" t="str">
        <f t="shared" si="4270"/>
        <v>#REF!</v>
      </c>
    </row>
    <row r="1426">
      <c r="A1426" s="20" t="str">
        <f t="shared" si="1267"/>
        <v>#REF!</v>
      </c>
      <c r="B1426" s="20" t="str">
        <f t="shared" si="1268"/>
        <v>#REF!</v>
      </c>
      <c r="C1426" s="20" t="str">
        <f t="shared" ref="C1426:D1426" si="4271">#REF!</f>
        <v>#REF!</v>
      </c>
      <c r="D1426" s="20" t="str">
        <f t="shared" si="4271"/>
        <v>#REF!</v>
      </c>
      <c r="E1426" s="20" t="str">
        <f t="shared" si="1270"/>
        <v>#REF!</v>
      </c>
      <c r="F1426" s="22" t="str">
        <f t="shared" si="2"/>
        <v>#REF!</v>
      </c>
      <c r="G1426" s="20" t="str">
        <f t="shared" ref="G1426:I1426" si="4272">#REF!</f>
        <v>#REF!</v>
      </c>
      <c r="H1426" s="20" t="str">
        <f t="shared" si="4272"/>
        <v>#REF!</v>
      </c>
      <c r="I1426" s="20" t="str">
        <f t="shared" si="4272"/>
        <v>#REF!</v>
      </c>
      <c r="J1426" s="20" t="str">
        <f t="shared" si="1272"/>
        <v>#REF!</v>
      </c>
      <c r="K1426" s="20" t="str">
        <f t="shared" ref="K1426:L1426" si="4273">#REF!</f>
        <v>#REF!</v>
      </c>
      <c r="L1426" s="20" t="str">
        <f t="shared" si="4273"/>
        <v>#REF!</v>
      </c>
    </row>
    <row r="1427">
      <c r="A1427" s="20" t="str">
        <f t="shared" si="1267"/>
        <v>#REF!</v>
      </c>
      <c r="B1427" s="20" t="str">
        <f t="shared" si="1268"/>
        <v>#REF!</v>
      </c>
      <c r="C1427" s="20" t="str">
        <f t="shared" ref="C1427:D1427" si="4274">#REF!</f>
        <v>#REF!</v>
      </c>
      <c r="D1427" s="20" t="str">
        <f t="shared" si="4274"/>
        <v>#REF!</v>
      </c>
      <c r="E1427" s="20" t="str">
        <f t="shared" si="1270"/>
        <v>#REF!</v>
      </c>
      <c r="F1427" s="22" t="str">
        <f t="shared" si="2"/>
        <v>#REF!</v>
      </c>
      <c r="G1427" s="20" t="str">
        <f t="shared" ref="G1427:I1427" si="4275">#REF!</f>
        <v>#REF!</v>
      </c>
      <c r="H1427" s="20" t="str">
        <f t="shared" si="4275"/>
        <v>#REF!</v>
      </c>
      <c r="I1427" s="20" t="str">
        <f t="shared" si="4275"/>
        <v>#REF!</v>
      </c>
      <c r="J1427" s="20" t="str">
        <f t="shared" si="1272"/>
        <v>#REF!</v>
      </c>
      <c r="K1427" s="20" t="str">
        <f t="shared" ref="K1427:L1427" si="4276">#REF!</f>
        <v>#REF!</v>
      </c>
      <c r="L1427" s="20" t="str">
        <f t="shared" si="4276"/>
        <v>#REF!</v>
      </c>
    </row>
    <row r="1428">
      <c r="A1428" s="20" t="str">
        <f t="shared" si="1267"/>
        <v>#REF!</v>
      </c>
      <c r="B1428" s="20" t="str">
        <f t="shared" si="1268"/>
        <v>#REF!</v>
      </c>
      <c r="C1428" s="20" t="str">
        <f t="shared" ref="C1428:D1428" si="4277">#REF!</f>
        <v>#REF!</v>
      </c>
      <c r="D1428" s="20" t="str">
        <f t="shared" si="4277"/>
        <v>#REF!</v>
      </c>
      <c r="E1428" s="20" t="str">
        <f t="shared" si="1270"/>
        <v>#REF!</v>
      </c>
      <c r="F1428" s="22" t="str">
        <f t="shared" si="2"/>
        <v>#REF!</v>
      </c>
      <c r="G1428" s="20" t="str">
        <f t="shared" ref="G1428:I1428" si="4278">#REF!</f>
        <v>#REF!</v>
      </c>
      <c r="H1428" s="20" t="str">
        <f t="shared" si="4278"/>
        <v>#REF!</v>
      </c>
      <c r="I1428" s="20" t="str">
        <f t="shared" si="4278"/>
        <v>#REF!</v>
      </c>
      <c r="J1428" s="20" t="str">
        <f t="shared" si="1272"/>
        <v>#REF!</v>
      </c>
      <c r="K1428" s="20" t="str">
        <f t="shared" ref="K1428:L1428" si="4279">#REF!</f>
        <v>#REF!</v>
      </c>
      <c r="L1428" s="20" t="str">
        <f t="shared" si="4279"/>
        <v>#REF!</v>
      </c>
    </row>
    <row r="1429">
      <c r="A1429" s="20" t="str">
        <f t="shared" si="1267"/>
        <v>#REF!</v>
      </c>
      <c r="B1429" s="20" t="str">
        <f t="shared" si="1268"/>
        <v>#REF!</v>
      </c>
      <c r="C1429" s="20" t="str">
        <f t="shared" ref="C1429:D1429" si="4280">#REF!</f>
        <v>#REF!</v>
      </c>
      <c r="D1429" s="20" t="str">
        <f t="shared" si="4280"/>
        <v>#REF!</v>
      </c>
      <c r="E1429" s="20" t="str">
        <f t="shared" si="1270"/>
        <v>#REF!</v>
      </c>
      <c r="F1429" s="22" t="str">
        <f t="shared" si="2"/>
        <v>#REF!</v>
      </c>
      <c r="G1429" s="20" t="str">
        <f t="shared" ref="G1429:I1429" si="4281">#REF!</f>
        <v>#REF!</v>
      </c>
      <c r="H1429" s="20" t="str">
        <f t="shared" si="4281"/>
        <v>#REF!</v>
      </c>
      <c r="I1429" s="20" t="str">
        <f t="shared" si="4281"/>
        <v>#REF!</v>
      </c>
      <c r="J1429" s="20" t="str">
        <f t="shared" si="1272"/>
        <v>#REF!</v>
      </c>
      <c r="K1429" s="20" t="str">
        <f t="shared" ref="K1429:L1429" si="4282">#REF!</f>
        <v>#REF!</v>
      </c>
      <c r="L1429" s="20" t="str">
        <f t="shared" si="4282"/>
        <v>#REF!</v>
      </c>
    </row>
    <row r="1430">
      <c r="A1430" s="20" t="str">
        <f t="shared" si="1267"/>
        <v>#REF!</v>
      </c>
      <c r="B1430" s="20" t="str">
        <f t="shared" si="1268"/>
        <v>#REF!</v>
      </c>
      <c r="C1430" s="20" t="str">
        <f t="shared" ref="C1430:D1430" si="4283">#REF!</f>
        <v>#REF!</v>
      </c>
      <c r="D1430" s="20" t="str">
        <f t="shared" si="4283"/>
        <v>#REF!</v>
      </c>
      <c r="E1430" s="20" t="str">
        <f t="shared" si="1270"/>
        <v>#REF!</v>
      </c>
      <c r="F1430" s="22" t="str">
        <f t="shared" si="2"/>
        <v>#REF!</v>
      </c>
      <c r="G1430" s="20" t="str">
        <f t="shared" ref="G1430:I1430" si="4284">#REF!</f>
        <v>#REF!</v>
      </c>
      <c r="H1430" s="20" t="str">
        <f t="shared" si="4284"/>
        <v>#REF!</v>
      </c>
      <c r="I1430" s="20" t="str">
        <f t="shared" si="4284"/>
        <v>#REF!</v>
      </c>
      <c r="J1430" s="20" t="str">
        <f t="shared" si="1272"/>
        <v>#REF!</v>
      </c>
      <c r="K1430" s="20" t="str">
        <f t="shared" ref="K1430:L1430" si="4285">#REF!</f>
        <v>#REF!</v>
      </c>
      <c r="L1430" s="20" t="str">
        <f t="shared" si="4285"/>
        <v>#REF!</v>
      </c>
    </row>
    <row r="1431">
      <c r="A1431" s="20" t="str">
        <f t="shared" si="1267"/>
        <v>#REF!</v>
      </c>
      <c r="B1431" s="20" t="str">
        <f t="shared" si="1268"/>
        <v>#REF!</v>
      </c>
      <c r="C1431" s="20" t="str">
        <f t="shared" ref="C1431:D1431" si="4286">#REF!</f>
        <v>#REF!</v>
      </c>
      <c r="D1431" s="20" t="str">
        <f t="shared" si="4286"/>
        <v>#REF!</v>
      </c>
      <c r="E1431" s="20" t="str">
        <f t="shared" si="1270"/>
        <v>#REF!</v>
      </c>
      <c r="F1431" s="22" t="str">
        <f t="shared" si="2"/>
        <v>#REF!</v>
      </c>
      <c r="G1431" s="20" t="str">
        <f t="shared" ref="G1431:I1431" si="4287">#REF!</f>
        <v>#REF!</v>
      </c>
      <c r="H1431" s="20" t="str">
        <f t="shared" si="4287"/>
        <v>#REF!</v>
      </c>
      <c r="I1431" s="20" t="str">
        <f t="shared" si="4287"/>
        <v>#REF!</v>
      </c>
      <c r="J1431" s="20" t="str">
        <f t="shared" si="1272"/>
        <v>#REF!</v>
      </c>
      <c r="K1431" s="20" t="str">
        <f t="shared" ref="K1431:L1431" si="4288">#REF!</f>
        <v>#REF!</v>
      </c>
      <c r="L1431" s="20" t="str">
        <f t="shared" si="4288"/>
        <v>#REF!</v>
      </c>
    </row>
    <row r="1432">
      <c r="A1432" s="20" t="str">
        <f t="shared" si="1267"/>
        <v>#REF!</v>
      </c>
      <c r="B1432" s="20" t="str">
        <f t="shared" si="1268"/>
        <v>#REF!</v>
      </c>
      <c r="C1432" s="20" t="str">
        <f t="shared" ref="C1432:D1432" si="4289">#REF!</f>
        <v>#REF!</v>
      </c>
      <c r="D1432" s="20" t="str">
        <f t="shared" si="4289"/>
        <v>#REF!</v>
      </c>
      <c r="E1432" s="20" t="str">
        <f t="shared" si="1270"/>
        <v>#REF!</v>
      </c>
      <c r="F1432" s="22" t="str">
        <f t="shared" si="2"/>
        <v>#REF!</v>
      </c>
      <c r="G1432" s="20" t="str">
        <f t="shared" ref="G1432:I1432" si="4290">#REF!</f>
        <v>#REF!</v>
      </c>
      <c r="H1432" s="20" t="str">
        <f t="shared" si="4290"/>
        <v>#REF!</v>
      </c>
      <c r="I1432" s="20" t="str">
        <f t="shared" si="4290"/>
        <v>#REF!</v>
      </c>
      <c r="J1432" s="20" t="str">
        <f t="shared" si="1272"/>
        <v>#REF!</v>
      </c>
      <c r="K1432" s="20" t="str">
        <f t="shared" ref="K1432:L1432" si="4291">#REF!</f>
        <v>#REF!</v>
      </c>
      <c r="L1432" s="20" t="str">
        <f t="shared" si="4291"/>
        <v>#REF!</v>
      </c>
    </row>
    <row r="1433">
      <c r="A1433" s="20" t="str">
        <f t="shared" si="1267"/>
        <v>#REF!</v>
      </c>
      <c r="B1433" s="20" t="str">
        <f t="shared" si="1268"/>
        <v>#REF!</v>
      </c>
      <c r="C1433" s="20" t="str">
        <f t="shared" ref="C1433:D1433" si="4292">#REF!</f>
        <v>#REF!</v>
      </c>
      <c r="D1433" s="20" t="str">
        <f t="shared" si="4292"/>
        <v>#REF!</v>
      </c>
      <c r="E1433" s="20" t="str">
        <f t="shared" si="1270"/>
        <v>#REF!</v>
      </c>
      <c r="F1433" s="22" t="str">
        <f t="shared" si="2"/>
        <v>#REF!</v>
      </c>
      <c r="G1433" s="20" t="str">
        <f t="shared" ref="G1433:I1433" si="4293">#REF!</f>
        <v>#REF!</v>
      </c>
      <c r="H1433" s="20" t="str">
        <f t="shared" si="4293"/>
        <v>#REF!</v>
      </c>
      <c r="I1433" s="20" t="str">
        <f t="shared" si="4293"/>
        <v>#REF!</v>
      </c>
      <c r="J1433" s="20" t="str">
        <f t="shared" si="1272"/>
        <v>#REF!</v>
      </c>
      <c r="K1433" s="20" t="str">
        <f t="shared" ref="K1433:L1433" si="4294">#REF!</f>
        <v>#REF!</v>
      </c>
      <c r="L1433" s="20" t="str">
        <f t="shared" si="4294"/>
        <v>#REF!</v>
      </c>
    </row>
    <row r="1434">
      <c r="A1434" s="20" t="str">
        <f t="shared" si="1267"/>
        <v>#REF!</v>
      </c>
      <c r="B1434" s="20" t="str">
        <f t="shared" si="1268"/>
        <v>#REF!</v>
      </c>
      <c r="C1434" s="20" t="str">
        <f t="shared" ref="C1434:D1434" si="4295">#REF!</f>
        <v>#REF!</v>
      </c>
      <c r="D1434" s="20" t="str">
        <f t="shared" si="4295"/>
        <v>#REF!</v>
      </c>
      <c r="E1434" s="20" t="str">
        <f t="shared" si="1270"/>
        <v>#REF!</v>
      </c>
      <c r="F1434" s="22" t="str">
        <f t="shared" si="2"/>
        <v>#REF!</v>
      </c>
      <c r="G1434" s="20" t="str">
        <f t="shared" ref="G1434:I1434" si="4296">#REF!</f>
        <v>#REF!</v>
      </c>
      <c r="H1434" s="20" t="str">
        <f t="shared" si="4296"/>
        <v>#REF!</v>
      </c>
      <c r="I1434" s="20" t="str">
        <f t="shared" si="4296"/>
        <v>#REF!</v>
      </c>
      <c r="J1434" s="20" t="str">
        <f t="shared" si="1272"/>
        <v>#REF!</v>
      </c>
      <c r="K1434" s="20" t="str">
        <f t="shared" ref="K1434:L1434" si="4297">#REF!</f>
        <v>#REF!</v>
      </c>
      <c r="L1434" s="20" t="str">
        <f t="shared" si="4297"/>
        <v>#REF!</v>
      </c>
    </row>
    <row r="1435">
      <c r="A1435" s="20" t="str">
        <f t="shared" si="1267"/>
        <v>#REF!</v>
      </c>
      <c r="B1435" s="20" t="str">
        <f t="shared" si="1268"/>
        <v>#REF!</v>
      </c>
      <c r="C1435" s="20" t="str">
        <f t="shared" ref="C1435:D1435" si="4298">#REF!</f>
        <v>#REF!</v>
      </c>
      <c r="D1435" s="20" t="str">
        <f t="shared" si="4298"/>
        <v>#REF!</v>
      </c>
      <c r="E1435" s="20" t="str">
        <f t="shared" si="1270"/>
        <v>#REF!</v>
      </c>
      <c r="F1435" s="22" t="str">
        <f t="shared" si="2"/>
        <v>#REF!</v>
      </c>
      <c r="G1435" s="20" t="str">
        <f t="shared" ref="G1435:I1435" si="4299">#REF!</f>
        <v>#REF!</v>
      </c>
      <c r="H1435" s="20" t="str">
        <f t="shared" si="4299"/>
        <v>#REF!</v>
      </c>
      <c r="I1435" s="20" t="str">
        <f t="shared" si="4299"/>
        <v>#REF!</v>
      </c>
      <c r="J1435" s="20" t="str">
        <f t="shared" si="1272"/>
        <v>#REF!</v>
      </c>
      <c r="K1435" s="20" t="str">
        <f t="shared" ref="K1435:L1435" si="4300">#REF!</f>
        <v>#REF!</v>
      </c>
      <c r="L1435" s="20" t="str">
        <f t="shared" si="4300"/>
        <v>#REF!</v>
      </c>
    </row>
    <row r="1436">
      <c r="A1436" s="20" t="str">
        <f t="shared" si="1267"/>
        <v>#REF!</v>
      </c>
      <c r="B1436" s="20" t="str">
        <f t="shared" si="1268"/>
        <v>#REF!</v>
      </c>
      <c r="C1436" s="20" t="str">
        <f t="shared" ref="C1436:D1436" si="4301">#REF!</f>
        <v>#REF!</v>
      </c>
      <c r="D1436" s="20" t="str">
        <f t="shared" si="4301"/>
        <v>#REF!</v>
      </c>
      <c r="E1436" s="20" t="str">
        <f t="shared" si="1270"/>
        <v>#REF!</v>
      </c>
      <c r="F1436" s="22" t="str">
        <f t="shared" si="2"/>
        <v>#REF!</v>
      </c>
      <c r="G1436" s="20" t="str">
        <f t="shared" ref="G1436:I1436" si="4302">#REF!</f>
        <v>#REF!</v>
      </c>
      <c r="H1436" s="20" t="str">
        <f t="shared" si="4302"/>
        <v>#REF!</v>
      </c>
      <c r="I1436" s="20" t="str">
        <f t="shared" si="4302"/>
        <v>#REF!</v>
      </c>
      <c r="J1436" s="20" t="str">
        <f t="shared" si="1272"/>
        <v>#REF!</v>
      </c>
      <c r="K1436" s="20" t="str">
        <f t="shared" ref="K1436:L1436" si="4303">#REF!</f>
        <v>#REF!</v>
      </c>
      <c r="L1436" s="20" t="str">
        <f t="shared" si="4303"/>
        <v>#REF!</v>
      </c>
    </row>
    <row r="1437">
      <c r="A1437" s="20" t="str">
        <f t="shared" si="1267"/>
        <v>#REF!</v>
      </c>
      <c r="B1437" s="20" t="str">
        <f t="shared" si="1268"/>
        <v>#REF!</v>
      </c>
      <c r="C1437" s="20" t="str">
        <f t="shared" ref="C1437:D1437" si="4304">#REF!</f>
        <v>#REF!</v>
      </c>
      <c r="D1437" s="20" t="str">
        <f t="shared" si="4304"/>
        <v>#REF!</v>
      </c>
      <c r="E1437" s="20" t="str">
        <f t="shared" si="1270"/>
        <v>#REF!</v>
      </c>
      <c r="F1437" s="22" t="str">
        <f t="shared" si="2"/>
        <v>#REF!</v>
      </c>
      <c r="G1437" s="20" t="str">
        <f t="shared" ref="G1437:I1437" si="4305">#REF!</f>
        <v>#REF!</v>
      </c>
      <c r="H1437" s="20" t="str">
        <f t="shared" si="4305"/>
        <v>#REF!</v>
      </c>
      <c r="I1437" s="20" t="str">
        <f t="shared" si="4305"/>
        <v>#REF!</v>
      </c>
      <c r="J1437" s="20" t="str">
        <f t="shared" si="1272"/>
        <v>#REF!</v>
      </c>
      <c r="K1437" s="20" t="str">
        <f t="shared" ref="K1437:L1437" si="4306">#REF!</f>
        <v>#REF!</v>
      </c>
      <c r="L1437" s="20" t="str">
        <f t="shared" si="4306"/>
        <v>#REF!</v>
      </c>
    </row>
    <row r="1438">
      <c r="A1438" s="20" t="str">
        <f t="shared" si="1267"/>
        <v>#REF!</v>
      </c>
      <c r="B1438" s="20" t="str">
        <f t="shared" si="1268"/>
        <v>#REF!</v>
      </c>
      <c r="C1438" s="20" t="str">
        <f t="shared" ref="C1438:D1438" si="4307">#REF!</f>
        <v>#REF!</v>
      </c>
      <c r="D1438" s="20" t="str">
        <f t="shared" si="4307"/>
        <v>#REF!</v>
      </c>
      <c r="E1438" s="20" t="str">
        <f t="shared" si="1270"/>
        <v>#REF!</v>
      </c>
      <c r="F1438" s="22" t="str">
        <f t="shared" si="2"/>
        <v>#REF!</v>
      </c>
      <c r="G1438" s="20" t="str">
        <f t="shared" ref="G1438:I1438" si="4308">#REF!</f>
        <v>#REF!</v>
      </c>
      <c r="H1438" s="20" t="str">
        <f t="shared" si="4308"/>
        <v>#REF!</v>
      </c>
      <c r="I1438" s="20" t="str">
        <f t="shared" si="4308"/>
        <v>#REF!</v>
      </c>
      <c r="J1438" s="20" t="str">
        <f t="shared" si="1272"/>
        <v>#REF!</v>
      </c>
      <c r="K1438" s="20" t="str">
        <f t="shared" ref="K1438:L1438" si="4309">#REF!</f>
        <v>#REF!</v>
      </c>
      <c r="L1438" s="20" t="str">
        <f t="shared" si="4309"/>
        <v>#REF!</v>
      </c>
    </row>
    <row r="1439">
      <c r="A1439" s="20" t="str">
        <f t="shared" si="1267"/>
        <v>#REF!</v>
      </c>
      <c r="B1439" s="20" t="str">
        <f t="shared" si="1268"/>
        <v>#REF!</v>
      </c>
      <c r="C1439" s="20" t="str">
        <f t="shared" ref="C1439:D1439" si="4310">#REF!</f>
        <v>#REF!</v>
      </c>
      <c r="D1439" s="20" t="str">
        <f t="shared" si="4310"/>
        <v>#REF!</v>
      </c>
      <c r="E1439" s="20" t="str">
        <f t="shared" si="1270"/>
        <v>#REF!</v>
      </c>
      <c r="F1439" s="22" t="str">
        <f t="shared" si="2"/>
        <v>#REF!</v>
      </c>
      <c r="G1439" s="20" t="str">
        <f t="shared" ref="G1439:I1439" si="4311">#REF!</f>
        <v>#REF!</v>
      </c>
      <c r="H1439" s="20" t="str">
        <f t="shared" si="4311"/>
        <v>#REF!</v>
      </c>
      <c r="I1439" s="20" t="str">
        <f t="shared" si="4311"/>
        <v>#REF!</v>
      </c>
      <c r="J1439" s="20" t="str">
        <f t="shared" si="1272"/>
        <v>#REF!</v>
      </c>
      <c r="K1439" s="20" t="str">
        <f t="shared" ref="K1439:L1439" si="4312">#REF!</f>
        <v>#REF!</v>
      </c>
      <c r="L1439" s="20" t="str">
        <f t="shared" si="4312"/>
        <v>#REF!</v>
      </c>
    </row>
    <row r="1440">
      <c r="A1440" s="20" t="str">
        <f t="shared" si="1267"/>
        <v>#REF!</v>
      </c>
      <c r="B1440" s="20" t="str">
        <f t="shared" si="1268"/>
        <v>#REF!</v>
      </c>
      <c r="C1440" s="20" t="str">
        <f t="shared" ref="C1440:D1440" si="4313">#REF!</f>
        <v>#REF!</v>
      </c>
      <c r="D1440" s="20" t="str">
        <f t="shared" si="4313"/>
        <v>#REF!</v>
      </c>
      <c r="E1440" s="20" t="str">
        <f t="shared" si="1270"/>
        <v>#REF!</v>
      </c>
      <c r="F1440" s="22" t="str">
        <f t="shared" si="2"/>
        <v>#REF!</v>
      </c>
      <c r="G1440" s="20" t="str">
        <f t="shared" ref="G1440:I1440" si="4314">#REF!</f>
        <v>#REF!</v>
      </c>
      <c r="H1440" s="20" t="str">
        <f t="shared" si="4314"/>
        <v>#REF!</v>
      </c>
      <c r="I1440" s="20" t="str">
        <f t="shared" si="4314"/>
        <v>#REF!</v>
      </c>
      <c r="J1440" s="20" t="str">
        <f t="shared" si="1272"/>
        <v>#REF!</v>
      </c>
      <c r="K1440" s="20" t="str">
        <f t="shared" ref="K1440:L1440" si="4315">#REF!</f>
        <v>#REF!</v>
      </c>
      <c r="L1440" s="20" t="str">
        <f t="shared" si="4315"/>
        <v>#REF!</v>
      </c>
    </row>
    <row r="1441">
      <c r="A1441" s="20" t="str">
        <f t="shared" si="1267"/>
        <v>#REF!</v>
      </c>
      <c r="B1441" s="20" t="str">
        <f t="shared" si="1268"/>
        <v>#REF!</v>
      </c>
      <c r="C1441" s="20" t="str">
        <f t="shared" ref="C1441:D1441" si="4316">#REF!</f>
        <v>#REF!</v>
      </c>
      <c r="D1441" s="20" t="str">
        <f t="shared" si="4316"/>
        <v>#REF!</v>
      </c>
      <c r="E1441" s="20" t="str">
        <f t="shared" si="1270"/>
        <v>#REF!</v>
      </c>
      <c r="F1441" s="22" t="str">
        <f t="shared" si="2"/>
        <v>#REF!</v>
      </c>
      <c r="G1441" s="20" t="str">
        <f t="shared" ref="G1441:I1441" si="4317">#REF!</f>
        <v>#REF!</v>
      </c>
      <c r="H1441" s="20" t="str">
        <f t="shared" si="4317"/>
        <v>#REF!</v>
      </c>
      <c r="I1441" s="20" t="str">
        <f t="shared" si="4317"/>
        <v>#REF!</v>
      </c>
      <c r="J1441" s="20" t="str">
        <f t="shared" si="1272"/>
        <v>#REF!</v>
      </c>
      <c r="K1441" s="20" t="str">
        <f t="shared" ref="K1441:L1441" si="4318">#REF!</f>
        <v>#REF!</v>
      </c>
      <c r="L1441" s="20" t="str">
        <f t="shared" si="4318"/>
        <v>#REF!</v>
      </c>
    </row>
    <row r="1442">
      <c r="A1442" s="20" t="str">
        <f t="shared" si="1267"/>
        <v>#REF!</v>
      </c>
      <c r="B1442" s="20" t="str">
        <f t="shared" si="1268"/>
        <v>#REF!</v>
      </c>
      <c r="C1442" s="20" t="str">
        <f t="shared" ref="C1442:D1442" si="4319">#REF!</f>
        <v>#REF!</v>
      </c>
      <c r="D1442" s="20" t="str">
        <f t="shared" si="4319"/>
        <v>#REF!</v>
      </c>
      <c r="E1442" s="20" t="str">
        <f t="shared" si="1270"/>
        <v>#REF!</v>
      </c>
      <c r="F1442" s="22" t="str">
        <f t="shared" si="2"/>
        <v>#REF!</v>
      </c>
      <c r="G1442" s="20" t="str">
        <f t="shared" ref="G1442:I1442" si="4320">#REF!</f>
        <v>#REF!</v>
      </c>
      <c r="H1442" s="20" t="str">
        <f t="shared" si="4320"/>
        <v>#REF!</v>
      </c>
      <c r="I1442" s="20" t="str">
        <f t="shared" si="4320"/>
        <v>#REF!</v>
      </c>
      <c r="J1442" s="20" t="str">
        <f t="shared" si="1272"/>
        <v>#REF!</v>
      </c>
      <c r="K1442" s="20" t="str">
        <f t="shared" ref="K1442:L1442" si="4321">#REF!</f>
        <v>#REF!</v>
      </c>
      <c r="L1442" s="20" t="str">
        <f t="shared" si="4321"/>
        <v>#REF!</v>
      </c>
    </row>
    <row r="1443">
      <c r="A1443" s="20" t="str">
        <f t="shared" si="1267"/>
        <v>#REF!</v>
      </c>
      <c r="B1443" s="20" t="str">
        <f t="shared" si="1268"/>
        <v>#REF!</v>
      </c>
      <c r="C1443" s="20" t="str">
        <f t="shared" ref="C1443:D1443" si="4322">#REF!</f>
        <v>#REF!</v>
      </c>
      <c r="D1443" s="20" t="str">
        <f t="shared" si="4322"/>
        <v>#REF!</v>
      </c>
      <c r="E1443" s="20" t="str">
        <f t="shared" si="1270"/>
        <v>#REF!</v>
      </c>
      <c r="F1443" s="22" t="str">
        <f t="shared" si="2"/>
        <v>#REF!</v>
      </c>
      <c r="G1443" s="20" t="str">
        <f t="shared" ref="G1443:I1443" si="4323">#REF!</f>
        <v>#REF!</v>
      </c>
      <c r="H1443" s="20" t="str">
        <f t="shared" si="4323"/>
        <v>#REF!</v>
      </c>
      <c r="I1443" s="20" t="str">
        <f t="shared" si="4323"/>
        <v>#REF!</v>
      </c>
      <c r="J1443" s="20" t="str">
        <f t="shared" si="1272"/>
        <v>#REF!</v>
      </c>
      <c r="K1443" s="20" t="str">
        <f t="shared" ref="K1443:L1443" si="4324">#REF!</f>
        <v>#REF!</v>
      </c>
      <c r="L1443" s="20" t="str">
        <f t="shared" si="4324"/>
        <v>#REF!</v>
      </c>
    </row>
    <row r="1444">
      <c r="A1444" s="20" t="str">
        <f t="shared" si="1267"/>
        <v>#REF!</v>
      </c>
      <c r="B1444" s="20" t="str">
        <f t="shared" si="1268"/>
        <v>#REF!</v>
      </c>
      <c r="C1444" s="20" t="str">
        <f t="shared" ref="C1444:D1444" si="4325">#REF!</f>
        <v>#REF!</v>
      </c>
      <c r="D1444" s="20" t="str">
        <f t="shared" si="4325"/>
        <v>#REF!</v>
      </c>
      <c r="E1444" s="20" t="str">
        <f t="shared" si="1270"/>
        <v>#REF!</v>
      </c>
      <c r="F1444" s="22" t="str">
        <f t="shared" si="2"/>
        <v>#REF!</v>
      </c>
      <c r="G1444" s="20" t="str">
        <f t="shared" ref="G1444:I1444" si="4326">#REF!</f>
        <v>#REF!</v>
      </c>
      <c r="H1444" s="20" t="str">
        <f t="shared" si="4326"/>
        <v>#REF!</v>
      </c>
      <c r="I1444" s="20" t="str">
        <f t="shared" si="4326"/>
        <v>#REF!</v>
      </c>
      <c r="J1444" s="20" t="str">
        <f t="shared" si="1272"/>
        <v>#REF!</v>
      </c>
      <c r="K1444" s="20" t="str">
        <f t="shared" ref="K1444:L1444" si="4327">#REF!</f>
        <v>#REF!</v>
      </c>
      <c r="L1444" s="20" t="str">
        <f t="shared" si="4327"/>
        <v>#REF!</v>
      </c>
    </row>
    <row r="1445">
      <c r="A1445" s="20" t="str">
        <f t="shared" si="1267"/>
        <v>#REF!</v>
      </c>
      <c r="B1445" s="20" t="str">
        <f t="shared" si="1268"/>
        <v>#REF!</v>
      </c>
      <c r="C1445" s="20" t="str">
        <f t="shared" ref="C1445:D1445" si="4328">#REF!</f>
        <v>#REF!</v>
      </c>
      <c r="D1445" s="20" t="str">
        <f t="shared" si="4328"/>
        <v>#REF!</v>
      </c>
      <c r="E1445" s="20" t="str">
        <f t="shared" si="1270"/>
        <v>#REF!</v>
      </c>
      <c r="F1445" s="22" t="str">
        <f t="shared" si="2"/>
        <v>#REF!</v>
      </c>
      <c r="G1445" s="20" t="str">
        <f t="shared" ref="G1445:I1445" si="4329">#REF!</f>
        <v>#REF!</v>
      </c>
      <c r="H1445" s="20" t="str">
        <f t="shared" si="4329"/>
        <v>#REF!</v>
      </c>
      <c r="I1445" s="20" t="str">
        <f t="shared" si="4329"/>
        <v>#REF!</v>
      </c>
      <c r="J1445" s="20" t="str">
        <f t="shared" si="1272"/>
        <v>#REF!</v>
      </c>
      <c r="K1445" s="20" t="str">
        <f t="shared" ref="K1445:L1445" si="4330">#REF!</f>
        <v>#REF!</v>
      </c>
      <c r="L1445" s="20" t="str">
        <f t="shared" si="4330"/>
        <v>#REF!</v>
      </c>
    </row>
    <row r="1446">
      <c r="A1446" s="20" t="str">
        <f t="shared" si="1267"/>
        <v>#REF!</v>
      </c>
      <c r="B1446" s="20" t="str">
        <f t="shared" si="1268"/>
        <v>#REF!</v>
      </c>
      <c r="C1446" s="20" t="str">
        <f t="shared" ref="C1446:D1446" si="4331">#REF!</f>
        <v>#REF!</v>
      </c>
      <c r="D1446" s="20" t="str">
        <f t="shared" si="4331"/>
        <v>#REF!</v>
      </c>
      <c r="E1446" s="20" t="str">
        <f t="shared" si="1270"/>
        <v>#REF!</v>
      </c>
      <c r="F1446" s="22" t="str">
        <f t="shared" si="2"/>
        <v>#REF!</v>
      </c>
      <c r="G1446" s="20" t="str">
        <f t="shared" ref="G1446:I1446" si="4332">#REF!</f>
        <v>#REF!</v>
      </c>
      <c r="H1446" s="20" t="str">
        <f t="shared" si="4332"/>
        <v>#REF!</v>
      </c>
      <c r="I1446" s="20" t="str">
        <f t="shared" si="4332"/>
        <v>#REF!</v>
      </c>
      <c r="J1446" s="20" t="str">
        <f t="shared" si="1272"/>
        <v>#REF!</v>
      </c>
      <c r="K1446" s="20" t="str">
        <f t="shared" ref="K1446:L1446" si="4333">#REF!</f>
        <v>#REF!</v>
      </c>
      <c r="L1446" s="20" t="str">
        <f t="shared" si="4333"/>
        <v>#REF!</v>
      </c>
    </row>
    <row r="1447">
      <c r="A1447" s="20" t="str">
        <f t="shared" si="1267"/>
        <v>#REF!</v>
      </c>
      <c r="B1447" s="20" t="str">
        <f t="shared" si="1268"/>
        <v>#REF!</v>
      </c>
      <c r="C1447" s="20" t="str">
        <f t="shared" ref="C1447:D1447" si="4334">#REF!</f>
        <v>#REF!</v>
      </c>
      <c r="D1447" s="20" t="str">
        <f t="shared" si="4334"/>
        <v>#REF!</v>
      </c>
      <c r="E1447" s="20" t="str">
        <f t="shared" si="1270"/>
        <v>#REF!</v>
      </c>
      <c r="F1447" s="22" t="str">
        <f t="shared" si="2"/>
        <v>#REF!</v>
      </c>
      <c r="G1447" s="20" t="str">
        <f t="shared" ref="G1447:I1447" si="4335">#REF!</f>
        <v>#REF!</v>
      </c>
      <c r="H1447" s="20" t="str">
        <f t="shared" si="4335"/>
        <v>#REF!</v>
      </c>
      <c r="I1447" s="20" t="str">
        <f t="shared" si="4335"/>
        <v>#REF!</v>
      </c>
      <c r="J1447" s="20" t="str">
        <f t="shared" si="1272"/>
        <v>#REF!</v>
      </c>
      <c r="K1447" s="20" t="str">
        <f t="shared" ref="K1447:L1447" si="4336">#REF!</f>
        <v>#REF!</v>
      </c>
      <c r="L1447" s="20" t="str">
        <f t="shared" si="4336"/>
        <v>#REF!</v>
      </c>
    </row>
    <row r="1448">
      <c r="A1448" s="20" t="str">
        <f t="shared" si="1267"/>
        <v>#REF!</v>
      </c>
      <c r="B1448" s="20" t="str">
        <f t="shared" si="1268"/>
        <v>#REF!</v>
      </c>
      <c r="C1448" s="20" t="str">
        <f t="shared" ref="C1448:D1448" si="4337">#REF!</f>
        <v>#REF!</v>
      </c>
      <c r="D1448" s="20" t="str">
        <f t="shared" si="4337"/>
        <v>#REF!</v>
      </c>
      <c r="E1448" s="20" t="str">
        <f t="shared" si="1270"/>
        <v>#REF!</v>
      </c>
      <c r="F1448" s="22" t="str">
        <f t="shared" si="2"/>
        <v>#REF!</v>
      </c>
      <c r="G1448" s="20" t="str">
        <f t="shared" ref="G1448:I1448" si="4338">#REF!</f>
        <v>#REF!</v>
      </c>
      <c r="H1448" s="20" t="str">
        <f t="shared" si="4338"/>
        <v>#REF!</v>
      </c>
      <c r="I1448" s="20" t="str">
        <f t="shared" si="4338"/>
        <v>#REF!</v>
      </c>
      <c r="J1448" s="20" t="str">
        <f t="shared" si="1272"/>
        <v>#REF!</v>
      </c>
      <c r="K1448" s="20" t="str">
        <f t="shared" ref="K1448:L1448" si="4339">#REF!</f>
        <v>#REF!</v>
      </c>
      <c r="L1448" s="20" t="str">
        <f t="shared" si="4339"/>
        <v>#REF!</v>
      </c>
    </row>
    <row r="1449">
      <c r="A1449" s="20" t="str">
        <f t="shared" si="1267"/>
        <v>#REF!</v>
      </c>
      <c r="B1449" s="20" t="str">
        <f t="shared" si="1268"/>
        <v>#REF!</v>
      </c>
      <c r="C1449" s="20" t="str">
        <f t="shared" ref="C1449:D1449" si="4340">#REF!</f>
        <v>#REF!</v>
      </c>
      <c r="D1449" s="20" t="str">
        <f t="shared" si="4340"/>
        <v>#REF!</v>
      </c>
      <c r="E1449" s="20" t="str">
        <f t="shared" si="1270"/>
        <v>#REF!</v>
      </c>
      <c r="F1449" s="22" t="str">
        <f t="shared" si="2"/>
        <v>#REF!</v>
      </c>
      <c r="G1449" s="20" t="str">
        <f t="shared" ref="G1449:I1449" si="4341">#REF!</f>
        <v>#REF!</v>
      </c>
      <c r="H1449" s="20" t="str">
        <f t="shared" si="4341"/>
        <v>#REF!</v>
      </c>
      <c r="I1449" s="20" t="str">
        <f t="shared" si="4341"/>
        <v>#REF!</v>
      </c>
      <c r="J1449" s="20" t="str">
        <f t="shared" si="1272"/>
        <v>#REF!</v>
      </c>
      <c r="K1449" s="20" t="str">
        <f t="shared" ref="K1449:L1449" si="4342">#REF!</f>
        <v>#REF!</v>
      </c>
      <c r="L1449" s="20" t="str">
        <f t="shared" si="4342"/>
        <v>#REF!</v>
      </c>
    </row>
    <row r="1450">
      <c r="A1450" s="20" t="str">
        <f t="shared" si="1267"/>
        <v>#REF!</v>
      </c>
      <c r="B1450" s="20" t="str">
        <f t="shared" si="1268"/>
        <v>#REF!</v>
      </c>
      <c r="C1450" s="20" t="str">
        <f t="shared" ref="C1450:D1450" si="4343">#REF!</f>
        <v>#REF!</v>
      </c>
      <c r="D1450" s="20" t="str">
        <f t="shared" si="4343"/>
        <v>#REF!</v>
      </c>
      <c r="E1450" s="20" t="str">
        <f t="shared" si="1270"/>
        <v>#REF!</v>
      </c>
      <c r="F1450" s="22" t="str">
        <f t="shared" si="2"/>
        <v>#REF!</v>
      </c>
      <c r="G1450" s="20" t="str">
        <f t="shared" ref="G1450:I1450" si="4344">#REF!</f>
        <v>#REF!</v>
      </c>
      <c r="H1450" s="20" t="str">
        <f t="shared" si="4344"/>
        <v>#REF!</v>
      </c>
      <c r="I1450" s="20" t="str">
        <f t="shared" si="4344"/>
        <v>#REF!</v>
      </c>
      <c r="J1450" s="20" t="str">
        <f t="shared" si="1272"/>
        <v>#REF!</v>
      </c>
      <c r="K1450" s="20" t="str">
        <f t="shared" ref="K1450:L1450" si="4345">#REF!</f>
        <v>#REF!</v>
      </c>
      <c r="L1450" s="20" t="str">
        <f t="shared" si="4345"/>
        <v>#REF!</v>
      </c>
    </row>
    <row r="1451">
      <c r="A1451" s="20" t="str">
        <f t="shared" si="1267"/>
        <v>#REF!</v>
      </c>
      <c r="B1451" s="20" t="str">
        <f t="shared" si="1268"/>
        <v>#REF!</v>
      </c>
      <c r="C1451" s="20" t="str">
        <f t="shared" ref="C1451:D1451" si="4346">#REF!</f>
        <v>#REF!</v>
      </c>
      <c r="D1451" s="20" t="str">
        <f t="shared" si="4346"/>
        <v>#REF!</v>
      </c>
      <c r="E1451" s="20" t="str">
        <f t="shared" si="1270"/>
        <v>#REF!</v>
      </c>
      <c r="F1451" s="22" t="str">
        <f t="shared" si="2"/>
        <v>#REF!</v>
      </c>
      <c r="G1451" s="20" t="str">
        <f t="shared" ref="G1451:I1451" si="4347">#REF!</f>
        <v>#REF!</v>
      </c>
      <c r="H1451" s="20" t="str">
        <f t="shared" si="4347"/>
        <v>#REF!</v>
      </c>
      <c r="I1451" s="20" t="str">
        <f t="shared" si="4347"/>
        <v>#REF!</v>
      </c>
      <c r="J1451" s="20" t="str">
        <f t="shared" si="1272"/>
        <v>#REF!</v>
      </c>
      <c r="K1451" s="20" t="str">
        <f t="shared" ref="K1451:L1451" si="4348">#REF!</f>
        <v>#REF!</v>
      </c>
      <c r="L1451" s="20" t="str">
        <f t="shared" si="4348"/>
        <v>#REF!</v>
      </c>
    </row>
    <row r="1452">
      <c r="A1452" s="20" t="str">
        <f t="shared" si="1267"/>
        <v>#REF!</v>
      </c>
      <c r="B1452" s="20" t="str">
        <f t="shared" si="1268"/>
        <v>#REF!</v>
      </c>
      <c r="C1452" s="20" t="str">
        <f t="shared" ref="C1452:D1452" si="4349">#REF!</f>
        <v>#REF!</v>
      </c>
      <c r="D1452" s="20" t="str">
        <f t="shared" si="4349"/>
        <v>#REF!</v>
      </c>
      <c r="E1452" s="20" t="str">
        <f t="shared" si="1270"/>
        <v>#REF!</v>
      </c>
      <c r="F1452" s="22" t="str">
        <f t="shared" si="2"/>
        <v>#REF!</v>
      </c>
      <c r="G1452" s="20" t="str">
        <f t="shared" ref="G1452:I1452" si="4350">#REF!</f>
        <v>#REF!</v>
      </c>
      <c r="H1452" s="20" t="str">
        <f t="shared" si="4350"/>
        <v>#REF!</v>
      </c>
      <c r="I1452" s="20" t="str">
        <f t="shared" si="4350"/>
        <v>#REF!</v>
      </c>
      <c r="J1452" s="20" t="str">
        <f t="shared" si="1272"/>
        <v>#REF!</v>
      </c>
      <c r="K1452" s="20" t="str">
        <f t="shared" ref="K1452:L1452" si="4351">#REF!</f>
        <v>#REF!</v>
      </c>
      <c r="L1452" s="20" t="str">
        <f t="shared" si="4351"/>
        <v>#REF!</v>
      </c>
    </row>
    <row r="1453">
      <c r="A1453" s="20" t="str">
        <f t="shared" si="1267"/>
        <v>#REF!</v>
      </c>
      <c r="B1453" s="20" t="str">
        <f t="shared" si="1268"/>
        <v>#REF!</v>
      </c>
      <c r="C1453" s="20" t="str">
        <f t="shared" ref="C1453:D1453" si="4352">#REF!</f>
        <v>#REF!</v>
      </c>
      <c r="D1453" s="20" t="str">
        <f t="shared" si="4352"/>
        <v>#REF!</v>
      </c>
      <c r="E1453" s="20" t="str">
        <f t="shared" si="1270"/>
        <v>#REF!</v>
      </c>
      <c r="F1453" s="22" t="str">
        <f t="shared" si="2"/>
        <v>#REF!</v>
      </c>
      <c r="G1453" s="20" t="str">
        <f t="shared" ref="G1453:I1453" si="4353">#REF!</f>
        <v>#REF!</v>
      </c>
      <c r="H1453" s="20" t="str">
        <f t="shared" si="4353"/>
        <v>#REF!</v>
      </c>
      <c r="I1453" s="20" t="str">
        <f t="shared" si="4353"/>
        <v>#REF!</v>
      </c>
      <c r="J1453" s="20" t="str">
        <f t="shared" si="1272"/>
        <v>#REF!</v>
      </c>
      <c r="K1453" s="20" t="str">
        <f t="shared" ref="K1453:L1453" si="4354">#REF!</f>
        <v>#REF!</v>
      </c>
      <c r="L1453" s="20" t="str">
        <f t="shared" si="4354"/>
        <v>#REF!</v>
      </c>
    </row>
    <row r="1454">
      <c r="A1454" s="20" t="str">
        <f t="shared" si="1267"/>
        <v>#REF!</v>
      </c>
      <c r="B1454" s="20" t="str">
        <f t="shared" si="1268"/>
        <v>#REF!</v>
      </c>
      <c r="C1454" s="20" t="str">
        <f t="shared" ref="C1454:D1454" si="4355">#REF!</f>
        <v>#REF!</v>
      </c>
      <c r="D1454" s="20" t="str">
        <f t="shared" si="4355"/>
        <v>#REF!</v>
      </c>
      <c r="E1454" s="20" t="str">
        <f t="shared" si="1270"/>
        <v>#REF!</v>
      </c>
      <c r="F1454" s="22" t="str">
        <f t="shared" si="2"/>
        <v>#REF!</v>
      </c>
      <c r="G1454" s="20" t="str">
        <f t="shared" ref="G1454:I1454" si="4356">#REF!</f>
        <v>#REF!</v>
      </c>
      <c r="H1454" s="20" t="str">
        <f t="shared" si="4356"/>
        <v>#REF!</v>
      </c>
      <c r="I1454" s="20" t="str">
        <f t="shared" si="4356"/>
        <v>#REF!</v>
      </c>
      <c r="J1454" s="20" t="str">
        <f t="shared" si="1272"/>
        <v>#REF!</v>
      </c>
      <c r="K1454" s="20" t="str">
        <f t="shared" ref="K1454:L1454" si="4357">#REF!</f>
        <v>#REF!</v>
      </c>
      <c r="L1454" s="20" t="str">
        <f t="shared" si="4357"/>
        <v>#REF!</v>
      </c>
    </row>
    <row r="1455">
      <c r="A1455" s="20" t="str">
        <f t="shared" si="1267"/>
        <v>#REF!</v>
      </c>
      <c r="B1455" s="20" t="str">
        <f t="shared" si="1268"/>
        <v>#REF!</v>
      </c>
      <c r="C1455" s="20" t="str">
        <f t="shared" ref="C1455:D1455" si="4358">#REF!</f>
        <v>#REF!</v>
      </c>
      <c r="D1455" s="20" t="str">
        <f t="shared" si="4358"/>
        <v>#REF!</v>
      </c>
      <c r="E1455" s="20" t="str">
        <f t="shared" si="1270"/>
        <v>#REF!</v>
      </c>
      <c r="F1455" s="22" t="str">
        <f t="shared" si="2"/>
        <v>#REF!</v>
      </c>
      <c r="G1455" s="20" t="str">
        <f t="shared" ref="G1455:I1455" si="4359">#REF!</f>
        <v>#REF!</v>
      </c>
      <c r="H1455" s="20" t="str">
        <f t="shared" si="4359"/>
        <v>#REF!</v>
      </c>
      <c r="I1455" s="20" t="str">
        <f t="shared" si="4359"/>
        <v>#REF!</v>
      </c>
      <c r="J1455" s="20" t="str">
        <f t="shared" si="1272"/>
        <v>#REF!</v>
      </c>
      <c r="K1455" s="20" t="str">
        <f t="shared" ref="K1455:L1455" si="4360">#REF!</f>
        <v>#REF!</v>
      </c>
      <c r="L1455" s="20" t="str">
        <f t="shared" si="4360"/>
        <v>#REF!</v>
      </c>
    </row>
    <row r="1456">
      <c r="A1456" s="20" t="str">
        <f t="shared" si="1267"/>
        <v>#REF!</v>
      </c>
      <c r="B1456" s="20" t="str">
        <f t="shared" si="1268"/>
        <v>#REF!</v>
      </c>
      <c r="C1456" s="20" t="str">
        <f t="shared" ref="C1456:D1456" si="4361">#REF!</f>
        <v>#REF!</v>
      </c>
      <c r="D1456" s="20" t="str">
        <f t="shared" si="4361"/>
        <v>#REF!</v>
      </c>
      <c r="E1456" s="20" t="str">
        <f t="shared" si="1270"/>
        <v>#REF!</v>
      </c>
      <c r="F1456" s="22" t="str">
        <f t="shared" si="2"/>
        <v>#REF!</v>
      </c>
      <c r="G1456" s="20" t="str">
        <f t="shared" ref="G1456:I1456" si="4362">#REF!</f>
        <v>#REF!</v>
      </c>
      <c r="H1456" s="20" t="str">
        <f t="shared" si="4362"/>
        <v>#REF!</v>
      </c>
      <c r="I1456" s="20" t="str">
        <f t="shared" si="4362"/>
        <v>#REF!</v>
      </c>
      <c r="J1456" s="20" t="str">
        <f t="shared" si="1272"/>
        <v>#REF!</v>
      </c>
      <c r="K1456" s="20" t="str">
        <f t="shared" ref="K1456:L1456" si="4363">#REF!</f>
        <v>#REF!</v>
      </c>
      <c r="L1456" s="20" t="str">
        <f t="shared" si="4363"/>
        <v>#REF!</v>
      </c>
    </row>
    <row r="1457">
      <c r="A1457" s="20" t="str">
        <f t="shared" si="1267"/>
        <v>#REF!</v>
      </c>
      <c r="B1457" s="20" t="str">
        <f t="shared" si="1268"/>
        <v>#REF!</v>
      </c>
      <c r="C1457" s="20" t="str">
        <f t="shared" ref="C1457:D1457" si="4364">#REF!</f>
        <v>#REF!</v>
      </c>
      <c r="D1457" s="20" t="str">
        <f t="shared" si="4364"/>
        <v>#REF!</v>
      </c>
      <c r="E1457" s="20" t="str">
        <f t="shared" si="1270"/>
        <v>#REF!</v>
      </c>
      <c r="F1457" s="22" t="str">
        <f t="shared" si="2"/>
        <v>#REF!</v>
      </c>
      <c r="G1457" s="20" t="str">
        <f t="shared" ref="G1457:I1457" si="4365">#REF!</f>
        <v>#REF!</v>
      </c>
      <c r="H1457" s="20" t="str">
        <f t="shared" si="4365"/>
        <v>#REF!</v>
      </c>
      <c r="I1457" s="20" t="str">
        <f t="shared" si="4365"/>
        <v>#REF!</v>
      </c>
      <c r="J1457" s="20" t="str">
        <f t="shared" si="1272"/>
        <v>#REF!</v>
      </c>
      <c r="K1457" s="20" t="str">
        <f t="shared" ref="K1457:L1457" si="4366">#REF!</f>
        <v>#REF!</v>
      </c>
      <c r="L1457" s="20" t="str">
        <f t="shared" si="4366"/>
        <v>#REF!</v>
      </c>
    </row>
    <row r="1458">
      <c r="A1458" s="20" t="str">
        <f t="shared" si="1267"/>
        <v>#REF!</v>
      </c>
      <c r="B1458" s="20" t="str">
        <f t="shared" si="1268"/>
        <v>#REF!</v>
      </c>
      <c r="C1458" s="20" t="str">
        <f t="shared" ref="C1458:D1458" si="4367">#REF!</f>
        <v>#REF!</v>
      </c>
      <c r="D1458" s="20" t="str">
        <f t="shared" si="4367"/>
        <v>#REF!</v>
      </c>
      <c r="E1458" s="20" t="str">
        <f t="shared" si="1270"/>
        <v>#REF!</v>
      </c>
      <c r="F1458" s="22" t="str">
        <f t="shared" si="2"/>
        <v>#REF!</v>
      </c>
      <c r="G1458" s="20" t="str">
        <f t="shared" ref="G1458:I1458" si="4368">#REF!</f>
        <v>#REF!</v>
      </c>
      <c r="H1458" s="20" t="str">
        <f t="shared" si="4368"/>
        <v>#REF!</v>
      </c>
      <c r="I1458" s="20" t="str">
        <f t="shared" si="4368"/>
        <v>#REF!</v>
      </c>
      <c r="J1458" s="20" t="str">
        <f t="shared" si="1272"/>
        <v>#REF!</v>
      </c>
      <c r="K1458" s="20" t="str">
        <f t="shared" ref="K1458:L1458" si="4369">#REF!</f>
        <v>#REF!</v>
      </c>
      <c r="L1458" s="20" t="str">
        <f t="shared" si="4369"/>
        <v>#REF!</v>
      </c>
    </row>
    <row r="1459">
      <c r="A1459" s="20" t="str">
        <f t="shared" si="1267"/>
        <v>#REF!</v>
      </c>
      <c r="B1459" s="20" t="str">
        <f t="shared" si="1268"/>
        <v>#REF!</v>
      </c>
      <c r="C1459" s="20" t="str">
        <f t="shared" ref="C1459:D1459" si="4370">#REF!</f>
        <v>#REF!</v>
      </c>
      <c r="D1459" s="20" t="str">
        <f t="shared" si="4370"/>
        <v>#REF!</v>
      </c>
      <c r="E1459" s="20" t="str">
        <f t="shared" si="1270"/>
        <v>#REF!</v>
      </c>
      <c r="F1459" s="22" t="str">
        <f t="shared" si="2"/>
        <v>#REF!</v>
      </c>
      <c r="G1459" s="20" t="str">
        <f t="shared" ref="G1459:I1459" si="4371">#REF!</f>
        <v>#REF!</v>
      </c>
      <c r="H1459" s="20" t="str">
        <f t="shared" si="4371"/>
        <v>#REF!</v>
      </c>
      <c r="I1459" s="20" t="str">
        <f t="shared" si="4371"/>
        <v>#REF!</v>
      </c>
      <c r="J1459" s="20" t="str">
        <f t="shared" si="1272"/>
        <v>#REF!</v>
      </c>
      <c r="K1459" s="20" t="str">
        <f t="shared" ref="K1459:L1459" si="4372">#REF!</f>
        <v>#REF!</v>
      </c>
      <c r="L1459" s="20" t="str">
        <f t="shared" si="4372"/>
        <v>#REF!</v>
      </c>
    </row>
    <row r="1460">
      <c r="A1460" s="20" t="str">
        <f t="shared" si="1267"/>
        <v>#REF!</v>
      </c>
      <c r="B1460" s="20" t="str">
        <f t="shared" si="1268"/>
        <v>#REF!</v>
      </c>
      <c r="C1460" s="20" t="str">
        <f t="shared" ref="C1460:D1460" si="4373">#REF!</f>
        <v>#REF!</v>
      </c>
      <c r="D1460" s="20" t="str">
        <f t="shared" si="4373"/>
        <v>#REF!</v>
      </c>
      <c r="E1460" s="20" t="str">
        <f t="shared" si="1270"/>
        <v>#REF!</v>
      </c>
      <c r="F1460" s="22" t="str">
        <f t="shared" si="2"/>
        <v>#REF!</v>
      </c>
      <c r="G1460" s="20" t="str">
        <f t="shared" ref="G1460:I1460" si="4374">#REF!</f>
        <v>#REF!</v>
      </c>
      <c r="H1460" s="20" t="str">
        <f t="shared" si="4374"/>
        <v>#REF!</v>
      </c>
      <c r="I1460" s="20" t="str">
        <f t="shared" si="4374"/>
        <v>#REF!</v>
      </c>
      <c r="J1460" s="20" t="str">
        <f t="shared" si="1272"/>
        <v>#REF!</v>
      </c>
      <c r="K1460" s="20" t="str">
        <f t="shared" ref="K1460:L1460" si="4375">#REF!</f>
        <v>#REF!</v>
      </c>
      <c r="L1460" s="20" t="str">
        <f t="shared" si="4375"/>
        <v>#REF!</v>
      </c>
    </row>
    <row r="1461">
      <c r="A1461" s="20" t="str">
        <f t="shared" si="1267"/>
        <v>#REF!</v>
      </c>
      <c r="B1461" s="20" t="str">
        <f t="shared" si="1268"/>
        <v>#REF!</v>
      </c>
      <c r="C1461" s="20" t="str">
        <f t="shared" ref="C1461:D1461" si="4376">#REF!</f>
        <v>#REF!</v>
      </c>
      <c r="D1461" s="20" t="str">
        <f t="shared" si="4376"/>
        <v>#REF!</v>
      </c>
      <c r="E1461" s="20" t="str">
        <f t="shared" si="1270"/>
        <v>#REF!</v>
      </c>
      <c r="F1461" s="22" t="str">
        <f t="shared" si="2"/>
        <v>#REF!</v>
      </c>
      <c r="G1461" s="20" t="str">
        <f t="shared" ref="G1461:I1461" si="4377">#REF!</f>
        <v>#REF!</v>
      </c>
      <c r="H1461" s="20" t="str">
        <f t="shared" si="4377"/>
        <v>#REF!</v>
      </c>
      <c r="I1461" s="20" t="str">
        <f t="shared" si="4377"/>
        <v>#REF!</v>
      </c>
      <c r="J1461" s="20" t="str">
        <f t="shared" si="1272"/>
        <v>#REF!</v>
      </c>
      <c r="K1461" s="20" t="str">
        <f t="shared" ref="K1461:L1461" si="4378">#REF!</f>
        <v>#REF!</v>
      </c>
      <c r="L1461" s="20" t="str">
        <f t="shared" si="4378"/>
        <v>#REF!</v>
      </c>
    </row>
    <row r="1462">
      <c r="A1462" s="20" t="str">
        <f t="shared" si="1267"/>
        <v>#REF!</v>
      </c>
      <c r="B1462" s="20" t="str">
        <f t="shared" si="1268"/>
        <v>#REF!</v>
      </c>
      <c r="C1462" s="20" t="str">
        <f t="shared" ref="C1462:D1462" si="4379">#REF!</f>
        <v>#REF!</v>
      </c>
      <c r="D1462" s="20" t="str">
        <f t="shared" si="4379"/>
        <v>#REF!</v>
      </c>
      <c r="E1462" s="20" t="str">
        <f t="shared" si="1270"/>
        <v>#REF!</v>
      </c>
      <c r="F1462" s="22" t="str">
        <f t="shared" si="2"/>
        <v>#REF!</v>
      </c>
      <c r="G1462" s="20" t="str">
        <f t="shared" ref="G1462:I1462" si="4380">#REF!</f>
        <v>#REF!</v>
      </c>
      <c r="H1462" s="20" t="str">
        <f t="shared" si="4380"/>
        <v>#REF!</v>
      </c>
      <c r="I1462" s="20" t="str">
        <f t="shared" si="4380"/>
        <v>#REF!</v>
      </c>
      <c r="J1462" s="20" t="str">
        <f t="shared" si="1272"/>
        <v>#REF!</v>
      </c>
      <c r="K1462" s="20" t="str">
        <f t="shared" ref="K1462:L1462" si="4381">#REF!</f>
        <v>#REF!</v>
      </c>
      <c r="L1462" s="20" t="str">
        <f t="shared" si="4381"/>
        <v>#REF!</v>
      </c>
    </row>
    <row r="1463">
      <c r="A1463" s="20" t="str">
        <f t="shared" si="1267"/>
        <v>#REF!</v>
      </c>
      <c r="B1463" s="20" t="str">
        <f t="shared" si="1268"/>
        <v>#REF!</v>
      </c>
      <c r="C1463" s="20" t="str">
        <f t="shared" ref="C1463:D1463" si="4382">#REF!</f>
        <v>#REF!</v>
      </c>
      <c r="D1463" s="20" t="str">
        <f t="shared" si="4382"/>
        <v>#REF!</v>
      </c>
      <c r="E1463" s="20" t="str">
        <f t="shared" si="1270"/>
        <v>#REF!</v>
      </c>
      <c r="F1463" s="22" t="str">
        <f t="shared" si="2"/>
        <v>#REF!</v>
      </c>
      <c r="G1463" s="20" t="str">
        <f t="shared" ref="G1463:I1463" si="4383">#REF!</f>
        <v>#REF!</v>
      </c>
      <c r="H1463" s="20" t="str">
        <f t="shared" si="4383"/>
        <v>#REF!</v>
      </c>
      <c r="I1463" s="20" t="str">
        <f t="shared" si="4383"/>
        <v>#REF!</v>
      </c>
      <c r="J1463" s="20" t="str">
        <f t="shared" si="1272"/>
        <v>#REF!</v>
      </c>
      <c r="K1463" s="20" t="str">
        <f t="shared" ref="K1463:L1463" si="4384">#REF!</f>
        <v>#REF!</v>
      </c>
      <c r="L1463" s="20" t="str">
        <f t="shared" si="4384"/>
        <v>#REF!</v>
      </c>
    </row>
    <row r="1464">
      <c r="A1464" s="20" t="str">
        <f t="shared" si="1267"/>
        <v>#REF!</v>
      </c>
      <c r="B1464" s="20" t="str">
        <f t="shared" si="1268"/>
        <v>#REF!</v>
      </c>
      <c r="C1464" s="20" t="str">
        <f t="shared" ref="C1464:D1464" si="4385">#REF!</f>
        <v>#REF!</v>
      </c>
      <c r="D1464" s="20" t="str">
        <f t="shared" si="4385"/>
        <v>#REF!</v>
      </c>
      <c r="E1464" s="20" t="str">
        <f t="shared" si="1270"/>
        <v>#REF!</v>
      </c>
      <c r="F1464" s="22" t="str">
        <f t="shared" si="2"/>
        <v>#REF!</v>
      </c>
      <c r="G1464" s="20" t="str">
        <f t="shared" ref="G1464:I1464" si="4386">#REF!</f>
        <v>#REF!</v>
      </c>
      <c r="H1464" s="20" t="str">
        <f t="shared" si="4386"/>
        <v>#REF!</v>
      </c>
      <c r="I1464" s="20" t="str">
        <f t="shared" si="4386"/>
        <v>#REF!</v>
      </c>
      <c r="J1464" s="20" t="str">
        <f t="shared" si="1272"/>
        <v>#REF!</v>
      </c>
      <c r="K1464" s="20" t="str">
        <f t="shared" ref="K1464:L1464" si="4387">#REF!</f>
        <v>#REF!</v>
      </c>
      <c r="L1464" s="20" t="str">
        <f t="shared" si="4387"/>
        <v>#REF!</v>
      </c>
    </row>
    <row r="1465">
      <c r="A1465" s="20" t="str">
        <f t="shared" si="1267"/>
        <v>#REF!</v>
      </c>
      <c r="B1465" s="20" t="str">
        <f t="shared" si="1268"/>
        <v>#REF!</v>
      </c>
      <c r="C1465" s="20" t="str">
        <f t="shared" ref="C1465:D1465" si="4388">#REF!</f>
        <v>#REF!</v>
      </c>
      <c r="D1465" s="20" t="str">
        <f t="shared" si="4388"/>
        <v>#REF!</v>
      </c>
      <c r="E1465" s="20" t="str">
        <f t="shared" si="1270"/>
        <v>#REF!</v>
      </c>
      <c r="F1465" s="22" t="str">
        <f t="shared" si="2"/>
        <v>#REF!</v>
      </c>
      <c r="G1465" s="20" t="str">
        <f t="shared" ref="G1465:I1465" si="4389">#REF!</f>
        <v>#REF!</v>
      </c>
      <c r="H1465" s="20" t="str">
        <f t="shared" si="4389"/>
        <v>#REF!</v>
      </c>
      <c r="I1465" s="20" t="str">
        <f t="shared" si="4389"/>
        <v>#REF!</v>
      </c>
      <c r="J1465" s="20" t="str">
        <f t="shared" si="1272"/>
        <v>#REF!</v>
      </c>
      <c r="K1465" s="20" t="str">
        <f t="shared" ref="K1465:L1465" si="4390">#REF!</f>
        <v>#REF!</v>
      </c>
      <c r="L1465" s="20" t="str">
        <f t="shared" si="4390"/>
        <v>#REF!</v>
      </c>
    </row>
    <row r="1466">
      <c r="A1466" s="20" t="str">
        <f t="shared" si="1267"/>
        <v>#REF!</v>
      </c>
      <c r="B1466" s="20" t="str">
        <f t="shared" si="1268"/>
        <v>#REF!</v>
      </c>
      <c r="C1466" s="20" t="str">
        <f t="shared" ref="C1466:D1466" si="4391">#REF!</f>
        <v>#REF!</v>
      </c>
      <c r="D1466" s="20" t="str">
        <f t="shared" si="4391"/>
        <v>#REF!</v>
      </c>
      <c r="E1466" s="20" t="str">
        <f t="shared" si="1270"/>
        <v>#REF!</v>
      </c>
      <c r="F1466" s="22" t="str">
        <f t="shared" si="2"/>
        <v>#REF!</v>
      </c>
      <c r="G1466" s="20" t="str">
        <f t="shared" ref="G1466:I1466" si="4392">#REF!</f>
        <v>#REF!</v>
      </c>
      <c r="H1466" s="20" t="str">
        <f t="shared" si="4392"/>
        <v>#REF!</v>
      </c>
      <c r="I1466" s="20" t="str">
        <f t="shared" si="4392"/>
        <v>#REF!</v>
      </c>
      <c r="J1466" s="20" t="str">
        <f t="shared" si="1272"/>
        <v>#REF!</v>
      </c>
      <c r="K1466" s="20" t="str">
        <f t="shared" ref="K1466:L1466" si="4393">#REF!</f>
        <v>#REF!</v>
      </c>
      <c r="L1466" s="20" t="str">
        <f t="shared" si="4393"/>
        <v>#REF!</v>
      </c>
    </row>
    <row r="1467">
      <c r="A1467" s="20" t="str">
        <f t="shared" si="1267"/>
        <v>#REF!</v>
      </c>
      <c r="B1467" s="20" t="str">
        <f t="shared" si="1268"/>
        <v>#REF!</v>
      </c>
      <c r="C1467" s="20" t="str">
        <f t="shared" ref="C1467:D1467" si="4394">#REF!</f>
        <v>#REF!</v>
      </c>
      <c r="D1467" s="20" t="str">
        <f t="shared" si="4394"/>
        <v>#REF!</v>
      </c>
      <c r="E1467" s="20" t="str">
        <f t="shared" si="1270"/>
        <v>#REF!</v>
      </c>
      <c r="F1467" s="22" t="str">
        <f t="shared" si="2"/>
        <v>#REF!</v>
      </c>
      <c r="G1467" s="20" t="str">
        <f t="shared" ref="G1467:I1467" si="4395">#REF!</f>
        <v>#REF!</v>
      </c>
      <c r="H1467" s="20" t="str">
        <f t="shared" si="4395"/>
        <v>#REF!</v>
      </c>
      <c r="I1467" s="20" t="str">
        <f t="shared" si="4395"/>
        <v>#REF!</v>
      </c>
      <c r="J1467" s="20" t="str">
        <f t="shared" si="1272"/>
        <v>#REF!</v>
      </c>
      <c r="K1467" s="20" t="str">
        <f t="shared" ref="K1467:L1467" si="4396">#REF!</f>
        <v>#REF!</v>
      </c>
      <c r="L1467" s="20" t="str">
        <f t="shared" si="4396"/>
        <v>#REF!</v>
      </c>
    </row>
    <row r="1468">
      <c r="A1468" s="20" t="str">
        <f t="shared" si="1267"/>
        <v>#REF!</v>
      </c>
      <c r="B1468" s="20" t="str">
        <f t="shared" si="1268"/>
        <v>#REF!</v>
      </c>
      <c r="C1468" s="20" t="str">
        <f t="shared" ref="C1468:D1468" si="4397">#REF!</f>
        <v>#REF!</v>
      </c>
      <c r="D1468" s="20" t="str">
        <f t="shared" si="4397"/>
        <v>#REF!</v>
      </c>
      <c r="E1468" s="20" t="str">
        <f t="shared" si="1270"/>
        <v>#REF!</v>
      </c>
      <c r="F1468" s="22" t="str">
        <f t="shared" si="2"/>
        <v>#REF!</v>
      </c>
      <c r="G1468" s="20" t="str">
        <f t="shared" ref="G1468:I1468" si="4398">#REF!</f>
        <v>#REF!</v>
      </c>
      <c r="H1468" s="20" t="str">
        <f t="shared" si="4398"/>
        <v>#REF!</v>
      </c>
      <c r="I1468" s="20" t="str">
        <f t="shared" si="4398"/>
        <v>#REF!</v>
      </c>
      <c r="J1468" s="20" t="str">
        <f t="shared" si="1272"/>
        <v>#REF!</v>
      </c>
      <c r="K1468" s="20" t="str">
        <f t="shared" ref="K1468:L1468" si="4399">#REF!</f>
        <v>#REF!</v>
      </c>
      <c r="L1468" s="20" t="str">
        <f t="shared" si="4399"/>
        <v>#REF!</v>
      </c>
    </row>
    <row r="1469">
      <c r="A1469" s="20" t="str">
        <f t="shared" si="1267"/>
        <v>#REF!</v>
      </c>
      <c r="B1469" s="20" t="str">
        <f t="shared" si="1268"/>
        <v>#REF!</v>
      </c>
      <c r="C1469" s="20" t="str">
        <f t="shared" ref="C1469:D1469" si="4400">#REF!</f>
        <v>#REF!</v>
      </c>
      <c r="D1469" s="20" t="str">
        <f t="shared" si="4400"/>
        <v>#REF!</v>
      </c>
      <c r="E1469" s="20" t="str">
        <f t="shared" si="1270"/>
        <v>#REF!</v>
      </c>
      <c r="F1469" s="22" t="str">
        <f t="shared" si="2"/>
        <v>#REF!</v>
      </c>
      <c r="G1469" s="20" t="str">
        <f t="shared" ref="G1469:I1469" si="4401">#REF!</f>
        <v>#REF!</v>
      </c>
      <c r="H1469" s="20" t="str">
        <f t="shared" si="4401"/>
        <v>#REF!</v>
      </c>
      <c r="I1469" s="20" t="str">
        <f t="shared" si="4401"/>
        <v>#REF!</v>
      </c>
      <c r="J1469" s="20" t="str">
        <f t="shared" si="1272"/>
        <v>#REF!</v>
      </c>
      <c r="K1469" s="20" t="str">
        <f t="shared" ref="K1469:L1469" si="4402">#REF!</f>
        <v>#REF!</v>
      </c>
      <c r="L1469" s="20" t="str">
        <f t="shared" si="4402"/>
        <v>#REF!</v>
      </c>
    </row>
    <row r="1470">
      <c r="A1470" s="20" t="str">
        <f t="shared" si="1267"/>
        <v>#REF!</v>
      </c>
      <c r="B1470" s="20" t="str">
        <f t="shared" si="1268"/>
        <v>#REF!</v>
      </c>
      <c r="C1470" s="20" t="str">
        <f t="shared" ref="C1470:D1470" si="4403">#REF!</f>
        <v>#REF!</v>
      </c>
      <c r="D1470" s="20" t="str">
        <f t="shared" si="4403"/>
        <v>#REF!</v>
      </c>
      <c r="E1470" s="20" t="str">
        <f t="shared" si="1270"/>
        <v>#REF!</v>
      </c>
      <c r="F1470" s="22" t="str">
        <f t="shared" si="2"/>
        <v>#REF!</v>
      </c>
      <c r="G1470" s="20" t="str">
        <f t="shared" ref="G1470:I1470" si="4404">#REF!</f>
        <v>#REF!</v>
      </c>
      <c r="H1470" s="20" t="str">
        <f t="shared" si="4404"/>
        <v>#REF!</v>
      </c>
      <c r="I1470" s="20" t="str">
        <f t="shared" si="4404"/>
        <v>#REF!</v>
      </c>
      <c r="J1470" s="20" t="str">
        <f t="shared" si="1272"/>
        <v>#REF!</v>
      </c>
      <c r="K1470" s="20" t="str">
        <f t="shared" ref="K1470:L1470" si="4405">#REF!</f>
        <v>#REF!</v>
      </c>
      <c r="L1470" s="20" t="str">
        <f t="shared" si="4405"/>
        <v>#REF!</v>
      </c>
    </row>
    <row r="1471">
      <c r="A1471" s="20" t="str">
        <f t="shared" si="1267"/>
        <v>#REF!</v>
      </c>
      <c r="B1471" s="20" t="str">
        <f t="shared" si="1268"/>
        <v>#REF!</v>
      </c>
      <c r="C1471" s="20" t="str">
        <f t="shared" ref="C1471:D1471" si="4406">#REF!</f>
        <v>#REF!</v>
      </c>
      <c r="D1471" s="20" t="str">
        <f t="shared" si="4406"/>
        <v>#REF!</v>
      </c>
      <c r="E1471" s="20" t="str">
        <f t="shared" si="1270"/>
        <v>#REF!</v>
      </c>
      <c r="F1471" s="22" t="str">
        <f t="shared" si="2"/>
        <v>#REF!</v>
      </c>
      <c r="G1471" s="20" t="str">
        <f t="shared" ref="G1471:I1471" si="4407">#REF!</f>
        <v>#REF!</v>
      </c>
      <c r="H1471" s="20" t="str">
        <f t="shared" si="4407"/>
        <v>#REF!</v>
      </c>
      <c r="I1471" s="20" t="str">
        <f t="shared" si="4407"/>
        <v>#REF!</v>
      </c>
      <c r="J1471" s="20" t="str">
        <f t="shared" si="1272"/>
        <v>#REF!</v>
      </c>
      <c r="K1471" s="20" t="str">
        <f t="shared" ref="K1471:L1471" si="4408">#REF!</f>
        <v>#REF!</v>
      </c>
      <c r="L1471" s="20" t="str">
        <f t="shared" si="4408"/>
        <v>#REF!</v>
      </c>
    </row>
    <row r="1472">
      <c r="A1472" s="20" t="str">
        <f t="shared" si="1267"/>
        <v>#REF!</v>
      </c>
      <c r="B1472" s="20" t="str">
        <f t="shared" si="1268"/>
        <v>#REF!</v>
      </c>
      <c r="C1472" s="20" t="str">
        <f t="shared" ref="C1472:D1472" si="4409">#REF!</f>
        <v>#REF!</v>
      </c>
      <c r="D1472" s="20" t="str">
        <f t="shared" si="4409"/>
        <v>#REF!</v>
      </c>
      <c r="E1472" s="20" t="str">
        <f t="shared" si="1270"/>
        <v>#REF!</v>
      </c>
      <c r="F1472" s="22" t="str">
        <f t="shared" si="2"/>
        <v>#REF!</v>
      </c>
      <c r="G1472" s="20" t="str">
        <f t="shared" ref="G1472:I1472" si="4410">#REF!</f>
        <v>#REF!</v>
      </c>
      <c r="H1472" s="20" t="str">
        <f t="shared" si="4410"/>
        <v>#REF!</v>
      </c>
      <c r="I1472" s="20" t="str">
        <f t="shared" si="4410"/>
        <v>#REF!</v>
      </c>
      <c r="J1472" s="20" t="str">
        <f t="shared" si="1272"/>
        <v>#REF!</v>
      </c>
      <c r="K1472" s="20" t="str">
        <f t="shared" ref="K1472:L1472" si="4411">#REF!</f>
        <v>#REF!</v>
      </c>
      <c r="L1472" s="20" t="str">
        <f t="shared" si="4411"/>
        <v>#REF!</v>
      </c>
    </row>
    <row r="1473">
      <c r="A1473" s="20" t="str">
        <f t="shared" si="1267"/>
        <v>#REF!</v>
      </c>
      <c r="B1473" s="20" t="str">
        <f t="shared" si="1268"/>
        <v>#REF!</v>
      </c>
      <c r="C1473" s="20" t="str">
        <f t="shared" ref="C1473:D1473" si="4412">#REF!</f>
        <v>#REF!</v>
      </c>
      <c r="D1473" s="20" t="str">
        <f t="shared" si="4412"/>
        <v>#REF!</v>
      </c>
      <c r="E1473" s="20" t="str">
        <f t="shared" si="1270"/>
        <v>#REF!</v>
      </c>
      <c r="F1473" s="22" t="str">
        <f t="shared" si="2"/>
        <v>#REF!</v>
      </c>
      <c r="G1473" s="20" t="str">
        <f t="shared" ref="G1473:I1473" si="4413">#REF!</f>
        <v>#REF!</v>
      </c>
      <c r="H1473" s="20" t="str">
        <f t="shared" si="4413"/>
        <v>#REF!</v>
      </c>
      <c r="I1473" s="20" t="str">
        <f t="shared" si="4413"/>
        <v>#REF!</v>
      </c>
      <c r="J1473" s="20" t="str">
        <f t="shared" si="1272"/>
        <v>#REF!</v>
      </c>
      <c r="K1473" s="20" t="str">
        <f t="shared" ref="K1473:L1473" si="4414">#REF!</f>
        <v>#REF!</v>
      </c>
      <c r="L1473" s="20" t="str">
        <f t="shared" si="4414"/>
        <v>#REF!</v>
      </c>
    </row>
    <row r="1474">
      <c r="A1474" s="20" t="str">
        <f t="shared" si="1267"/>
        <v>#REF!</v>
      </c>
      <c r="B1474" s="20" t="str">
        <f t="shared" si="1268"/>
        <v>#REF!</v>
      </c>
      <c r="C1474" s="20" t="str">
        <f t="shared" ref="C1474:D1474" si="4415">#REF!</f>
        <v>#REF!</v>
      </c>
      <c r="D1474" s="20" t="str">
        <f t="shared" si="4415"/>
        <v>#REF!</v>
      </c>
      <c r="E1474" s="20" t="str">
        <f t="shared" si="1270"/>
        <v>#REF!</v>
      </c>
      <c r="F1474" s="22" t="str">
        <f t="shared" si="2"/>
        <v>#REF!</v>
      </c>
      <c r="G1474" s="20" t="str">
        <f t="shared" ref="G1474:I1474" si="4416">#REF!</f>
        <v>#REF!</v>
      </c>
      <c r="H1474" s="20" t="str">
        <f t="shared" si="4416"/>
        <v>#REF!</v>
      </c>
      <c r="I1474" s="20" t="str">
        <f t="shared" si="4416"/>
        <v>#REF!</v>
      </c>
      <c r="J1474" s="20" t="str">
        <f t="shared" si="1272"/>
        <v>#REF!</v>
      </c>
      <c r="K1474" s="20" t="str">
        <f t="shared" ref="K1474:L1474" si="4417">#REF!</f>
        <v>#REF!</v>
      </c>
      <c r="L1474" s="20" t="str">
        <f t="shared" si="4417"/>
        <v>#REF!</v>
      </c>
    </row>
    <row r="1475">
      <c r="A1475" s="20" t="str">
        <f t="shared" si="1267"/>
        <v>#REF!</v>
      </c>
      <c r="B1475" s="20" t="str">
        <f t="shared" si="1268"/>
        <v>#REF!</v>
      </c>
      <c r="C1475" s="20" t="str">
        <f t="shared" ref="C1475:D1475" si="4418">#REF!</f>
        <v>#REF!</v>
      </c>
      <c r="D1475" s="20" t="str">
        <f t="shared" si="4418"/>
        <v>#REF!</v>
      </c>
      <c r="E1475" s="20" t="str">
        <f t="shared" si="1270"/>
        <v>#REF!</v>
      </c>
      <c r="F1475" s="22" t="str">
        <f t="shared" si="2"/>
        <v>#REF!</v>
      </c>
      <c r="G1475" s="20" t="str">
        <f t="shared" ref="G1475:I1475" si="4419">#REF!</f>
        <v>#REF!</v>
      </c>
      <c r="H1475" s="20" t="str">
        <f t="shared" si="4419"/>
        <v>#REF!</v>
      </c>
      <c r="I1475" s="20" t="str">
        <f t="shared" si="4419"/>
        <v>#REF!</v>
      </c>
      <c r="J1475" s="20" t="str">
        <f t="shared" si="1272"/>
        <v>#REF!</v>
      </c>
      <c r="K1475" s="20" t="str">
        <f t="shared" ref="K1475:L1475" si="4420">#REF!</f>
        <v>#REF!</v>
      </c>
      <c r="L1475" s="20" t="str">
        <f t="shared" si="4420"/>
        <v>#REF!</v>
      </c>
    </row>
    <row r="1476">
      <c r="A1476" s="20" t="str">
        <f t="shared" si="1267"/>
        <v>#REF!</v>
      </c>
      <c r="B1476" s="20" t="str">
        <f t="shared" si="1268"/>
        <v>#REF!</v>
      </c>
      <c r="C1476" s="20" t="str">
        <f t="shared" ref="C1476:D1476" si="4421">#REF!</f>
        <v>#REF!</v>
      </c>
      <c r="D1476" s="20" t="str">
        <f t="shared" si="4421"/>
        <v>#REF!</v>
      </c>
      <c r="E1476" s="20" t="str">
        <f t="shared" si="1270"/>
        <v>#REF!</v>
      </c>
      <c r="F1476" s="22" t="str">
        <f t="shared" si="2"/>
        <v>#REF!</v>
      </c>
      <c r="G1476" s="20" t="str">
        <f t="shared" ref="G1476:I1476" si="4422">#REF!</f>
        <v>#REF!</v>
      </c>
      <c r="H1476" s="20" t="str">
        <f t="shared" si="4422"/>
        <v>#REF!</v>
      </c>
      <c r="I1476" s="20" t="str">
        <f t="shared" si="4422"/>
        <v>#REF!</v>
      </c>
      <c r="J1476" s="20" t="str">
        <f t="shared" si="1272"/>
        <v>#REF!</v>
      </c>
      <c r="K1476" s="20" t="str">
        <f t="shared" ref="K1476:L1476" si="4423">#REF!</f>
        <v>#REF!</v>
      </c>
      <c r="L1476" s="20" t="str">
        <f t="shared" si="4423"/>
        <v>#REF!</v>
      </c>
    </row>
    <row r="1477">
      <c r="A1477" s="20" t="str">
        <f t="shared" si="1267"/>
        <v>#REF!</v>
      </c>
      <c r="B1477" s="20" t="str">
        <f t="shared" si="1268"/>
        <v>#REF!</v>
      </c>
      <c r="C1477" s="20" t="str">
        <f t="shared" ref="C1477:D1477" si="4424">#REF!</f>
        <v>#REF!</v>
      </c>
      <c r="D1477" s="20" t="str">
        <f t="shared" si="4424"/>
        <v>#REF!</v>
      </c>
      <c r="E1477" s="20" t="str">
        <f t="shared" si="1270"/>
        <v>#REF!</v>
      </c>
      <c r="F1477" s="22" t="str">
        <f t="shared" si="2"/>
        <v>#REF!</v>
      </c>
      <c r="G1477" s="20" t="str">
        <f t="shared" ref="G1477:I1477" si="4425">#REF!</f>
        <v>#REF!</v>
      </c>
      <c r="H1477" s="20" t="str">
        <f t="shared" si="4425"/>
        <v>#REF!</v>
      </c>
      <c r="I1477" s="20" t="str">
        <f t="shared" si="4425"/>
        <v>#REF!</v>
      </c>
      <c r="J1477" s="20" t="str">
        <f t="shared" si="1272"/>
        <v>#REF!</v>
      </c>
      <c r="K1477" s="20" t="str">
        <f t="shared" ref="K1477:L1477" si="4426">#REF!</f>
        <v>#REF!</v>
      </c>
      <c r="L1477" s="20" t="str">
        <f t="shared" si="4426"/>
        <v>#REF!</v>
      </c>
    </row>
    <row r="1478">
      <c r="A1478" s="20" t="str">
        <f t="shared" si="1267"/>
        <v>#REF!</v>
      </c>
      <c r="B1478" s="20" t="str">
        <f t="shared" si="1268"/>
        <v>#REF!</v>
      </c>
      <c r="C1478" s="20" t="str">
        <f t="shared" ref="C1478:D1478" si="4427">#REF!</f>
        <v>#REF!</v>
      </c>
      <c r="D1478" s="20" t="str">
        <f t="shared" si="4427"/>
        <v>#REF!</v>
      </c>
      <c r="E1478" s="20" t="str">
        <f t="shared" si="1270"/>
        <v>#REF!</v>
      </c>
      <c r="F1478" s="22" t="str">
        <f t="shared" si="2"/>
        <v>#REF!</v>
      </c>
      <c r="G1478" s="20" t="str">
        <f t="shared" ref="G1478:I1478" si="4428">#REF!</f>
        <v>#REF!</v>
      </c>
      <c r="H1478" s="20" t="str">
        <f t="shared" si="4428"/>
        <v>#REF!</v>
      </c>
      <c r="I1478" s="20" t="str">
        <f t="shared" si="4428"/>
        <v>#REF!</v>
      </c>
      <c r="J1478" s="20" t="str">
        <f t="shared" si="1272"/>
        <v>#REF!</v>
      </c>
      <c r="K1478" s="20" t="str">
        <f t="shared" ref="K1478:L1478" si="4429">#REF!</f>
        <v>#REF!</v>
      </c>
      <c r="L1478" s="20" t="str">
        <f t="shared" si="4429"/>
        <v>#REF!</v>
      </c>
    </row>
    <row r="1479">
      <c r="A1479" s="20" t="str">
        <f t="shared" si="1267"/>
        <v>#REF!</v>
      </c>
      <c r="B1479" s="20" t="str">
        <f t="shared" si="1268"/>
        <v>#REF!</v>
      </c>
      <c r="C1479" s="20" t="str">
        <f t="shared" ref="C1479:D1479" si="4430">#REF!</f>
        <v>#REF!</v>
      </c>
      <c r="D1479" s="20" t="str">
        <f t="shared" si="4430"/>
        <v>#REF!</v>
      </c>
      <c r="E1479" s="20" t="str">
        <f t="shared" si="1270"/>
        <v>#REF!</v>
      </c>
      <c r="F1479" s="22" t="str">
        <f t="shared" si="2"/>
        <v>#REF!</v>
      </c>
      <c r="G1479" s="20" t="str">
        <f t="shared" ref="G1479:I1479" si="4431">#REF!</f>
        <v>#REF!</v>
      </c>
      <c r="H1479" s="20" t="str">
        <f t="shared" si="4431"/>
        <v>#REF!</v>
      </c>
      <c r="I1479" s="20" t="str">
        <f t="shared" si="4431"/>
        <v>#REF!</v>
      </c>
      <c r="J1479" s="20" t="str">
        <f t="shared" si="1272"/>
        <v>#REF!</v>
      </c>
      <c r="K1479" s="20" t="str">
        <f t="shared" ref="K1479:L1479" si="4432">#REF!</f>
        <v>#REF!</v>
      </c>
      <c r="L1479" s="20" t="str">
        <f t="shared" si="4432"/>
        <v>#REF!</v>
      </c>
    </row>
    <row r="1480">
      <c r="A1480" s="20" t="str">
        <f t="shared" si="1267"/>
        <v>#REF!</v>
      </c>
      <c r="B1480" s="20" t="str">
        <f t="shared" si="1268"/>
        <v>#REF!</v>
      </c>
      <c r="C1480" s="20" t="str">
        <f t="shared" ref="C1480:D1480" si="4433">#REF!</f>
        <v>#REF!</v>
      </c>
      <c r="D1480" s="20" t="str">
        <f t="shared" si="4433"/>
        <v>#REF!</v>
      </c>
      <c r="E1480" s="20" t="str">
        <f t="shared" si="1270"/>
        <v>#REF!</v>
      </c>
      <c r="F1480" s="22" t="str">
        <f t="shared" si="2"/>
        <v>#REF!</v>
      </c>
      <c r="G1480" s="20" t="str">
        <f t="shared" ref="G1480:I1480" si="4434">#REF!</f>
        <v>#REF!</v>
      </c>
      <c r="H1480" s="20" t="str">
        <f t="shared" si="4434"/>
        <v>#REF!</v>
      </c>
      <c r="I1480" s="20" t="str">
        <f t="shared" si="4434"/>
        <v>#REF!</v>
      </c>
      <c r="J1480" s="20" t="str">
        <f t="shared" si="1272"/>
        <v>#REF!</v>
      </c>
      <c r="K1480" s="20" t="str">
        <f t="shared" ref="K1480:L1480" si="4435">#REF!</f>
        <v>#REF!</v>
      </c>
      <c r="L1480" s="20" t="str">
        <f t="shared" si="4435"/>
        <v>#REF!</v>
      </c>
    </row>
    <row r="1481">
      <c r="A1481" s="20" t="str">
        <f t="shared" si="1267"/>
        <v>#REF!</v>
      </c>
      <c r="B1481" s="20" t="str">
        <f t="shared" si="1268"/>
        <v>#REF!</v>
      </c>
      <c r="C1481" s="20" t="str">
        <f t="shared" ref="C1481:D1481" si="4436">#REF!</f>
        <v>#REF!</v>
      </c>
      <c r="D1481" s="20" t="str">
        <f t="shared" si="4436"/>
        <v>#REF!</v>
      </c>
      <c r="E1481" s="20" t="str">
        <f t="shared" si="1270"/>
        <v>#REF!</v>
      </c>
      <c r="F1481" s="22" t="str">
        <f t="shared" si="2"/>
        <v>#REF!</v>
      </c>
      <c r="G1481" s="20" t="str">
        <f t="shared" ref="G1481:I1481" si="4437">#REF!</f>
        <v>#REF!</v>
      </c>
      <c r="H1481" s="20" t="str">
        <f t="shared" si="4437"/>
        <v>#REF!</v>
      </c>
      <c r="I1481" s="20" t="str">
        <f t="shared" si="4437"/>
        <v>#REF!</v>
      </c>
      <c r="J1481" s="20" t="str">
        <f t="shared" si="1272"/>
        <v>#REF!</v>
      </c>
      <c r="K1481" s="20" t="str">
        <f t="shared" ref="K1481:L1481" si="4438">#REF!</f>
        <v>#REF!</v>
      </c>
      <c r="L1481" s="20" t="str">
        <f t="shared" si="4438"/>
        <v>#REF!</v>
      </c>
    </row>
    <row r="1482">
      <c r="A1482" s="20" t="str">
        <f t="shared" si="1267"/>
        <v>#REF!</v>
      </c>
      <c r="B1482" s="20" t="str">
        <f t="shared" si="1268"/>
        <v>#REF!</v>
      </c>
      <c r="C1482" s="20" t="str">
        <f t="shared" ref="C1482:D1482" si="4439">#REF!</f>
        <v>#REF!</v>
      </c>
      <c r="D1482" s="20" t="str">
        <f t="shared" si="4439"/>
        <v>#REF!</v>
      </c>
      <c r="E1482" s="20" t="str">
        <f t="shared" si="1270"/>
        <v>#REF!</v>
      </c>
      <c r="F1482" s="22" t="str">
        <f t="shared" si="2"/>
        <v>#REF!</v>
      </c>
      <c r="G1482" s="20" t="str">
        <f t="shared" ref="G1482:I1482" si="4440">#REF!</f>
        <v>#REF!</v>
      </c>
      <c r="H1482" s="20" t="str">
        <f t="shared" si="4440"/>
        <v>#REF!</v>
      </c>
      <c r="I1482" s="20" t="str">
        <f t="shared" si="4440"/>
        <v>#REF!</v>
      </c>
      <c r="J1482" s="20" t="str">
        <f t="shared" si="1272"/>
        <v>#REF!</v>
      </c>
      <c r="K1482" s="20" t="str">
        <f t="shared" ref="K1482:L1482" si="4441">#REF!</f>
        <v>#REF!</v>
      </c>
      <c r="L1482" s="20" t="str">
        <f t="shared" si="4441"/>
        <v>#REF!</v>
      </c>
    </row>
    <row r="1483">
      <c r="A1483" s="20" t="str">
        <f t="shared" si="1267"/>
        <v>#REF!</v>
      </c>
      <c r="B1483" s="20" t="str">
        <f t="shared" si="1268"/>
        <v>#REF!</v>
      </c>
      <c r="C1483" s="20" t="str">
        <f t="shared" ref="C1483:D1483" si="4442">#REF!</f>
        <v>#REF!</v>
      </c>
      <c r="D1483" s="20" t="str">
        <f t="shared" si="4442"/>
        <v>#REF!</v>
      </c>
      <c r="E1483" s="20" t="str">
        <f t="shared" si="1270"/>
        <v>#REF!</v>
      </c>
      <c r="F1483" s="22" t="str">
        <f t="shared" si="2"/>
        <v>#REF!</v>
      </c>
      <c r="G1483" s="20" t="str">
        <f t="shared" ref="G1483:I1483" si="4443">#REF!</f>
        <v>#REF!</v>
      </c>
      <c r="H1483" s="20" t="str">
        <f t="shared" si="4443"/>
        <v>#REF!</v>
      </c>
      <c r="I1483" s="20" t="str">
        <f t="shared" si="4443"/>
        <v>#REF!</v>
      </c>
      <c r="J1483" s="20" t="str">
        <f t="shared" si="1272"/>
        <v>#REF!</v>
      </c>
      <c r="K1483" s="20" t="str">
        <f t="shared" ref="K1483:L1483" si="4444">#REF!</f>
        <v>#REF!</v>
      </c>
      <c r="L1483" s="20" t="str">
        <f t="shared" si="4444"/>
        <v>#REF!</v>
      </c>
    </row>
    <row r="1484">
      <c r="A1484" s="20" t="str">
        <f t="shared" si="1267"/>
        <v>#REF!</v>
      </c>
      <c r="B1484" s="20" t="str">
        <f t="shared" si="1268"/>
        <v>#REF!</v>
      </c>
      <c r="C1484" s="20" t="str">
        <f t="shared" ref="C1484:D1484" si="4445">#REF!</f>
        <v>#REF!</v>
      </c>
      <c r="D1484" s="20" t="str">
        <f t="shared" si="4445"/>
        <v>#REF!</v>
      </c>
      <c r="E1484" s="20" t="str">
        <f t="shared" si="1270"/>
        <v>#REF!</v>
      </c>
      <c r="F1484" s="22" t="str">
        <f t="shared" si="2"/>
        <v>#REF!</v>
      </c>
      <c r="G1484" s="20" t="str">
        <f t="shared" ref="G1484:I1484" si="4446">#REF!</f>
        <v>#REF!</v>
      </c>
      <c r="H1484" s="20" t="str">
        <f t="shared" si="4446"/>
        <v>#REF!</v>
      </c>
      <c r="I1484" s="20" t="str">
        <f t="shared" si="4446"/>
        <v>#REF!</v>
      </c>
      <c r="J1484" s="20" t="str">
        <f t="shared" si="1272"/>
        <v>#REF!</v>
      </c>
      <c r="K1484" s="20" t="str">
        <f t="shared" ref="K1484:L1484" si="4447">#REF!</f>
        <v>#REF!</v>
      </c>
      <c r="L1484" s="20" t="str">
        <f t="shared" si="4447"/>
        <v>#REF!</v>
      </c>
    </row>
    <row r="1485">
      <c r="A1485" s="20" t="str">
        <f t="shared" si="1267"/>
        <v>#REF!</v>
      </c>
      <c r="B1485" s="20" t="str">
        <f t="shared" si="1268"/>
        <v>#REF!</v>
      </c>
      <c r="C1485" s="20" t="str">
        <f t="shared" ref="C1485:D1485" si="4448">#REF!</f>
        <v>#REF!</v>
      </c>
      <c r="D1485" s="20" t="str">
        <f t="shared" si="4448"/>
        <v>#REF!</v>
      </c>
      <c r="E1485" s="20" t="str">
        <f t="shared" si="1270"/>
        <v>#REF!</v>
      </c>
      <c r="F1485" s="22" t="str">
        <f t="shared" si="2"/>
        <v>#REF!</v>
      </c>
      <c r="G1485" s="20" t="str">
        <f t="shared" ref="G1485:I1485" si="4449">#REF!</f>
        <v>#REF!</v>
      </c>
      <c r="H1485" s="20" t="str">
        <f t="shared" si="4449"/>
        <v>#REF!</v>
      </c>
      <c r="I1485" s="20" t="str">
        <f t="shared" si="4449"/>
        <v>#REF!</v>
      </c>
      <c r="J1485" s="20" t="str">
        <f t="shared" si="1272"/>
        <v>#REF!</v>
      </c>
      <c r="K1485" s="20" t="str">
        <f t="shared" ref="K1485:L1485" si="4450">#REF!</f>
        <v>#REF!</v>
      </c>
      <c r="L1485" s="20" t="str">
        <f t="shared" si="4450"/>
        <v>#REF!</v>
      </c>
    </row>
    <row r="1486">
      <c r="A1486" s="20" t="str">
        <f t="shared" si="1267"/>
        <v>#REF!</v>
      </c>
      <c r="B1486" s="20" t="str">
        <f t="shared" si="1268"/>
        <v>#REF!</v>
      </c>
      <c r="C1486" s="20" t="str">
        <f t="shared" ref="C1486:D1486" si="4451">#REF!</f>
        <v>#REF!</v>
      </c>
      <c r="D1486" s="20" t="str">
        <f t="shared" si="4451"/>
        <v>#REF!</v>
      </c>
      <c r="E1486" s="20" t="str">
        <f t="shared" si="1270"/>
        <v>#REF!</v>
      </c>
      <c r="F1486" s="22" t="str">
        <f t="shared" si="2"/>
        <v>#REF!</v>
      </c>
      <c r="G1486" s="20" t="str">
        <f t="shared" ref="G1486:I1486" si="4452">#REF!</f>
        <v>#REF!</v>
      </c>
      <c r="H1486" s="20" t="str">
        <f t="shared" si="4452"/>
        <v>#REF!</v>
      </c>
      <c r="I1486" s="20" t="str">
        <f t="shared" si="4452"/>
        <v>#REF!</v>
      </c>
      <c r="J1486" s="20" t="str">
        <f t="shared" si="1272"/>
        <v>#REF!</v>
      </c>
      <c r="K1486" s="20" t="str">
        <f t="shared" ref="K1486:L1486" si="4453">#REF!</f>
        <v>#REF!</v>
      </c>
      <c r="L1486" s="20" t="str">
        <f t="shared" si="4453"/>
        <v>#REF!</v>
      </c>
    </row>
    <row r="1487">
      <c r="A1487" s="20" t="str">
        <f t="shared" si="1267"/>
        <v>#REF!</v>
      </c>
      <c r="B1487" s="20" t="str">
        <f t="shared" si="1268"/>
        <v>#REF!</v>
      </c>
      <c r="C1487" s="20" t="str">
        <f t="shared" ref="C1487:D1487" si="4454">#REF!</f>
        <v>#REF!</v>
      </c>
      <c r="D1487" s="20" t="str">
        <f t="shared" si="4454"/>
        <v>#REF!</v>
      </c>
      <c r="E1487" s="20" t="str">
        <f t="shared" si="1270"/>
        <v>#REF!</v>
      </c>
      <c r="F1487" s="22" t="str">
        <f t="shared" si="2"/>
        <v>#REF!</v>
      </c>
      <c r="G1487" s="20" t="str">
        <f t="shared" ref="G1487:I1487" si="4455">#REF!</f>
        <v>#REF!</v>
      </c>
      <c r="H1487" s="20" t="str">
        <f t="shared" si="4455"/>
        <v>#REF!</v>
      </c>
      <c r="I1487" s="20" t="str">
        <f t="shared" si="4455"/>
        <v>#REF!</v>
      </c>
      <c r="J1487" s="20" t="str">
        <f t="shared" si="1272"/>
        <v>#REF!</v>
      </c>
      <c r="K1487" s="20" t="str">
        <f t="shared" ref="K1487:L1487" si="4456">#REF!</f>
        <v>#REF!</v>
      </c>
      <c r="L1487" s="20" t="str">
        <f t="shared" si="4456"/>
        <v>#REF!</v>
      </c>
    </row>
    <row r="1488">
      <c r="A1488" s="20" t="str">
        <f t="shared" si="1267"/>
        <v>#REF!</v>
      </c>
      <c r="B1488" s="20" t="str">
        <f t="shared" si="1268"/>
        <v>#REF!</v>
      </c>
      <c r="C1488" s="20" t="str">
        <f t="shared" ref="C1488:D1488" si="4457">#REF!</f>
        <v>#REF!</v>
      </c>
      <c r="D1488" s="20" t="str">
        <f t="shared" si="4457"/>
        <v>#REF!</v>
      </c>
      <c r="E1488" s="20" t="str">
        <f t="shared" si="1270"/>
        <v>#REF!</v>
      </c>
      <c r="F1488" s="22" t="str">
        <f t="shared" si="2"/>
        <v>#REF!</v>
      </c>
      <c r="G1488" s="20" t="str">
        <f t="shared" ref="G1488:I1488" si="4458">#REF!</f>
        <v>#REF!</v>
      </c>
      <c r="H1488" s="20" t="str">
        <f t="shared" si="4458"/>
        <v>#REF!</v>
      </c>
      <c r="I1488" s="20" t="str">
        <f t="shared" si="4458"/>
        <v>#REF!</v>
      </c>
      <c r="J1488" s="20" t="str">
        <f t="shared" si="1272"/>
        <v>#REF!</v>
      </c>
      <c r="K1488" s="20" t="str">
        <f t="shared" ref="K1488:L1488" si="4459">#REF!</f>
        <v>#REF!</v>
      </c>
      <c r="L1488" s="20" t="str">
        <f t="shared" si="4459"/>
        <v>#REF!</v>
      </c>
    </row>
    <row r="1489">
      <c r="A1489" s="20" t="str">
        <f t="shared" si="1267"/>
        <v>#REF!</v>
      </c>
      <c r="B1489" s="20" t="str">
        <f t="shared" si="1268"/>
        <v>#REF!</v>
      </c>
      <c r="C1489" s="20" t="str">
        <f t="shared" ref="C1489:D1489" si="4460">#REF!</f>
        <v>#REF!</v>
      </c>
      <c r="D1489" s="20" t="str">
        <f t="shared" si="4460"/>
        <v>#REF!</v>
      </c>
      <c r="E1489" s="20" t="str">
        <f t="shared" si="1270"/>
        <v>#REF!</v>
      </c>
      <c r="F1489" s="22" t="str">
        <f t="shared" si="2"/>
        <v>#REF!</v>
      </c>
      <c r="G1489" s="20" t="str">
        <f t="shared" ref="G1489:I1489" si="4461">#REF!</f>
        <v>#REF!</v>
      </c>
      <c r="H1489" s="20" t="str">
        <f t="shared" si="4461"/>
        <v>#REF!</v>
      </c>
      <c r="I1489" s="20" t="str">
        <f t="shared" si="4461"/>
        <v>#REF!</v>
      </c>
      <c r="J1489" s="20" t="str">
        <f t="shared" si="1272"/>
        <v>#REF!</v>
      </c>
      <c r="K1489" s="20" t="str">
        <f t="shared" ref="K1489:L1489" si="4462">#REF!</f>
        <v>#REF!</v>
      </c>
      <c r="L1489" s="20" t="str">
        <f t="shared" si="4462"/>
        <v>#REF!</v>
      </c>
    </row>
    <row r="1490">
      <c r="A1490" s="20" t="str">
        <f t="shared" si="1267"/>
        <v>#REF!</v>
      </c>
      <c r="B1490" s="20" t="str">
        <f t="shared" si="1268"/>
        <v>#REF!</v>
      </c>
      <c r="C1490" s="20" t="str">
        <f t="shared" ref="C1490:D1490" si="4463">#REF!</f>
        <v>#REF!</v>
      </c>
      <c r="D1490" s="20" t="str">
        <f t="shared" si="4463"/>
        <v>#REF!</v>
      </c>
      <c r="E1490" s="20" t="str">
        <f t="shared" si="1270"/>
        <v>#REF!</v>
      </c>
      <c r="F1490" s="22" t="str">
        <f t="shared" si="2"/>
        <v>#REF!</v>
      </c>
      <c r="G1490" s="20" t="str">
        <f t="shared" ref="G1490:I1490" si="4464">#REF!</f>
        <v>#REF!</v>
      </c>
      <c r="H1490" s="20" t="str">
        <f t="shared" si="4464"/>
        <v>#REF!</v>
      </c>
      <c r="I1490" s="20" t="str">
        <f t="shared" si="4464"/>
        <v>#REF!</v>
      </c>
      <c r="J1490" s="20" t="str">
        <f t="shared" si="1272"/>
        <v>#REF!</v>
      </c>
      <c r="K1490" s="20" t="str">
        <f t="shared" ref="K1490:L1490" si="4465">#REF!</f>
        <v>#REF!</v>
      </c>
      <c r="L1490" s="20" t="str">
        <f t="shared" si="4465"/>
        <v>#REF!</v>
      </c>
    </row>
    <row r="1491">
      <c r="A1491" s="20" t="str">
        <f t="shared" si="1267"/>
        <v>#REF!</v>
      </c>
      <c r="B1491" s="20" t="str">
        <f t="shared" si="1268"/>
        <v>#REF!</v>
      </c>
      <c r="C1491" s="20" t="str">
        <f t="shared" ref="C1491:D1491" si="4466">#REF!</f>
        <v>#REF!</v>
      </c>
      <c r="D1491" s="20" t="str">
        <f t="shared" si="4466"/>
        <v>#REF!</v>
      </c>
      <c r="E1491" s="20" t="str">
        <f t="shared" si="1270"/>
        <v>#REF!</v>
      </c>
      <c r="F1491" s="22" t="str">
        <f t="shared" si="2"/>
        <v>#REF!</v>
      </c>
      <c r="G1491" s="20" t="str">
        <f t="shared" ref="G1491:I1491" si="4467">#REF!</f>
        <v>#REF!</v>
      </c>
      <c r="H1491" s="20" t="str">
        <f t="shared" si="4467"/>
        <v>#REF!</v>
      </c>
      <c r="I1491" s="20" t="str">
        <f t="shared" si="4467"/>
        <v>#REF!</v>
      </c>
      <c r="J1491" s="20" t="str">
        <f t="shared" si="1272"/>
        <v>#REF!</v>
      </c>
      <c r="K1491" s="20" t="str">
        <f t="shared" ref="K1491:L1491" si="4468">#REF!</f>
        <v>#REF!</v>
      </c>
      <c r="L1491" s="20" t="str">
        <f t="shared" si="4468"/>
        <v>#REF!</v>
      </c>
    </row>
    <row r="1492">
      <c r="A1492" s="20" t="str">
        <f t="shared" si="1267"/>
        <v>#REF!</v>
      </c>
      <c r="B1492" s="20" t="str">
        <f t="shared" si="1268"/>
        <v>#REF!</v>
      </c>
      <c r="C1492" s="20" t="str">
        <f t="shared" ref="C1492:D1492" si="4469">#REF!</f>
        <v>#REF!</v>
      </c>
      <c r="D1492" s="20" t="str">
        <f t="shared" si="4469"/>
        <v>#REF!</v>
      </c>
      <c r="E1492" s="20" t="str">
        <f t="shared" si="1270"/>
        <v>#REF!</v>
      </c>
      <c r="F1492" s="22" t="str">
        <f t="shared" si="2"/>
        <v>#REF!</v>
      </c>
      <c r="G1492" s="20" t="str">
        <f t="shared" ref="G1492:I1492" si="4470">#REF!</f>
        <v>#REF!</v>
      </c>
      <c r="H1492" s="20" t="str">
        <f t="shared" si="4470"/>
        <v>#REF!</v>
      </c>
      <c r="I1492" s="20" t="str">
        <f t="shared" si="4470"/>
        <v>#REF!</v>
      </c>
      <c r="J1492" s="20" t="str">
        <f t="shared" si="1272"/>
        <v>#REF!</v>
      </c>
      <c r="K1492" s="20" t="str">
        <f t="shared" ref="K1492:L1492" si="4471">#REF!</f>
        <v>#REF!</v>
      </c>
      <c r="L1492" s="20" t="str">
        <f t="shared" si="4471"/>
        <v>#REF!</v>
      </c>
    </row>
    <row r="1493">
      <c r="A1493" s="20" t="str">
        <f t="shared" si="1267"/>
        <v>#REF!</v>
      </c>
      <c r="B1493" s="20" t="str">
        <f t="shared" si="1268"/>
        <v>#REF!</v>
      </c>
      <c r="C1493" s="20" t="str">
        <f t="shared" ref="C1493:D1493" si="4472">#REF!</f>
        <v>#REF!</v>
      </c>
      <c r="D1493" s="20" t="str">
        <f t="shared" si="4472"/>
        <v>#REF!</v>
      </c>
      <c r="E1493" s="20" t="str">
        <f t="shared" si="1270"/>
        <v>#REF!</v>
      </c>
      <c r="F1493" s="22" t="str">
        <f t="shared" si="2"/>
        <v>#REF!</v>
      </c>
      <c r="G1493" s="20" t="str">
        <f t="shared" ref="G1493:I1493" si="4473">#REF!</f>
        <v>#REF!</v>
      </c>
      <c r="H1493" s="20" t="str">
        <f t="shared" si="4473"/>
        <v>#REF!</v>
      </c>
      <c r="I1493" s="20" t="str">
        <f t="shared" si="4473"/>
        <v>#REF!</v>
      </c>
      <c r="J1493" s="20" t="str">
        <f t="shared" si="1272"/>
        <v>#REF!</v>
      </c>
      <c r="K1493" s="20" t="str">
        <f t="shared" ref="K1493:L1493" si="4474">#REF!</f>
        <v>#REF!</v>
      </c>
      <c r="L1493" s="20" t="str">
        <f t="shared" si="4474"/>
        <v>#REF!</v>
      </c>
    </row>
    <row r="1494">
      <c r="A1494" s="20" t="str">
        <f t="shared" si="1267"/>
        <v>#REF!</v>
      </c>
      <c r="B1494" s="20" t="str">
        <f t="shared" si="1268"/>
        <v>#REF!</v>
      </c>
      <c r="C1494" s="20" t="str">
        <f t="shared" ref="C1494:D1494" si="4475">#REF!</f>
        <v>#REF!</v>
      </c>
      <c r="D1494" s="20" t="str">
        <f t="shared" si="4475"/>
        <v>#REF!</v>
      </c>
      <c r="E1494" s="20" t="str">
        <f t="shared" si="1270"/>
        <v>#REF!</v>
      </c>
      <c r="F1494" s="22" t="str">
        <f t="shared" si="2"/>
        <v>#REF!</v>
      </c>
      <c r="G1494" s="20" t="str">
        <f t="shared" ref="G1494:I1494" si="4476">#REF!</f>
        <v>#REF!</v>
      </c>
      <c r="H1494" s="20" t="str">
        <f t="shared" si="4476"/>
        <v>#REF!</v>
      </c>
      <c r="I1494" s="20" t="str">
        <f t="shared" si="4476"/>
        <v>#REF!</v>
      </c>
      <c r="J1494" s="20" t="str">
        <f t="shared" si="1272"/>
        <v>#REF!</v>
      </c>
      <c r="K1494" s="20" t="str">
        <f t="shared" ref="K1494:L1494" si="4477">#REF!</f>
        <v>#REF!</v>
      </c>
      <c r="L1494" s="20" t="str">
        <f t="shared" si="4477"/>
        <v>#REF!</v>
      </c>
    </row>
    <row r="1495">
      <c r="A1495" s="20" t="str">
        <f t="shared" si="1267"/>
        <v>#REF!</v>
      </c>
      <c r="B1495" s="20" t="str">
        <f t="shared" si="1268"/>
        <v>#REF!</v>
      </c>
      <c r="C1495" s="20" t="str">
        <f t="shared" ref="C1495:D1495" si="4478">#REF!</f>
        <v>#REF!</v>
      </c>
      <c r="D1495" s="20" t="str">
        <f t="shared" si="4478"/>
        <v>#REF!</v>
      </c>
      <c r="E1495" s="20" t="str">
        <f t="shared" si="1270"/>
        <v>#REF!</v>
      </c>
      <c r="F1495" s="22" t="str">
        <f t="shared" si="2"/>
        <v>#REF!</v>
      </c>
      <c r="G1495" s="20" t="str">
        <f t="shared" ref="G1495:I1495" si="4479">#REF!</f>
        <v>#REF!</v>
      </c>
      <c r="H1495" s="20" t="str">
        <f t="shared" si="4479"/>
        <v>#REF!</v>
      </c>
      <c r="I1495" s="20" t="str">
        <f t="shared" si="4479"/>
        <v>#REF!</v>
      </c>
      <c r="J1495" s="20" t="str">
        <f t="shared" si="1272"/>
        <v>#REF!</v>
      </c>
      <c r="K1495" s="20" t="str">
        <f t="shared" ref="K1495:L1495" si="4480">#REF!</f>
        <v>#REF!</v>
      </c>
      <c r="L1495" s="20" t="str">
        <f t="shared" si="4480"/>
        <v>#REF!</v>
      </c>
    </row>
    <row r="1496">
      <c r="A1496" s="20" t="str">
        <f t="shared" si="1267"/>
        <v>#REF!</v>
      </c>
      <c r="B1496" s="20" t="str">
        <f t="shared" si="1268"/>
        <v>#REF!</v>
      </c>
      <c r="C1496" s="20" t="str">
        <f t="shared" ref="C1496:D1496" si="4481">#REF!</f>
        <v>#REF!</v>
      </c>
      <c r="D1496" s="20" t="str">
        <f t="shared" si="4481"/>
        <v>#REF!</v>
      </c>
      <c r="E1496" s="20" t="str">
        <f t="shared" si="1270"/>
        <v>#REF!</v>
      </c>
      <c r="F1496" s="22" t="str">
        <f t="shared" si="2"/>
        <v>#REF!</v>
      </c>
      <c r="G1496" s="20" t="str">
        <f t="shared" ref="G1496:I1496" si="4482">#REF!</f>
        <v>#REF!</v>
      </c>
      <c r="H1496" s="20" t="str">
        <f t="shared" si="4482"/>
        <v>#REF!</v>
      </c>
      <c r="I1496" s="20" t="str">
        <f t="shared" si="4482"/>
        <v>#REF!</v>
      </c>
      <c r="J1496" s="20" t="str">
        <f t="shared" si="1272"/>
        <v>#REF!</v>
      </c>
      <c r="K1496" s="20" t="str">
        <f t="shared" ref="K1496:L1496" si="4483">#REF!</f>
        <v>#REF!</v>
      </c>
      <c r="L1496" s="20" t="str">
        <f t="shared" si="4483"/>
        <v>#REF!</v>
      </c>
    </row>
    <row r="1497">
      <c r="A1497" s="20" t="str">
        <f t="shared" si="1267"/>
        <v>#REF!</v>
      </c>
      <c r="B1497" s="20" t="str">
        <f t="shared" si="1268"/>
        <v>#REF!</v>
      </c>
      <c r="C1497" s="20" t="str">
        <f t="shared" ref="C1497:D1497" si="4484">#REF!</f>
        <v>#REF!</v>
      </c>
      <c r="D1497" s="20" t="str">
        <f t="shared" si="4484"/>
        <v>#REF!</v>
      </c>
      <c r="E1497" s="20" t="str">
        <f t="shared" si="1270"/>
        <v>#REF!</v>
      </c>
      <c r="F1497" s="22" t="str">
        <f t="shared" si="2"/>
        <v>#REF!</v>
      </c>
      <c r="G1497" s="20" t="str">
        <f t="shared" ref="G1497:I1497" si="4485">#REF!</f>
        <v>#REF!</v>
      </c>
      <c r="H1497" s="20" t="str">
        <f t="shared" si="4485"/>
        <v>#REF!</v>
      </c>
      <c r="I1497" s="20" t="str">
        <f t="shared" si="4485"/>
        <v>#REF!</v>
      </c>
      <c r="J1497" s="20" t="str">
        <f t="shared" si="1272"/>
        <v>#REF!</v>
      </c>
      <c r="K1497" s="20" t="str">
        <f t="shared" ref="K1497:L1497" si="4486">#REF!</f>
        <v>#REF!</v>
      </c>
      <c r="L1497" s="20" t="str">
        <f t="shared" si="4486"/>
        <v>#REF!</v>
      </c>
    </row>
    <row r="1498">
      <c r="A1498" s="20" t="str">
        <f t="shared" si="1267"/>
        <v>#REF!</v>
      </c>
      <c r="B1498" s="20" t="str">
        <f t="shared" si="1268"/>
        <v>#REF!</v>
      </c>
      <c r="C1498" s="20" t="str">
        <f t="shared" ref="C1498:D1498" si="4487">#REF!</f>
        <v>#REF!</v>
      </c>
      <c r="D1498" s="20" t="str">
        <f t="shared" si="4487"/>
        <v>#REF!</v>
      </c>
      <c r="E1498" s="20" t="str">
        <f t="shared" si="1270"/>
        <v>#REF!</v>
      </c>
      <c r="F1498" s="22" t="str">
        <f t="shared" si="2"/>
        <v>#REF!</v>
      </c>
      <c r="G1498" s="20" t="str">
        <f t="shared" ref="G1498:I1498" si="4488">#REF!</f>
        <v>#REF!</v>
      </c>
      <c r="H1498" s="20" t="str">
        <f t="shared" si="4488"/>
        <v>#REF!</v>
      </c>
      <c r="I1498" s="20" t="str">
        <f t="shared" si="4488"/>
        <v>#REF!</v>
      </c>
      <c r="J1498" s="20" t="str">
        <f t="shared" si="1272"/>
        <v>#REF!</v>
      </c>
      <c r="K1498" s="20" t="str">
        <f t="shared" ref="K1498:L1498" si="4489">#REF!</f>
        <v>#REF!</v>
      </c>
      <c r="L1498" s="20" t="str">
        <f t="shared" si="4489"/>
        <v>#REF!</v>
      </c>
    </row>
    <row r="1499">
      <c r="A1499" s="20" t="str">
        <f t="shared" si="1267"/>
        <v>#REF!</v>
      </c>
      <c r="B1499" s="20" t="str">
        <f t="shared" si="1268"/>
        <v>#REF!</v>
      </c>
      <c r="C1499" s="20" t="str">
        <f t="shared" ref="C1499:D1499" si="4490">#REF!</f>
        <v>#REF!</v>
      </c>
      <c r="D1499" s="20" t="str">
        <f t="shared" si="4490"/>
        <v>#REF!</v>
      </c>
      <c r="E1499" s="20" t="str">
        <f t="shared" si="1270"/>
        <v>#REF!</v>
      </c>
      <c r="F1499" s="22" t="str">
        <f t="shared" si="2"/>
        <v>#REF!</v>
      </c>
      <c r="G1499" s="20" t="str">
        <f t="shared" ref="G1499:I1499" si="4491">#REF!</f>
        <v>#REF!</v>
      </c>
      <c r="H1499" s="20" t="str">
        <f t="shared" si="4491"/>
        <v>#REF!</v>
      </c>
      <c r="I1499" s="20" t="str">
        <f t="shared" si="4491"/>
        <v>#REF!</v>
      </c>
      <c r="J1499" s="20" t="str">
        <f t="shared" si="1272"/>
        <v>#REF!</v>
      </c>
      <c r="K1499" s="20" t="str">
        <f t="shared" ref="K1499:L1499" si="4492">#REF!</f>
        <v>#REF!</v>
      </c>
      <c r="L1499" s="20" t="str">
        <f t="shared" si="4492"/>
        <v>#REF!</v>
      </c>
    </row>
    <row r="1500">
      <c r="A1500" s="20" t="str">
        <f t="shared" si="1267"/>
        <v>#REF!</v>
      </c>
      <c r="B1500" s="20" t="str">
        <f t="shared" si="1268"/>
        <v>#REF!</v>
      </c>
      <c r="C1500" s="20" t="str">
        <f t="shared" ref="C1500:D1500" si="4493">#REF!</f>
        <v>#REF!</v>
      </c>
      <c r="D1500" s="20" t="str">
        <f t="shared" si="4493"/>
        <v>#REF!</v>
      </c>
      <c r="E1500" s="20" t="str">
        <f t="shared" si="1270"/>
        <v>#REF!</v>
      </c>
      <c r="F1500" s="22" t="str">
        <f t="shared" si="2"/>
        <v>#REF!</v>
      </c>
      <c r="G1500" s="20" t="str">
        <f t="shared" ref="G1500:I1500" si="4494">#REF!</f>
        <v>#REF!</v>
      </c>
      <c r="H1500" s="20" t="str">
        <f t="shared" si="4494"/>
        <v>#REF!</v>
      </c>
      <c r="I1500" s="20" t="str">
        <f t="shared" si="4494"/>
        <v>#REF!</v>
      </c>
      <c r="J1500" s="20" t="str">
        <f t="shared" si="1272"/>
        <v>#REF!</v>
      </c>
      <c r="K1500" s="20" t="str">
        <f t="shared" ref="K1500:L1500" si="4495">#REF!</f>
        <v>#REF!</v>
      </c>
      <c r="L1500" s="20" t="str">
        <f t="shared" si="4495"/>
        <v>#REF!</v>
      </c>
    </row>
    <row r="1501">
      <c r="A1501" s="20" t="str">
        <f t="shared" si="1267"/>
        <v>#REF!</v>
      </c>
      <c r="B1501" s="20" t="str">
        <f t="shared" si="1268"/>
        <v>#REF!</v>
      </c>
      <c r="C1501" s="20" t="str">
        <f t="shared" ref="C1501:D1501" si="4496">#REF!</f>
        <v>#REF!</v>
      </c>
      <c r="D1501" s="20" t="str">
        <f t="shared" si="4496"/>
        <v>#REF!</v>
      </c>
      <c r="E1501" s="20" t="str">
        <f t="shared" si="1270"/>
        <v>#REF!</v>
      </c>
      <c r="F1501" s="22" t="str">
        <f t="shared" si="2"/>
        <v>#REF!</v>
      </c>
      <c r="G1501" s="20" t="str">
        <f t="shared" ref="G1501:I1501" si="4497">#REF!</f>
        <v>#REF!</v>
      </c>
      <c r="H1501" s="20" t="str">
        <f t="shared" si="4497"/>
        <v>#REF!</v>
      </c>
      <c r="I1501" s="20" t="str">
        <f t="shared" si="4497"/>
        <v>#REF!</v>
      </c>
      <c r="J1501" s="20" t="str">
        <f t="shared" si="1272"/>
        <v>#REF!</v>
      </c>
      <c r="K1501" s="20" t="str">
        <f t="shared" ref="K1501:L1501" si="4498">#REF!</f>
        <v>#REF!</v>
      </c>
      <c r="L1501" s="20" t="str">
        <f t="shared" si="4498"/>
        <v>#REF!</v>
      </c>
    </row>
    <row r="1502">
      <c r="A1502" s="20" t="str">
        <f t="shared" si="1267"/>
        <v>#REF!</v>
      </c>
      <c r="B1502" s="20" t="str">
        <f t="shared" si="1268"/>
        <v>#REF!</v>
      </c>
      <c r="C1502" s="20" t="str">
        <f t="shared" ref="C1502:D1502" si="4499">#REF!</f>
        <v>#REF!</v>
      </c>
      <c r="D1502" s="20" t="str">
        <f t="shared" si="4499"/>
        <v>#REF!</v>
      </c>
      <c r="E1502" s="20" t="str">
        <f t="shared" si="1270"/>
        <v>#REF!</v>
      </c>
      <c r="F1502" s="22" t="str">
        <f t="shared" si="2"/>
        <v>#REF!</v>
      </c>
      <c r="G1502" s="20" t="str">
        <f t="shared" ref="G1502:I1502" si="4500">#REF!</f>
        <v>#REF!</v>
      </c>
      <c r="H1502" s="20" t="str">
        <f t="shared" si="4500"/>
        <v>#REF!</v>
      </c>
      <c r="I1502" s="20" t="str">
        <f t="shared" si="4500"/>
        <v>#REF!</v>
      </c>
      <c r="J1502" s="20" t="str">
        <f t="shared" si="1272"/>
        <v>#REF!</v>
      </c>
      <c r="K1502" s="20" t="str">
        <f t="shared" ref="K1502:L1502" si="4501">#REF!</f>
        <v>#REF!</v>
      </c>
      <c r="L1502" s="20" t="str">
        <f t="shared" si="4501"/>
        <v>#REF!</v>
      </c>
    </row>
    <row r="1503">
      <c r="A1503" s="20" t="str">
        <f t="shared" si="1267"/>
        <v>#REF!</v>
      </c>
      <c r="B1503" s="20" t="str">
        <f t="shared" si="1268"/>
        <v>#REF!</v>
      </c>
      <c r="C1503" s="20" t="str">
        <f t="shared" ref="C1503:D1503" si="4502">#REF!</f>
        <v>#REF!</v>
      </c>
      <c r="D1503" s="20" t="str">
        <f t="shared" si="4502"/>
        <v>#REF!</v>
      </c>
      <c r="E1503" s="20" t="str">
        <f t="shared" si="1270"/>
        <v>#REF!</v>
      </c>
      <c r="F1503" s="22" t="str">
        <f t="shared" si="2"/>
        <v>#REF!</v>
      </c>
      <c r="G1503" s="20" t="str">
        <f t="shared" ref="G1503:I1503" si="4503">#REF!</f>
        <v>#REF!</v>
      </c>
      <c r="H1503" s="20" t="str">
        <f t="shared" si="4503"/>
        <v>#REF!</v>
      </c>
      <c r="I1503" s="20" t="str">
        <f t="shared" si="4503"/>
        <v>#REF!</v>
      </c>
      <c r="J1503" s="20" t="str">
        <f t="shared" si="1272"/>
        <v>#REF!</v>
      </c>
      <c r="K1503" s="20" t="str">
        <f t="shared" ref="K1503:L1503" si="4504">#REF!</f>
        <v>#REF!</v>
      </c>
      <c r="L1503" s="20" t="str">
        <f t="shared" si="4504"/>
        <v>#REF!</v>
      </c>
    </row>
    <row r="1504">
      <c r="A1504" s="20" t="str">
        <f t="shared" si="1267"/>
        <v>#REF!</v>
      </c>
      <c r="B1504" s="20" t="str">
        <f t="shared" si="1268"/>
        <v>#REF!</v>
      </c>
      <c r="C1504" s="20" t="str">
        <f t="shared" ref="C1504:D1504" si="4505">#REF!</f>
        <v>#REF!</v>
      </c>
      <c r="D1504" s="20" t="str">
        <f t="shared" si="4505"/>
        <v>#REF!</v>
      </c>
      <c r="E1504" s="20" t="str">
        <f t="shared" si="1270"/>
        <v>#REF!</v>
      </c>
      <c r="F1504" s="22" t="str">
        <f t="shared" si="2"/>
        <v>#REF!</v>
      </c>
      <c r="G1504" s="20" t="str">
        <f t="shared" ref="G1504:I1504" si="4506">#REF!</f>
        <v>#REF!</v>
      </c>
      <c r="H1504" s="20" t="str">
        <f t="shared" si="4506"/>
        <v>#REF!</v>
      </c>
      <c r="I1504" s="20" t="str">
        <f t="shared" si="4506"/>
        <v>#REF!</v>
      </c>
      <c r="J1504" s="20" t="str">
        <f t="shared" si="1272"/>
        <v>#REF!</v>
      </c>
      <c r="K1504" s="20" t="str">
        <f t="shared" ref="K1504:L1504" si="4507">#REF!</f>
        <v>#REF!</v>
      </c>
      <c r="L1504" s="20" t="str">
        <f t="shared" si="4507"/>
        <v>#REF!</v>
      </c>
    </row>
    <row r="1505">
      <c r="A1505" s="20" t="str">
        <f t="shared" si="1267"/>
        <v>#REF!</v>
      </c>
      <c r="B1505" s="20" t="str">
        <f t="shared" si="1268"/>
        <v>#REF!</v>
      </c>
      <c r="C1505" s="20" t="str">
        <f t="shared" ref="C1505:D1505" si="4508">#REF!</f>
        <v>#REF!</v>
      </c>
      <c r="D1505" s="20" t="str">
        <f t="shared" si="4508"/>
        <v>#REF!</v>
      </c>
      <c r="E1505" s="20" t="str">
        <f t="shared" si="1270"/>
        <v>#REF!</v>
      </c>
      <c r="F1505" s="22" t="str">
        <f t="shared" si="2"/>
        <v>#REF!</v>
      </c>
      <c r="G1505" s="20" t="str">
        <f t="shared" ref="G1505:I1505" si="4509">#REF!</f>
        <v>#REF!</v>
      </c>
      <c r="H1505" s="20" t="str">
        <f t="shared" si="4509"/>
        <v>#REF!</v>
      </c>
      <c r="I1505" s="20" t="str">
        <f t="shared" si="4509"/>
        <v>#REF!</v>
      </c>
      <c r="J1505" s="20" t="str">
        <f t="shared" si="1272"/>
        <v>#REF!</v>
      </c>
      <c r="K1505" s="20" t="str">
        <f t="shared" ref="K1505:L1505" si="4510">#REF!</f>
        <v>#REF!</v>
      </c>
      <c r="L1505" s="20" t="str">
        <f t="shared" si="4510"/>
        <v>#REF!</v>
      </c>
    </row>
    <row r="1506">
      <c r="A1506" s="20" t="str">
        <f t="shared" si="1267"/>
        <v>#REF!</v>
      </c>
      <c r="B1506" s="20" t="str">
        <f t="shared" si="1268"/>
        <v>#REF!</v>
      </c>
      <c r="C1506" s="20" t="str">
        <f t="shared" ref="C1506:D1506" si="4511">#REF!</f>
        <v>#REF!</v>
      </c>
      <c r="D1506" s="20" t="str">
        <f t="shared" si="4511"/>
        <v>#REF!</v>
      </c>
      <c r="E1506" s="20" t="str">
        <f t="shared" si="1270"/>
        <v>#REF!</v>
      </c>
      <c r="F1506" s="22" t="str">
        <f t="shared" si="2"/>
        <v>#REF!</v>
      </c>
      <c r="G1506" s="20" t="str">
        <f t="shared" ref="G1506:I1506" si="4512">#REF!</f>
        <v>#REF!</v>
      </c>
      <c r="H1506" s="20" t="str">
        <f t="shared" si="4512"/>
        <v>#REF!</v>
      </c>
      <c r="I1506" s="20" t="str">
        <f t="shared" si="4512"/>
        <v>#REF!</v>
      </c>
      <c r="J1506" s="20" t="str">
        <f t="shared" si="1272"/>
        <v>#REF!</v>
      </c>
      <c r="K1506" s="20" t="str">
        <f t="shared" ref="K1506:L1506" si="4513">#REF!</f>
        <v>#REF!</v>
      </c>
      <c r="L1506" s="20" t="str">
        <f t="shared" si="4513"/>
        <v>#REF!</v>
      </c>
    </row>
    <row r="1507">
      <c r="A1507" s="20" t="str">
        <f t="shared" si="1267"/>
        <v>#REF!</v>
      </c>
      <c r="B1507" s="20" t="str">
        <f t="shared" si="1268"/>
        <v>#REF!</v>
      </c>
      <c r="C1507" s="20" t="str">
        <f t="shared" ref="C1507:D1507" si="4514">#REF!</f>
        <v>#REF!</v>
      </c>
      <c r="D1507" s="20" t="str">
        <f t="shared" si="4514"/>
        <v>#REF!</v>
      </c>
      <c r="E1507" s="20" t="str">
        <f t="shared" si="1270"/>
        <v>#REF!</v>
      </c>
      <c r="F1507" s="22" t="str">
        <f t="shared" si="2"/>
        <v>#REF!</v>
      </c>
      <c r="G1507" s="20" t="str">
        <f t="shared" ref="G1507:I1507" si="4515">#REF!</f>
        <v>#REF!</v>
      </c>
      <c r="H1507" s="20" t="str">
        <f t="shared" si="4515"/>
        <v>#REF!</v>
      </c>
      <c r="I1507" s="20" t="str">
        <f t="shared" si="4515"/>
        <v>#REF!</v>
      </c>
      <c r="J1507" s="20" t="str">
        <f t="shared" si="1272"/>
        <v>#REF!</v>
      </c>
      <c r="K1507" s="20" t="str">
        <f t="shared" ref="K1507:L1507" si="4516">#REF!</f>
        <v>#REF!</v>
      </c>
      <c r="L1507" s="20" t="str">
        <f t="shared" si="4516"/>
        <v>#REF!</v>
      </c>
    </row>
    <row r="1508">
      <c r="A1508" s="20" t="str">
        <f t="shared" si="1267"/>
        <v>#REF!</v>
      </c>
      <c r="B1508" s="20" t="str">
        <f t="shared" si="1268"/>
        <v>#REF!</v>
      </c>
      <c r="C1508" s="20" t="str">
        <f t="shared" ref="C1508:D1508" si="4517">#REF!</f>
        <v>#REF!</v>
      </c>
      <c r="D1508" s="20" t="str">
        <f t="shared" si="4517"/>
        <v>#REF!</v>
      </c>
      <c r="E1508" s="20" t="str">
        <f t="shared" si="1270"/>
        <v>#REF!</v>
      </c>
      <c r="F1508" s="22" t="str">
        <f t="shared" si="2"/>
        <v>#REF!</v>
      </c>
      <c r="G1508" s="20" t="str">
        <f t="shared" ref="G1508:I1508" si="4518">#REF!</f>
        <v>#REF!</v>
      </c>
      <c r="H1508" s="20" t="str">
        <f t="shared" si="4518"/>
        <v>#REF!</v>
      </c>
      <c r="I1508" s="20" t="str">
        <f t="shared" si="4518"/>
        <v>#REF!</v>
      </c>
      <c r="J1508" s="20" t="str">
        <f t="shared" si="1272"/>
        <v>#REF!</v>
      </c>
      <c r="K1508" s="20" t="str">
        <f t="shared" ref="K1508:L1508" si="4519">#REF!</f>
        <v>#REF!</v>
      </c>
      <c r="L1508" s="20" t="str">
        <f t="shared" si="4519"/>
        <v>#REF!</v>
      </c>
    </row>
    <row r="1509">
      <c r="A1509" s="20" t="str">
        <f t="shared" si="1267"/>
        <v>#REF!</v>
      </c>
      <c r="B1509" s="20" t="str">
        <f t="shared" si="1268"/>
        <v>#REF!</v>
      </c>
      <c r="C1509" s="20" t="str">
        <f t="shared" ref="C1509:D1509" si="4520">#REF!</f>
        <v>#REF!</v>
      </c>
      <c r="D1509" s="20" t="str">
        <f t="shared" si="4520"/>
        <v>#REF!</v>
      </c>
      <c r="E1509" s="20" t="str">
        <f t="shared" si="1270"/>
        <v>#REF!</v>
      </c>
      <c r="F1509" s="22" t="str">
        <f t="shared" si="2"/>
        <v>#REF!</v>
      </c>
      <c r="G1509" s="20" t="str">
        <f t="shared" ref="G1509:I1509" si="4521">#REF!</f>
        <v>#REF!</v>
      </c>
      <c r="H1509" s="20" t="str">
        <f t="shared" si="4521"/>
        <v>#REF!</v>
      </c>
      <c r="I1509" s="20" t="str">
        <f t="shared" si="4521"/>
        <v>#REF!</v>
      </c>
      <c r="J1509" s="20" t="str">
        <f t="shared" si="1272"/>
        <v>#REF!</v>
      </c>
      <c r="K1509" s="20" t="str">
        <f t="shared" ref="K1509:L1509" si="4522">#REF!</f>
        <v>#REF!</v>
      </c>
      <c r="L1509" s="20" t="str">
        <f t="shared" si="4522"/>
        <v>#REF!</v>
      </c>
    </row>
    <row r="1510">
      <c r="A1510" s="20" t="str">
        <f t="shared" si="1267"/>
        <v>#REF!</v>
      </c>
      <c r="B1510" s="20" t="str">
        <f t="shared" si="1268"/>
        <v>#REF!</v>
      </c>
      <c r="C1510" s="20" t="str">
        <f t="shared" ref="C1510:D1510" si="4523">#REF!</f>
        <v>#REF!</v>
      </c>
      <c r="D1510" s="20" t="str">
        <f t="shared" si="4523"/>
        <v>#REF!</v>
      </c>
      <c r="E1510" s="20" t="str">
        <f t="shared" si="1270"/>
        <v>#REF!</v>
      </c>
      <c r="F1510" s="22" t="str">
        <f t="shared" si="2"/>
        <v>#REF!</v>
      </c>
      <c r="G1510" s="20" t="str">
        <f t="shared" ref="G1510:I1510" si="4524">#REF!</f>
        <v>#REF!</v>
      </c>
      <c r="H1510" s="20" t="str">
        <f t="shared" si="4524"/>
        <v>#REF!</v>
      </c>
      <c r="I1510" s="20" t="str">
        <f t="shared" si="4524"/>
        <v>#REF!</v>
      </c>
      <c r="J1510" s="20" t="str">
        <f t="shared" si="1272"/>
        <v>#REF!</v>
      </c>
      <c r="K1510" s="20" t="str">
        <f t="shared" ref="K1510:L1510" si="4525">#REF!</f>
        <v>#REF!</v>
      </c>
      <c r="L1510" s="20" t="str">
        <f t="shared" si="4525"/>
        <v>#REF!</v>
      </c>
    </row>
    <row r="1511">
      <c r="A1511" s="20" t="str">
        <f t="shared" si="1267"/>
        <v>#REF!</v>
      </c>
      <c r="B1511" s="20" t="str">
        <f t="shared" si="1268"/>
        <v>#REF!</v>
      </c>
      <c r="C1511" s="20" t="str">
        <f t="shared" ref="C1511:D1511" si="4526">#REF!</f>
        <v>#REF!</v>
      </c>
      <c r="D1511" s="20" t="str">
        <f t="shared" si="4526"/>
        <v>#REF!</v>
      </c>
      <c r="E1511" s="20" t="str">
        <f t="shared" si="1270"/>
        <v>#REF!</v>
      </c>
      <c r="F1511" s="22" t="str">
        <f t="shared" si="2"/>
        <v>#REF!</v>
      </c>
      <c r="G1511" s="20" t="str">
        <f t="shared" ref="G1511:I1511" si="4527">#REF!</f>
        <v>#REF!</v>
      </c>
      <c r="H1511" s="20" t="str">
        <f t="shared" si="4527"/>
        <v>#REF!</v>
      </c>
      <c r="I1511" s="20" t="str">
        <f t="shared" si="4527"/>
        <v>#REF!</v>
      </c>
      <c r="J1511" s="20" t="str">
        <f t="shared" si="1272"/>
        <v>#REF!</v>
      </c>
      <c r="K1511" s="20" t="str">
        <f t="shared" ref="K1511:L1511" si="4528">#REF!</f>
        <v>#REF!</v>
      </c>
      <c r="L1511" s="20" t="str">
        <f t="shared" si="4528"/>
        <v>#REF!</v>
      </c>
    </row>
    <row r="1512">
      <c r="A1512" s="20" t="str">
        <f t="shared" si="1267"/>
        <v>#REF!</v>
      </c>
      <c r="B1512" s="20" t="str">
        <f t="shared" si="1268"/>
        <v>#REF!</v>
      </c>
      <c r="C1512" s="20" t="str">
        <f t="shared" ref="C1512:D1512" si="4529">#REF!</f>
        <v>#REF!</v>
      </c>
      <c r="D1512" s="20" t="str">
        <f t="shared" si="4529"/>
        <v>#REF!</v>
      </c>
      <c r="E1512" s="20" t="str">
        <f t="shared" si="1270"/>
        <v>#REF!</v>
      </c>
      <c r="F1512" s="22" t="str">
        <f t="shared" si="2"/>
        <v>#REF!</v>
      </c>
      <c r="G1512" s="20" t="str">
        <f t="shared" ref="G1512:I1512" si="4530">#REF!</f>
        <v>#REF!</v>
      </c>
      <c r="H1512" s="20" t="str">
        <f t="shared" si="4530"/>
        <v>#REF!</v>
      </c>
      <c r="I1512" s="20" t="str">
        <f t="shared" si="4530"/>
        <v>#REF!</v>
      </c>
      <c r="J1512" s="20" t="str">
        <f t="shared" si="1272"/>
        <v>#REF!</v>
      </c>
      <c r="K1512" s="20" t="str">
        <f t="shared" ref="K1512:L1512" si="4531">#REF!</f>
        <v>#REF!</v>
      </c>
      <c r="L1512" s="20" t="str">
        <f t="shared" si="4531"/>
        <v>#REF!</v>
      </c>
    </row>
    <row r="1513">
      <c r="A1513" s="20" t="str">
        <f t="shared" si="1267"/>
        <v>#REF!</v>
      </c>
      <c r="B1513" s="20" t="str">
        <f t="shared" si="1268"/>
        <v>#REF!</v>
      </c>
      <c r="C1513" s="20" t="str">
        <f t="shared" ref="C1513:D1513" si="4532">#REF!</f>
        <v>#REF!</v>
      </c>
      <c r="D1513" s="20" t="str">
        <f t="shared" si="4532"/>
        <v>#REF!</v>
      </c>
      <c r="E1513" s="20" t="str">
        <f t="shared" si="1270"/>
        <v>#REF!</v>
      </c>
      <c r="F1513" s="22" t="str">
        <f t="shared" si="2"/>
        <v>#REF!</v>
      </c>
      <c r="G1513" s="20" t="str">
        <f t="shared" ref="G1513:I1513" si="4533">#REF!</f>
        <v>#REF!</v>
      </c>
      <c r="H1513" s="20" t="str">
        <f t="shared" si="4533"/>
        <v>#REF!</v>
      </c>
      <c r="I1513" s="20" t="str">
        <f t="shared" si="4533"/>
        <v>#REF!</v>
      </c>
      <c r="J1513" s="20" t="str">
        <f t="shared" si="1272"/>
        <v>#REF!</v>
      </c>
      <c r="K1513" s="20" t="str">
        <f t="shared" ref="K1513:L1513" si="4534">#REF!</f>
        <v>#REF!</v>
      </c>
      <c r="L1513" s="20" t="str">
        <f t="shared" si="4534"/>
        <v>#REF!</v>
      </c>
    </row>
    <row r="1514">
      <c r="A1514" s="20" t="str">
        <f t="shared" si="1267"/>
        <v>#REF!</v>
      </c>
      <c r="B1514" s="20" t="str">
        <f t="shared" si="1268"/>
        <v>#REF!</v>
      </c>
      <c r="C1514" s="20" t="str">
        <f t="shared" ref="C1514:D1514" si="4535">#REF!</f>
        <v>#REF!</v>
      </c>
      <c r="D1514" s="20" t="str">
        <f t="shared" si="4535"/>
        <v>#REF!</v>
      </c>
      <c r="E1514" s="20" t="str">
        <f t="shared" si="1270"/>
        <v>#REF!</v>
      </c>
      <c r="F1514" s="22" t="str">
        <f t="shared" si="2"/>
        <v>#REF!</v>
      </c>
      <c r="G1514" s="20" t="str">
        <f t="shared" ref="G1514:I1514" si="4536">#REF!</f>
        <v>#REF!</v>
      </c>
      <c r="H1514" s="20" t="str">
        <f t="shared" si="4536"/>
        <v>#REF!</v>
      </c>
      <c r="I1514" s="20" t="str">
        <f t="shared" si="4536"/>
        <v>#REF!</v>
      </c>
      <c r="J1514" s="20" t="str">
        <f t="shared" si="1272"/>
        <v>#REF!</v>
      </c>
      <c r="K1514" s="20" t="str">
        <f t="shared" ref="K1514:L1514" si="4537">#REF!</f>
        <v>#REF!</v>
      </c>
      <c r="L1514" s="20" t="str">
        <f t="shared" si="4537"/>
        <v>#REF!</v>
      </c>
    </row>
    <row r="1515">
      <c r="A1515" s="20" t="str">
        <f t="shared" si="1267"/>
        <v>#REF!</v>
      </c>
      <c r="B1515" s="20" t="str">
        <f t="shared" si="1268"/>
        <v>#REF!</v>
      </c>
      <c r="C1515" s="20" t="str">
        <f t="shared" ref="C1515:D1515" si="4538">#REF!</f>
        <v>#REF!</v>
      </c>
      <c r="D1515" s="20" t="str">
        <f t="shared" si="4538"/>
        <v>#REF!</v>
      </c>
      <c r="E1515" s="20" t="str">
        <f t="shared" si="1270"/>
        <v>#REF!</v>
      </c>
      <c r="F1515" s="22" t="str">
        <f t="shared" si="2"/>
        <v>#REF!</v>
      </c>
      <c r="G1515" s="20" t="str">
        <f t="shared" ref="G1515:I1515" si="4539">#REF!</f>
        <v>#REF!</v>
      </c>
      <c r="H1515" s="20" t="str">
        <f t="shared" si="4539"/>
        <v>#REF!</v>
      </c>
      <c r="I1515" s="20" t="str">
        <f t="shared" si="4539"/>
        <v>#REF!</v>
      </c>
      <c r="J1515" s="20" t="str">
        <f t="shared" si="1272"/>
        <v>#REF!</v>
      </c>
      <c r="K1515" s="20" t="str">
        <f t="shared" ref="K1515:L1515" si="4540">#REF!</f>
        <v>#REF!</v>
      </c>
      <c r="L1515" s="20" t="str">
        <f t="shared" si="4540"/>
        <v>#REF!</v>
      </c>
    </row>
    <row r="1516">
      <c r="A1516" s="20" t="str">
        <f t="shared" si="1267"/>
        <v>#REF!</v>
      </c>
      <c r="B1516" s="20" t="str">
        <f t="shared" si="1268"/>
        <v>#REF!</v>
      </c>
      <c r="C1516" s="20" t="str">
        <f t="shared" ref="C1516:D1516" si="4541">#REF!</f>
        <v>#REF!</v>
      </c>
      <c r="D1516" s="20" t="str">
        <f t="shared" si="4541"/>
        <v>#REF!</v>
      </c>
      <c r="E1516" s="20" t="str">
        <f t="shared" si="1270"/>
        <v>#REF!</v>
      </c>
      <c r="F1516" s="22" t="str">
        <f t="shared" si="2"/>
        <v>#REF!</v>
      </c>
      <c r="G1516" s="20" t="str">
        <f t="shared" ref="G1516:I1516" si="4542">#REF!</f>
        <v>#REF!</v>
      </c>
      <c r="H1516" s="20" t="str">
        <f t="shared" si="4542"/>
        <v>#REF!</v>
      </c>
      <c r="I1516" s="20" t="str">
        <f t="shared" si="4542"/>
        <v>#REF!</v>
      </c>
      <c r="J1516" s="20" t="str">
        <f t="shared" si="1272"/>
        <v>#REF!</v>
      </c>
      <c r="K1516" s="20" t="str">
        <f t="shared" ref="K1516:L1516" si="4543">#REF!</f>
        <v>#REF!</v>
      </c>
      <c r="L1516" s="20" t="str">
        <f t="shared" si="4543"/>
        <v>#REF!</v>
      </c>
    </row>
    <row r="1517">
      <c r="A1517" s="20" t="str">
        <f t="shared" si="1267"/>
        <v>#REF!</v>
      </c>
      <c r="B1517" s="20" t="str">
        <f t="shared" si="1268"/>
        <v>#REF!</v>
      </c>
      <c r="C1517" s="20" t="str">
        <f t="shared" ref="C1517:D1517" si="4544">#REF!</f>
        <v>#REF!</v>
      </c>
      <c r="D1517" s="20" t="str">
        <f t="shared" si="4544"/>
        <v>#REF!</v>
      </c>
      <c r="E1517" s="20" t="str">
        <f t="shared" si="1270"/>
        <v>#REF!</v>
      </c>
      <c r="F1517" s="22" t="str">
        <f t="shared" si="2"/>
        <v>#REF!</v>
      </c>
      <c r="G1517" s="20" t="str">
        <f t="shared" ref="G1517:I1517" si="4545">#REF!</f>
        <v>#REF!</v>
      </c>
      <c r="H1517" s="20" t="str">
        <f t="shared" si="4545"/>
        <v>#REF!</v>
      </c>
      <c r="I1517" s="20" t="str">
        <f t="shared" si="4545"/>
        <v>#REF!</v>
      </c>
      <c r="J1517" s="20" t="str">
        <f t="shared" si="1272"/>
        <v>#REF!</v>
      </c>
      <c r="K1517" s="20" t="str">
        <f t="shared" ref="K1517:L1517" si="4546">#REF!</f>
        <v>#REF!</v>
      </c>
      <c r="L1517" s="20" t="str">
        <f t="shared" si="4546"/>
        <v>#REF!</v>
      </c>
    </row>
    <row r="1518">
      <c r="A1518" s="20" t="str">
        <f t="shared" si="1267"/>
        <v>#REF!</v>
      </c>
      <c r="B1518" s="20" t="str">
        <f t="shared" si="1268"/>
        <v>#REF!</v>
      </c>
      <c r="C1518" s="20" t="str">
        <f t="shared" ref="C1518:D1518" si="4547">#REF!</f>
        <v>#REF!</v>
      </c>
      <c r="D1518" s="20" t="str">
        <f t="shared" si="4547"/>
        <v>#REF!</v>
      </c>
      <c r="E1518" s="20" t="str">
        <f t="shared" si="1270"/>
        <v>#REF!</v>
      </c>
      <c r="F1518" s="22" t="str">
        <f t="shared" si="2"/>
        <v>#REF!</v>
      </c>
      <c r="G1518" s="20" t="str">
        <f t="shared" ref="G1518:I1518" si="4548">#REF!</f>
        <v>#REF!</v>
      </c>
      <c r="H1518" s="20" t="str">
        <f t="shared" si="4548"/>
        <v>#REF!</v>
      </c>
      <c r="I1518" s="20" t="str">
        <f t="shared" si="4548"/>
        <v>#REF!</v>
      </c>
      <c r="J1518" s="20" t="str">
        <f t="shared" si="1272"/>
        <v>#REF!</v>
      </c>
      <c r="K1518" s="20" t="str">
        <f t="shared" ref="K1518:L1518" si="4549">#REF!</f>
        <v>#REF!</v>
      </c>
      <c r="L1518" s="20" t="str">
        <f t="shared" si="4549"/>
        <v>#REF!</v>
      </c>
    </row>
    <row r="1519">
      <c r="A1519" s="20" t="str">
        <f t="shared" si="1267"/>
        <v>#REF!</v>
      </c>
      <c r="B1519" s="20" t="str">
        <f t="shared" si="1268"/>
        <v>#REF!</v>
      </c>
      <c r="C1519" s="20" t="str">
        <f t="shared" ref="C1519:D1519" si="4550">#REF!</f>
        <v>#REF!</v>
      </c>
      <c r="D1519" s="20" t="str">
        <f t="shared" si="4550"/>
        <v>#REF!</v>
      </c>
      <c r="E1519" s="20" t="str">
        <f t="shared" si="1270"/>
        <v>#REF!</v>
      </c>
      <c r="F1519" s="22" t="str">
        <f t="shared" si="2"/>
        <v>#REF!</v>
      </c>
      <c r="G1519" s="20" t="str">
        <f t="shared" ref="G1519:I1519" si="4551">#REF!</f>
        <v>#REF!</v>
      </c>
      <c r="H1519" s="20" t="str">
        <f t="shared" si="4551"/>
        <v>#REF!</v>
      </c>
      <c r="I1519" s="20" t="str">
        <f t="shared" si="4551"/>
        <v>#REF!</v>
      </c>
      <c r="J1519" s="20" t="str">
        <f t="shared" si="1272"/>
        <v>#REF!</v>
      </c>
      <c r="K1519" s="20" t="str">
        <f t="shared" ref="K1519:L1519" si="4552">#REF!</f>
        <v>#REF!</v>
      </c>
      <c r="L1519" s="20" t="str">
        <f t="shared" si="4552"/>
        <v>#REF!</v>
      </c>
    </row>
    <row r="1520">
      <c r="A1520" s="20" t="str">
        <f t="shared" si="1267"/>
        <v>#REF!</v>
      </c>
      <c r="B1520" s="20" t="str">
        <f t="shared" si="1268"/>
        <v>#REF!</v>
      </c>
      <c r="C1520" s="20" t="str">
        <f t="shared" ref="C1520:D1520" si="4553">#REF!</f>
        <v>#REF!</v>
      </c>
      <c r="D1520" s="20" t="str">
        <f t="shared" si="4553"/>
        <v>#REF!</v>
      </c>
      <c r="E1520" s="20" t="str">
        <f t="shared" si="1270"/>
        <v>#REF!</v>
      </c>
      <c r="F1520" s="22" t="str">
        <f t="shared" si="2"/>
        <v>#REF!</v>
      </c>
      <c r="G1520" s="20" t="str">
        <f t="shared" ref="G1520:I1520" si="4554">#REF!</f>
        <v>#REF!</v>
      </c>
      <c r="H1520" s="20" t="str">
        <f t="shared" si="4554"/>
        <v>#REF!</v>
      </c>
      <c r="I1520" s="20" t="str">
        <f t="shared" si="4554"/>
        <v>#REF!</v>
      </c>
      <c r="J1520" s="20" t="str">
        <f t="shared" si="1272"/>
        <v>#REF!</v>
      </c>
      <c r="K1520" s="20" t="str">
        <f t="shared" ref="K1520:L1520" si="4555">#REF!</f>
        <v>#REF!</v>
      </c>
      <c r="L1520" s="20" t="str">
        <f t="shared" si="4555"/>
        <v>#REF!</v>
      </c>
    </row>
    <row r="1521">
      <c r="A1521" s="20" t="str">
        <f t="shared" si="1267"/>
        <v>#REF!</v>
      </c>
      <c r="B1521" s="20" t="str">
        <f t="shared" si="1268"/>
        <v>#REF!</v>
      </c>
      <c r="C1521" s="20" t="str">
        <f t="shared" ref="C1521:D1521" si="4556">#REF!</f>
        <v>#REF!</v>
      </c>
      <c r="D1521" s="20" t="str">
        <f t="shared" si="4556"/>
        <v>#REF!</v>
      </c>
      <c r="E1521" s="20" t="str">
        <f t="shared" si="1270"/>
        <v>#REF!</v>
      </c>
      <c r="F1521" s="22" t="str">
        <f t="shared" si="2"/>
        <v>#REF!</v>
      </c>
      <c r="G1521" s="20" t="str">
        <f t="shared" ref="G1521:I1521" si="4557">#REF!</f>
        <v>#REF!</v>
      </c>
      <c r="H1521" s="20" t="str">
        <f t="shared" si="4557"/>
        <v>#REF!</v>
      </c>
      <c r="I1521" s="20" t="str">
        <f t="shared" si="4557"/>
        <v>#REF!</v>
      </c>
      <c r="J1521" s="20" t="str">
        <f t="shared" si="1272"/>
        <v>#REF!</v>
      </c>
      <c r="K1521" s="20" t="str">
        <f t="shared" ref="K1521:L1521" si="4558">#REF!</f>
        <v>#REF!</v>
      </c>
      <c r="L1521" s="20" t="str">
        <f t="shared" si="4558"/>
        <v>#REF!</v>
      </c>
    </row>
    <row r="1522">
      <c r="A1522" s="20" t="str">
        <f t="shared" si="1267"/>
        <v>#REF!</v>
      </c>
      <c r="B1522" s="20" t="str">
        <f t="shared" si="1268"/>
        <v>#REF!</v>
      </c>
      <c r="C1522" s="20" t="str">
        <f t="shared" ref="C1522:D1522" si="4559">#REF!</f>
        <v>#REF!</v>
      </c>
      <c r="D1522" s="20" t="str">
        <f t="shared" si="4559"/>
        <v>#REF!</v>
      </c>
      <c r="E1522" s="20" t="str">
        <f t="shared" si="1270"/>
        <v>#REF!</v>
      </c>
      <c r="F1522" s="22" t="str">
        <f t="shared" si="2"/>
        <v>#REF!</v>
      </c>
      <c r="G1522" s="20" t="str">
        <f t="shared" ref="G1522:I1522" si="4560">#REF!</f>
        <v>#REF!</v>
      </c>
      <c r="H1522" s="20" t="str">
        <f t="shared" si="4560"/>
        <v>#REF!</v>
      </c>
      <c r="I1522" s="20" t="str">
        <f t="shared" si="4560"/>
        <v>#REF!</v>
      </c>
      <c r="J1522" s="20" t="str">
        <f t="shared" si="1272"/>
        <v>#REF!</v>
      </c>
      <c r="K1522" s="20" t="str">
        <f t="shared" ref="K1522:L1522" si="4561">#REF!</f>
        <v>#REF!</v>
      </c>
      <c r="L1522" s="20" t="str">
        <f t="shared" si="4561"/>
        <v>#REF!</v>
      </c>
    </row>
    <row r="1523">
      <c r="A1523" s="20" t="str">
        <f t="shared" si="1267"/>
        <v>#REF!</v>
      </c>
      <c r="B1523" s="20" t="str">
        <f t="shared" si="1268"/>
        <v>#REF!</v>
      </c>
      <c r="C1523" s="20" t="str">
        <f t="shared" ref="C1523:D1523" si="4562">#REF!</f>
        <v>#REF!</v>
      </c>
      <c r="D1523" s="20" t="str">
        <f t="shared" si="4562"/>
        <v>#REF!</v>
      </c>
      <c r="E1523" s="20" t="str">
        <f t="shared" si="1270"/>
        <v>#REF!</v>
      </c>
      <c r="F1523" s="22" t="str">
        <f t="shared" si="2"/>
        <v>#REF!</v>
      </c>
      <c r="G1523" s="20" t="str">
        <f t="shared" ref="G1523:I1523" si="4563">#REF!</f>
        <v>#REF!</v>
      </c>
      <c r="H1523" s="20" t="str">
        <f t="shared" si="4563"/>
        <v>#REF!</v>
      </c>
      <c r="I1523" s="20" t="str">
        <f t="shared" si="4563"/>
        <v>#REF!</v>
      </c>
      <c r="J1523" s="20" t="str">
        <f t="shared" si="1272"/>
        <v>#REF!</v>
      </c>
      <c r="K1523" s="20" t="str">
        <f t="shared" ref="K1523:L1523" si="4564">#REF!</f>
        <v>#REF!</v>
      </c>
      <c r="L1523" s="20" t="str">
        <f t="shared" si="4564"/>
        <v>#REF!</v>
      </c>
    </row>
    <row r="1524">
      <c r="A1524" s="20" t="str">
        <f t="shared" si="1267"/>
        <v>#REF!</v>
      </c>
      <c r="B1524" s="20" t="str">
        <f t="shared" si="1268"/>
        <v>#REF!</v>
      </c>
      <c r="C1524" s="20" t="str">
        <f t="shared" ref="C1524:D1524" si="4565">#REF!</f>
        <v>#REF!</v>
      </c>
      <c r="D1524" s="20" t="str">
        <f t="shared" si="4565"/>
        <v>#REF!</v>
      </c>
      <c r="E1524" s="20" t="str">
        <f t="shared" si="1270"/>
        <v>#REF!</v>
      </c>
      <c r="F1524" s="22" t="str">
        <f t="shared" si="2"/>
        <v>#REF!</v>
      </c>
      <c r="G1524" s="20" t="str">
        <f t="shared" ref="G1524:I1524" si="4566">#REF!</f>
        <v>#REF!</v>
      </c>
      <c r="H1524" s="20" t="str">
        <f t="shared" si="4566"/>
        <v>#REF!</v>
      </c>
      <c r="I1524" s="20" t="str">
        <f t="shared" si="4566"/>
        <v>#REF!</v>
      </c>
      <c r="J1524" s="20" t="str">
        <f t="shared" si="1272"/>
        <v>#REF!</v>
      </c>
      <c r="K1524" s="20" t="str">
        <f t="shared" ref="K1524:L1524" si="4567">#REF!</f>
        <v>#REF!</v>
      </c>
      <c r="L1524" s="20" t="str">
        <f t="shared" si="4567"/>
        <v>#REF!</v>
      </c>
    </row>
    <row r="1525">
      <c r="A1525" s="20" t="str">
        <f t="shared" si="1267"/>
        <v>#REF!</v>
      </c>
      <c r="B1525" s="20" t="str">
        <f t="shared" si="1268"/>
        <v>#REF!</v>
      </c>
      <c r="C1525" s="20" t="str">
        <f t="shared" ref="C1525:D1525" si="4568">#REF!</f>
        <v>#REF!</v>
      </c>
      <c r="D1525" s="20" t="str">
        <f t="shared" si="4568"/>
        <v>#REF!</v>
      </c>
      <c r="E1525" s="20" t="str">
        <f t="shared" si="1270"/>
        <v>#REF!</v>
      </c>
      <c r="F1525" s="22" t="str">
        <f t="shared" si="2"/>
        <v>#REF!</v>
      </c>
      <c r="G1525" s="20" t="str">
        <f t="shared" ref="G1525:I1525" si="4569">#REF!</f>
        <v>#REF!</v>
      </c>
      <c r="H1525" s="20" t="str">
        <f t="shared" si="4569"/>
        <v>#REF!</v>
      </c>
      <c r="I1525" s="20" t="str">
        <f t="shared" si="4569"/>
        <v>#REF!</v>
      </c>
      <c r="J1525" s="20" t="str">
        <f t="shared" si="1272"/>
        <v>#REF!</v>
      </c>
      <c r="K1525" s="20" t="str">
        <f t="shared" ref="K1525:L1525" si="4570">#REF!</f>
        <v>#REF!</v>
      </c>
      <c r="L1525" s="20" t="str">
        <f t="shared" si="4570"/>
        <v>#REF!</v>
      </c>
    </row>
    <row r="1526">
      <c r="A1526" s="20" t="str">
        <f t="shared" si="1267"/>
        <v>#REF!</v>
      </c>
      <c r="B1526" s="20" t="str">
        <f t="shared" si="1268"/>
        <v>#REF!</v>
      </c>
      <c r="C1526" s="20" t="str">
        <f t="shared" ref="C1526:D1526" si="4571">#REF!</f>
        <v>#REF!</v>
      </c>
      <c r="D1526" s="20" t="str">
        <f t="shared" si="4571"/>
        <v>#REF!</v>
      </c>
      <c r="E1526" s="20" t="str">
        <f t="shared" si="1270"/>
        <v>#REF!</v>
      </c>
      <c r="F1526" s="22" t="str">
        <f t="shared" si="2"/>
        <v>#REF!</v>
      </c>
      <c r="G1526" s="20" t="str">
        <f t="shared" ref="G1526:I1526" si="4572">#REF!</f>
        <v>#REF!</v>
      </c>
      <c r="H1526" s="20" t="str">
        <f t="shared" si="4572"/>
        <v>#REF!</v>
      </c>
      <c r="I1526" s="20" t="str">
        <f t="shared" si="4572"/>
        <v>#REF!</v>
      </c>
      <c r="J1526" s="20" t="str">
        <f t="shared" si="1272"/>
        <v>#REF!</v>
      </c>
      <c r="K1526" s="20" t="str">
        <f t="shared" ref="K1526:L1526" si="4573">#REF!</f>
        <v>#REF!</v>
      </c>
      <c r="L1526" s="20" t="str">
        <f t="shared" si="4573"/>
        <v>#REF!</v>
      </c>
    </row>
    <row r="1527">
      <c r="A1527" s="20" t="str">
        <f t="shared" si="1267"/>
        <v>#REF!</v>
      </c>
      <c r="B1527" s="20" t="str">
        <f t="shared" si="1268"/>
        <v>#REF!</v>
      </c>
      <c r="C1527" s="20" t="str">
        <f t="shared" ref="C1527:D1527" si="4574">#REF!</f>
        <v>#REF!</v>
      </c>
      <c r="D1527" s="20" t="str">
        <f t="shared" si="4574"/>
        <v>#REF!</v>
      </c>
      <c r="E1527" s="20" t="str">
        <f t="shared" si="1270"/>
        <v>#REF!</v>
      </c>
      <c r="F1527" s="22" t="str">
        <f t="shared" si="2"/>
        <v>#REF!</v>
      </c>
      <c r="G1527" s="20" t="str">
        <f t="shared" ref="G1527:I1527" si="4575">#REF!</f>
        <v>#REF!</v>
      </c>
      <c r="H1527" s="20" t="str">
        <f t="shared" si="4575"/>
        <v>#REF!</v>
      </c>
      <c r="I1527" s="20" t="str">
        <f t="shared" si="4575"/>
        <v>#REF!</v>
      </c>
      <c r="J1527" s="20" t="str">
        <f t="shared" si="1272"/>
        <v>#REF!</v>
      </c>
      <c r="K1527" s="20" t="str">
        <f t="shared" ref="K1527:L1527" si="4576">#REF!</f>
        <v>#REF!</v>
      </c>
      <c r="L1527" s="20" t="str">
        <f t="shared" si="4576"/>
        <v>#REF!</v>
      </c>
    </row>
    <row r="1528">
      <c r="A1528" s="20" t="str">
        <f t="shared" si="1267"/>
        <v>#REF!</v>
      </c>
      <c r="B1528" s="20" t="str">
        <f t="shared" si="1268"/>
        <v>#REF!</v>
      </c>
      <c r="C1528" s="20" t="str">
        <f t="shared" ref="C1528:D1528" si="4577">#REF!</f>
        <v>#REF!</v>
      </c>
      <c r="D1528" s="20" t="str">
        <f t="shared" si="4577"/>
        <v>#REF!</v>
      </c>
      <c r="E1528" s="20" t="str">
        <f t="shared" si="1270"/>
        <v>#REF!</v>
      </c>
      <c r="F1528" s="22" t="str">
        <f t="shared" si="2"/>
        <v>#REF!</v>
      </c>
      <c r="G1528" s="20" t="str">
        <f t="shared" ref="G1528:I1528" si="4578">#REF!</f>
        <v>#REF!</v>
      </c>
      <c r="H1528" s="20" t="str">
        <f t="shared" si="4578"/>
        <v>#REF!</v>
      </c>
      <c r="I1528" s="20" t="str">
        <f t="shared" si="4578"/>
        <v>#REF!</v>
      </c>
      <c r="J1528" s="20" t="str">
        <f t="shared" si="1272"/>
        <v>#REF!</v>
      </c>
      <c r="K1528" s="20" t="str">
        <f t="shared" ref="K1528:L1528" si="4579">#REF!</f>
        <v>#REF!</v>
      </c>
      <c r="L1528" s="20" t="str">
        <f t="shared" si="4579"/>
        <v>#REF!</v>
      </c>
    </row>
    <row r="1529">
      <c r="A1529" s="20" t="str">
        <f t="shared" si="1267"/>
        <v>#REF!</v>
      </c>
      <c r="B1529" s="20" t="str">
        <f t="shared" si="1268"/>
        <v>#REF!</v>
      </c>
      <c r="C1529" s="20" t="str">
        <f t="shared" ref="C1529:D1529" si="4580">#REF!</f>
        <v>#REF!</v>
      </c>
      <c r="D1529" s="20" t="str">
        <f t="shared" si="4580"/>
        <v>#REF!</v>
      </c>
      <c r="E1529" s="20" t="str">
        <f t="shared" si="1270"/>
        <v>#REF!</v>
      </c>
      <c r="F1529" s="22" t="str">
        <f t="shared" si="2"/>
        <v>#REF!</v>
      </c>
      <c r="G1529" s="20" t="str">
        <f t="shared" ref="G1529:I1529" si="4581">#REF!</f>
        <v>#REF!</v>
      </c>
      <c r="H1529" s="20" t="str">
        <f t="shared" si="4581"/>
        <v>#REF!</v>
      </c>
      <c r="I1529" s="20" t="str">
        <f t="shared" si="4581"/>
        <v>#REF!</v>
      </c>
      <c r="J1529" s="20" t="str">
        <f t="shared" si="1272"/>
        <v>#REF!</v>
      </c>
      <c r="K1529" s="20" t="str">
        <f t="shared" ref="K1529:L1529" si="4582">#REF!</f>
        <v>#REF!</v>
      </c>
      <c r="L1529" s="20" t="str">
        <f t="shared" si="4582"/>
        <v>#REF!</v>
      </c>
    </row>
    <row r="1530">
      <c r="A1530" s="20" t="str">
        <f t="shared" si="1267"/>
        <v>#REF!</v>
      </c>
      <c r="B1530" s="20" t="str">
        <f t="shared" si="1268"/>
        <v>#REF!</v>
      </c>
      <c r="C1530" s="20" t="str">
        <f t="shared" ref="C1530:D1530" si="4583">#REF!</f>
        <v>#REF!</v>
      </c>
      <c r="D1530" s="20" t="str">
        <f t="shared" si="4583"/>
        <v>#REF!</v>
      </c>
      <c r="E1530" s="20" t="str">
        <f t="shared" si="1270"/>
        <v>#REF!</v>
      </c>
      <c r="F1530" s="22" t="str">
        <f t="shared" si="2"/>
        <v>#REF!</v>
      </c>
      <c r="G1530" s="20" t="str">
        <f t="shared" ref="G1530:I1530" si="4584">#REF!</f>
        <v>#REF!</v>
      </c>
      <c r="H1530" s="20" t="str">
        <f t="shared" si="4584"/>
        <v>#REF!</v>
      </c>
      <c r="I1530" s="20" t="str">
        <f t="shared" si="4584"/>
        <v>#REF!</v>
      </c>
      <c r="J1530" s="20" t="str">
        <f t="shared" si="1272"/>
        <v>#REF!</v>
      </c>
      <c r="K1530" s="20" t="str">
        <f t="shared" ref="K1530:L1530" si="4585">#REF!</f>
        <v>#REF!</v>
      </c>
      <c r="L1530" s="20" t="str">
        <f t="shared" si="4585"/>
        <v>#REF!</v>
      </c>
    </row>
    <row r="1531">
      <c r="A1531" s="20" t="str">
        <f t="shared" si="1267"/>
        <v>#REF!</v>
      </c>
      <c r="B1531" s="20" t="str">
        <f t="shared" si="1268"/>
        <v>#REF!</v>
      </c>
      <c r="C1531" s="20" t="str">
        <f t="shared" ref="C1531:D1531" si="4586">#REF!</f>
        <v>#REF!</v>
      </c>
      <c r="D1531" s="20" t="str">
        <f t="shared" si="4586"/>
        <v>#REF!</v>
      </c>
      <c r="E1531" s="20" t="str">
        <f t="shared" si="1270"/>
        <v>#REF!</v>
      </c>
      <c r="F1531" s="22" t="str">
        <f t="shared" si="2"/>
        <v>#REF!</v>
      </c>
      <c r="G1531" s="20" t="str">
        <f t="shared" ref="G1531:I1531" si="4587">#REF!</f>
        <v>#REF!</v>
      </c>
      <c r="H1531" s="20" t="str">
        <f t="shared" si="4587"/>
        <v>#REF!</v>
      </c>
      <c r="I1531" s="20" t="str">
        <f t="shared" si="4587"/>
        <v>#REF!</v>
      </c>
      <c r="J1531" s="20" t="str">
        <f t="shared" si="1272"/>
        <v>#REF!</v>
      </c>
      <c r="K1531" s="20" t="str">
        <f t="shared" ref="K1531:L1531" si="4588">#REF!</f>
        <v>#REF!</v>
      </c>
      <c r="L1531" s="20" t="str">
        <f t="shared" si="4588"/>
        <v>#REF!</v>
      </c>
    </row>
    <row r="1532">
      <c r="A1532" s="20" t="str">
        <f t="shared" si="1267"/>
        <v>#REF!</v>
      </c>
      <c r="B1532" s="20" t="str">
        <f t="shared" si="1268"/>
        <v>#REF!</v>
      </c>
      <c r="C1532" s="20" t="str">
        <f t="shared" ref="C1532:D1532" si="4589">#REF!</f>
        <v>#REF!</v>
      </c>
      <c r="D1532" s="20" t="str">
        <f t="shared" si="4589"/>
        <v>#REF!</v>
      </c>
      <c r="E1532" s="20" t="str">
        <f t="shared" si="1270"/>
        <v>#REF!</v>
      </c>
      <c r="F1532" s="22" t="str">
        <f t="shared" si="2"/>
        <v>#REF!</v>
      </c>
      <c r="G1532" s="20" t="str">
        <f t="shared" ref="G1532:I1532" si="4590">#REF!</f>
        <v>#REF!</v>
      </c>
      <c r="H1532" s="20" t="str">
        <f t="shared" si="4590"/>
        <v>#REF!</v>
      </c>
      <c r="I1532" s="20" t="str">
        <f t="shared" si="4590"/>
        <v>#REF!</v>
      </c>
      <c r="J1532" s="20" t="str">
        <f t="shared" si="1272"/>
        <v>#REF!</v>
      </c>
      <c r="K1532" s="20" t="str">
        <f t="shared" ref="K1532:L1532" si="4591">#REF!</f>
        <v>#REF!</v>
      </c>
      <c r="L1532" s="20" t="str">
        <f t="shared" si="4591"/>
        <v>#REF!</v>
      </c>
    </row>
    <row r="1533">
      <c r="A1533" s="20" t="str">
        <f t="shared" si="1267"/>
        <v>#REF!</v>
      </c>
      <c r="B1533" s="20" t="str">
        <f t="shared" si="1268"/>
        <v>#REF!</v>
      </c>
      <c r="C1533" s="20" t="str">
        <f t="shared" ref="C1533:D1533" si="4592">#REF!</f>
        <v>#REF!</v>
      </c>
      <c r="D1533" s="20" t="str">
        <f t="shared" si="4592"/>
        <v>#REF!</v>
      </c>
      <c r="E1533" s="20" t="str">
        <f t="shared" si="1270"/>
        <v>#REF!</v>
      </c>
      <c r="F1533" s="22" t="str">
        <f t="shared" si="2"/>
        <v>#REF!</v>
      </c>
      <c r="G1533" s="20" t="str">
        <f t="shared" ref="G1533:I1533" si="4593">#REF!</f>
        <v>#REF!</v>
      </c>
      <c r="H1533" s="20" t="str">
        <f t="shared" si="4593"/>
        <v>#REF!</v>
      </c>
      <c r="I1533" s="20" t="str">
        <f t="shared" si="4593"/>
        <v>#REF!</v>
      </c>
      <c r="J1533" s="20" t="str">
        <f t="shared" si="1272"/>
        <v>#REF!</v>
      </c>
      <c r="K1533" s="20" t="str">
        <f t="shared" ref="K1533:L1533" si="4594">#REF!</f>
        <v>#REF!</v>
      </c>
      <c r="L1533" s="20" t="str">
        <f t="shared" si="4594"/>
        <v>#REF!</v>
      </c>
    </row>
    <row r="1534">
      <c r="A1534" s="20" t="str">
        <f t="shared" si="1267"/>
        <v>#REF!</v>
      </c>
      <c r="B1534" s="20" t="str">
        <f t="shared" si="1268"/>
        <v>#REF!</v>
      </c>
      <c r="C1534" s="20" t="str">
        <f t="shared" ref="C1534:D1534" si="4595">#REF!</f>
        <v>#REF!</v>
      </c>
      <c r="D1534" s="20" t="str">
        <f t="shared" si="4595"/>
        <v>#REF!</v>
      </c>
      <c r="E1534" s="20" t="str">
        <f t="shared" si="1270"/>
        <v>#REF!</v>
      </c>
      <c r="F1534" s="22" t="str">
        <f t="shared" si="2"/>
        <v>#REF!</v>
      </c>
      <c r="G1534" s="20" t="str">
        <f t="shared" ref="G1534:I1534" si="4596">#REF!</f>
        <v>#REF!</v>
      </c>
      <c r="H1534" s="20" t="str">
        <f t="shared" si="4596"/>
        <v>#REF!</v>
      </c>
      <c r="I1534" s="20" t="str">
        <f t="shared" si="4596"/>
        <v>#REF!</v>
      </c>
      <c r="J1534" s="20" t="str">
        <f t="shared" si="1272"/>
        <v>#REF!</v>
      </c>
      <c r="K1534" s="20" t="str">
        <f t="shared" ref="K1534:L1534" si="4597">#REF!</f>
        <v>#REF!</v>
      </c>
      <c r="L1534" s="20" t="str">
        <f t="shared" si="4597"/>
        <v>#REF!</v>
      </c>
    </row>
    <row r="1535">
      <c r="A1535" s="20" t="str">
        <f t="shared" si="1267"/>
        <v>#REF!</v>
      </c>
      <c r="B1535" s="20" t="str">
        <f t="shared" si="1268"/>
        <v>#REF!</v>
      </c>
      <c r="C1535" s="20" t="str">
        <f t="shared" ref="C1535:D1535" si="4598">#REF!</f>
        <v>#REF!</v>
      </c>
      <c r="D1535" s="20" t="str">
        <f t="shared" si="4598"/>
        <v>#REF!</v>
      </c>
      <c r="E1535" s="20" t="str">
        <f t="shared" si="1270"/>
        <v>#REF!</v>
      </c>
      <c r="F1535" s="22" t="str">
        <f t="shared" si="2"/>
        <v>#REF!</v>
      </c>
      <c r="G1535" s="20" t="str">
        <f t="shared" ref="G1535:I1535" si="4599">#REF!</f>
        <v>#REF!</v>
      </c>
      <c r="H1535" s="20" t="str">
        <f t="shared" si="4599"/>
        <v>#REF!</v>
      </c>
      <c r="I1535" s="20" t="str">
        <f t="shared" si="4599"/>
        <v>#REF!</v>
      </c>
      <c r="J1535" s="20" t="str">
        <f t="shared" si="1272"/>
        <v>#REF!</v>
      </c>
      <c r="K1535" s="20" t="str">
        <f t="shared" ref="K1535:L1535" si="4600">#REF!</f>
        <v>#REF!</v>
      </c>
      <c r="L1535" s="20" t="str">
        <f t="shared" si="4600"/>
        <v>#REF!</v>
      </c>
    </row>
    <row r="1536">
      <c r="A1536" s="20" t="str">
        <f t="shared" si="1267"/>
        <v>#REF!</v>
      </c>
      <c r="B1536" s="20" t="str">
        <f t="shared" si="1268"/>
        <v>#REF!</v>
      </c>
      <c r="C1536" s="20" t="str">
        <f t="shared" ref="C1536:D1536" si="4601">#REF!</f>
        <v>#REF!</v>
      </c>
      <c r="D1536" s="20" t="str">
        <f t="shared" si="4601"/>
        <v>#REF!</v>
      </c>
      <c r="E1536" s="20" t="str">
        <f t="shared" si="1270"/>
        <v>#REF!</v>
      </c>
      <c r="F1536" s="22" t="str">
        <f t="shared" si="2"/>
        <v>#REF!</v>
      </c>
      <c r="G1536" s="20" t="str">
        <f t="shared" ref="G1536:I1536" si="4602">#REF!</f>
        <v>#REF!</v>
      </c>
      <c r="H1536" s="20" t="str">
        <f t="shared" si="4602"/>
        <v>#REF!</v>
      </c>
      <c r="I1536" s="20" t="str">
        <f t="shared" si="4602"/>
        <v>#REF!</v>
      </c>
      <c r="J1536" s="20" t="str">
        <f t="shared" si="1272"/>
        <v>#REF!</v>
      </c>
      <c r="K1536" s="20" t="str">
        <f t="shared" ref="K1536:L1536" si="4603">#REF!</f>
        <v>#REF!</v>
      </c>
      <c r="L1536" s="20" t="str">
        <f t="shared" si="4603"/>
        <v>#REF!</v>
      </c>
    </row>
    <row r="1537">
      <c r="A1537" s="20" t="str">
        <f t="shared" si="1267"/>
        <v>#REF!</v>
      </c>
      <c r="B1537" s="20" t="str">
        <f t="shared" si="1268"/>
        <v>#REF!</v>
      </c>
      <c r="C1537" s="20" t="str">
        <f t="shared" ref="C1537:D1537" si="4604">#REF!</f>
        <v>#REF!</v>
      </c>
      <c r="D1537" s="20" t="str">
        <f t="shared" si="4604"/>
        <v>#REF!</v>
      </c>
      <c r="E1537" s="20" t="str">
        <f t="shared" si="1270"/>
        <v>#REF!</v>
      </c>
      <c r="F1537" s="22" t="str">
        <f t="shared" si="2"/>
        <v>#REF!</v>
      </c>
      <c r="G1537" s="20" t="str">
        <f t="shared" ref="G1537:I1537" si="4605">#REF!</f>
        <v>#REF!</v>
      </c>
      <c r="H1537" s="20" t="str">
        <f t="shared" si="4605"/>
        <v>#REF!</v>
      </c>
      <c r="I1537" s="20" t="str">
        <f t="shared" si="4605"/>
        <v>#REF!</v>
      </c>
      <c r="J1537" s="20" t="str">
        <f t="shared" si="1272"/>
        <v>#REF!</v>
      </c>
      <c r="K1537" s="20" t="str">
        <f t="shared" ref="K1537:L1537" si="4606">#REF!</f>
        <v>#REF!</v>
      </c>
      <c r="L1537" s="20" t="str">
        <f t="shared" si="4606"/>
        <v>#REF!</v>
      </c>
    </row>
    <row r="1538">
      <c r="A1538" s="20" t="str">
        <f t="shared" si="1267"/>
        <v>#REF!</v>
      </c>
      <c r="B1538" s="20" t="str">
        <f t="shared" si="1268"/>
        <v>#REF!</v>
      </c>
      <c r="C1538" s="20" t="str">
        <f t="shared" ref="C1538:D1538" si="4607">#REF!</f>
        <v>#REF!</v>
      </c>
      <c r="D1538" s="20" t="str">
        <f t="shared" si="4607"/>
        <v>#REF!</v>
      </c>
      <c r="E1538" s="20" t="str">
        <f t="shared" si="1270"/>
        <v>#REF!</v>
      </c>
      <c r="F1538" s="22" t="str">
        <f t="shared" si="2"/>
        <v>#REF!</v>
      </c>
      <c r="G1538" s="20" t="str">
        <f t="shared" ref="G1538:I1538" si="4608">#REF!</f>
        <v>#REF!</v>
      </c>
      <c r="H1538" s="20" t="str">
        <f t="shared" si="4608"/>
        <v>#REF!</v>
      </c>
      <c r="I1538" s="20" t="str">
        <f t="shared" si="4608"/>
        <v>#REF!</v>
      </c>
      <c r="J1538" s="20" t="str">
        <f t="shared" si="1272"/>
        <v>#REF!</v>
      </c>
      <c r="K1538" s="20" t="str">
        <f t="shared" ref="K1538:L1538" si="4609">#REF!</f>
        <v>#REF!</v>
      </c>
      <c r="L1538" s="20" t="str">
        <f t="shared" si="4609"/>
        <v>#REF!</v>
      </c>
    </row>
    <row r="1539">
      <c r="A1539" s="20" t="str">
        <f t="shared" si="1267"/>
        <v>#REF!</v>
      </c>
      <c r="B1539" s="20" t="str">
        <f t="shared" si="1268"/>
        <v>#REF!</v>
      </c>
      <c r="C1539" s="20" t="str">
        <f t="shared" ref="C1539:D1539" si="4610">#REF!</f>
        <v>#REF!</v>
      </c>
      <c r="D1539" s="20" t="str">
        <f t="shared" si="4610"/>
        <v>#REF!</v>
      </c>
      <c r="E1539" s="20" t="str">
        <f t="shared" si="1270"/>
        <v>#REF!</v>
      </c>
      <c r="F1539" s="22" t="str">
        <f t="shared" si="2"/>
        <v>#REF!</v>
      </c>
      <c r="G1539" s="20" t="str">
        <f t="shared" ref="G1539:I1539" si="4611">#REF!</f>
        <v>#REF!</v>
      </c>
      <c r="H1539" s="20" t="str">
        <f t="shared" si="4611"/>
        <v>#REF!</v>
      </c>
      <c r="I1539" s="20" t="str">
        <f t="shared" si="4611"/>
        <v>#REF!</v>
      </c>
      <c r="J1539" s="20" t="str">
        <f t="shared" si="1272"/>
        <v>#REF!</v>
      </c>
      <c r="K1539" s="20" t="str">
        <f t="shared" ref="K1539:L1539" si="4612">#REF!</f>
        <v>#REF!</v>
      </c>
      <c r="L1539" s="20" t="str">
        <f t="shared" si="4612"/>
        <v>#REF!</v>
      </c>
    </row>
    <row r="1540">
      <c r="A1540" s="20" t="str">
        <f t="shared" si="1267"/>
        <v>#REF!</v>
      </c>
      <c r="B1540" s="20" t="str">
        <f t="shared" si="1268"/>
        <v>#REF!</v>
      </c>
      <c r="C1540" s="20" t="str">
        <f t="shared" ref="C1540:D1540" si="4613">#REF!</f>
        <v>#REF!</v>
      </c>
      <c r="D1540" s="20" t="str">
        <f t="shared" si="4613"/>
        <v>#REF!</v>
      </c>
      <c r="E1540" s="20" t="str">
        <f t="shared" si="1270"/>
        <v>#REF!</v>
      </c>
      <c r="F1540" s="22" t="str">
        <f t="shared" si="2"/>
        <v>#REF!</v>
      </c>
      <c r="G1540" s="20" t="str">
        <f t="shared" ref="G1540:I1540" si="4614">#REF!</f>
        <v>#REF!</v>
      </c>
      <c r="H1540" s="20" t="str">
        <f t="shared" si="4614"/>
        <v>#REF!</v>
      </c>
      <c r="I1540" s="20" t="str">
        <f t="shared" si="4614"/>
        <v>#REF!</v>
      </c>
      <c r="J1540" s="20" t="str">
        <f t="shared" si="1272"/>
        <v>#REF!</v>
      </c>
      <c r="K1540" s="20" t="str">
        <f t="shared" ref="K1540:L1540" si="4615">#REF!</f>
        <v>#REF!</v>
      </c>
      <c r="L1540" s="20" t="str">
        <f t="shared" si="4615"/>
        <v>#REF!</v>
      </c>
    </row>
    <row r="1541">
      <c r="A1541" s="20" t="str">
        <f t="shared" si="1267"/>
        <v>#REF!</v>
      </c>
      <c r="B1541" s="20" t="str">
        <f t="shared" si="1268"/>
        <v>#REF!</v>
      </c>
      <c r="C1541" s="20" t="str">
        <f t="shared" ref="C1541:D1541" si="4616">#REF!</f>
        <v>#REF!</v>
      </c>
      <c r="D1541" s="20" t="str">
        <f t="shared" si="4616"/>
        <v>#REF!</v>
      </c>
      <c r="E1541" s="20" t="str">
        <f t="shared" si="1270"/>
        <v>#REF!</v>
      </c>
      <c r="F1541" s="22" t="str">
        <f t="shared" si="2"/>
        <v>#REF!</v>
      </c>
      <c r="G1541" s="20" t="str">
        <f t="shared" ref="G1541:I1541" si="4617">#REF!</f>
        <v>#REF!</v>
      </c>
      <c r="H1541" s="20" t="str">
        <f t="shared" si="4617"/>
        <v>#REF!</v>
      </c>
      <c r="I1541" s="20" t="str">
        <f t="shared" si="4617"/>
        <v>#REF!</v>
      </c>
      <c r="J1541" s="20" t="str">
        <f t="shared" si="1272"/>
        <v>#REF!</v>
      </c>
      <c r="K1541" s="20" t="str">
        <f t="shared" ref="K1541:L1541" si="4618">#REF!</f>
        <v>#REF!</v>
      </c>
      <c r="L1541" s="20" t="str">
        <f t="shared" si="4618"/>
        <v>#REF!</v>
      </c>
    </row>
    <row r="1542">
      <c r="A1542" s="20" t="str">
        <f t="shared" si="1267"/>
        <v>#REF!</v>
      </c>
      <c r="B1542" s="20" t="str">
        <f t="shared" si="1268"/>
        <v>#REF!</v>
      </c>
      <c r="C1542" s="20" t="str">
        <f t="shared" ref="C1542:D1542" si="4619">#REF!</f>
        <v>#REF!</v>
      </c>
      <c r="D1542" s="20" t="str">
        <f t="shared" si="4619"/>
        <v>#REF!</v>
      </c>
      <c r="E1542" s="20" t="str">
        <f t="shared" si="1270"/>
        <v>#REF!</v>
      </c>
      <c r="F1542" s="22" t="str">
        <f t="shared" si="2"/>
        <v>#REF!</v>
      </c>
      <c r="G1542" s="20" t="str">
        <f t="shared" ref="G1542:I1542" si="4620">#REF!</f>
        <v>#REF!</v>
      </c>
      <c r="H1542" s="20" t="str">
        <f t="shared" si="4620"/>
        <v>#REF!</v>
      </c>
      <c r="I1542" s="20" t="str">
        <f t="shared" si="4620"/>
        <v>#REF!</v>
      </c>
      <c r="J1542" s="20" t="str">
        <f t="shared" si="1272"/>
        <v>#REF!</v>
      </c>
      <c r="K1542" s="20" t="str">
        <f t="shared" ref="K1542:L1542" si="4621">#REF!</f>
        <v>#REF!</v>
      </c>
      <c r="L1542" s="20" t="str">
        <f t="shared" si="4621"/>
        <v>#REF!</v>
      </c>
    </row>
    <row r="1543">
      <c r="A1543" s="20" t="str">
        <f t="shared" si="1267"/>
        <v>#REF!</v>
      </c>
      <c r="B1543" s="20" t="str">
        <f t="shared" si="1268"/>
        <v>#REF!</v>
      </c>
      <c r="C1543" s="20" t="str">
        <f t="shared" ref="C1543:D1543" si="4622">#REF!</f>
        <v>#REF!</v>
      </c>
      <c r="D1543" s="20" t="str">
        <f t="shared" si="4622"/>
        <v>#REF!</v>
      </c>
      <c r="E1543" s="20" t="str">
        <f t="shared" si="1270"/>
        <v>#REF!</v>
      </c>
      <c r="F1543" s="22" t="str">
        <f t="shared" si="2"/>
        <v>#REF!</v>
      </c>
      <c r="G1543" s="20" t="str">
        <f t="shared" ref="G1543:I1543" si="4623">#REF!</f>
        <v>#REF!</v>
      </c>
      <c r="H1543" s="20" t="str">
        <f t="shared" si="4623"/>
        <v>#REF!</v>
      </c>
      <c r="I1543" s="20" t="str">
        <f t="shared" si="4623"/>
        <v>#REF!</v>
      </c>
      <c r="J1543" s="20" t="str">
        <f t="shared" si="1272"/>
        <v>#REF!</v>
      </c>
      <c r="K1543" s="20" t="str">
        <f t="shared" ref="K1543:L1543" si="4624">#REF!</f>
        <v>#REF!</v>
      </c>
      <c r="L1543" s="20" t="str">
        <f t="shared" si="4624"/>
        <v>#REF!</v>
      </c>
    </row>
    <row r="1544">
      <c r="A1544" s="20" t="str">
        <f t="shared" si="1267"/>
        <v>#REF!</v>
      </c>
      <c r="B1544" s="20" t="str">
        <f t="shared" si="1268"/>
        <v>#REF!</v>
      </c>
      <c r="C1544" s="20" t="str">
        <f t="shared" ref="C1544:D1544" si="4625">#REF!</f>
        <v>#REF!</v>
      </c>
      <c r="D1544" s="20" t="str">
        <f t="shared" si="4625"/>
        <v>#REF!</v>
      </c>
      <c r="E1544" s="20" t="str">
        <f t="shared" si="1270"/>
        <v>#REF!</v>
      </c>
      <c r="F1544" s="22" t="str">
        <f t="shared" si="2"/>
        <v>#REF!</v>
      </c>
      <c r="G1544" s="20" t="str">
        <f t="shared" ref="G1544:I1544" si="4626">#REF!</f>
        <v>#REF!</v>
      </c>
      <c r="H1544" s="20" t="str">
        <f t="shared" si="4626"/>
        <v>#REF!</v>
      </c>
      <c r="I1544" s="20" t="str">
        <f t="shared" si="4626"/>
        <v>#REF!</v>
      </c>
      <c r="J1544" s="20" t="str">
        <f t="shared" si="1272"/>
        <v>#REF!</v>
      </c>
      <c r="K1544" s="20" t="str">
        <f t="shared" ref="K1544:L1544" si="4627">#REF!</f>
        <v>#REF!</v>
      </c>
      <c r="L1544" s="20" t="str">
        <f t="shared" si="4627"/>
        <v>#REF!</v>
      </c>
    </row>
    <row r="1545">
      <c r="A1545" s="20" t="str">
        <f t="shared" si="1267"/>
        <v>#REF!</v>
      </c>
      <c r="B1545" s="20" t="str">
        <f t="shared" si="1268"/>
        <v>#REF!</v>
      </c>
      <c r="C1545" s="20" t="str">
        <f t="shared" ref="C1545:D1545" si="4628">#REF!</f>
        <v>#REF!</v>
      </c>
      <c r="D1545" s="20" t="str">
        <f t="shared" si="4628"/>
        <v>#REF!</v>
      </c>
      <c r="E1545" s="20" t="str">
        <f t="shared" si="1270"/>
        <v>#REF!</v>
      </c>
      <c r="F1545" s="22" t="str">
        <f t="shared" si="2"/>
        <v>#REF!</v>
      </c>
      <c r="G1545" s="20" t="str">
        <f t="shared" ref="G1545:I1545" si="4629">#REF!</f>
        <v>#REF!</v>
      </c>
      <c r="H1545" s="20" t="str">
        <f t="shared" si="4629"/>
        <v>#REF!</v>
      </c>
      <c r="I1545" s="20" t="str">
        <f t="shared" si="4629"/>
        <v>#REF!</v>
      </c>
      <c r="J1545" s="20" t="str">
        <f t="shared" si="1272"/>
        <v>#REF!</v>
      </c>
      <c r="K1545" s="20" t="str">
        <f t="shared" ref="K1545:L1545" si="4630">#REF!</f>
        <v>#REF!</v>
      </c>
      <c r="L1545" s="20" t="str">
        <f t="shared" si="4630"/>
        <v>#REF!</v>
      </c>
    </row>
    <row r="1546">
      <c r="A1546" s="20" t="str">
        <f t="shared" si="1267"/>
        <v>#REF!</v>
      </c>
      <c r="B1546" s="20" t="str">
        <f t="shared" si="1268"/>
        <v>#REF!</v>
      </c>
      <c r="C1546" s="20" t="str">
        <f t="shared" ref="C1546:D1546" si="4631">#REF!</f>
        <v>#REF!</v>
      </c>
      <c r="D1546" s="20" t="str">
        <f t="shared" si="4631"/>
        <v>#REF!</v>
      </c>
      <c r="E1546" s="20" t="str">
        <f t="shared" si="1270"/>
        <v>#REF!</v>
      </c>
      <c r="F1546" s="22" t="str">
        <f t="shared" si="2"/>
        <v>#REF!</v>
      </c>
      <c r="G1546" s="20" t="str">
        <f t="shared" ref="G1546:I1546" si="4632">#REF!</f>
        <v>#REF!</v>
      </c>
      <c r="H1546" s="20" t="str">
        <f t="shared" si="4632"/>
        <v>#REF!</v>
      </c>
      <c r="I1546" s="20" t="str">
        <f t="shared" si="4632"/>
        <v>#REF!</v>
      </c>
      <c r="J1546" s="20" t="str">
        <f t="shared" si="1272"/>
        <v>#REF!</v>
      </c>
      <c r="K1546" s="20" t="str">
        <f t="shared" ref="K1546:L1546" si="4633">#REF!</f>
        <v>#REF!</v>
      </c>
      <c r="L1546" s="20" t="str">
        <f t="shared" si="4633"/>
        <v>#REF!</v>
      </c>
    </row>
    <row r="1547">
      <c r="A1547" s="20" t="str">
        <f t="shared" si="1267"/>
        <v>#REF!</v>
      </c>
      <c r="B1547" s="20" t="str">
        <f t="shared" si="1268"/>
        <v>#REF!</v>
      </c>
      <c r="C1547" s="20" t="str">
        <f t="shared" ref="C1547:D1547" si="4634">#REF!</f>
        <v>#REF!</v>
      </c>
      <c r="D1547" s="20" t="str">
        <f t="shared" si="4634"/>
        <v>#REF!</v>
      </c>
      <c r="E1547" s="20" t="str">
        <f t="shared" si="1270"/>
        <v>#REF!</v>
      </c>
      <c r="F1547" s="22" t="str">
        <f t="shared" si="2"/>
        <v>#REF!</v>
      </c>
      <c r="G1547" s="20" t="str">
        <f t="shared" ref="G1547:I1547" si="4635">#REF!</f>
        <v>#REF!</v>
      </c>
      <c r="H1547" s="20" t="str">
        <f t="shared" si="4635"/>
        <v>#REF!</v>
      </c>
      <c r="I1547" s="20" t="str">
        <f t="shared" si="4635"/>
        <v>#REF!</v>
      </c>
      <c r="J1547" s="20" t="str">
        <f t="shared" si="1272"/>
        <v>#REF!</v>
      </c>
      <c r="K1547" s="20" t="str">
        <f t="shared" ref="K1547:L1547" si="4636">#REF!</f>
        <v>#REF!</v>
      </c>
      <c r="L1547" s="20" t="str">
        <f t="shared" si="4636"/>
        <v>#REF!</v>
      </c>
    </row>
    <row r="1548">
      <c r="A1548" s="20" t="str">
        <f t="shared" si="1267"/>
        <v>#REF!</v>
      </c>
      <c r="B1548" s="20" t="str">
        <f t="shared" si="1268"/>
        <v>#REF!</v>
      </c>
      <c r="C1548" s="20" t="str">
        <f t="shared" ref="C1548:D1548" si="4637">#REF!</f>
        <v>#REF!</v>
      </c>
      <c r="D1548" s="20" t="str">
        <f t="shared" si="4637"/>
        <v>#REF!</v>
      </c>
      <c r="E1548" s="20" t="str">
        <f t="shared" si="1270"/>
        <v>#REF!</v>
      </c>
      <c r="F1548" s="22" t="str">
        <f t="shared" si="2"/>
        <v>#REF!</v>
      </c>
      <c r="G1548" s="20" t="str">
        <f t="shared" ref="G1548:I1548" si="4638">#REF!</f>
        <v>#REF!</v>
      </c>
      <c r="H1548" s="20" t="str">
        <f t="shared" si="4638"/>
        <v>#REF!</v>
      </c>
      <c r="I1548" s="20" t="str">
        <f t="shared" si="4638"/>
        <v>#REF!</v>
      </c>
      <c r="J1548" s="20" t="str">
        <f t="shared" si="1272"/>
        <v>#REF!</v>
      </c>
      <c r="K1548" s="20" t="str">
        <f t="shared" ref="K1548:L1548" si="4639">#REF!</f>
        <v>#REF!</v>
      </c>
      <c r="L1548" s="20" t="str">
        <f t="shared" si="4639"/>
        <v>#REF!</v>
      </c>
    </row>
    <row r="1549">
      <c r="A1549" s="20" t="str">
        <f t="shared" si="1267"/>
        <v>#REF!</v>
      </c>
      <c r="B1549" s="20" t="str">
        <f t="shared" si="1268"/>
        <v>#REF!</v>
      </c>
      <c r="C1549" s="20" t="str">
        <f t="shared" ref="C1549:D1549" si="4640">#REF!</f>
        <v>#REF!</v>
      </c>
      <c r="D1549" s="20" t="str">
        <f t="shared" si="4640"/>
        <v>#REF!</v>
      </c>
      <c r="E1549" s="20" t="str">
        <f t="shared" si="1270"/>
        <v>#REF!</v>
      </c>
      <c r="F1549" s="22" t="str">
        <f t="shared" si="2"/>
        <v>#REF!</v>
      </c>
      <c r="G1549" s="20" t="str">
        <f t="shared" ref="G1549:I1549" si="4641">#REF!</f>
        <v>#REF!</v>
      </c>
      <c r="H1549" s="20" t="str">
        <f t="shared" si="4641"/>
        <v>#REF!</v>
      </c>
      <c r="I1549" s="20" t="str">
        <f t="shared" si="4641"/>
        <v>#REF!</v>
      </c>
      <c r="J1549" s="20" t="str">
        <f t="shared" si="1272"/>
        <v>#REF!</v>
      </c>
      <c r="K1549" s="20" t="str">
        <f t="shared" ref="K1549:L1549" si="4642">#REF!</f>
        <v>#REF!</v>
      </c>
      <c r="L1549" s="20" t="str">
        <f t="shared" si="4642"/>
        <v>#REF!</v>
      </c>
    </row>
    <row r="1550">
      <c r="A1550" s="20" t="str">
        <f t="shared" si="1267"/>
        <v>#REF!</v>
      </c>
      <c r="B1550" s="20" t="str">
        <f t="shared" si="1268"/>
        <v>#REF!</v>
      </c>
      <c r="C1550" s="20" t="str">
        <f t="shared" ref="C1550:D1550" si="4643">#REF!</f>
        <v>#REF!</v>
      </c>
      <c r="D1550" s="20" t="str">
        <f t="shared" si="4643"/>
        <v>#REF!</v>
      </c>
      <c r="E1550" s="20" t="str">
        <f t="shared" si="1270"/>
        <v>#REF!</v>
      </c>
      <c r="F1550" s="22" t="str">
        <f t="shared" si="2"/>
        <v>#REF!</v>
      </c>
      <c r="G1550" s="20" t="str">
        <f t="shared" ref="G1550:I1550" si="4644">#REF!</f>
        <v>#REF!</v>
      </c>
      <c r="H1550" s="20" t="str">
        <f t="shared" si="4644"/>
        <v>#REF!</v>
      </c>
      <c r="I1550" s="20" t="str">
        <f t="shared" si="4644"/>
        <v>#REF!</v>
      </c>
      <c r="J1550" s="20" t="str">
        <f t="shared" si="1272"/>
        <v>#REF!</v>
      </c>
      <c r="K1550" s="20" t="str">
        <f t="shared" ref="K1550:L1550" si="4645">#REF!</f>
        <v>#REF!</v>
      </c>
      <c r="L1550" s="20" t="str">
        <f t="shared" si="4645"/>
        <v>#REF!</v>
      </c>
    </row>
    <row r="1551">
      <c r="A1551" s="20" t="str">
        <f t="shared" si="1267"/>
        <v>#REF!</v>
      </c>
      <c r="B1551" s="20" t="str">
        <f t="shared" si="1268"/>
        <v>#REF!</v>
      </c>
      <c r="C1551" s="20" t="str">
        <f t="shared" ref="C1551:D1551" si="4646">#REF!</f>
        <v>#REF!</v>
      </c>
      <c r="D1551" s="20" t="str">
        <f t="shared" si="4646"/>
        <v>#REF!</v>
      </c>
      <c r="E1551" s="20" t="str">
        <f t="shared" si="1270"/>
        <v>#REF!</v>
      </c>
      <c r="F1551" s="22" t="str">
        <f t="shared" si="2"/>
        <v>#REF!</v>
      </c>
      <c r="G1551" s="20" t="str">
        <f t="shared" ref="G1551:I1551" si="4647">#REF!</f>
        <v>#REF!</v>
      </c>
      <c r="H1551" s="20" t="str">
        <f t="shared" si="4647"/>
        <v>#REF!</v>
      </c>
      <c r="I1551" s="20" t="str">
        <f t="shared" si="4647"/>
        <v>#REF!</v>
      </c>
      <c r="J1551" s="20" t="str">
        <f t="shared" si="1272"/>
        <v>#REF!</v>
      </c>
      <c r="K1551" s="20" t="str">
        <f t="shared" ref="K1551:L1551" si="4648">#REF!</f>
        <v>#REF!</v>
      </c>
      <c r="L1551" s="20" t="str">
        <f t="shared" si="4648"/>
        <v>#REF!</v>
      </c>
    </row>
    <row r="1552">
      <c r="A1552" s="20" t="str">
        <f t="shared" si="1267"/>
        <v>#REF!</v>
      </c>
      <c r="B1552" s="20" t="str">
        <f t="shared" si="1268"/>
        <v>#REF!</v>
      </c>
      <c r="C1552" s="20" t="str">
        <f t="shared" ref="C1552:D1552" si="4649">#REF!</f>
        <v>#REF!</v>
      </c>
      <c r="D1552" s="20" t="str">
        <f t="shared" si="4649"/>
        <v>#REF!</v>
      </c>
      <c r="E1552" s="20" t="str">
        <f t="shared" si="1270"/>
        <v>#REF!</v>
      </c>
      <c r="F1552" s="22" t="str">
        <f t="shared" si="2"/>
        <v>#REF!</v>
      </c>
      <c r="G1552" s="20" t="str">
        <f t="shared" ref="G1552:I1552" si="4650">#REF!</f>
        <v>#REF!</v>
      </c>
      <c r="H1552" s="20" t="str">
        <f t="shared" si="4650"/>
        <v>#REF!</v>
      </c>
      <c r="I1552" s="20" t="str">
        <f t="shared" si="4650"/>
        <v>#REF!</v>
      </c>
      <c r="J1552" s="20" t="str">
        <f t="shared" si="1272"/>
        <v>#REF!</v>
      </c>
      <c r="K1552" s="20" t="str">
        <f t="shared" ref="K1552:L1552" si="4651">#REF!</f>
        <v>#REF!</v>
      </c>
      <c r="L1552" s="20" t="str">
        <f t="shared" si="4651"/>
        <v>#REF!</v>
      </c>
    </row>
    <row r="1553">
      <c r="A1553" s="20" t="str">
        <f t="shared" si="1267"/>
        <v>#REF!</v>
      </c>
      <c r="B1553" s="20" t="str">
        <f t="shared" si="1268"/>
        <v>#REF!</v>
      </c>
      <c r="C1553" s="20" t="str">
        <f t="shared" ref="C1553:D1553" si="4652">#REF!</f>
        <v>#REF!</v>
      </c>
      <c r="D1553" s="20" t="str">
        <f t="shared" si="4652"/>
        <v>#REF!</v>
      </c>
      <c r="E1553" s="20" t="str">
        <f t="shared" si="1270"/>
        <v>#REF!</v>
      </c>
      <c r="F1553" s="22" t="str">
        <f t="shared" si="2"/>
        <v>#REF!</v>
      </c>
      <c r="G1553" s="20" t="str">
        <f t="shared" ref="G1553:I1553" si="4653">#REF!</f>
        <v>#REF!</v>
      </c>
      <c r="H1553" s="20" t="str">
        <f t="shared" si="4653"/>
        <v>#REF!</v>
      </c>
      <c r="I1553" s="20" t="str">
        <f t="shared" si="4653"/>
        <v>#REF!</v>
      </c>
      <c r="J1553" s="20" t="str">
        <f t="shared" si="1272"/>
        <v>#REF!</v>
      </c>
      <c r="K1553" s="20" t="str">
        <f t="shared" ref="K1553:L1553" si="4654">#REF!</f>
        <v>#REF!</v>
      </c>
      <c r="L1553" s="20" t="str">
        <f t="shared" si="4654"/>
        <v>#REF!</v>
      </c>
    </row>
    <row r="1554">
      <c r="A1554" s="20" t="str">
        <f t="shared" si="1267"/>
        <v>#REF!</v>
      </c>
      <c r="B1554" s="20" t="str">
        <f t="shared" si="1268"/>
        <v>#REF!</v>
      </c>
      <c r="C1554" s="20" t="str">
        <f t="shared" ref="C1554:D1554" si="4655">#REF!</f>
        <v>#REF!</v>
      </c>
      <c r="D1554" s="20" t="str">
        <f t="shared" si="4655"/>
        <v>#REF!</v>
      </c>
      <c r="E1554" s="20" t="str">
        <f t="shared" si="1270"/>
        <v>#REF!</v>
      </c>
      <c r="F1554" s="22" t="str">
        <f t="shared" si="2"/>
        <v>#REF!</v>
      </c>
      <c r="G1554" s="20" t="str">
        <f t="shared" ref="G1554:I1554" si="4656">#REF!</f>
        <v>#REF!</v>
      </c>
      <c r="H1554" s="20" t="str">
        <f t="shared" si="4656"/>
        <v>#REF!</v>
      </c>
      <c r="I1554" s="20" t="str">
        <f t="shared" si="4656"/>
        <v>#REF!</v>
      </c>
      <c r="J1554" s="20" t="str">
        <f t="shared" si="1272"/>
        <v>#REF!</v>
      </c>
      <c r="K1554" s="20" t="str">
        <f t="shared" ref="K1554:L1554" si="4657">#REF!</f>
        <v>#REF!</v>
      </c>
      <c r="L1554" s="20" t="str">
        <f t="shared" si="4657"/>
        <v>#REF!</v>
      </c>
    </row>
    <row r="1555">
      <c r="A1555" s="20" t="str">
        <f t="shared" si="1267"/>
        <v>#REF!</v>
      </c>
      <c r="B1555" s="20" t="str">
        <f t="shared" si="1268"/>
        <v>#REF!</v>
      </c>
      <c r="C1555" s="20" t="str">
        <f t="shared" ref="C1555:D1555" si="4658">#REF!</f>
        <v>#REF!</v>
      </c>
      <c r="D1555" s="20" t="str">
        <f t="shared" si="4658"/>
        <v>#REF!</v>
      </c>
      <c r="E1555" s="20" t="str">
        <f t="shared" si="1270"/>
        <v>#REF!</v>
      </c>
      <c r="F1555" s="22" t="str">
        <f t="shared" si="2"/>
        <v>#REF!</v>
      </c>
      <c r="G1555" s="20" t="str">
        <f t="shared" ref="G1555:I1555" si="4659">#REF!</f>
        <v>#REF!</v>
      </c>
      <c r="H1555" s="20" t="str">
        <f t="shared" si="4659"/>
        <v>#REF!</v>
      </c>
      <c r="I1555" s="20" t="str">
        <f t="shared" si="4659"/>
        <v>#REF!</v>
      </c>
      <c r="J1555" s="20" t="str">
        <f t="shared" si="1272"/>
        <v>#REF!</v>
      </c>
      <c r="K1555" s="20" t="str">
        <f t="shared" ref="K1555:L1555" si="4660">#REF!</f>
        <v>#REF!</v>
      </c>
      <c r="L1555" s="20" t="str">
        <f t="shared" si="4660"/>
        <v>#REF!</v>
      </c>
    </row>
    <row r="1556">
      <c r="A1556" s="20" t="str">
        <f t="shared" si="1267"/>
        <v>#REF!</v>
      </c>
      <c r="B1556" s="20" t="str">
        <f t="shared" si="1268"/>
        <v>#REF!</v>
      </c>
      <c r="C1556" s="20" t="str">
        <f t="shared" ref="C1556:D1556" si="4661">#REF!</f>
        <v>#REF!</v>
      </c>
      <c r="D1556" s="20" t="str">
        <f t="shared" si="4661"/>
        <v>#REF!</v>
      </c>
      <c r="E1556" s="20" t="str">
        <f t="shared" si="1270"/>
        <v>#REF!</v>
      </c>
      <c r="F1556" s="22" t="str">
        <f t="shared" si="2"/>
        <v>#REF!</v>
      </c>
      <c r="G1556" s="20" t="str">
        <f t="shared" ref="G1556:I1556" si="4662">#REF!</f>
        <v>#REF!</v>
      </c>
      <c r="H1556" s="20" t="str">
        <f t="shared" si="4662"/>
        <v>#REF!</v>
      </c>
      <c r="I1556" s="20" t="str">
        <f t="shared" si="4662"/>
        <v>#REF!</v>
      </c>
      <c r="J1556" s="20" t="str">
        <f t="shared" si="1272"/>
        <v>#REF!</v>
      </c>
      <c r="K1556" s="20" t="str">
        <f t="shared" ref="K1556:L1556" si="4663">#REF!</f>
        <v>#REF!</v>
      </c>
      <c r="L1556" s="20" t="str">
        <f t="shared" si="4663"/>
        <v>#REF!</v>
      </c>
    </row>
    <row r="1557">
      <c r="A1557" s="20" t="str">
        <f t="shared" si="1267"/>
        <v>#REF!</v>
      </c>
      <c r="B1557" s="20" t="str">
        <f t="shared" si="1268"/>
        <v>#REF!</v>
      </c>
      <c r="C1557" s="20" t="str">
        <f t="shared" ref="C1557:D1557" si="4664">#REF!</f>
        <v>#REF!</v>
      </c>
      <c r="D1557" s="20" t="str">
        <f t="shared" si="4664"/>
        <v>#REF!</v>
      </c>
      <c r="E1557" s="20" t="str">
        <f t="shared" si="1270"/>
        <v>#REF!</v>
      </c>
      <c r="F1557" s="22" t="str">
        <f t="shared" si="2"/>
        <v>#REF!</v>
      </c>
      <c r="G1557" s="20" t="str">
        <f t="shared" ref="G1557:I1557" si="4665">#REF!</f>
        <v>#REF!</v>
      </c>
      <c r="H1557" s="20" t="str">
        <f t="shared" si="4665"/>
        <v>#REF!</v>
      </c>
      <c r="I1557" s="20" t="str">
        <f t="shared" si="4665"/>
        <v>#REF!</v>
      </c>
      <c r="J1557" s="20" t="str">
        <f t="shared" si="1272"/>
        <v>#REF!</v>
      </c>
      <c r="K1557" s="20" t="str">
        <f t="shared" ref="K1557:L1557" si="4666">#REF!</f>
        <v>#REF!</v>
      </c>
      <c r="L1557" s="20" t="str">
        <f t="shared" si="4666"/>
        <v>#REF!</v>
      </c>
    </row>
    <row r="1558">
      <c r="A1558" s="20" t="str">
        <f t="shared" si="1267"/>
        <v>#REF!</v>
      </c>
      <c r="B1558" s="20" t="str">
        <f t="shared" si="1268"/>
        <v>#REF!</v>
      </c>
      <c r="C1558" s="20" t="str">
        <f t="shared" ref="C1558:D1558" si="4667">#REF!</f>
        <v>#REF!</v>
      </c>
      <c r="D1558" s="20" t="str">
        <f t="shared" si="4667"/>
        <v>#REF!</v>
      </c>
      <c r="E1558" s="20" t="str">
        <f t="shared" si="1270"/>
        <v>#REF!</v>
      </c>
      <c r="F1558" s="22" t="str">
        <f t="shared" si="2"/>
        <v>#REF!</v>
      </c>
      <c r="G1558" s="20" t="str">
        <f t="shared" ref="G1558:I1558" si="4668">#REF!</f>
        <v>#REF!</v>
      </c>
      <c r="H1558" s="20" t="str">
        <f t="shared" si="4668"/>
        <v>#REF!</v>
      </c>
      <c r="I1558" s="20" t="str">
        <f t="shared" si="4668"/>
        <v>#REF!</v>
      </c>
      <c r="J1558" s="20" t="str">
        <f t="shared" si="1272"/>
        <v>#REF!</v>
      </c>
      <c r="K1558" s="20" t="str">
        <f t="shared" ref="K1558:L1558" si="4669">#REF!</f>
        <v>#REF!</v>
      </c>
      <c r="L1558" s="20" t="str">
        <f t="shared" si="4669"/>
        <v>#REF!</v>
      </c>
    </row>
    <row r="1559">
      <c r="A1559" s="20" t="str">
        <f t="shared" si="1267"/>
        <v>#REF!</v>
      </c>
      <c r="B1559" s="20" t="str">
        <f t="shared" si="1268"/>
        <v>#REF!</v>
      </c>
      <c r="C1559" s="20" t="str">
        <f t="shared" ref="C1559:D1559" si="4670">#REF!</f>
        <v>#REF!</v>
      </c>
      <c r="D1559" s="20" t="str">
        <f t="shared" si="4670"/>
        <v>#REF!</v>
      </c>
      <c r="E1559" s="20" t="str">
        <f t="shared" si="1270"/>
        <v>#REF!</v>
      </c>
      <c r="F1559" s="22" t="str">
        <f t="shared" si="2"/>
        <v>#REF!</v>
      </c>
      <c r="G1559" s="20" t="str">
        <f t="shared" ref="G1559:I1559" si="4671">#REF!</f>
        <v>#REF!</v>
      </c>
      <c r="H1559" s="20" t="str">
        <f t="shared" si="4671"/>
        <v>#REF!</v>
      </c>
      <c r="I1559" s="20" t="str">
        <f t="shared" si="4671"/>
        <v>#REF!</v>
      </c>
      <c r="J1559" s="20" t="str">
        <f t="shared" si="1272"/>
        <v>#REF!</v>
      </c>
      <c r="K1559" s="20" t="str">
        <f t="shared" ref="K1559:L1559" si="4672">#REF!</f>
        <v>#REF!</v>
      </c>
      <c r="L1559" s="20" t="str">
        <f t="shared" si="4672"/>
        <v>#REF!</v>
      </c>
    </row>
    <row r="1560">
      <c r="A1560" s="20" t="str">
        <f t="shared" si="1267"/>
        <v>#REF!</v>
      </c>
      <c r="B1560" s="20" t="str">
        <f t="shared" si="1268"/>
        <v>#REF!</v>
      </c>
      <c r="C1560" s="20" t="str">
        <f t="shared" ref="C1560:D1560" si="4673">#REF!</f>
        <v>#REF!</v>
      </c>
      <c r="D1560" s="20" t="str">
        <f t="shared" si="4673"/>
        <v>#REF!</v>
      </c>
      <c r="E1560" s="20" t="str">
        <f t="shared" si="1270"/>
        <v>#REF!</v>
      </c>
      <c r="F1560" s="22" t="str">
        <f t="shared" si="2"/>
        <v>#REF!</v>
      </c>
      <c r="G1560" s="20" t="str">
        <f t="shared" ref="G1560:I1560" si="4674">#REF!</f>
        <v>#REF!</v>
      </c>
      <c r="H1560" s="20" t="str">
        <f t="shared" si="4674"/>
        <v>#REF!</v>
      </c>
      <c r="I1560" s="20" t="str">
        <f t="shared" si="4674"/>
        <v>#REF!</v>
      </c>
      <c r="J1560" s="20" t="str">
        <f t="shared" si="1272"/>
        <v>#REF!</v>
      </c>
      <c r="K1560" s="20" t="str">
        <f t="shared" ref="K1560:L1560" si="4675">#REF!</f>
        <v>#REF!</v>
      </c>
      <c r="L1560" s="20" t="str">
        <f t="shared" si="4675"/>
        <v>#REF!</v>
      </c>
    </row>
    <row r="1561">
      <c r="A1561" s="20" t="str">
        <f t="shared" si="1267"/>
        <v>#REF!</v>
      </c>
      <c r="B1561" s="20" t="str">
        <f t="shared" si="1268"/>
        <v>#REF!</v>
      </c>
      <c r="C1561" s="20" t="str">
        <f t="shared" ref="C1561:D1561" si="4676">#REF!</f>
        <v>#REF!</v>
      </c>
      <c r="D1561" s="20" t="str">
        <f t="shared" si="4676"/>
        <v>#REF!</v>
      </c>
      <c r="E1561" s="20" t="str">
        <f t="shared" si="1270"/>
        <v>#REF!</v>
      </c>
      <c r="F1561" s="22" t="str">
        <f t="shared" si="2"/>
        <v>#REF!</v>
      </c>
      <c r="G1561" s="20" t="str">
        <f t="shared" ref="G1561:I1561" si="4677">#REF!</f>
        <v>#REF!</v>
      </c>
      <c r="H1561" s="20" t="str">
        <f t="shared" si="4677"/>
        <v>#REF!</v>
      </c>
      <c r="I1561" s="20" t="str">
        <f t="shared" si="4677"/>
        <v>#REF!</v>
      </c>
      <c r="J1561" s="20" t="str">
        <f t="shared" si="1272"/>
        <v>#REF!</v>
      </c>
      <c r="K1561" s="20" t="str">
        <f t="shared" ref="K1561:L1561" si="4678">#REF!</f>
        <v>#REF!</v>
      </c>
      <c r="L1561" s="20" t="str">
        <f t="shared" si="4678"/>
        <v>#REF!</v>
      </c>
    </row>
    <row r="1562">
      <c r="A1562" s="20" t="str">
        <f t="shared" si="1267"/>
        <v>#REF!</v>
      </c>
      <c r="B1562" s="20" t="str">
        <f t="shared" si="1268"/>
        <v>#REF!</v>
      </c>
      <c r="C1562" s="20" t="str">
        <f t="shared" ref="C1562:D1562" si="4679">#REF!</f>
        <v>#REF!</v>
      </c>
      <c r="D1562" s="20" t="str">
        <f t="shared" si="4679"/>
        <v>#REF!</v>
      </c>
      <c r="E1562" s="20" t="str">
        <f t="shared" si="1270"/>
        <v>#REF!</v>
      </c>
      <c r="F1562" s="22" t="str">
        <f t="shared" si="2"/>
        <v>#REF!</v>
      </c>
      <c r="G1562" s="20" t="str">
        <f t="shared" ref="G1562:I1562" si="4680">#REF!</f>
        <v>#REF!</v>
      </c>
      <c r="H1562" s="20" t="str">
        <f t="shared" si="4680"/>
        <v>#REF!</v>
      </c>
      <c r="I1562" s="20" t="str">
        <f t="shared" si="4680"/>
        <v>#REF!</v>
      </c>
      <c r="J1562" s="20" t="str">
        <f t="shared" si="1272"/>
        <v>#REF!</v>
      </c>
      <c r="K1562" s="20" t="str">
        <f t="shared" ref="K1562:L1562" si="4681">#REF!</f>
        <v>#REF!</v>
      </c>
      <c r="L1562" s="20" t="str">
        <f t="shared" si="4681"/>
        <v>#REF!</v>
      </c>
    </row>
    <row r="1563">
      <c r="A1563" s="20" t="str">
        <f t="shared" si="1267"/>
        <v>#REF!</v>
      </c>
      <c r="B1563" s="20" t="str">
        <f t="shared" si="1268"/>
        <v>#REF!</v>
      </c>
      <c r="C1563" s="20" t="str">
        <f t="shared" ref="C1563:D1563" si="4682">#REF!</f>
        <v>#REF!</v>
      </c>
      <c r="D1563" s="20" t="str">
        <f t="shared" si="4682"/>
        <v>#REF!</v>
      </c>
      <c r="E1563" s="20" t="str">
        <f t="shared" si="1270"/>
        <v>#REF!</v>
      </c>
      <c r="F1563" s="22" t="str">
        <f t="shared" si="2"/>
        <v>#REF!</v>
      </c>
      <c r="G1563" s="20" t="str">
        <f t="shared" ref="G1563:I1563" si="4683">#REF!</f>
        <v>#REF!</v>
      </c>
      <c r="H1563" s="20" t="str">
        <f t="shared" si="4683"/>
        <v>#REF!</v>
      </c>
      <c r="I1563" s="20" t="str">
        <f t="shared" si="4683"/>
        <v>#REF!</v>
      </c>
      <c r="J1563" s="20" t="str">
        <f t="shared" si="1272"/>
        <v>#REF!</v>
      </c>
      <c r="K1563" s="20" t="str">
        <f t="shared" ref="K1563:L1563" si="4684">#REF!</f>
        <v>#REF!</v>
      </c>
      <c r="L1563" s="20" t="str">
        <f t="shared" si="4684"/>
        <v>#REF!</v>
      </c>
    </row>
    <row r="1564">
      <c r="A1564" s="20" t="str">
        <f t="shared" si="1267"/>
        <v>#REF!</v>
      </c>
      <c r="B1564" s="20" t="str">
        <f t="shared" si="1268"/>
        <v>#REF!</v>
      </c>
      <c r="C1564" s="20" t="str">
        <f t="shared" ref="C1564:D1564" si="4685">#REF!</f>
        <v>#REF!</v>
      </c>
      <c r="D1564" s="20" t="str">
        <f t="shared" si="4685"/>
        <v>#REF!</v>
      </c>
      <c r="E1564" s="20" t="str">
        <f t="shared" si="1270"/>
        <v>#REF!</v>
      </c>
      <c r="F1564" s="22" t="str">
        <f t="shared" si="2"/>
        <v>#REF!</v>
      </c>
      <c r="G1564" s="20" t="str">
        <f t="shared" ref="G1564:I1564" si="4686">#REF!</f>
        <v>#REF!</v>
      </c>
      <c r="H1564" s="20" t="str">
        <f t="shared" si="4686"/>
        <v>#REF!</v>
      </c>
      <c r="I1564" s="20" t="str">
        <f t="shared" si="4686"/>
        <v>#REF!</v>
      </c>
      <c r="J1564" s="20" t="str">
        <f t="shared" si="1272"/>
        <v>#REF!</v>
      </c>
      <c r="K1564" s="20" t="str">
        <f t="shared" ref="K1564:L1564" si="4687">#REF!</f>
        <v>#REF!</v>
      </c>
      <c r="L1564" s="20" t="str">
        <f t="shared" si="4687"/>
        <v>#REF!</v>
      </c>
    </row>
    <row r="1565">
      <c r="A1565" s="20" t="str">
        <f t="shared" si="1267"/>
        <v>#REF!</v>
      </c>
      <c r="B1565" s="20" t="str">
        <f t="shared" si="1268"/>
        <v>#REF!</v>
      </c>
      <c r="C1565" s="20" t="str">
        <f t="shared" ref="C1565:D1565" si="4688">#REF!</f>
        <v>#REF!</v>
      </c>
      <c r="D1565" s="20" t="str">
        <f t="shared" si="4688"/>
        <v>#REF!</v>
      </c>
      <c r="E1565" s="20" t="str">
        <f t="shared" si="1270"/>
        <v>#REF!</v>
      </c>
      <c r="F1565" s="22" t="str">
        <f t="shared" si="2"/>
        <v>#REF!</v>
      </c>
      <c r="G1565" s="20" t="str">
        <f t="shared" ref="G1565:I1565" si="4689">#REF!</f>
        <v>#REF!</v>
      </c>
      <c r="H1565" s="20" t="str">
        <f t="shared" si="4689"/>
        <v>#REF!</v>
      </c>
      <c r="I1565" s="20" t="str">
        <f t="shared" si="4689"/>
        <v>#REF!</v>
      </c>
      <c r="J1565" s="20" t="str">
        <f t="shared" si="1272"/>
        <v>#REF!</v>
      </c>
      <c r="K1565" s="20" t="str">
        <f t="shared" ref="K1565:L1565" si="4690">#REF!</f>
        <v>#REF!</v>
      </c>
      <c r="L1565" s="20" t="str">
        <f t="shared" si="4690"/>
        <v>#REF!</v>
      </c>
    </row>
    <row r="1566">
      <c r="A1566" s="20" t="str">
        <f t="shared" si="1267"/>
        <v>#REF!</v>
      </c>
      <c r="B1566" s="20" t="str">
        <f t="shared" si="1268"/>
        <v>#REF!</v>
      </c>
      <c r="C1566" s="20" t="str">
        <f t="shared" ref="C1566:D1566" si="4691">#REF!</f>
        <v>#REF!</v>
      </c>
      <c r="D1566" s="20" t="str">
        <f t="shared" si="4691"/>
        <v>#REF!</v>
      </c>
      <c r="E1566" s="20" t="str">
        <f t="shared" si="1270"/>
        <v>#REF!</v>
      </c>
      <c r="F1566" s="22" t="str">
        <f t="shared" si="2"/>
        <v>#REF!</v>
      </c>
      <c r="G1566" s="20" t="str">
        <f t="shared" ref="G1566:I1566" si="4692">#REF!</f>
        <v>#REF!</v>
      </c>
      <c r="H1566" s="20" t="str">
        <f t="shared" si="4692"/>
        <v>#REF!</v>
      </c>
      <c r="I1566" s="20" t="str">
        <f t="shared" si="4692"/>
        <v>#REF!</v>
      </c>
      <c r="J1566" s="20" t="str">
        <f t="shared" si="1272"/>
        <v>#REF!</v>
      </c>
      <c r="K1566" s="20" t="str">
        <f t="shared" ref="K1566:L1566" si="4693">#REF!</f>
        <v>#REF!</v>
      </c>
      <c r="L1566" s="20" t="str">
        <f t="shared" si="4693"/>
        <v>#REF!</v>
      </c>
    </row>
    <row r="1567">
      <c r="A1567" s="20" t="str">
        <f t="shared" si="1267"/>
        <v>#REF!</v>
      </c>
      <c r="B1567" s="20" t="str">
        <f t="shared" si="1268"/>
        <v>#REF!</v>
      </c>
      <c r="C1567" s="20" t="str">
        <f t="shared" ref="C1567:D1567" si="4694">#REF!</f>
        <v>#REF!</v>
      </c>
      <c r="D1567" s="20" t="str">
        <f t="shared" si="4694"/>
        <v>#REF!</v>
      </c>
      <c r="E1567" s="20" t="str">
        <f t="shared" si="1270"/>
        <v>#REF!</v>
      </c>
      <c r="F1567" s="22" t="str">
        <f t="shared" si="2"/>
        <v>#REF!</v>
      </c>
      <c r="G1567" s="20" t="str">
        <f t="shared" ref="G1567:I1567" si="4695">#REF!</f>
        <v>#REF!</v>
      </c>
      <c r="H1567" s="20" t="str">
        <f t="shared" si="4695"/>
        <v>#REF!</v>
      </c>
      <c r="I1567" s="20" t="str">
        <f t="shared" si="4695"/>
        <v>#REF!</v>
      </c>
      <c r="J1567" s="20" t="str">
        <f t="shared" si="1272"/>
        <v>#REF!</v>
      </c>
      <c r="K1567" s="20" t="str">
        <f t="shared" ref="K1567:L1567" si="4696">#REF!</f>
        <v>#REF!</v>
      </c>
      <c r="L1567" s="20" t="str">
        <f t="shared" si="4696"/>
        <v>#REF!</v>
      </c>
    </row>
    <row r="1568">
      <c r="A1568" s="20" t="str">
        <f t="shared" si="1267"/>
        <v>#REF!</v>
      </c>
      <c r="B1568" s="20" t="str">
        <f t="shared" si="1268"/>
        <v>#REF!</v>
      </c>
      <c r="C1568" s="20" t="str">
        <f t="shared" ref="C1568:D1568" si="4697">#REF!</f>
        <v>#REF!</v>
      </c>
      <c r="D1568" s="20" t="str">
        <f t="shared" si="4697"/>
        <v>#REF!</v>
      </c>
      <c r="E1568" s="20" t="str">
        <f t="shared" si="1270"/>
        <v>#REF!</v>
      </c>
      <c r="F1568" s="22" t="str">
        <f t="shared" si="2"/>
        <v>#REF!</v>
      </c>
      <c r="G1568" s="20" t="str">
        <f t="shared" ref="G1568:I1568" si="4698">#REF!</f>
        <v>#REF!</v>
      </c>
      <c r="H1568" s="20" t="str">
        <f t="shared" si="4698"/>
        <v>#REF!</v>
      </c>
      <c r="I1568" s="20" t="str">
        <f t="shared" si="4698"/>
        <v>#REF!</v>
      </c>
      <c r="J1568" s="20" t="str">
        <f t="shared" si="1272"/>
        <v>#REF!</v>
      </c>
      <c r="K1568" s="20" t="str">
        <f t="shared" ref="K1568:L1568" si="4699">#REF!</f>
        <v>#REF!</v>
      </c>
      <c r="L1568" s="20" t="str">
        <f t="shared" si="4699"/>
        <v>#REF!</v>
      </c>
    </row>
    <row r="1569">
      <c r="A1569" s="20" t="str">
        <f t="shared" si="1267"/>
        <v>#REF!</v>
      </c>
      <c r="B1569" s="20" t="str">
        <f t="shared" si="1268"/>
        <v>#REF!</v>
      </c>
      <c r="C1569" s="20" t="str">
        <f t="shared" ref="C1569:D1569" si="4700">#REF!</f>
        <v>#REF!</v>
      </c>
      <c r="D1569" s="20" t="str">
        <f t="shared" si="4700"/>
        <v>#REF!</v>
      </c>
      <c r="E1569" s="20" t="str">
        <f t="shared" si="1270"/>
        <v>#REF!</v>
      </c>
      <c r="F1569" s="22" t="str">
        <f t="shared" si="2"/>
        <v>#REF!</v>
      </c>
      <c r="G1569" s="20" t="str">
        <f t="shared" ref="G1569:I1569" si="4701">#REF!</f>
        <v>#REF!</v>
      </c>
      <c r="H1569" s="20" t="str">
        <f t="shared" si="4701"/>
        <v>#REF!</v>
      </c>
      <c r="I1569" s="20" t="str">
        <f t="shared" si="4701"/>
        <v>#REF!</v>
      </c>
      <c r="J1569" s="20" t="str">
        <f t="shared" si="1272"/>
        <v>#REF!</v>
      </c>
      <c r="K1569" s="20" t="str">
        <f t="shared" ref="K1569:L1569" si="4702">#REF!</f>
        <v>#REF!</v>
      </c>
      <c r="L1569" s="20" t="str">
        <f t="shared" si="4702"/>
        <v>#REF!</v>
      </c>
    </row>
    <row r="1570">
      <c r="A1570" s="20" t="str">
        <f t="shared" si="1267"/>
        <v>#REF!</v>
      </c>
      <c r="B1570" s="20" t="str">
        <f t="shared" si="1268"/>
        <v>#REF!</v>
      </c>
      <c r="C1570" s="20" t="str">
        <f t="shared" ref="C1570:D1570" si="4703">#REF!</f>
        <v>#REF!</v>
      </c>
      <c r="D1570" s="20" t="str">
        <f t="shared" si="4703"/>
        <v>#REF!</v>
      </c>
      <c r="E1570" s="20" t="str">
        <f t="shared" si="1270"/>
        <v>#REF!</v>
      </c>
      <c r="F1570" s="22" t="str">
        <f t="shared" si="2"/>
        <v>#REF!</v>
      </c>
      <c r="G1570" s="20" t="str">
        <f t="shared" ref="G1570:I1570" si="4704">#REF!</f>
        <v>#REF!</v>
      </c>
      <c r="H1570" s="20" t="str">
        <f t="shared" si="4704"/>
        <v>#REF!</v>
      </c>
      <c r="I1570" s="20" t="str">
        <f t="shared" si="4704"/>
        <v>#REF!</v>
      </c>
      <c r="J1570" s="20" t="str">
        <f t="shared" si="1272"/>
        <v>#REF!</v>
      </c>
      <c r="K1570" s="20" t="str">
        <f t="shared" ref="K1570:L1570" si="4705">#REF!</f>
        <v>#REF!</v>
      </c>
      <c r="L1570" s="20" t="str">
        <f t="shared" si="4705"/>
        <v>#REF!</v>
      </c>
    </row>
    <row r="1571">
      <c r="A1571" s="20" t="str">
        <f t="shared" si="1267"/>
        <v>#REF!</v>
      </c>
      <c r="B1571" s="20" t="str">
        <f t="shared" si="1268"/>
        <v>#REF!</v>
      </c>
      <c r="C1571" s="20" t="str">
        <f t="shared" ref="C1571:D1571" si="4706">#REF!</f>
        <v>#REF!</v>
      </c>
      <c r="D1571" s="20" t="str">
        <f t="shared" si="4706"/>
        <v>#REF!</v>
      </c>
      <c r="E1571" s="20" t="str">
        <f t="shared" si="1270"/>
        <v>#REF!</v>
      </c>
      <c r="F1571" s="22" t="str">
        <f t="shared" si="2"/>
        <v>#REF!</v>
      </c>
      <c r="G1571" s="20" t="str">
        <f t="shared" ref="G1571:I1571" si="4707">#REF!</f>
        <v>#REF!</v>
      </c>
      <c r="H1571" s="20" t="str">
        <f t="shared" si="4707"/>
        <v>#REF!</v>
      </c>
      <c r="I1571" s="20" t="str">
        <f t="shared" si="4707"/>
        <v>#REF!</v>
      </c>
      <c r="J1571" s="20" t="str">
        <f t="shared" si="1272"/>
        <v>#REF!</v>
      </c>
      <c r="K1571" s="20" t="str">
        <f t="shared" ref="K1571:L1571" si="4708">#REF!</f>
        <v>#REF!</v>
      </c>
      <c r="L1571" s="20" t="str">
        <f t="shared" si="4708"/>
        <v>#REF!</v>
      </c>
    </row>
    <row r="1572">
      <c r="A1572" s="20" t="str">
        <f t="shared" si="1267"/>
        <v>#REF!</v>
      </c>
      <c r="B1572" s="20" t="str">
        <f t="shared" si="1268"/>
        <v>#REF!</v>
      </c>
      <c r="C1572" s="20" t="str">
        <f t="shared" ref="C1572:D1572" si="4709">#REF!</f>
        <v>#REF!</v>
      </c>
      <c r="D1572" s="20" t="str">
        <f t="shared" si="4709"/>
        <v>#REF!</v>
      </c>
      <c r="E1572" s="20" t="str">
        <f t="shared" si="1270"/>
        <v>#REF!</v>
      </c>
      <c r="F1572" s="22" t="str">
        <f t="shared" si="2"/>
        <v>#REF!</v>
      </c>
      <c r="G1572" s="20" t="str">
        <f t="shared" ref="G1572:I1572" si="4710">#REF!</f>
        <v>#REF!</v>
      </c>
      <c r="H1572" s="20" t="str">
        <f t="shared" si="4710"/>
        <v>#REF!</v>
      </c>
      <c r="I1572" s="20" t="str">
        <f t="shared" si="4710"/>
        <v>#REF!</v>
      </c>
      <c r="J1572" s="20" t="str">
        <f t="shared" si="1272"/>
        <v>#REF!</v>
      </c>
      <c r="K1572" s="20" t="str">
        <f t="shared" ref="K1572:L1572" si="4711">#REF!</f>
        <v>#REF!</v>
      </c>
      <c r="L1572" s="20" t="str">
        <f t="shared" si="4711"/>
        <v>#REF!</v>
      </c>
    </row>
    <row r="1573">
      <c r="A1573" s="20" t="str">
        <f t="shared" si="1267"/>
        <v>#REF!</v>
      </c>
      <c r="B1573" s="20" t="str">
        <f t="shared" si="1268"/>
        <v>#REF!</v>
      </c>
      <c r="C1573" s="20" t="str">
        <f t="shared" ref="C1573:D1573" si="4712">#REF!</f>
        <v>#REF!</v>
      </c>
      <c r="D1573" s="20" t="str">
        <f t="shared" si="4712"/>
        <v>#REF!</v>
      </c>
      <c r="E1573" s="20" t="str">
        <f t="shared" si="1270"/>
        <v>#REF!</v>
      </c>
      <c r="F1573" s="22" t="str">
        <f t="shared" si="2"/>
        <v>#REF!</v>
      </c>
      <c r="G1573" s="20" t="str">
        <f t="shared" ref="G1573:I1573" si="4713">#REF!</f>
        <v>#REF!</v>
      </c>
      <c r="H1573" s="20" t="str">
        <f t="shared" si="4713"/>
        <v>#REF!</v>
      </c>
      <c r="I1573" s="20" t="str">
        <f t="shared" si="4713"/>
        <v>#REF!</v>
      </c>
      <c r="J1573" s="20" t="str">
        <f t="shared" si="1272"/>
        <v>#REF!</v>
      </c>
      <c r="K1573" s="20" t="str">
        <f t="shared" ref="K1573:L1573" si="4714">#REF!</f>
        <v>#REF!</v>
      </c>
      <c r="L1573" s="20" t="str">
        <f t="shared" si="4714"/>
        <v>#REF!</v>
      </c>
    </row>
    <row r="1574">
      <c r="A1574" s="20" t="str">
        <f t="shared" si="1267"/>
        <v>#REF!</v>
      </c>
      <c r="B1574" s="20" t="str">
        <f t="shared" si="1268"/>
        <v>#REF!</v>
      </c>
      <c r="C1574" s="20" t="str">
        <f t="shared" ref="C1574:D1574" si="4715">#REF!</f>
        <v>#REF!</v>
      </c>
      <c r="D1574" s="20" t="str">
        <f t="shared" si="4715"/>
        <v>#REF!</v>
      </c>
      <c r="E1574" s="20" t="str">
        <f t="shared" si="1270"/>
        <v>#REF!</v>
      </c>
      <c r="F1574" s="22" t="str">
        <f t="shared" si="2"/>
        <v>#REF!</v>
      </c>
      <c r="G1574" s="20" t="str">
        <f t="shared" ref="G1574:I1574" si="4716">#REF!</f>
        <v>#REF!</v>
      </c>
      <c r="H1574" s="20" t="str">
        <f t="shared" si="4716"/>
        <v>#REF!</v>
      </c>
      <c r="I1574" s="20" t="str">
        <f t="shared" si="4716"/>
        <v>#REF!</v>
      </c>
      <c r="J1574" s="20" t="str">
        <f t="shared" si="1272"/>
        <v>#REF!</v>
      </c>
      <c r="K1574" s="20" t="str">
        <f t="shared" ref="K1574:L1574" si="4717">#REF!</f>
        <v>#REF!</v>
      </c>
      <c r="L1574" s="20" t="str">
        <f t="shared" si="4717"/>
        <v>#REF!</v>
      </c>
    </row>
    <row r="1575">
      <c r="A1575" s="20" t="str">
        <f t="shared" si="1267"/>
        <v>#REF!</v>
      </c>
      <c r="B1575" s="20" t="str">
        <f t="shared" si="1268"/>
        <v>#REF!</v>
      </c>
      <c r="C1575" s="20" t="str">
        <f t="shared" ref="C1575:D1575" si="4718">#REF!</f>
        <v>#REF!</v>
      </c>
      <c r="D1575" s="20" t="str">
        <f t="shared" si="4718"/>
        <v>#REF!</v>
      </c>
      <c r="E1575" s="20" t="str">
        <f t="shared" si="1270"/>
        <v>#REF!</v>
      </c>
      <c r="F1575" s="22" t="str">
        <f t="shared" si="2"/>
        <v>#REF!</v>
      </c>
      <c r="G1575" s="20" t="str">
        <f t="shared" ref="G1575:I1575" si="4719">#REF!</f>
        <v>#REF!</v>
      </c>
      <c r="H1575" s="20" t="str">
        <f t="shared" si="4719"/>
        <v>#REF!</v>
      </c>
      <c r="I1575" s="20" t="str">
        <f t="shared" si="4719"/>
        <v>#REF!</v>
      </c>
      <c r="J1575" s="20" t="str">
        <f t="shared" si="1272"/>
        <v>#REF!</v>
      </c>
      <c r="K1575" s="20" t="str">
        <f t="shared" ref="K1575:L1575" si="4720">#REF!</f>
        <v>#REF!</v>
      </c>
      <c r="L1575" s="20" t="str">
        <f t="shared" si="4720"/>
        <v>#REF!</v>
      </c>
    </row>
    <row r="1576">
      <c r="A1576" s="20" t="str">
        <f t="shared" si="1267"/>
        <v>#REF!</v>
      </c>
      <c r="B1576" s="20" t="str">
        <f t="shared" si="1268"/>
        <v>#REF!</v>
      </c>
      <c r="C1576" s="20" t="str">
        <f t="shared" ref="C1576:D1576" si="4721">#REF!</f>
        <v>#REF!</v>
      </c>
      <c r="D1576" s="20" t="str">
        <f t="shared" si="4721"/>
        <v>#REF!</v>
      </c>
      <c r="E1576" s="20" t="str">
        <f t="shared" si="1270"/>
        <v>#REF!</v>
      </c>
      <c r="F1576" s="22" t="str">
        <f t="shared" si="2"/>
        <v>#REF!</v>
      </c>
      <c r="G1576" s="20" t="str">
        <f t="shared" ref="G1576:I1576" si="4722">#REF!</f>
        <v>#REF!</v>
      </c>
      <c r="H1576" s="20" t="str">
        <f t="shared" si="4722"/>
        <v>#REF!</v>
      </c>
      <c r="I1576" s="20" t="str">
        <f t="shared" si="4722"/>
        <v>#REF!</v>
      </c>
      <c r="J1576" s="20" t="str">
        <f t="shared" si="1272"/>
        <v>#REF!</v>
      </c>
      <c r="K1576" s="20" t="str">
        <f t="shared" ref="K1576:L1576" si="4723">#REF!</f>
        <v>#REF!</v>
      </c>
      <c r="L1576" s="20" t="str">
        <f t="shared" si="4723"/>
        <v>#REF!</v>
      </c>
    </row>
    <row r="1577">
      <c r="A1577" s="20" t="str">
        <f t="shared" si="1267"/>
        <v>#REF!</v>
      </c>
      <c r="B1577" s="20" t="str">
        <f t="shared" si="1268"/>
        <v>#REF!</v>
      </c>
      <c r="C1577" s="20" t="str">
        <f t="shared" ref="C1577:D1577" si="4724">#REF!</f>
        <v>#REF!</v>
      </c>
      <c r="D1577" s="20" t="str">
        <f t="shared" si="4724"/>
        <v>#REF!</v>
      </c>
      <c r="E1577" s="20" t="str">
        <f t="shared" si="1270"/>
        <v>#REF!</v>
      </c>
      <c r="F1577" s="22" t="str">
        <f t="shared" si="2"/>
        <v>#REF!</v>
      </c>
      <c r="G1577" s="20" t="str">
        <f t="shared" ref="G1577:I1577" si="4725">#REF!</f>
        <v>#REF!</v>
      </c>
      <c r="H1577" s="20" t="str">
        <f t="shared" si="4725"/>
        <v>#REF!</v>
      </c>
      <c r="I1577" s="20" t="str">
        <f t="shared" si="4725"/>
        <v>#REF!</v>
      </c>
      <c r="J1577" s="20" t="str">
        <f t="shared" si="1272"/>
        <v>#REF!</v>
      </c>
      <c r="K1577" s="20" t="str">
        <f t="shared" ref="K1577:L1577" si="4726">#REF!</f>
        <v>#REF!</v>
      </c>
      <c r="L1577" s="20" t="str">
        <f t="shared" si="4726"/>
        <v>#REF!</v>
      </c>
    </row>
    <row r="1578">
      <c r="A1578" s="20" t="str">
        <f t="shared" si="1267"/>
        <v>#REF!</v>
      </c>
      <c r="B1578" s="20" t="str">
        <f t="shared" si="1268"/>
        <v>#REF!</v>
      </c>
      <c r="C1578" s="20" t="str">
        <f t="shared" ref="C1578:D1578" si="4727">#REF!</f>
        <v>#REF!</v>
      </c>
      <c r="D1578" s="20" t="str">
        <f t="shared" si="4727"/>
        <v>#REF!</v>
      </c>
      <c r="E1578" s="20" t="str">
        <f t="shared" si="1270"/>
        <v>#REF!</v>
      </c>
      <c r="F1578" s="22" t="str">
        <f t="shared" si="2"/>
        <v>#REF!</v>
      </c>
      <c r="G1578" s="20" t="str">
        <f t="shared" ref="G1578:I1578" si="4728">#REF!</f>
        <v>#REF!</v>
      </c>
      <c r="H1578" s="20" t="str">
        <f t="shared" si="4728"/>
        <v>#REF!</v>
      </c>
      <c r="I1578" s="20" t="str">
        <f t="shared" si="4728"/>
        <v>#REF!</v>
      </c>
      <c r="J1578" s="20" t="str">
        <f t="shared" si="1272"/>
        <v>#REF!</v>
      </c>
      <c r="K1578" s="20" t="str">
        <f t="shared" ref="K1578:L1578" si="4729">#REF!</f>
        <v>#REF!</v>
      </c>
      <c r="L1578" s="20" t="str">
        <f t="shared" si="4729"/>
        <v>#REF!</v>
      </c>
    </row>
    <row r="1579">
      <c r="A1579" s="20" t="str">
        <f t="shared" si="1267"/>
        <v>#REF!</v>
      </c>
      <c r="B1579" s="20" t="str">
        <f t="shared" si="1268"/>
        <v>#REF!</v>
      </c>
      <c r="C1579" s="20" t="str">
        <f t="shared" ref="C1579:D1579" si="4730">#REF!</f>
        <v>#REF!</v>
      </c>
      <c r="D1579" s="20" t="str">
        <f t="shared" si="4730"/>
        <v>#REF!</v>
      </c>
      <c r="E1579" s="20" t="str">
        <f t="shared" si="1270"/>
        <v>#REF!</v>
      </c>
      <c r="F1579" s="22" t="str">
        <f t="shared" si="2"/>
        <v>#REF!</v>
      </c>
      <c r="G1579" s="20" t="str">
        <f t="shared" ref="G1579:I1579" si="4731">#REF!</f>
        <v>#REF!</v>
      </c>
      <c r="H1579" s="20" t="str">
        <f t="shared" si="4731"/>
        <v>#REF!</v>
      </c>
      <c r="I1579" s="20" t="str">
        <f t="shared" si="4731"/>
        <v>#REF!</v>
      </c>
      <c r="J1579" s="20" t="str">
        <f t="shared" si="1272"/>
        <v>#REF!</v>
      </c>
      <c r="K1579" s="20" t="str">
        <f t="shared" ref="K1579:L1579" si="4732">#REF!</f>
        <v>#REF!</v>
      </c>
      <c r="L1579" s="20" t="str">
        <f t="shared" si="4732"/>
        <v>#REF!</v>
      </c>
    </row>
    <row r="1580">
      <c r="A1580" s="20" t="str">
        <f t="shared" si="1267"/>
        <v>#REF!</v>
      </c>
      <c r="B1580" s="20" t="str">
        <f t="shared" si="1268"/>
        <v>#REF!</v>
      </c>
      <c r="C1580" s="20" t="str">
        <f t="shared" ref="C1580:D1580" si="4733">#REF!</f>
        <v>#REF!</v>
      </c>
      <c r="D1580" s="20" t="str">
        <f t="shared" si="4733"/>
        <v>#REF!</v>
      </c>
      <c r="E1580" s="20" t="str">
        <f t="shared" si="1270"/>
        <v>#REF!</v>
      </c>
      <c r="F1580" s="22" t="str">
        <f t="shared" si="2"/>
        <v>#REF!</v>
      </c>
      <c r="G1580" s="20" t="str">
        <f t="shared" ref="G1580:I1580" si="4734">#REF!</f>
        <v>#REF!</v>
      </c>
      <c r="H1580" s="20" t="str">
        <f t="shared" si="4734"/>
        <v>#REF!</v>
      </c>
      <c r="I1580" s="20" t="str">
        <f t="shared" si="4734"/>
        <v>#REF!</v>
      </c>
      <c r="J1580" s="20" t="str">
        <f t="shared" si="1272"/>
        <v>#REF!</v>
      </c>
      <c r="K1580" s="20" t="str">
        <f t="shared" ref="K1580:L1580" si="4735">#REF!</f>
        <v>#REF!</v>
      </c>
      <c r="L1580" s="20" t="str">
        <f t="shared" si="4735"/>
        <v>#REF!</v>
      </c>
    </row>
    <row r="1581">
      <c r="A1581" s="20" t="str">
        <f t="shared" si="1267"/>
        <v>#REF!</v>
      </c>
      <c r="B1581" s="20" t="str">
        <f t="shared" si="1268"/>
        <v>#REF!</v>
      </c>
      <c r="C1581" s="20" t="str">
        <f t="shared" ref="C1581:D1581" si="4736">#REF!</f>
        <v>#REF!</v>
      </c>
      <c r="D1581" s="20" t="str">
        <f t="shared" si="4736"/>
        <v>#REF!</v>
      </c>
      <c r="E1581" s="20" t="str">
        <f t="shared" si="1270"/>
        <v>#REF!</v>
      </c>
      <c r="F1581" s="22" t="str">
        <f t="shared" si="2"/>
        <v>#REF!</v>
      </c>
      <c r="G1581" s="20" t="str">
        <f t="shared" ref="G1581:I1581" si="4737">#REF!</f>
        <v>#REF!</v>
      </c>
      <c r="H1581" s="20" t="str">
        <f t="shared" si="4737"/>
        <v>#REF!</v>
      </c>
      <c r="I1581" s="20" t="str">
        <f t="shared" si="4737"/>
        <v>#REF!</v>
      </c>
      <c r="J1581" s="20" t="str">
        <f t="shared" si="1272"/>
        <v>#REF!</v>
      </c>
      <c r="K1581" s="20" t="str">
        <f t="shared" ref="K1581:L1581" si="4738">#REF!</f>
        <v>#REF!</v>
      </c>
      <c r="L1581" s="20" t="str">
        <f t="shared" si="4738"/>
        <v>#REF!</v>
      </c>
    </row>
    <row r="1582">
      <c r="A1582" s="20" t="str">
        <f t="shared" si="1267"/>
        <v>#REF!</v>
      </c>
      <c r="B1582" s="20" t="str">
        <f t="shared" si="1268"/>
        <v>#REF!</v>
      </c>
      <c r="C1582" s="20" t="str">
        <f t="shared" ref="C1582:D1582" si="4739">#REF!</f>
        <v>#REF!</v>
      </c>
      <c r="D1582" s="20" t="str">
        <f t="shared" si="4739"/>
        <v>#REF!</v>
      </c>
      <c r="E1582" s="20" t="str">
        <f t="shared" si="1270"/>
        <v>#REF!</v>
      </c>
      <c r="F1582" s="22" t="str">
        <f t="shared" si="2"/>
        <v>#REF!</v>
      </c>
      <c r="G1582" s="20" t="str">
        <f t="shared" ref="G1582:I1582" si="4740">#REF!</f>
        <v>#REF!</v>
      </c>
      <c r="H1582" s="20" t="str">
        <f t="shared" si="4740"/>
        <v>#REF!</v>
      </c>
      <c r="I1582" s="20" t="str">
        <f t="shared" si="4740"/>
        <v>#REF!</v>
      </c>
      <c r="J1582" s="20" t="str">
        <f t="shared" si="1272"/>
        <v>#REF!</v>
      </c>
      <c r="K1582" s="20" t="str">
        <f t="shared" ref="K1582:L1582" si="4741">#REF!</f>
        <v>#REF!</v>
      </c>
      <c r="L1582" s="20" t="str">
        <f t="shared" si="4741"/>
        <v>#REF!</v>
      </c>
    </row>
    <row r="1583">
      <c r="A1583" s="20" t="str">
        <f t="shared" si="1267"/>
        <v>#REF!</v>
      </c>
      <c r="B1583" s="20" t="str">
        <f t="shared" si="1268"/>
        <v>#REF!</v>
      </c>
      <c r="C1583" s="20" t="str">
        <f t="shared" ref="C1583:D1583" si="4742">#REF!</f>
        <v>#REF!</v>
      </c>
      <c r="D1583" s="20" t="str">
        <f t="shared" si="4742"/>
        <v>#REF!</v>
      </c>
      <c r="E1583" s="20" t="str">
        <f t="shared" si="1270"/>
        <v>#REF!</v>
      </c>
      <c r="F1583" s="22" t="str">
        <f t="shared" si="2"/>
        <v>#REF!</v>
      </c>
      <c r="G1583" s="20" t="str">
        <f t="shared" ref="G1583:I1583" si="4743">#REF!</f>
        <v>#REF!</v>
      </c>
      <c r="H1583" s="20" t="str">
        <f t="shared" si="4743"/>
        <v>#REF!</v>
      </c>
      <c r="I1583" s="20" t="str">
        <f t="shared" si="4743"/>
        <v>#REF!</v>
      </c>
      <c r="J1583" s="20" t="str">
        <f t="shared" si="1272"/>
        <v>#REF!</v>
      </c>
      <c r="K1583" s="20" t="str">
        <f t="shared" ref="K1583:L1583" si="4744">#REF!</f>
        <v>#REF!</v>
      </c>
      <c r="L1583" s="20" t="str">
        <f t="shared" si="4744"/>
        <v>#REF!</v>
      </c>
    </row>
    <row r="1584">
      <c r="A1584" s="20" t="str">
        <f t="shared" si="1267"/>
        <v>#REF!</v>
      </c>
      <c r="B1584" s="20" t="str">
        <f t="shared" si="1268"/>
        <v>#REF!</v>
      </c>
      <c r="C1584" s="20" t="str">
        <f t="shared" ref="C1584:D1584" si="4745">#REF!</f>
        <v>#REF!</v>
      </c>
      <c r="D1584" s="20" t="str">
        <f t="shared" si="4745"/>
        <v>#REF!</v>
      </c>
      <c r="E1584" s="20" t="str">
        <f t="shared" si="1270"/>
        <v>#REF!</v>
      </c>
      <c r="F1584" s="22" t="str">
        <f t="shared" si="2"/>
        <v>#REF!</v>
      </c>
      <c r="G1584" s="20" t="str">
        <f t="shared" ref="G1584:I1584" si="4746">#REF!</f>
        <v>#REF!</v>
      </c>
      <c r="H1584" s="20" t="str">
        <f t="shared" si="4746"/>
        <v>#REF!</v>
      </c>
      <c r="I1584" s="20" t="str">
        <f t="shared" si="4746"/>
        <v>#REF!</v>
      </c>
      <c r="J1584" s="20" t="str">
        <f t="shared" si="1272"/>
        <v>#REF!</v>
      </c>
      <c r="K1584" s="20" t="str">
        <f t="shared" ref="K1584:L1584" si="4747">#REF!</f>
        <v>#REF!</v>
      </c>
      <c r="L1584" s="20" t="str">
        <f t="shared" si="4747"/>
        <v>#REF!</v>
      </c>
    </row>
    <row r="1585">
      <c r="A1585" s="20" t="str">
        <f t="shared" si="1267"/>
        <v>#REF!</v>
      </c>
      <c r="B1585" s="20" t="str">
        <f t="shared" si="1268"/>
        <v>#REF!</v>
      </c>
      <c r="C1585" s="20" t="str">
        <f t="shared" ref="C1585:D1585" si="4748">#REF!</f>
        <v>#REF!</v>
      </c>
      <c r="D1585" s="20" t="str">
        <f t="shared" si="4748"/>
        <v>#REF!</v>
      </c>
      <c r="E1585" s="20" t="str">
        <f t="shared" si="1270"/>
        <v>#REF!</v>
      </c>
      <c r="F1585" s="22" t="str">
        <f t="shared" si="2"/>
        <v>#REF!</v>
      </c>
      <c r="G1585" s="20" t="str">
        <f t="shared" ref="G1585:I1585" si="4749">#REF!</f>
        <v>#REF!</v>
      </c>
      <c r="H1585" s="20" t="str">
        <f t="shared" si="4749"/>
        <v>#REF!</v>
      </c>
      <c r="I1585" s="20" t="str">
        <f t="shared" si="4749"/>
        <v>#REF!</v>
      </c>
      <c r="J1585" s="20" t="str">
        <f t="shared" si="1272"/>
        <v>#REF!</v>
      </c>
      <c r="K1585" s="20" t="str">
        <f t="shared" ref="K1585:L1585" si="4750">#REF!</f>
        <v>#REF!</v>
      </c>
      <c r="L1585" s="20" t="str">
        <f t="shared" si="4750"/>
        <v>#REF!</v>
      </c>
    </row>
    <row r="1586">
      <c r="A1586" s="20" t="str">
        <f t="shared" si="1267"/>
        <v>#REF!</v>
      </c>
      <c r="B1586" s="20" t="str">
        <f t="shared" si="1268"/>
        <v>#REF!</v>
      </c>
      <c r="C1586" s="20" t="str">
        <f t="shared" ref="C1586:D1586" si="4751">#REF!</f>
        <v>#REF!</v>
      </c>
      <c r="D1586" s="20" t="str">
        <f t="shared" si="4751"/>
        <v>#REF!</v>
      </c>
      <c r="E1586" s="20" t="str">
        <f t="shared" si="1270"/>
        <v>#REF!</v>
      </c>
      <c r="F1586" s="22" t="str">
        <f t="shared" si="2"/>
        <v>#REF!</v>
      </c>
      <c r="G1586" s="20" t="str">
        <f t="shared" ref="G1586:I1586" si="4752">#REF!</f>
        <v>#REF!</v>
      </c>
      <c r="H1586" s="20" t="str">
        <f t="shared" si="4752"/>
        <v>#REF!</v>
      </c>
      <c r="I1586" s="20" t="str">
        <f t="shared" si="4752"/>
        <v>#REF!</v>
      </c>
      <c r="J1586" s="20" t="str">
        <f t="shared" si="1272"/>
        <v>#REF!</v>
      </c>
      <c r="K1586" s="20" t="str">
        <f t="shared" ref="K1586:L1586" si="4753">#REF!</f>
        <v>#REF!</v>
      </c>
      <c r="L1586" s="20" t="str">
        <f t="shared" si="4753"/>
        <v>#REF!</v>
      </c>
    </row>
    <row r="1587">
      <c r="A1587" s="20" t="str">
        <f t="shared" si="1267"/>
        <v>#REF!</v>
      </c>
      <c r="B1587" s="20" t="str">
        <f t="shared" si="1268"/>
        <v>#REF!</v>
      </c>
      <c r="C1587" s="20" t="str">
        <f t="shared" ref="C1587:D1587" si="4754">#REF!</f>
        <v>#REF!</v>
      </c>
      <c r="D1587" s="20" t="str">
        <f t="shared" si="4754"/>
        <v>#REF!</v>
      </c>
      <c r="E1587" s="20" t="str">
        <f t="shared" si="1270"/>
        <v>#REF!</v>
      </c>
      <c r="F1587" s="22" t="str">
        <f t="shared" si="2"/>
        <v>#REF!</v>
      </c>
      <c r="G1587" s="20" t="str">
        <f t="shared" ref="G1587:I1587" si="4755">#REF!</f>
        <v>#REF!</v>
      </c>
      <c r="H1587" s="20" t="str">
        <f t="shared" si="4755"/>
        <v>#REF!</v>
      </c>
      <c r="I1587" s="20" t="str">
        <f t="shared" si="4755"/>
        <v>#REF!</v>
      </c>
      <c r="J1587" s="20" t="str">
        <f t="shared" si="1272"/>
        <v>#REF!</v>
      </c>
      <c r="K1587" s="20" t="str">
        <f t="shared" ref="K1587:L1587" si="4756">#REF!</f>
        <v>#REF!</v>
      </c>
      <c r="L1587" s="20" t="str">
        <f t="shared" si="4756"/>
        <v>#REF!</v>
      </c>
    </row>
    <row r="1588">
      <c r="A1588" s="20" t="str">
        <f t="shared" si="1267"/>
        <v>#REF!</v>
      </c>
      <c r="B1588" s="20" t="str">
        <f t="shared" si="1268"/>
        <v>#REF!</v>
      </c>
      <c r="C1588" s="20" t="str">
        <f t="shared" ref="C1588:D1588" si="4757">#REF!</f>
        <v>#REF!</v>
      </c>
      <c r="D1588" s="20" t="str">
        <f t="shared" si="4757"/>
        <v>#REF!</v>
      </c>
      <c r="E1588" s="20" t="str">
        <f t="shared" si="1270"/>
        <v>#REF!</v>
      </c>
      <c r="F1588" s="22" t="str">
        <f t="shared" si="2"/>
        <v>#REF!</v>
      </c>
      <c r="G1588" s="20" t="str">
        <f t="shared" ref="G1588:I1588" si="4758">#REF!</f>
        <v>#REF!</v>
      </c>
      <c r="H1588" s="20" t="str">
        <f t="shared" si="4758"/>
        <v>#REF!</v>
      </c>
      <c r="I1588" s="20" t="str">
        <f t="shared" si="4758"/>
        <v>#REF!</v>
      </c>
      <c r="J1588" s="20" t="str">
        <f t="shared" si="1272"/>
        <v>#REF!</v>
      </c>
      <c r="K1588" s="20" t="str">
        <f t="shared" ref="K1588:L1588" si="4759">#REF!</f>
        <v>#REF!</v>
      </c>
      <c r="L1588" s="20" t="str">
        <f t="shared" si="4759"/>
        <v>#REF!</v>
      </c>
    </row>
    <row r="1589">
      <c r="A1589" s="20" t="str">
        <f t="shared" si="1267"/>
        <v>#REF!</v>
      </c>
      <c r="B1589" s="20" t="str">
        <f t="shared" si="1268"/>
        <v>#REF!</v>
      </c>
      <c r="C1589" s="20" t="str">
        <f t="shared" ref="C1589:D1589" si="4760">#REF!</f>
        <v>#REF!</v>
      </c>
      <c r="D1589" s="20" t="str">
        <f t="shared" si="4760"/>
        <v>#REF!</v>
      </c>
      <c r="E1589" s="20" t="str">
        <f t="shared" si="1270"/>
        <v>#REF!</v>
      </c>
      <c r="F1589" s="22" t="str">
        <f t="shared" si="2"/>
        <v>#REF!</v>
      </c>
      <c r="G1589" s="20" t="str">
        <f t="shared" ref="G1589:I1589" si="4761">#REF!</f>
        <v>#REF!</v>
      </c>
      <c r="H1589" s="20" t="str">
        <f t="shared" si="4761"/>
        <v>#REF!</v>
      </c>
      <c r="I1589" s="20" t="str">
        <f t="shared" si="4761"/>
        <v>#REF!</v>
      </c>
      <c r="J1589" s="20" t="str">
        <f t="shared" si="1272"/>
        <v>#REF!</v>
      </c>
      <c r="K1589" s="20" t="str">
        <f t="shared" ref="K1589:L1589" si="4762">#REF!</f>
        <v>#REF!</v>
      </c>
      <c r="L1589" s="20" t="str">
        <f t="shared" si="4762"/>
        <v>#REF!</v>
      </c>
    </row>
    <row r="1590">
      <c r="A1590" s="20" t="str">
        <f t="shared" si="1267"/>
        <v>#REF!</v>
      </c>
      <c r="B1590" s="20" t="str">
        <f t="shared" si="1268"/>
        <v>#REF!</v>
      </c>
      <c r="C1590" s="20" t="str">
        <f t="shared" ref="C1590:D1590" si="4763">#REF!</f>
        <v>#REF!</v>
      </c>
      <c r="D1590" s="20" t="str">
        <f t="shared" si="4763"/>
        <v>#REF!</v>
      </c>
      <c r="E1590" s="20" t="str">
        <f t="shared" si="1270"/>
        <v>#REF!</v>
      </c>
      <c r="F1590" s="22" t="str">
        <f t="shared" si="2"/>
        <v>#REF!</v>
      </c>
      <c r="G1590" s="20" t="str">
        <f t="shared" ref="G1590:I1590" si="4764">#REF!</f>
        <v>#REF!</v>
      </c>
      <c r="H1590" s="20" t="str">
        <f t="shared" si="4764"/>
        <v>#REF!</v>
      </c>
      <c r="I1590" s="20" t="str">
        <f t="shared" si="4764"/>
        <v>#REF!</v>
      </c>
      <c r="J1590" s="20" t="str">
        <f t="shared" si="1272"/>
        <v>#REF!</v>
      </c>
      <c r="K1590" s="20" t="str">
        <f t="shared" ref="K1590:L1590" si="4765">#REF!</f>
        <v>#REF!</v>
      </c>
      <c r="L1590" s="20" t="str">
        <f t="shared" si="4765"/>
        <v>#REF!</v>
      </c>
    </row>
    <row r="1591">
      <c r="A1591" s="20" t="str">
        <f t="shared" si="1267"/>
        <v>#REF!</v>
      </c>
      <c r="B1591" s="20" t="str">
        <f t="shared" si="1268"/>
        <v>#REF!</v>
      </c>
      <c r="C1591" s="20" t="str">
        <f t="shared" ref="C1591:D1591" si="4766">#REF!</f>
        <v>#REF!</v>
      </c>
      <c r="D1591" s="20" t="str">
        <f t="shared" si="4766"/>
        <v>#REF!</v>
      </c>
      <c r="E1591" s="20" t="str">
        <f t="shared" si="1270"/>
        <v>#REF!</v>
      </c>
      <c r="F1591" s="22" t="str">
        <f t="shared" si="2"/>
        <v>#REF!</v>
      </c>
      <c r="G1591" s="20" t="str">
        <f t="shared" ref="G1591:I1591" si="4767">#REF!</f>
        <v>#REF!</v>
      </c>
      <c r="H1591" s="20" t="str">
        <f t="shared" si="4767"/>
        <v>#REF!</v>
      </c>
      <c r="I1591" s="20" t="str">
        <f t="shared" si="4767"/>
        <v>#REF!</v>
      </c>
      <c r="J1591" s="20" t="str">
        <f t="shared" si="1272"/>
        <v>#REF!</v>
      </c>
      <c r="K1591" s="20" t="str">
        <f t="shared" ref="K1591:L1591" si="4768">#REF!</f>
        <v>#REF!</v>
      </c>
      <c r="L1591" s="20" t="str">
        <f t="shared" si="4768"/>
        <v>#REF!</v>
      </c>
    </row>
    <row r="1592">
      <c r="A1592" s="20" t="str">
        <f t="shared" si="1267"/>
        <v>#REF!</v>
      </c>
      <c r="B1592" s="20" t="str">
        <f t="shared" si="1268"/>
        <v>#REF!</v>
      </c>
      <c r="C1592" s="20" t="str">
        <f t="shared" ref="C1592:D1592" si="4769">#REF!</f>
        <v>#REF!</v>
      </c>
      <c r="D1592" s="20" t="str">
        <f t="shared" si="4769"/>
        <v>#REF!</v>
      </c>
      <c r="E1592" s="20" t="str">
        <f t="shared" si="1270"/>
        <v>#REF!</v>
      </c>
      <c r="F1592" s="22" t="str">
        <f t="shared" si="2"/>
        <v>#REF!</v>
      </c>
      <c r="G1592" s="20" t="str">
        <f t="shared" ref="G1592:I1592" si="4770">#REF!</f>
        <v>#REF!</v>
      </c>
      <c r="H1592" s="20" t="str">
        <f t="shared" si="4770"/>
        <v>#REF!</v>
      </c>
      <c r="I1592" s="20" t="str">
        <f t="shared" si="4770"/>
        <v>#REF!</v>
      </c>
      <c r="J1592" s="20" t="str">
        <f t="shared" si="1272"/>
        <v>#REF!</v>
      </c>
      <c r="K1592" s="20" t="str">
        <f t="shared" ref="K1592:L1592" si="4771">#REF!</f>
        <v>#REF!</v>
      </c>
      <c r="L1592" s="20" t="str">
        <f t="shared" si="4771"/>
        <v>#REF!</v>
      </c>
    </row>
    <row r="1593">
      <c r="A1593" s="20" t="str">
        <f t="shared" si="1267"/>
        <v>#REF!</v>
      </c>
      <c r="B1593" s="20" t="str">
        <f t="shared" si="1268"/>
        <v>#REF!</v>
      </c>
      <c r="C1593" s="20" t="str">
        <f t="shared" ref="C1593:D1593" si="4772">#REF!</f>
        <v>#REF!</v>
      </c>
      <c r="D1593" s="20" t="str">
        <f t="shared" si="4772"/>
        <v>#REF!</v>
      </c>
      <c r="E1593" s="20" t="str">
        <f t="shared" si="1270"/>
        <v>#REF!</v>
      </c>
      <c r="F1593" s="22" t="str">
        <f t="shared" si="2"/>
        <v>#REF!</v>
      </c>
      <c r="G1593" s="20" t="str">
        <f t="shared" ref="G1593:I1593" si="4773">#REF!</f>
        <v>#REF!</v>
      </c>
      <c r="H1593" s="20" t="str">
        <f t="shared" si="4773"/>
        <v>#REF!</v>
      </c>
      <c r="I1593" s="20" t="str">
        <f t="shared" si="4773"/>
        <v>#REF!</v>
      </c>
      <c r="J1593" s="20" t="str">
        <f t="shared" si="1272"/>
        <v>#REF!</v>
      </c>
      <c r="K1593" s="20" t="str">
        <f t="shared" ref="K1593:L1593" si="4774">#REF!</f>
        <v>#REF!</v>
      </c>
      <c r="L1593" s="20" t="str">
        <f t="shared" si="4774"/>
        <v>#REF!</v>
      </c>
    </row>
    <row r="1594">
      <c r="A1594" s="20" t="str">
        <f t="shared" si="1267"/>
        <v>#REF!</v>
      </c>
      <c r="B1594" s="20" t="str">
        <f t="shared" si="1268"/>
        <v>#REF!</v>
      </c>
      <c r="C1594" s="20" t="str">
        <f t="shared" ref="C1594:D1594" si="4775">#REF!</f>
        <v>#REF!</v>
      </c>
      <c r="D1594" s="20" t="str">
        <f t="shared" si="4775"/>
        <v>#REF!</v>
      </c>
      <c r="E1594" s="20" t="str">
        <f t="shared" si="1270"/>
        <v>#REF!</v>
      </c>
      <c r="F1594" s="22" t="str">
        <f t="shared" si="2"/>
        <v>#REF!</v>
      </c>
      <c r="G1594" s="20" t="str">
        <f t="shared" ref="G1594:I1594" si="4776">#REF!</f>
        <v>#REF!</v>
      </c>
      <c r="H1594" s="20" t="str">
        <f t="shared" si="4776"/>
        <v>#REF!</v>
      </c>
      <c r="I1594" s="20" t="str">
        <f t="shared" si="4776"/>
        <v>#REF!</v>
      </c>
      <c r="J1594" s="20" t="str">
        <f t="shared" si="1272"/>
        <v>#REF!</v>
      </c>
      <c r="K1594" s="20" t="str">
        <f t="shared" ref="K1594:L1594" si="4777">#REF!</f>
        <v>#REF!</v>
      </c>
      <c r="L1594" s="20" t="str">
        <f t="shared" si="4777"/>
        <v>#REF!</v>
      </c>
    </row>
    <row r="1595">
      <c r="A1595" s="20" t="str">
        <f t="shared" si="1267"/>
        <v>#REF!</v>
      </c>
      <c r="B1595" s="20" t="str">
        <f t="shared" si="1268"/>
        <v>#REF!</v>
      </c>
      <c r="C1595" s="20" t="str">
        <f t="shared" ref="C1595:D1595" si="4778">#REF!</f>
        <v>#REF!</v>
      </c>
      <c r="D1595" s="20" t="str">
        <f t="shared" si="4778"/>
        <v>#REF!</v>
      </c>
      <c r="E1595" s="20" t="str">
        <f t="shared" si="1270"/>
        <v>#REF!</v>
      </c>
      <c r="F1595" s="22" t="str">
        <f t="shared" si="2"/>
        <v>#REF!</v>
      </c>
      <c r="G1595" s="20" t="str">
        <f t="shared" ref="G1595:I1595" si="4779">#REF!</f>
        <v>#REF!</v>
      </c>
      <c r="H1595" s="20" t="str">
        <f t="shared" si="4779"/>
        <v>#REF!</v>
      </c>
      <c r="I1595" s="20" t="str">
        <f t="shared" si="4779"/>
        <v>#REF!</v>
      </c>
      <c r="J1595" s="20" t="str">
        <f t="shared" si="1272"/>
        <v>#REF!</v>
      </c>
      <c r="K1595" s="20" t="str">
        <f t="shared" ref="K1595:L1595" si="4780">#REF!</f>
        <v>#REF!</v>
      </c>
      <c r="L1595" s="20" t="str">
        <f t="shared" si="4780"/>
        <v>#REF!</v>
      </c>
    </row>
    <row r="1596">
      <c r="A1596" s="20" t="str">
        <f t="shared" si="1267"/>
        <v>#REF!</v>
      </c>
      <c r="B1596" s="20" t="str">
        <f t="shared" si="1268"/>
        <v>#REF!</v>
      </c>
      <c r="C1596" s="20" t="str">
        <f t="shared" ref="C1596:D1596" si="4781">#REF!</f>
        <v>#REF!</v>
      </c>
      <c r="D1596" s="20" t="str">
        <f t="shared" si="4781"/>
        <v>#REF!</v>
      </c>
      <c r="E1596" s="20" t="str">
        <f t="shared" si="1270"/>
        <v>#REF!</v>
      </c>
      <c r="F1596" s="22" t="str">
        <f t="shared" si="2"/>
        <v>#REF!</v>
      </c>
      <c r="G1596" s="20" t="str">
        <f t="shared" ref="G1596:I1596" si="4782">#REF!</f>
        <v>#REF!</v>
      </c>
      <c r="H1596" s="20" t="str">
        <f t="shared" si="4782"/>
        <v>#REF!</v>
      </c>
      <c r="I1596" s="20" t="str">
        <f t="shared" si="4782"/>
        <v>#REF!</v>
      </c>
      <c r="J1596" s="20" t="str">
        <f t="shared" si="1272"/>
        <v>#REF!</v>
      </c>
      <c r="K1596" s="20" t="str">
        <f t="shared" ref="K1596:L1596" si="4783">#REF!</f>
        <v>#REF!</v>
      </c>
      <c r="L1596" s="20" t="str">
        <f t="shared" si="4783"/>
        <v>#REF!</v>
      </c>
    </row>
    <row r="1597">
      <c r="A1597" s="20" t="str">
        <f t="shared" si="1267"/>
        <v>#REF!</v>
      </c>
      <c r="B1597" s="20" t="str">
        <f t="shared" si="1268"/>
        <v>#REF!</v>
      </c>
      <c r="C1597" s="20" t="str">
        <f t="shared" ref="C1597:D1597" si="4784">#REF!</f>
        <v>#REF!</v>
      </c>
      <c r="D1597" s="20" t="str">
        <f t="shared" si="4784"/>
        <v>#REF!</v>
      </c>
      <c r="E1597" s="20" t="str">
        <f t="shared" si="1270"/>
        <v>#REF!</v>
      </c>
      <c r="F1597" s="22" t="str">
        <f t="shared" si="2"/>
        <v>#REF!</v>
      </c>
      <c r="G1597" s="20" t="str">
        <f t="shared" ref="G1597:I1597" si="4785">#REF!</f>
        <v>#REF!</v>
      </c>
      <c r="H1597" s="20" t="str">
        <f t="shared" si="4785"/>
        <v>#REF!</v>
      </c>
      <c r="I1597" s="20" t="str">
        <f t="shared" si="4785"/>
        <v>#REF!</v>
      </c>
      <c r="J1597" s="20" t="str">
        <f t="shared" si="1272"/>
        <v>#REF!</v>
      </c>
      <c r="K1597" s="20" t="str">
        <f t="shared" ref="K1597:L1597" si="4786">#REF!</f>
        <v>#REF!</v>
      </c>
      <c r="L1597" s="20" t="str">
        <f t="shared" si="4786"/>
        <v>#REF!</v>
      </c>
    </row>
    <row r="1598">
      <c r="A1598" s="20" t="str">
        <f t="shared" si="1267"/>
        <v>#REF!</v>
      </c>
      <c r="B1598" s="20" t="str">
        <f t="shared" si="1268"/>
        <v>#REF!</v>
      </c>
      <c r="C1598" s="20" t="str">
        <f t="shared" ref="C1598:D1598" si="4787">#REF!</f>
        <v>#REF!</v>
      </c>
      <c r="D1598" s="20" t="str">
        <f t="shared" si="4787"/>
        <v>#REF!</v>
      </c>
      <c r="E1598" s="20" t="str">
        <f t="shared" si="1270"/>
        <v>#REF!</v>
      </c>
      <c r="F1598" s="22" t="str">
        <f t="shared" si="2"/>
        <v>#REF!</v>
      </c>
      <c r="G1598" s="20" t="str">
        <f t="shared" ref="G1598:I1598" si="4788">#REF!</f>
        <v>#REF!</v>
      </c>
      <c r="H1598" s="20" t="str">
        <f t="shared" si="4788"/>
        <v>#REF!</v>
      </c>
      <c r="I1598" s="20" t="str">
        <f t="shared" si="4788"/>
        <v>#REF!</v>
      </c>
      <c r="J1598" s="20" t="str">
        <f t="shared" si="1272"/>
        <v>#REF!</v>
      </c>
      <c r="K1598" s="20" t="str">
        <f t="shared" ref="K1598:L1598" si="4789">#REF!</f>
        <v>#REF!</v>
      </c>
      <c r="L1598" s="20" t="str">
        <f t="shared" si="4789"/>
        <v>#REF!</v>
      </c>
    </row>
    <row r="1599">
      <c r="A1599" s="20" t="str">
        <f t="shared" si="1267"/>
        <v>#REF!</v>
      </c>
      <c r="B1599" s="20" t="str">
        <f t="shared" si="1268"/>
        <v>#REF!</v>
      </c>
      <c r="C1599" s="20" t="str">
        <f t="shared" ref="C1599:D1599" si="4790">#REF!</f>
        <v>#REF!</v>
      </c>
      <c r="D1599" s="20" t="str">
        <f t="shared" si="4790"/>
        <v>#REF!</v>
      </c>
      <c r="E1599" s="20" t="str">
        <f t="shared" si="1270"/>
        <v>#REF!</v>
      </c>
      <c r="F1599" s="22" t="str">
        <f t="shared" si="2"/>
        <v>#REF!</v>
      </c>
      <c r="G1599" s="20" t="str">
        <f t="shared" ref="G1599:I1599" si="4791">#REF!</f>
        <v>#REF!</v>
      </c>
      <c r="H1599" s="20" t="str">
        <f t="shared" si="4791"/>
        <v>#REF!</v>
      </c>
      <c r="I1599" s="20" t="str">
        <f t="shared" si="4791"/>
        <v>#REF!</v>
      </c>
      <c r="J1599" s="20" t="str">
        <f t="shared" si="1272"/>
        <v>#REF!</v>
      </c>
      <c r="K1599" s="20" t="str">
        <f t="shared" ref="K1599:L1599" si="4792">#REF!</f>
        <v>#REF!</v>
      </c>
      <c r="L1599" s="20" t="str">
        <f t="shared" si="4792"/>
        <v>#REF!</v>
      </c>
    </row>
    <row r="1600">
      <c r="A1600" s="20" t="str">
        <f t="shared" si="1267"/>
        <v>#REF!</v>
      </c>
      <c r="B1600" s="20" t="str">
        <f t="shared" si="1268"/>
        <v>#REF!</v>
      </c>
      <c r="C1600" s="20" t="str">
        <f t="shared" ref="C1600:D1600" si="4793">#REF!</f>
        <v>#REF!</v>
      </c>
      <c r="D1600" s="20" t="str">
        <f t="shared" si="4793"/>
        <v>#REF!</v>
      </c>
      <c r="E1600" s="20" t="str">
        <f t="shared" si="1270"/>
        <v>#REF!</v>
      </c>
      <c r="F1600" s="22" t="str">
        <f t="shared" si="2"/>
        <v>#REF!</v>
      </c>
      <c r="G1600" s="20" t="str">
        <f t="shared" ref="G1600:I1600" si="4794">#REF!</f>
        <v>#REF!</v>
      </c>
      <c r="H1600" s="20" t="str">
        <f t="shared" si="4794"/>
        <v>#REF!</v>
      </c>
      <c r="I1600" s="20" t="str">
        <f t="shared" si="4794"/>
        <v>#REF!</v>
      </c>
      <c r="J1600" s="20" t="str">
        <f t="shared" si="1272"/>
        <v>#REF!</v>
      </c>
      <c r="K1600" s="20" t="str">
        <f t="shared" ref="K1600:L1600" si="4795">#REF!</f>
        <v>#REF!</v>
      </c>
      <c r="L1600" s="20" t="str">
        <f t="shared" si="4795"/>
        <v>#REF!</v>
      </c>
    </row>
    <row r="1601">
      <c r="A1601" s="20" t="str">
        <f t="shared" si="1267"/>
        <v>#REF!</v>
      </c>
      <c r="B1601" s="20" t="str">
        <f t="shared" si="1268"/>
        <v>#REF!</v>
      </c>
      <c r="C1601" s="20" t="str">
        <f t="shared" ref="C1601:D1601" si="4796">#REF!</f>
        <v>#REF!</v>
      </c>
      <c r="D1601" s="20" t="str">
        <f t="shared" si="4796"/>
        <v>#REF!</v>
      </c>
      <c r="E1601" s="20" t="str">
        <f t="shared" si="1270"/>
        <v>#REF!</v>
      </c>
      <c r="F1601" s="22" t="str">
        <f t="shared" si="2"/>
        <v>#REF!</v>
      </c>
      <c r="G1601" s="20" t="str">
        <f t="shared" ref="G1601:I1601" si="4797">#REF!</f>
        <v>#REF!</v>
      </c>
      <c r="H1601" s="20" t="str">
        <f t="shared" si="4797"/>
        <v>#REF!</v>
      </c>
      <c r="I1601" s="20" t="str">
        <f t="shared" si="4797"/>
        <v>#REF!</v>
      </c>
      <c r="J1601" s="20" t="str">
        <f t="shared" si="1272"/>
        <v>#REF!</v>
      </c>
      <c r="K1601" s="20" t="str">
        <f t="shared" ref="K1601:L1601" si="4798">#REF!</f>
        <v>#REF!</v>
      </c>
      <c r="L1601" s="20" t="str">
        <f t="shared" si="4798"/>
        <v>#REF!</v>
      </c>
    </row>
    <row r="1602">
      <c r="A1602" s="20" t="str">
        <f t="shared" si="1267"/>
        <v>#REF!</v>
      </c>
      <c r="B1602" s="20" t="str">
        <f t="shared" si="1268"/>
        <v>#REF!</v>
      </c>
      <c r="C1602" s="20" t="str">
        <f t="shared" ref="C1602:D1602" si="4799">#REF!</f>
        <v>#REF!</v>
      </c>
      <c r="D1602" s="20" t="str">
        <f t="shared" si="4799"/>
        <v>#REF!</v>
      </c>
      <c r="E1602" s="20" t="str">
        <f t="shared" si="1270"/>
        <v>#REF!</v>
      </c>
      <c r="F1602" s="22" t="str">
        <f t="shared" si="2"/>
        <v>#REF!</v>
      </c>
      <c r="G1602" s="20" t="str">
        <f t="shared" ref="G1602:I1602" si="4800">#REF!</f>
        <v>#REF!</v>
      </c>
      <c r="H1602" s="20" t="str">
        <f t="shared" si="4800"/>
        <v>#REF!</v>
      </c>
      <c r="I1602" s="20" t="str">
        <f t="shared" si="4800"/>
        <v>#REF!</v>
      </c>
      <c r="J1602" s="20" t="str">
        <f t="shared" si="1272"/>
        <v>#REF!</v>
      </c>
      <c r="K1602" s="20" t="str">
        <f t="shared" ref="K1602:L1602" si="4801">#REF!</f>
        <v>#REF!</v>
      </c>
      <c r="L1602" s="20" t="str">
        <f t="shared" si="4801"/>
        <v>#REF!</v>
      </c>
    </row>
    <row r="1603">
      <c r="A1603" s="20" t="str">
        <f t="shared" si="1267"/>
        <v>#REF!</v>
      </c>
      <c r="B1603" s="20" t="str">
        <f t="shared" si="1268"/>
        <v>#REF!</v>
      </c>
      <c r="C1603" s="20" t="str">
        <f t="shared" ref="C1603:D1603" si="4802">#REF!</f>
        <v>#REF!</v>
      </c>
      <c r="D1603" s="20" t="str">
        <f t="shared" si="4802"/>
        <v>#REF!</v>
      </c>
      <c r="E1603" s="20" t="str">
        <f t="shared" si="1270"/>
        <v>#REF!</v>
      </c>
      <c r="F1603" s="22" t="str">
        <f t="shared" si="2"/>
        <v>#REF!</v>
      </c>
      <c r="G1603" s="20" t="str">
        <f t="shared" ref="G1603:I1603" si="4803">#REF!</f>
        <v>#REF!</v>
      </c>
      <c r="H1603" s="20" t="str">
        <f t="shared" si="4803"/>
        <v>#REF!</v>
      </c>
      <c r="I1603" s="20" t="str">
        <f t="shared" si="4803"/>
        <v>#REF!</v>
      </c>
      <c r="J1603" s="20" t="str">
        <f t="shared" si="1272"/>
        <v>#REF!</v>
      </c>
      <c r="K1603" s="20" t="str">
        <f t="shared" ref="K1603:L1603" si="4804">#REF!</f>
        <v>#REF!</v>
      </c>
      <c r="L1603" s="20" t="str">
        <f t="shared" si="4804"/>
        <v>#REF!</v>
      </c>
    </row>
    <row r="1604">
      <c r="A1604" s="20" t="str">
        <f t="shared" si="1267"/>
        <v>#REF!</v>
      </c>
      <c r="B1604" s="20" t="str">
        <f t="shared" si="1268"/>
        <v>#REF!</v>
      </c>
      <c r="C1604" s="20" t="str">
        <f t="shared" ref="C1604:D1604" si="4805">#REF!</f>
        <v>#REF!</v>
      </c>
      <c r="D1604" s="20" t="str">
        <f t="shared" si="4805"/>
        <v>#REF!</v>
      </c>
      <c r="E1604" s="20" t="str">
        <f t="shared" si="1270"/>
        <v>#REF!</v>
      </c>
      <c r="F1604" s="22" t="str">
        <f t="shared" si="2"/>
        <v>#REF!</v>
      </c>
      <c r="G1604" s="20" t="str">
        <f t="shared" ref="G1604:I1604" si="4806">#REF!</f>
        <v>#REF!</v>
      </c>
      <c r="H1604" s="20" t="str">
        <f t="shared" si="4806"/>
        <v>#REF!</v>
      </c>
      <c r="I1604" s="20" t="str">
        <f t="shared" si="4806"/>
        <v>#REF!</v>
      </c>
      <c r="J1604" s="20" t="str">
        <f t="shared" si="1272"/>
        <v>#REF!</v>
      </c>
      <c r="K1604" s="20" t="str">
        <f t="shared" ref="K1604:L1604" si="4807">#REF!</f>
        <v>#REF!</v>
      </c>
      <c r="L1604" s="20" t="str">
        <f t="shared" si="4807"/>
        <v>#REF!</v>
      </c>
    </row>
    <row r="1605">
      <c r="A1605" s="20" t="str">
        <f t="shared" si="1267"/>
        <v>#REF!</v>
      </c>
      <c r="B1605" s="20" t="str">
        <f t="shared" si="1268"/>
        <v>#REF!</v>
      </c>
      <c r="C1605" s="20" t="str">
        <f t="shared" ref="C1605:D1605" si="4808">#REF!</f>
        <v>#REF!</v>
      </c>
      <c r="D1605" s="20" t="str">
        <f t="shared" si="4808"/>
        <v>#REF!</v>
      </c>
      <c r="E1605" s="20" t="str">
        <f t="shared" si="1270"/>
        <v>#REF!</v>
      </c>
      <c r="F1605" s="22" t="str">
        <f t="shared" si="2"/>
        <v>#REF!</v>
      </c>
      <c r="G1605" s="20" t="str">
        <f t="shared" ref="G1605:I1605" si="4809">#REF!</f>
        <v>#REF!</v>
      </c>
      <c r="H1605" s="20" t="str">
        <f t="shared" si="4809"/>
        <v>#REF!</v>
      </c>
      <c r="I1605" s="20" t="str">
        <f t="shared" si="4809"/>
        <v>#REF!</v>
      </c>
      <c r="J1605" s="20" t="str">
        <f t="shared" si="1272"/>
        <v>#REF!</v>
      </c>
      <c r="K1605" s="20" t="str">
        <f t="shared" ref="K1605:L1605" si="4810">#REF!</f>
        <v>#REF!</v>
      </c>
      <c r="L1605" s="20" t="str">
        <f t="shared" si="4810"/>
        <v>#REF!</v>
      </c>
    </row>
    <row r="1606">
      <c r="A1606" s="20" t="str">
        <f t="shared" si="1267"/>
        <v>#REF!</v>
      </c>
      <c r="B1606" s="20" t="str">
        <f t="shared" si="1268"/>
        <v>#REF!</v>
      </c>
      <c r="C1606" s="20" t="str">
        <f t="shared" ref="C1606:D1606" si="4811">#REF!</f>
        <v>#REF!</v>
      </c>
      <c r="D1606" s="20" t="str">
        <f t="shared" si="4811"/>
        <v>#REF!</v>
      </c>
      <c r="E1606" s="20" t="str">
        <f t="shared" si="1270"/>
        <v>#REF!</v>
      </c>
      <c r="F1606" s="22" t="str">
        <f t="shared" si="2"/>
        <v>#REF!</v>
      </c>
      <c r="G1606" s="20" t="str">
        <f t="shared" ref="G1606:I1606" si="4812">#REF!</f>
        <v>#REF!</v>
      </c>
      <c r="H1606" s="20" t="str">
        <f t="shared" si="4812"/>
        <v>#REF!</v>
      </c>
      <c r="I1606" s="20" t="str">
        <f t="shared" si="4812"/>
        <v>#REF!</v>
      </c>
      <c r="J1606" s="20" t="str">
        <f t="shared" si="1272"/>
        <v>#REF!</v>
      </c>
      <c r="K1606" s="20" t="str">
        <f t="shared" ref="K1606:L1606" si="4813">#REF!</f>
        <v>#REF!</v>
      </c>
      <c r="L1606" s="20" t="str">
        <f t="shared" si="4813"/>
        <v>#REF!</v>
      </c>
    </row>
    <row r="1607">
      <c r="A1607" s="20" t="str">
        <f t="shared" si="1267"/>
        <v>#REF!</v>
      </c>
      <c r="B1607" s="20" t="str">
        <f t="shared" si="1268"/>
        <v>#REF!</v>
      </c>
      <c r="C1607" s="20" t="str">
        <f t="shared" ref="C1607:D1607" si="4814">#REF!</f>
        <v>#REF!</v>
      </c>
      <c r="D1607" s="20" t="str">
        <f t="shared" si="4814"/>
        <v>#REF!</v>
      </c>
      <c r="E1607" s="20" t="str">
        <f t="shared" si="1270"/>
        <v>#REF!</v>
      </c>
      <c r="F1607" s="22" t="str">
        <f t="shared" si="2"/>
        <v>#REF!</v>
      </c>
      <c r="G1607" s="20" t="str">
        <f t="shared" ref="G1607:I1607" si="4815">#REF!</f>
        <v>#REF!</v>
      </c>
      <c r="H1607" s="20" t="str">
        <f t="shared" si="4815"/>
        <v>#REF!</v>
      </c>
      <c r="I1607" s="20" t="str">
        <f t="shared" si="4815"/>
        <v>#REF!</v>
      </c>
      <c r="J1607" s="20" t="str">
        <f t="shared" si="1272"/>
        <v>#REF!</v>
      </c>
      <c r="K1607" s="20" t="str">
        <f t="shared" ref="K1607:L1607" si="4816">#REF!</f>
        <v>#REF!</v>
      </c>
      <c r="L1607" s="20" t="str">
        <f t="shared" si="4816"/>
        <v>#REF!</v>
      </c>
    </row>
    <row r="1608">
      <c r="A1608" s="20" t="str">
        <f t="shared" si="1267"/>
        <v>#REF!</v>
      </c>
      <c r="B1608" s="20" t="str">
        <f t="shared" si="1268"/>
        <v>#REF!</v>
      </c>
      <c r="C1608" s="20" t="str">
        <f t="shared" ref="C1608:D1608" si="4817">#REF!</f>
        <v>#REF!</v>
      </c>
      <c r="D1608" s="20" t="str">
        <f t="shared" si="4817"/>
        <v>#REF!</v>
      </c>
      <c r="E1608" s="20" t="str">
        <f t="shared" si="1270"/>
        <v>#REF!</v>
      </c>
      <c r="F1608" s="22" t="str">
        <f t="shared" si="2"/>
        <v>#REF!</v>
      </c>
      <c r="G1608" s="20" t="str">
        <f t="shared" ref="G1608:I1608" si="4818">#REF!</f>
        <v>#REF!</v>
      </c>
      <c r="H1608" s="20" t="str">
        <f t="shared" si="4818"/>
        <v>#REF!</v>
      </c>
      <c r="I1608" s="20" t="str">
        <f t="shared" si="4818"/>
        <v>#REF!</v>
      </c>
      <c r="J1608" s="20" t="str">
        <f t="shared" si="1272"/>
        <v>#REF!</v>
      </c>
      <c r="K1608" s="20" t="str">
        <f t="shared" ref="K1608:L1608" si="4819">#REF!</f>
        <v>#REF!</v>
      </c>
      <c r="L1608" s="20" t="str">
        <f t="shared" si="4819"/>
        <v>#REF!</v>
      </c>
    </row>
    <row r="1609">
      <c r="A1609" s="20" t="str">
        <f t="shared" si="1267"/>
        <v>#REF!</v>
      </c>
      <c r="B1609" s="20" t="str">
        <f t="shared" si="1268"/>
        <v>#REF!</v>
      </c>
      <c r="C1609" s="20" t="str">
        <f t="shared" ref="C1609:D1609" si="4820">#REF!</f>
        <v>#REF!</v>
      </c>
      <c r="D1609" s="20" t="str">
        <f t="shared" si="4820"/>
        <v>#REF!</v>
      </c>
      <c r="E1609" s="20" t="str">
        <f t="shared" si="1270"/>
        <v>#REF!</v>
      </c>
      <c r="F1609" s="22" t="str">
        <f t="shared" si="2"/>
        <v>#REF!</v>
      </c>
      <c r="G1609" s="20" t="str">
        <f t="shared" ref="G1609:I1609" si="4821">#REF!</f>
        <v>#REF!</v>
      </c>
      <c r="H1609" s="20" t="str">
        <f t="shared" si="4821"/>
        <v>#REF!</v>
      </c>
      <c r="I1609" s="20" t="str">
        <f t="shared" si="4821"/>
        <v>#REF!</v>
      </c>
      <c r="J1609" s="20" t="str">
        <f t="shared" si="1272"/>
        <v>#REF!</v>
      </c>
      <c r="K1609" s="20" t="str">
        <f t="shared" ref="K1609:L1609" si="4822">#REF!</f>
        <v>#REF!</v>
      </c>
      <c r="L1609" s="20" t="str">
        <f t="shared" si="4822"/>
        <v>#REF!</v>
      </c>
    </row>
    <row r="1610">
      <c r="A1610" s="20" t="str">
        <f t="shared" si="1267"/>
        <v>#REF!</v>
      </c>
      <c r="B1610" s="20" t="str">
        <f t="shared" si="1268"/>
        <v>#REF!</v>
      </c>
      <c r="C1610" s="20" t="str">
        <f t="shared" ref="C1610:D1610" si="4823">#REF!</f>
        <v>#REF!</v>
      </c>
      <c r="D1610" s="20" t="str">
        <f t="shared" si="4823"/>
        <v>#REF!</v>
      </c>
      <c r="E1610" s="20" t="str">
        <f t="shared" si="1270"/>
        <v>#REF!</v>
      </c>
      <c r="F1610" s="22" t="str">
        <f t="shared" si="2"/>
        <v>#REF!</v>
      </c>
      <c r="G1610" s="20" t="str">
        <f t="shared" ref="G1610:I1610" si="4824">#REF!</f>
        <v>#REF!</v>
      </c>
      <c r="H1610" s="20" t="str">
        <f t="shared" si="4824"/>
        <v>#REF!</v>
      </c>
      <c r="I1610" s="20" t="str">
        <f t="shared" si="4824"/>
        <v>#REF!</v>
      </c>
      <c r="J1610" s="20" t="str">
        <f t="shared" si="1272"/>
        <v>#REF!</v>
      </c>
      <c r="K1610" s="20" t="str">
        <f t="shared" ref="K1610:L1610" si="4825">#REF!</f>
        <v>#REF!</v>
      </c>
      <c r="L1610" s="20" t="str">
        <f t="shared" si="4825"/>
        <v>#REF!</v>
      </c>
    </row>
    <row r="1611">
      <c r="A1611" s="20" t="str">
        <f t="shared" si="1267"/>
        <v>#REF!</v>
      </c>
      <c r="B1611" s="20" t="str">
        <f t="shared" si="1268"/>
        <v>#REF!</v>
      </c>
      <c r="C1611" s="20" t="str">
        <f t="shared" ref="C1611:D1611" si="4826">#REF!</f>
        <v>#REF!</v>
      </c>
      <c r="D1611" s="20" t="str">
        <f t="shared" si="4826"/>
        <v>#REF!</v>
      </c>
      <c r="E1611" s="20" t="str">
        <f t="shared" si="1270"/>
        <v>#REF!</v>
      </c>
      <c r="F1611" s="22" t="str">
        <f t="shared" si="2"/>
        <v>#REF!</v>
      </c>
      <c r="G1611" s="20" t="str">
        <f t="shared" ref="G1611:I1611" si="4827">#REF!</f>
        <v>#REF!</v>
      </c>
      <c r="H1611" s="20" t="str">
        <f t="shared" si="4827"/>
        <v>#REF!</v>
      </c>
      <c r="I1611" s="20" t="str">
        <f t="shared" si="4827"/>
        <v>#REF!</v>
      </c>
      <c r="J1611" s="20" t="str">
        <f t="shared" si="1272"/>
        <v>#REF!</v>
      </c>
      <c r="K1611" s="20" t="str">
        <f t="shared" ref="K1611:L1611" si="4828">#REF!</f>
        <v>#REF!</v>
      </c>
      <c r="L1611" s="20" t="str">
        <f t="shared" si="4828"/>
        <v>#REF!</v>
      </c>
    </row>
    <row r="1612">
      <c r="A1612" s="20" t="str">
        <f t="shared" si="1267"/>
        <v>#REF!</v>
      </c>
      <c r="B1612" s="20" t="str">
        <f t="shared" si="1268"/>
        <v>#REF!</v>
      </c>
      <c r="C1612" s="20" t="str">
        <f t="shared" ref="C1612:D1612" si="4829">#REF!</f>
        <v>#REF!</v>
      </c>
      <c r="D1612" s="20" t="str">
        <f t="shared" si="4829"/>
        <v>#REF!</v>
      </c>
      <c r="E1612" s="20" t="str">
        <f t="shared" si="1270"/>
        <v>#REF!</v>
      </c>
      <c r="F1612" s="22" t="str">
        <f t="shared" si="2"/>
        <v>#REF!</v>
      </c>
      <c r="G1612" s="20" t="str">
        <f t="shared" ref="G1612:I1612" si="4830">#REF!</f>
        <v>#REF!</v>
      </c>
      <c r="H1612" s="20" t="str">
        <f t="shared" si="4830"/>
        <v>#REF!</v>
      </c>
      <c r="I1612" s="20" t="str">
        <f t="shared" si="4830"/>
        <v>#REF!</v>
      </c>
      <c r="J1612" s="20" t="str">
        <f t="shared" si="1272"/>
        <v>#REF!</v>
      </c>
      <c r="K1612" s="20" t="str">
        <f t="shared" ref="K1612:L1612" si="4831">#REF!</f>
        <v>#REF!</v>
      </c>
      <c r="L1612" s="20" t="str">
        <f t="shared" si="4831"/>
        <v>#REF!</v>
      </c>
    </row>
    <row r="1613">
      <c r="A1613" s="20" t="str">
        <f t="shared" si="1267"/>
        <v>#REF!</v>
      </c>
      <c r="B1613" s="20" t="str">
        <f t="shared" si="1268"/>
        <v>#REF!</v>
      </c>
      <c r="C1613" s="20" t="str">
        <f t="shared" ref="C1613:D1613" si="4832">#REF!</f>
        <v>#REF!</v>
      </c>
      <c r="D1613" s="20" t="str">
        <f t="shared" si="4832"/>
        <v>#REF!</v>
      </c>
      <c r="E1613" s="20" t="str">
        <f t="shared" si="1270"/>
        <v>#REF!</v>
      </c>
      <c r="F1613" s="22" t="str">
        <f t="shared" si="2"/>
        <v>#REF!</v>
      </c>
      <c r="G1613" s="20" t="str">
        <f t="shared" ref="G1613:I1613" si="4833">#REF!</f>
        <v>#REF!</v>
      </c>
      <c r="H1613" s="20" t="str">
        <f t="shared" si="4833"/>
        <v>#REF!</v>
      </c>
      <c r="I1613" s="20" t="str">
        <f t="shared" si="4833"/>
        <v>#REF!</v>
      </c>
      <c r="J1613" s="20" t="str">
        <f t="shared" si="1272"/>
        <v>#REF!</v>
      </c>
      <c r="K1613" s="20" t="str">
        <f t="shared" ref="K1613:L1613" si="4834">#REF!</f>
        <v>#REF!</v>
      </c>
      <c r="L1613" s="20" t="str">
        <f t="shared" si="4834"/>
        <v>#REF!</v>
      </c>
    </row>
    <row r="1614">
      <c r="A1614" s="20" t="str">
        <f t="shared" si="1267"/>
        <v>#REF!</v>
      </c>
      <c r="B1614" s="20" t="str">
        <f t="shared" si="1268"/>
        <v>#REF!</v>
      </c>
      <c r="C1614" s="20" t="str">
        <f t="shared" ref="C1614:D1614" si="4835">#REF!</f>
        <v>#REF!</v>
      </c>
      <c r="D1614" s="20" t="str">
        <f t="shared" si="4835"/>
        <v>#REF!</v>
      </c>
      <c r="E1614" s="20" t="str">
        <f t="shared" si="1270"/>
        <v>#REF!</v>
      </c>
      <c r="F1614" s="22" t="str">
        <f t="shared" si="2"/>
        <v>#REF!</v>
      </c>
      <c r="G1614" s="20" t="str">
        <f t="shared" ref="G1614:I1614" si="4836">#REF!</f>
        <v>#REF!</v>
      </c>
      <c r="H1614" s="20" t="str">
        <f t="shared" si="4836"/>
        <v>#REF!</v>
      </c>
      <c r="I1614" s="20" t="str">
        <f t="shared" si="4836"/>
        <v>#REF!</v>
      </c>
      <c r="J1614" s="20" t="str">
        <f t="shared" si="1272"/>
        <v>#REF!</v>
      </c>
      <c r="K1614" s="20" t="str">
        <f t="shared" ref="K1614:L1614" si="4837">#REF!</f>
        <v>#REF!</v>
      </c>
      <c r="L1614" s="20" t="str">
        <f t="shared" si="4837"/>
        <v>#REF!</v>
      </c>
    </row>
    <row r="1615">
      <c r="A1615" s="20" t="str">
        <f t="shared" si="1267"/>
        <v>#REF!</v>
      </c>
      <c r="B1615" s="20" t="str">
        <f t="shared" si="1268"/>
        <v>#REF!</v>
      </c>
      <c r="C1615" s="20" t="str">
        <f t="shared" ref="C1615:D1615" si="4838">#REF!</f>
        <v>#REF!</v>
      </c>
      <c r="D1615" s="20" t="str">
        <f t="shared" si="4838"/>
        <v>#REF!</v>
      </c>
      <c r="E1615" s="20" t="str">
        <f t="shared" si="1270"/>
        <v>#REF!</v>
      </c>
      <c r="F1615" s="22" t="str">
        <f t="shared" si="2"/>
        <v>#REF!</v>
      </c>
      <c r="G1615" s="20" t="str">
        <f t="shared" ref="G1615:I1615" si="4839">#REF!</f>
        <v>#REF!</v>
      </c>
      <c r="H1615" s="20" t="str">
        <f t="shared" si="4839"/>
        <v>#REF!</v>
      </c>
      <c r="I1615" s="20" t="str">
        <f t="shared" si="4839"/>
        <v>#REF!</v>
      </c>
      <c r="J1615" s="20" t="str">
        <f t="shared" si="1272"/>
        <v>#REF!</v>
      </c>
      <c r="K1615" s="20" t="str">
        <f t="shared" ref="K1615:L1615" si="4840">#REF!</f>
        <v>#REF!</v>
      </c>
      <c r="L1615" s="20" t="str">
        <f t="shared" si="4840"/>
        <v>#REF!</v>
      </c>
    </row>
    <row r="1616">
      <c r="A1616" s="20" t="str">
        <f t="shared" si="1267"/>
        <v>#REF!</v>
      </c>
      <c r="B1616" s="20" t="str">
        <f t="shared" si="1268"/>
        <v>#REF!</v>
      </c>
      <c r="C1616" s="20" t="str">
        <f t="shared" ref="C1616:D1616" si="4841">#REF!</f>
        <v>#REF!</v>
      </c>
      <c r="D1616" s="20" t="str">
        <f t="shared" si="4841"/>
        <v>#REF!</v>
      </c>
      <c r="E1616" s="20" t="str">
        <f t="shared" si="1270"/>
        <v>#REF!</v>
      </c>
      <c r="F1616" s="22" t="str">
        <f t="shared" si="2"/>
        <v>#REF!</v>
      </c>
      <c r="G1616" s="20" t="str">
        <f t="shared" ref="G1616:I1616" si="4842">#REF!</f>
        <v>#REF!</v>
      </c>
      <c r="H1616" s="20" t="str">
        <f t="shared" si="4842"/>
        <v>#REF!</v>
      </c>
      <c r="I1616" s="20" t="str">
        <f t="shared" si="4842"/>
        <v>#REF!</v>
      </c>
      <c r="J1616" s="20" t="str">
        <f t="shared" si="1272"/>
        <v>#REF!</v>
      </c>
      <c r="K1616" s="20" t="str">
        <f t="shared" ref="K1616:L1616" si="4843">#REF!</f>
        <v>#REF!</v>
      </c>
      <c r="L1616" s="20" t="str">
        <f t="shared" si="4843"/>
        <v>#REF!</v>
      </c>
    </row>
    <row r="1617">
      <c r="A1617" s="20" t="str">
        <f t="shared" si="1267"/>
        <v>#REF!</v>
      </c>
      <c r="B1617" s="20" t="str">
        <f t="shared" si="1268"/>
        <v>#REF!</v>
      </c>
      <c r="C1617" s="20" t="str">
        <f t="shared" ref="C1617:D1617" si="4844">#REF!</f>
        <v>#REF!</v>
      </c>
      <c r="D1617" s="20" t="str">
        <f t="shared" si="4844"/>
        <v>#REF!</v>
      </c>
      <c r="E1617" s="20" t="str">
        <f t="shared" si="1270"/>
        <v>#REF!</v>
      </c>
      <c r="F1617" s="22" t="str">
        <f t="shared" si="2"/>
        <v>#REF!</v>
      </c>
      <c r="G1617" s="20" t="str">
        <f t="shared" ref="G1617:I1617" si="4845">#REF!</f>
        <v>#REF!</v>
      </c>
      <c r="H1617" s="20" t="str">
        <f t="shared" si="4845"/>
        <v>#REF!</v>
      </c>
      <c r="I1617" s="20" t="str">
        <f t="shared" si="4845"/>
        <v>#REF!</v>
      </c>
      <c r="J1617" s="20" t="str">
        <f t="shared" si="1272"/>
        <v>#REF!</v>
      </c>
      <c r="K1617" s="20" t="str">
        <f t="shared" ref="K1617:L1617" si="4846">#REF!</f>
        <v>#REF!</v>
      </c>
      <c r="L1617" s="20" t="str">
        <f t="shared" si="4846"/>
        <v>#REF!</v>
      </c>
    </row>
    <row r="1618">
      <c r="A1618" s="20" t="str">
        <f t="shared" si="1267"/>
        <v>#REF!</v>
      </c>
      <c r="B1618" s="20" t="str">
        <f t="shared" si="1268"/>
        <v>#REF!</v>
      </c>
      <c r="C1618" s="20" t="str">
        <f t="shared" ref="C1618:D1618" si="4847">#REF!</f>
        <v>#REF!</v>
      </c>
      <c r="D1618" s="20" t="str">
        <f t="shared" si="4847"/>
        <v>#REF!</v>
      </c>
      <c r="E1618" s="20" t="str">
        <f t="shared" si="1270"/>
        <v>#REF!</v>
      </c>
      <c r="F1618" s="22" t="str">
        <f t="shared" si="2"/>
        <v>#REF!</v>
      </c>
      <c r="G1618" s="20" t="str">
        <f t="shared" ref="G1618:I1618" si="4848">#REF!</f>
        <v>#REF!</v>
      </c>
      <c r="H1618" s="20" t="str">
        <f t="shared" si="4848"/>
        <v>#REF!</v>
      </c>
      <c r="I1618" s="20" t="str">
        <f t="shared" si="4848"/>
        <v>#REF!</v>
      </c>
      <c r="J1618" s="20" t="str">
        <f t="shared" si="1272"/>
        <v>#REF!</v>
      </c>
      <c r="K1618" s="20" t="str">
        <f t="shared" ref="K1618:L1618" si="4849">#REF!</f>
        <v>#REF!</v>
      </c>
      <c r="L1618" s="20" t="str">
        <f t="shared" si="4849"/>
        <v>#REF!</v>
      </c>
    </row>
    <row r="1619">
      <c r="A1619" s="20" t="str">
        <f t="shared" si="1267"/>
        <v>#REF!</v>
      </c>
      <c r="B1619" s="20" t="str">
        <f t="shared" si="1268"/>
        <v>#REF!</v>
      </c>
      <c r="C1619" s="20" t="str">
        <f t="shared" ref="C1619:D1619" si="4850">#REF!</f>
        <v>#REF!</v>
      </c>
      <c r="D1619" s="20" t="str">
        <f t="shared" si="4850"/>
        <v>#REF!</v>
      </c>
      <c r="E1619" s="20" t="str">
        <f t="shared" si="1270"/>
        <v>#REF!</v>
      </c>
      <c r="F1619" s="22" t="str">
        <f t="shared" si="2"/>
        <v>#REF!</v>
      </c>
      <c r="G1619" s="20" t="str">
        <f t="shared" ref="G1619:I1619" si="4851">#REF!</f>
        <v>#REF!</v>
      </c>
      <c r="H1619" s="20" t="str">
        <f t="shared" si="4851"/>
        <v>#REF!</v>
      </c>
      <c r="I1619" s="20" t="str">
        <f t="shared" si="4851"/>
        <v>#REF!</v>
      </c>
      <c r="J1619" s="20" t="str">
        <f t="shared" si="1272"/>
        <v>#REF!</v>
      </c>
      <c r="K1619" s="20" t="str">
        <f t="shared" ref="K1619:L1619" si="4852">#REF!</f>
        <v>#REF!</v>
      </c>
      <c r="L1619" s="20" t="str">
        <f t="shared" si="4852"/>
        <v>#REF!</v>
      </c>
    </row>
    <row r="1620">
      <c r="A1620" s="20" t="str">
        <f t="shared" si="1267"/>
        <v>#REF!</v>
      </c>
      <c r="B1620" s="20" t="str">
        <f t="shared" si="1268"/>
        <v>#REF!</v>
      </c>
      <c r="C1620" s="20" t="str">
        <f t="shared" ref="C1620:D1620" si="4853">#REF!</f>
        <v>#REF!</v>
      </c>
      <c r="D1620" s="20" t="str">
        <f t="shared" si="4853"/>
        <v>#REF!</v>
      </c>
      <c r="E1620" s="20" t="str">
        <f t="shared" si="1270"/>
        <v>#REF!</v>
      </c>
      <c r="F1620" s="22" t="str">
        <f t="shared" si="2"/>
        <v>#REF!</v>
      </c>
      <c r="G1620" s="20" t="str">
        <f t="shared" ref="G1620:I1620" si="4854">#REF!</f>
        <v>#REF!</v>
      </c>
      <c r="H1620" s="20" t="str">
        <f t="shared" si="4854"/>
        <v>#REF!</v>
      </c>
      <c r="I1620" s="20" t="str">
        <f t="shared" si="4854"/>
        <v>#REF!</v>
      </c>
      <c r="J1620" s="20" t="str">
        <f t="shared" si="1272"/>
        <v>#REF!</v>
      </c>
      <c r="K1620" s="20" t="str">
        <f t="shared" ref="K1620:L1620" si="4855">#REF!</f>
        <v>#REF!</v>
      </c>
      <c r="L1620" s="20" t="str">
        <f t="shared" si="4855"/>
        <v>#REF!</v>
      </c>
    </row>
    <row r="1621">
      <c r="A1621" s="20" t="str">
        <f t="shared" si="1267"/>
        <v>#REF!</v>
      </c>
      <c r="B1621" s="20" t="str">
        <f t="shared" si="1268"/>
        <v>#REF!</v>
      </c>
      <c r="C1621" s="20" t="str">
        <f t="shared" ref="C1621:D1621" si="4856">#REF!</f>
        <v>#REF!</v>
      </c>
      <c r="D1621" s="20" t="str">
        <f t="shared" si="4856"/>
        <v>#REF!</v>
      </c>
      <c r="E1621" s="20" t="str">
        <f t="shared" si="1270"/>
        <v>#REF!</v>
      </c>
      <c r="F1621" s="22" t="str">
        <f t="shared" si="2"/>
        <v>#REF!</v>
      </c>
      <c r="G1621" s="20" t="str">
        <f t="shared" ref="G1621:I1621" si="4857">#REF!</f>
        <v>#REF!</v>
      </c>
      <c r="H1621" s="20" t="str">
        <f t="shared" si="4857"/>
        <v>#REF!</v>
      </c>
      <c r="I1621" s="20" t="str">
        <f t="shared" si="4857"/>
        <v>#REF!</v>
      </c>
      <c r="J1621" s="20" t="str">
        <f t="shared" si="1272"/>
        <v>#REF!</v>
      </c>
      <c r="K1621" s="20" t="str">
        <f t="shared" ref="K1621:L1621" si="4858">#REF!</f>
        <v>#REF!</v>
      </c>
      <c r="L1621" s="20" t="str">
        <f t="shared" si="4858"/>
        <v>#REF!</v>
      </c>
    </row>
    <row r="1622">
      <c r="A1622" s="20" t="str">
        <f t="shared" si="1267"/>
        <v>#REF!</v>
      </c>
      <c r="B1622" s="20" t="str">
        <f t="shared" si="1268"/>
        <v>#REF!</v>
      </c>
      <c r="C1622" s="20" t="str">
        <f t="shared" ref="C1622:D1622" si="4859">#REF!</f>
        <v>#REF!</v>
      </c>
      <c r="D1622" s="20" t="str">
        <f t="shared" si="4859"/>
        <v>#REF!</v>
      </c>
      <c r="E1622" s="20" t="str">
        <f t="shared" si="1270"/>
        <v>#REF!</v>
      </c>
      <c r="F1622" s="22" t="str">
        <f t="shared" si="2"/>
        <v>#REF!</v>
      </c>
      <c r="G1622" s="20" t="str">
        <f t="shared" ref="G1622:I1622" si="4860">#REF!</f>
        <v>#REF!</v>
      </c>
      <c r="H1622" s="20" t="str">
        <f t="shared" si="4860"/>
        <v>#REF!</v>
      </c>
      <c r="I1622" s="20" t="str">
        <f t="shared" si="4860"/>
        <v>#REF!</v>
      </c>
      <c r="J1622" s="20" t="str">
        <f t="shared" si="1272"/>
        <v>#REF!</v>
      </c>
      <c r="K1622" s="20" t="str">
        <f t="shared" ref="K1622:L1622" si="4861">#REF!</f>
        <v>#REF!</v>
      </c>
      <c r="L1622" s="20" t="str">
        <f t="shared" si="4861"/>
        <v>#REF!</v>
      </c>
    </row>
    <row r="1623">
      <c r="A1623" s="20" t="str">
        <f t="shared" si="1267"/>
        <v>#REF!</v>
      </c>
      <c r="B1623" s="20" t="str">
        <f t="shared" si="1268"/>
        <v>#REF!</v>
      </c>
      <c r="C1623" s="20" t="str">
        <f t="shared" ref="C1623:D1623" si="4862">#REF!</f>
        <v>#REF!</v>
      </c>
      <c r="D1623" s="20" t="str">
        <f t="shared" si="4862"/>
        <v>#REF!</v>
      </c>
      <c r="E1623" s="20" t="str">
        <f t="shared" si="1270"/>
        <v>#REF!</v>
      </c>
      <c r="F1623" s="22" t="str">
        <f t="shared" si="2"/>
        <v>#REF!</v>
      </c>
      <c r="G1623" s="20" t="str">
        <f t="shared" ref="G1623:I1623" si="4863">#REF!</f>
        <v>#REF!</v>
      </c>
      <c r="H1623" s="20" t="str">
        <f t="shared" si="4863"/>
        <v>#REF!</v>
      </c>
      <c r="I1623" s="20" t="str">
        <f t="shared" si="4863"/>
        <v>#REF!</v>
      </c>
      <c r="J1623" s="20" t="str">
        <f t="shared" si="1272"/>
        <v>#REF!</v>
      </c>
      <c r="K1623" s="20" t="str">
        <f t="shared" ref="K1623:L1623" si="4864">#REF!</f>
        <v>#REF!</v>
      </c>
      <c r="L1623" s="20" t="str">
        <f t="shared" si="4864"/>
        <v>#REF!</v>
      </c>
    </row>
    <row r="1624">
      <c r="A1624" s="20" t="str">
        <f t="shared" si="1267"/>
        <v>#REF!</v>
      </c>
      <c r="B1624" s="20" t="str">
        <f t="shared" si="1268"/>
        <v>#REF!</v>
      </c>
      <c r="C1624" s="20" t="str">
        <f t="shared" ref="C1624:D1624" si="4865">#REF!</f>
        <v>#REF!</v>
      </c>
      <c r="D1624" s="20" t="str">
        <f t="shared" si="4865"/>
        <v>#REF!</v>
      </c>
      <c r="E1624" s="20" t="str">
        <f t="shared" si="1270"/>
        <v>#REF!</v>
      </c>
      <c r="F1624" s="22" t="str">
        <f t="shared" si="2"/>
        <v>#REF!</v>
      </c>
      <c r="G1624" s="20" t="str">
        <f t="shared" ref="G1624:I1624" si="4866">#REF!</f>
        <v>#REF!</v>
      </c>
      <c r="H1624" s="20" t="str">
        <f t="shared" si="4866"/>
        <v>#REF!</v>
      </c>
      <c r="I1624" s="20" t="str">
        <f t="shared" si="4866"/>
        <v>#REF!</v>
      </c>
      <c r="J1624" s="20" t="str">
        <f t="shared" si="1272"/>
        <v>#REF!</v>
      </c>
      <c r="K1624" s="20" t="str">
        <f t="shared" ref="K1624:L1624" si="4867">#REF!</f>
        <v>#REF!</v>
      </c>
      <c r="L1624" s="20" t="str">
        <f t="shared" si="4867"/>
        <v>#REF!</v>
      </c>
    </row>
    <row r="1625">
      <c r="A1625" s="20" t="str">
        <f t="shared" si="1267"/>
        <v>#REF!</v>
      </c>
      <c r="B1625" s="20" t="str">
        <f t="shared" si="1268"/>
        <v>#REF!</v>
      </c>
      <c r="C1625" s="20" t="str">
        <f t="shared" ref="C1625:D1625" si="4868">#REF!</f>
        <v>#REF!</v>
      </c>
      <c r="D1625" s="20" t="str">
        <f t="shared" si="4868"/>
        <v>#REF!</v>
      </c>
      <c r="E1625" s="20" t="str">
        <f t="shared" si="1270"/>
        <v>#REF!</v>
      </c>
      <c r="F1625" s="22" t="str">
        <f t="shared" si="2"/>
        <v>#REF!</v>
      </c>
      <c r="G1625" s="20" t="str">
        <f t="shared" ref="G1625:I1625" si="4869">#REF!</f>
        <v>#REF!</v>
      </c>
      <c r="H1625" s="20" t="str">
        <f t="shared" si="4869"/>
        <v>#REF!</v>
      </c>
      <c r="I1625" s="20" t="str">
        <f t="shared" si="4869"/>
        <v>#REF!</v>
      </c>
      <c r="J1625" s="20" t="str">
        <f t="shared" si="1272"/>
        <v>#REF!</v>
      </c>
      <c r="K1625" s="20" t="str">
        <f t="shared" ref="K1625:L1625" si="4870">#REF!</f>
        <v>#REF!</v>
      </c>
      <c r="L1625" s="20" t="str">
        <f t="shared" si="4870"/>
        <v>#REF!</v>
      </c>
    </row>
    <row r="1626">
      <c r="A1626" s="20" t="str">
        <f t="shared" si="1267"/>
        <v>#REF!</v>
      </c>
      <c r="B1626" s="20" t="str">
        <f t="shared" si="1268"/>
        <v>#REF!</v>
      </c>
      <c r="C1626" s="20" t="str">
        <f t="shared" ref="C1626:D1626" si="4871">#REF!</f>
        <v>#REF!</v>
      </c>
      <c r="D1626" s="20" t="str">
        <f t="shared" si="4871"/>
        <v>#REF!</v>
      </c>
      <c r="E1626" s="20" t="str">
        <f t="shared" si="1270"/>
        <v>#REF!</v>
      </c>
      <c r="F1626" s="22" t="str">
        <f t="shared" si="2"/>
        <v>#REF!</v>
      </c>
      <c r="G1626" s="20" t="str">
        <f t="shared" ref="G1626:I1626" si="4872">#REF!</f>
        <v>#REF!</v>
      </c>
      <c r="H1626" s="20" t="str">
        <f t="shared" si="4872"/>
        <v>#REF!</v>
      </c>
      <c r="I1626" s="20" t="str">
        <f t="shared" si="4872"/>
        <v>#REF!</v>
      </c>
      <c r="J1626" s="20" t="str">
        <f t="shared" si="1272"/>
        <v>#REF!</v>
      </c>
      <c r="K1626" s="20" t="str">
        <f t="shared" ref="K1626:L1626" si="4873">#REF!</f>
        <v>#REF!</v>
      </c>
      <c r="L1626" s="20" t="str">
        <f t="shared" si="4873"/>
        <v>#REF!</v>
      </c>
    </row>
    <row r="1627">
      <c r="A1627" s="20" t="str">
        <f t="shared" si="1267"/>
        <v>#REF!</v>
      </c>
      <c r="B1627" s="20" t="str">
        <f t="shared" si="1268"/>
        <v>#REF!</v>
      </c>
      <c r="C1627" s="20" t="str">
        <f t="shared" ref="C1627:D1627" si="4874">#REF!</f>
        <v>#REF!</v>
      </c>
      <c r="D1627" s="20" t="str">
        <f t="shared" si="4874"/>
        <v>#REF!</v>
      </c>
      <c r="E1627" s="20" t="str">
        <f t="shared" si="1270"/>
        <v>#REF!</v>
      </c>
      <c r="F1627" s="22" t="str">
        <f t="shared" si="2"/>
        <v>#REF!</v>
      </c>
      <c r="G1627" s="20" t="str">
        <f t="shared" ref="G1627:I1627" si="4875">#REF!</f>
        <v>#REF!</v>
      </c>
      <c r="H1627" s="20" t="str">
        <f t="shared" si="4875"/>
        <v>#REF!</v>
      </c>
      <c r="I1627" s="20" t="str">
        <f t="shared" si="4875"/>
        <v>#REF!</v>
      </c>
      <c r="J1627" s="20" t="str">
        <f t="shared" si="1272"/>
        <v>#REF!</v>
      </c>
      <c r="K1627" s="20" t="str">
        <f t="shared" ref="K1627:L1627" si="4876">#REF!</f>
        <v>#REF!</v>
      </c>
      <c r="L1627" s="20" t="str">
        <f t="shared" si="4876"/>
        <v>#REF!</v>
      </c>
    </row>
    <row r="1628">
      <c r="A1628" s="20" t="str">
        <f t="shared" si="1267"/>
        <v>#REF!</v>
      </c>
      <c r="B1628" s="20" t="str">
        <f t="shared" si="1268"/>
        <v>#REF!</v>
      </c>
      <c r="C1628" s="20" t="str">
        <f t="shared" ref="C1628:D1628" si="4877">#REF!</f>
        <v>#REF!</v>
      </c>
      <c r="D1628" s="20" t="str">
        <f t="shared" si="4877"/>
        <v>#REF!</v>
      </c>
      <c r="E1628" s="20" t="str">
        <f t="shared" si="1270"/>
        <v>#REF!</v>
      </c>
      <c r="F1628" s="22" t="str">
        <f t="shared" si="2"/>
        <v>#REF!</v>
      </c>
      <c r="G1628" s="20" t="str">
        <f t="shared" ref="G1628:I1628" si="4878">#REF!</f>
        <v>#REF!</v>
      </c>
      <c r="H1628" s="20" t="str">
        <f t="shared" si="4878"/>
        <v>#REF!</v>
      </c>
      <c r="I1628" s="20" t="str">
        <f t="shared" si="4878"/>
        <v>#REF!</v>
      </c>
      <c r="J1628" s="20" t="str">
        <f t="shared" si="1272"/>
        <v>#REF!</v>
      </c>
      <c r="K1628" s="20" t="str">
        <f t="shared" ref="K1628:L1628" si="4879">#REF!</f>
        <v>#REF!</v>
      </c>
      <c r="L1628" s="20" t="str">
        <f t="shared" si="4879"/>
        <v>#REF!</v>
      </c>
    </row>
    <row r="1629">
      <c r="A1629" s="20" t="str">
        <f t="shared" si="1267"/>
        <v>#REF!</v>
      </c>
      <c r="B1629" s="20" t="str">
        <f t="shared" si="1268"/>
        <v>#REF!</v>
      </c>
      <c r="C1629" s="20" t="str">
        <f t="shared" ref="C1629:D1629" si="4880">#REF!</f>
        <v>#REF!</v>
      </c>
      <c r="D1629" s="20" t="str">
        <f t="shared" si="4880"/>
        <v>#REF!</v>
      </c>
      <c r="E1629" s="20" t="str">
        <f t="shared" si="1270"/>
        <v>#REF!</v>
      </c>
      <c r="F1629" s="22" t="str">
        <f t="shared" si="2"/>
        <v>#REF!</v>
      </c>
      <c r="G1629" s="20" t="str">
        <f t="shared" ref="G1629:I1629" si="4881">#REF!</f>
        <v>#REF!</v>
      </c>
      <c r="H1629" s="20" t="str">
        <f t="shared" si="4881"/>
        <v>#REF!</v>
      </c>
      <c r="I1629" s="20" t="str">
        <f t="shared" si="4881"/>
        <v>#REF!</v>
      </c>
      <c r="J1629" s="20" t="str">
        <f t="shared" si="1272"/>
        <v>#REF!</v>
      </c>
      <c r="K1629" s="20" t="str">
        <f t="shared" ref="K1629:L1629" si="4882">#REF!</f>
        <v>#REF!</v>
      </c>
      <c r="L1629" s="20" t="str">
        <f t="shared" si="4882"/>
        <v>#REF!</v>
      </c>
    </row>
    <row r="1630">
      <c r="A1630" s="20" t="str">
        <f t="shared" si="1267"/>
        <v>#REF!</v>
      </c>
      <c r="B1630" s="20" t="str">
        <f t="shared" si="1268"/>
        <v>#REF!</v>
      </c>
      <c r="C1630" s="20" t="str">
        <f t="shared" ref="C1630:D1630" si="4883">#REF!</f>
        <v>#REF!</v>
      </c>
      <c r="D1630" s="20" t="str">
        <f t="shared" si="4883"/>
        <v>#REF!</v>
      </c>
      <c r="E1630" s="20" t="str">
        <f t="shared" si="1270"/>
        <v>#REF!</v>
      </c>
      <c r="F1630" s="22" t="str">
        <f t="shared" si="2"/>
        <v>#REF!</v>
      </c>
      <c r="G1630" s="20" t="str">
        <f t="shared" ref="G1630:I1630" si="4884">#REF!</f>
        <v>#REF!</v>
      </c>
      <c r="H1630" s="20" t="str">
        <f t="shared" si="4884"/>
        <v>#REF!</v>
      </c>
      <c r="I1630" s="20" t="str">
        <f t="shared" si="4884"/>
        <v>#REF!</v>
      </c>
      <c r="J1630" s="20" t="str">
        <f t="shared" si="1272"/>
        <v>#REF!</v>
      </c>
      <c r="K1630" s="20" t="str">
        <f t="shared" ref="K1630:L1630" si="4885">#REF!</f>
        <v>#REF!</v>
      </c>
      <c r="L1630" s="20" t="str">
        <f t="shared" si="4885"/>
        <v>#REF!</v>
      </c>
    </row>
    <row r="1631">
      <c r="A1631" s="20" t="str">
        <f t="shared" si="1267"/>
        <v>#REF!</v>
      </c>
      <c r="B1631" s="20" t="str">
        <f t="shared" si="1268"/>
        <v>#REF!</v>
      </c>
      <c r="C1631" s="20" t="str">
        <f t="shared" ref="C1631:D1631" si="4886">#REF!</f>
        <v>#REF!</v>
      </c>
      <c r="D1631" s="20" t="str">
        <f t="shared" si="4886"/>
        <v>#REF!</v>
      </c>
      <c r="E1631" s="20" t="str">
        <f t="shared" si="1270"/>
        <v>#REF!</v>
      </c>
      <c r="F1631" s="22" t="str">
        <f t="shared" si="2"/>
        <v>#REF!</v>
      </c>
      <c r="G1631" s="20" t="str">
        <f t="shared" ref="G1631:I1631" si="4887">#REF!</f>
        <v>#REF!</v>
      </c>
      <c r="H1631" s="20" t="str">
        <f t="shared" si="4887"/>
        <v>#REF!</v>
      </c>
      <c r="I1631" s="20" t="str">
        <f t="shared" si="4887"/>
        <v>#REF!</v>
      </c>
      <c r="J1631" s="20" t="str">
        <f t="shared" si="1272"/>
        <v>#REF!</v>
      </c>
      <c r="K1631" s="20" t="str">
        <f t="shared" ref="K1631:L1631" si="4888">#REF!</f>
        <v>#REF!</v>
      </c>
      <c r="L1631" s="20" t="str">
        <f t="shared" si="4888"/>
        <v>#REF!</v>
      </c>
    </row>
    <row r="1632">
      <c r="A1632" s="20" t="str">
        <f t="shared" si="1267"/>
        <v>#REF!</v>
      </c>
      <c r="B1632" s="20" t="str">
        <f t="shared" si="1268"/>
        <v>#REF!</v>
      </c>
      <c r="C1632" s="20" t="str">
        <f t="shared" ref="C1632:D1632" si="4889">#REF!</f>
        <v>#REF!</v>
      </c>
      <c r="D1632" s="20" t="str">
        <f t="shared" si="4889"/>
        <v>#REF!</v>
      </c>
      <c r="E1632" s="20" t="str">
        <f t="shared" si="1270"/>
        <v>#REF!</v>
      </c>
      <c r="F1632" s="22" t="str">
        <f t="shared" si="2"/>
        <v>#REF!</v>
      </c>
      <c r="G1632" s="20" t="str">
        <f t="shared" ref="G1632:I1632" si="4890">#REF!</f>
        <v>#REF!</v>
      </c>
      <c r="H1632" s="20" t="str">
        <f t="shared" si="4890"/>
        <v>#REF!</v>
      </c>
      <c r="I1632" s="20" t="str">
        <f t="shared" si="4890"/>
        <v>#REF!</v>
      </c>
      <c r="J1632" s="20" t="str">
        <f t="shared" si="1272"/>
        <v>#REF!</v>
      </c>
      <c r="K1632" s="20" t="str">
        <f t="shared" ref="K1632:L1632" si="4891">#REF!</f>
        <v>#REF!</v>
      </c>
      <c r="L1632" s="20" t="str">
        <f t="shared" si="4891"/>
        <v>#REF!</v>
      </c>
    </row>
    <row r="1633">
      <c r="A1633" s="20" t="str">
        <f t="shared" si="1267"/>
        <v>#REF!</v>
      </c>
      <c r="B1633" s="20" t="str">
        <f t="shared" si="1268"/>
        <v>#REF!</v>
      </c>
      <c r="C1633" s="20" t="str">
        <f t="shared" ref="C1633:D1633" si="4892">#REF!</f>
        <v>#REF!</v>
      </c>
      <c r="D1633" s="20" t="str">
        <f t="shared" si="4892"/>
        <v>#REF!</v>
      </c>
      <c r="E1633" s="20" t="str">
        <f t="shared" si="1270"/>
        <v>#REF!</v>
      </c>
      <c r="F1633" s="22" t="str">
        <f t="shared" si="2"/>
        <v>#REF!</v>
      </c>
      <c r="G1633" s="20" t="str">
        <f t="shared" ref="G1633:I1633" si="4893">#REF!</f>
        <v>#REF!</v>
      </c>
      <c r="H1633" s="20" t="str">
        <f t="shared" si="4893"/>
        <v>#REF!</v>
      </c>
      <c r="I1633" s="20" t="str">
        <f t="shared" si="4893"/>
        <v>#REF!</v>
      </c>
      <c r="J1633" s="20" t="str">
        <f t="shared" si="1272"/>
        <v>#REF!</v>
      </c>
      <c r="K1633" s="20" t="str">
        <f t="shared" ref="K1633:L1633" si="4894">#REF!</f>
        <v>#REF!</v>
      </c>
      <c r="L1633" s="20" t="str">
        <f t="shared" si="4894"/>
        <v>#REF!</v>
      </c>
    </row>
    <row r="1634">
      <c r="A1634" s="20" t="str">
        <f t="shared" si="1267"/>
        <v>#REF!</v>
      </c>
      <c r="B1634" s="20" t="str">
        <f t="shared" si="1268"/>
        <v>#REF!</v>
      </c>
      <c r="C1634" s="20" t="str">
        <f t="shared" ref="C1634:D1634" si="4895">#REF!</f>
        <v>#REF!</v>
      </c>
      <c r="D1634" s="20" t="str">
        <f t="shared" si="4895"/>
        <v>#REF!</v>
      </c>
      <c r="E1634" s="20" t="str">
        <f t="shared" si="1270"/>
        <v>#REF!</v>
      </c>
      <c r="F1634" s="22" t="str">
        <f t="shared" si="2"/>
        <v>#REF!</v>
      </c>
      <c r="G1634" s="20" t="str">
        <f t="shared" ref="G1634:I1634" si="4896">#REF!</f>
        <v>#REF!</v>
      </c>
      <c r="H1634" s="20" t="str">
        <f t="shared" si="4896"/>
        <v>#REF!</v>
      </c>
      <c r="I1634" s="20" t="str">
        <f t="shared" si="4896"/>
        <v>#REF!</v>
      </c>
      <c r="J1634" s="20" t="str">
        <f t="shared" si="1272"/>
        <v>#REF!</v>
      </c>
      <c r="K1634" s="20" t="str">
        <f t="shared" ref="K1634:L1634" si="4897">#REF!</f>
        <v>#REF!</v>
      </c>
      <c r="L1634" s="20" t="str">
        <f t="shared" si="4897"/>
        <v>#REF!</v>
      </c>
    </row>
    <row r="1635">
      <c r="A1635" s="20" t="str">
        <f t="shared" si="1267"/>
        <v>#REF!</v>
      </c>
      <c r="B1635" s="20" t="str">
        <f t="shared" si="1268"/>
        <v>#REF!</v>
      </c>
      <c r="C1635" s="20" t="str">
        <f t="shared" ref="C1635:D1635" si="4898">#REF!</f>
        <v>#REF!</v>
      </c>
      <c r="D1635" s="20" t="str">
        <f t="shared" si="4898"/>
        <v>#REF!</v>
      </c>
      <c r="E1635" s="20" t="str">
        <f t="shared" si="1270"/>
        <v>#REF!</v>
      </c>
      <c r="F1635" s="22" t="str">
        <f t="shared" si="2"/>
        <v>#REF!</v>
      </c>
      <c r="G1635" s="20" t="str">
        <f t="shared" ref="G1635:I1635" si="4899">#REF!</f>
        <v>#REF!</v>
      </c>
      <c r="H1635" s="20" t="str">
        <f t="shared" si="4899"/>
        <v>#REF!</v>
      </c>
      <c r="I1635" s="20" t="str">
        <f t="shared" si="4899"/>
        <v>#REF!</v>
      </c>
      <c r="J1635" s="20" t="str">
        <f t="shared" si="1272"/>
        <v>#REF!</v>
      </c>
      <c r="K1635" s="20" t="str">
        <f t="shared" ref="K1635:L1635" si="4900">#REF!</f>
        <v>#REF!</v>
      </c>
      <c r="L1635" s="20" t="str">
        <f t="shared" si="4900"/>
        <v>#REF!</v>
      </c>
    </row>
    <row r="1636">
      <c r="A1636" s="20" t="str">
        <f t="shared" si="1267"/>
        <v>#REF!</v>
      </c>
      <c r="B1636" s="20" t="str">
        <f t="shared" si="1268"/>
        <v>#REF!</v>
      </c>
      <c r="C1636" s="20" t="str">
        <f t="shared" ref="C1636:D1636" si="4901">#REF!</f>
        <v>#REF!</v>
      </c>
      <c r="D1636" s="20" t="str">
        <f t="shared" si="4901"/>
        <v>#REF!</v>
      </c>
      <c r="E1636" s="20" t="str">
        <f t="shared" si="1270"/>
        <v>#REF!</v>
      </c>
      <c r="F1636" s="22" t="str">
        <f t="shared" si="2"/>
        <v>#REF!</v>
      </c>
      <c r="G1636" s="20" t="str">
        <f t="shared" ref="G1636:I1636" si="4902">#REF!</f>
        <v>#REF!</v>
      </c>
      <c r="H1636" s="20" t="str">
        <f t="shared" si="4902"/>
        <v>#REF!</v>
      </c>
      <c r="I1636" s="20" t="str">
        <f t="shared" si="4902"/>
        <v>#REF!</v>
      </c>
      <c r="J1636" s="20" t="str">
        <f t="shared" si="1272"/>
        <v>#REF!</v>
      </c>
      <c r="K1636" s="20" t="str">
        <f t="shared" ref="K1636:L1636" si="4903">#REF!</f>
        <v>#REF!</v>
      </c>
      <c r="L1636" s="20" t="str">
        <f t="shared" si="4903"/>
        <v>#REF!</v>
      </c>
    </row>
    <row r="1637">
      <c r="A1637" s="20" t="str">
        <f t="shared" si="1267"/>
        <v>#REF!</v>
      </c>
      <c r="B1637" s="20" t="str">
        <f t="shared" si="1268"/>
        <v>#REF!</v>
      </c>
      <c r="C1637" s="20" t="str">
        <f t="shared" ref="C1637:D1637" si="4904">#REF!</f>
        <v>#REF!</v>
      </c>
      <c r="D1637" s="20" t="str">
        <f t="shared" si="4904"/>
        <v>#REF!</v>
      </c>
      <c r="E1637" s="20" t="str">
        <f t="shared" si="1270"/>
        <v>#REF!</v>
      </c>
      <c r="F1637" s="22" t="str">
        <f t="shared" si="2"/>
        <v>#REF!</v>
      </c>
      <c r="G1637" s="20" t="str">
        <f t="shared" ref="G1637:I1637" si="4905">#REF!</f>
        <v>#REF!</v>
      </c>
      <c r="H1637" s="20" t="str">
        <f t="shared" si="4905"/>
        <v>#REF!</v>
      </c>
      <c r="I1637" s="20" t="str">
        <f t="shared" si="4905"/>
        <v>#REF!</v>
      </c>
      <c r="J1637" s="20" t="str">
        <f t="shared" si="1272"/>
        <v>#REF!</v>
      </c>
      <c r="K1637" s="20" t="str">
        <f t="shared" ref="K1637:L1637" si="4906">#REF!</f>
        <v>#REF!</v>
      </c>
      <c r="L1637" s="20" t="str">
        <f t="shared" si="4906"/>
        <v>#REF!</v>
      </c>
    </row>
    <row r="1638">
      <c r="A1638" s="20" t="str">
        <f t="shared" si="1267"/>
        <v>#REF!</v>
      </c>
      <c r="B1638" s="20" t="str">
        <f t="shared" si="1268"/>
        <v>#REF!</v>
      </c>
      <c r="C1638" s="20" t="str">
        <f t="shared" ref="C1638:D1638" si="4907">#REF!</f>
        <v>#REF!</v>
      </c>
      <c r="D1638" s="20" t="str">
        <f t="shared" si="4907"/>
        <v>#REF!</v>
      </c>
      <c r="E1638" s="20" t="str">
        <f t="shared" si="1270"/>
        <v>#REF!</v>
      </c>
      <c r="F1638" s="22" t="str">
        <f t="shared" si="2"/>
        <v>#REF!</v>
      </c>
      <c r="G1638" s="20" t="str">
        <f t="shared" ref="G1638:I1638" si="4908">#REF!</f>
        <v>#REF!</v>
      </c>
      <c r="H1638" s="20" t="str">
        <f t="shared" si="4908"/>
        <v>#REF!</v>
      </c>
      <c r="I1638" s="20" t="str">
        <f t="shared" si="4908"/>
        <v>#REF!</v>
      </c>
      <c r="J1638" s="20" t="str">
        <f t="shared" si="1272"/>
        <v>#REF!</v>
      </c>
      <c r="K1638" s="20" t="str">
        <f t="shared" ref="K1638:L1638" si="4909">#REF!</f>
        <v>#REF!</v>
      </c>
      <c r="L1638" s="20" t="str">
        <f t="shared" si="4909"/>
        <v>#REF!</v>
      </c>
    </row>
    <row r="1639">
      <c r="A1639" s="20" t="str">
        <f t="shared" si="1267"/>
        <v>#REF!</v>
      </c>
      <c r="B1639" s="20" t="str">
        <f t="shared" si="1268"/>
        <v>#REF!</v>
      </c>
      <c r="C1639" s="20" t="str">
        <f t="shared" ref="C1639:D1639" si="4910">#REF!</f>
        <v>#REF!</v>
      </c>
      <c r="D1639" s="20" t="str">
        <f t="shared" si="4910"/>
        <v>#REF!</v>
      </c>
      <c r="E1639" s="20" t="str">
        <f t="shared" si="1270"/>
        <v>#REF!</v>
      </c>
      <c r="F1639" s="22" t="str">
        <f t="shared" si="2"/>
        <v>#REF!</v>
      </c>
      <c r="G1639" s="20" t="str">
        <f t="shared" ref="G1639:I1639" si="4911">#REF!</f>
        <v>#REF!</v>
      </c>
      <c r="H1639" s="20" t="str">
        <f t="shared" si="4911"/>
        <v>#REF!</v>
      </c>
      <c r="I1639" s="20" t="str">
        <f t="shared" si="4911"/>
        <v>#REF!</v>
      </c>
      <c r="J1639" s="20" t="str">
        <f t="shared" si="1272"/>
        <v>#REF!</v>
      </c>
      <c r="K1639" s="20" t="str">
        <f t="shared" ref="K1639:L1639" si="4912">#REF!</f>
        <v>#REF!</v>
      </c>
      <c r="L1639" s="20" t="str">
        <f t="shared" si="4912"/>
        <v>#REF!</v>
      </c>
    </row>
    <row r="1640">
      <c r="A1640" s="20" t="str">
        <f t="shared" si="1267"/>
        <v>#REF!</v>
      </c>
      <c r="B1640" s="20" t="str">
        <f t="shared" si="1268"/>
        <v>#REF!</v>
      </c>
      <c r="C1640" s="20" t="str">
        <f t="shared" ref="C1640:D1640" si="4913">#REF!</f>
        <v>#REF!</v>
      </c>
      <c r="D1640" s="20" t="str">
        <f t="shared" si="4913"/>
        <v>#REF!</v>
      </c>
      <c r="E1640" s="20" t="str">
        <f t="shared" si="1270"/>
        <v>#REF!</v>
      </c>
      <c r="F1640" s="22" t="str">
        <f t="shared" si="2"/>
        <v>#REF!</v>
      </c>
      <c r="G1640" s="20" t="str">
        <f t="shared" ref="G1640:I1640" si="4914">#REF!</f>
        <v>#REF!</v>
      </c>
      <c r="H1640" s="20" t="str">
        <f t="shared" si="4914"/>
        <v>#REF!</v>
      </c>
      <c r="I1640" s="20" t="str">
        <f t="shared" si="4914"/>
        <v>#REF!</v>
      </c>
      <c r="J1640" s="20" t="str">
        <f t="shared" si="1272"/>
        <v>#REF!</v>
      </c>
      <c r="K1640" s="20" t="str">
        <f t="shared" ref="K1640:L1640" si="4915">#REF!</f>
        <v>#REF!</v>
      </c>
      <c r="L1640" s="20" t="str">
        <f t="shared" si="4915"/>
        <v>#REF!</v>
      </c>
    </row>
    <row r="1641">
      <c r="A1641" s="20" t="str">
        <f t="shared" si="1267"/>
        <v>#REF!</v>
      </c>
      <c r="B1641" s="20" t="str">
        <f t="shared" si="1268"/>
        <v>#REF!</v>
      </c>
      <c r="C1641" s="20" t="str">
        <f t="shared" ref="C1641:D1641" si="4916">#REF!</f>
        <v>#REF!</v>
      </c>
      <c r="D1641" s="20" t="str">
        <f t="shared" si="4916"/>
        <v>#REF!</v>
      </c>
      <c r="E1641" s="20" t="str">
        <f t="shared" si="1270"/>
        <v>#REF!</v>
      </c>
      <c r="F1641" s="22" t="str">
        <f t="shared" si="2"/>
        <v>#REF!</v>
      </c>
      <c r="G1641" s="20" t="str">
        <f t="shared" ref="G1641:I1641" si="4917">#REF!</f>
        <v>#REF!</v>
      </c>
      <c r="H1641" s="20" t="str">
        <f t="shared" si="4917"/>
        <v>#REF!</v>
      </c>
      <c r="I1641" s="20" t="str">
        <f t="shared" si="4917"/>
        <v>#REF!</v>
      </c>
      <c r="J1641" s="20" t="str">
        <f t="shared" si="1272"/>
        <v>#REF!</v>
      </c>
      <c r="K1641" s="20" t="str">
        <f t="shared" ref="K1641:L1641" si="4918">#REF!</f>
        <v>#REF!</v>
      </c>
      <c r="L1641" s="20" t="str">
        <f t="shared" si="4918"/>
        <v>#REF!</v>
      </c>
    </row>
    <row r="1642">
      <c r="A1642" s="20" t="str">
        <f t="shared" si="1267"/>
        <v>#REF!</v>
      </c>
      <c r="B1642" s="20" t="str">
        <f t="shared" si="1268"/>
        <v>#REF!</v>
      </c>
      <c r="C1642" s="20" t="str">
        <f t="shared" ref="C1642:D1642" si="4919">#REF!</f>
        <v>#REF!</v>
      </c>
      <c r="D1642" s="20" t="str">
        <f t="shared" si="4919"/>
        <v>#REF!</v>
      </c>
      <c r="E1642" s="20" t="str">
        <f t="shared" si="1270"/>
        <v>#REF!</v>
      </c>
      <c r="F1642" s="22" t="str">
        <f t="shared" si="2"/>
        <v>#REF!</v>
      </c>
      <c r="G1642" s="20" t="str">
        <f t="shared" ref="G1642:I1642" si="4920">#REF!</f>
        <v>#REF!</v>
      </c>
      <c r="H1642" s="20" t="str">
        <f t="shared" si="4920"/>
        <v>#REF!</v>
      </c>
      <c r="I1642" s="20" t="str">
        <f t="shared" si="4920"/>
        <v>#REF!</v>
      </c>
      <c r="J1642" s="20" t="str">
        <f t="shared" si="1272"/>
        <v>#REF!</v>
      </c>
      <c r="K1642" s="20" t="str">
        <f t="shared" ref="K1642:L1642" si="4921">#REF!</f>
        <v>#REF!</v>
      </c>
      <c r="L1642" s="20" t="str">
        <f t="shared" si="4921"/>
        <v>#REF!</v>
      </c>
    </row>
    <row r="1643">
      <c r="A1643" s="20" t="str">
        <f t="shared" si="1267"/>
        <v>#REF!</v>
      </c>
      <c r="B1643" s="20" t="str">
        <f t="shared" si="1268"/>
        <v>#REF!</v>
      </c>
      <c r="C1643" s="20" t="str">
        <f t="shared" ref="C1643:D1643" si="4922">#REF!</f>
        <v>#REF!</v>
      </c>
      <c r="D1643" s="20" t="str">
        <f t="shared" si="4922"/>
        <v>#REF!</v>
      </c>
      <c r="E1643" s="20" t="str">
        <f t="shared" si="1270"/>
        <v>#REF!</v>
      </c>
      <c r="F1643" s="22" t="str">
        <f t="shared" si="2"/>
        <v>#REF!</v>
      </c>
      <c r="G1643" s="20" t="str">
        <f t="shared" ref="G1643:I1643" si="4923">#REF!</f>
        <v>#REF!</v>
      </c>
      <c r="H1643" s="20" t="str">
        <f t="shared" si="4923"/>
        <v>#REF!</v>
      </c>
      <c r="I1643" s="20" t="str">
        <f t="shared" si="4923"/>
        <v>#REF!</v>
      </c>
      <c r="J1643" s="20" t="str">
        <f t="shared" si="1272"/>
        <v>#REF!</v>
      </c>
      <c r="K1643" s="20" t="str">
        <f t="shared" ref="K1643:L1643" si="4924">#REF!</f>
        <v>#REF!</v>
      </c>
      <c r="L1643" s="20" t="str">
        <f t="shared" si="4924"/>
        <v>#REF!</v>
      </c>
    </row>
    <row r="1644">
      <c r="A1644" s="20" t="str">
        <f t="shared" si="1267"/>
        <v>#REF!</v>
      </c>
      <c r="B1644" s="20" t="str">
        <f t="shared" si="1268"/>
        <v>#REF!</v>
      </c>
      <c r="C1644" s="20" t="str">
        <f t="shared" ref="C1644:D1644" si="4925">#REF!</f>
        <v>#REF!</v>
      </c>
      <c r="D1644" s="20" t="str">
        <f t="shared" si="4925"/>
        <v>#REF!</v>
      </c>
      <c r="E1644" s="20" t="str">
        <f t="shared" si="1270"/>
        <v>#REF!</v>
      </c>
      <c r="F1644" s="22" t="str">
        <f t="shared" si="2"/>
        <v>#REF!</v>
      </c>
      <c r="G1644" s="20" t="str">
        <f t="shared" ref="G1644:I1644" si="4926">#REF!</f>
        <v>#REF!</v>
      </c>
      <c r="H1644" s="20" t="str">
        <f t="shared" si="4926"/>
        <v>#REF!</v>
      </c>
      <c r="I1644" s="20" t="str">
        <f t="shared" si="4926"/>
        <v>#REF!</v>
      </c>
      <c r="J1644" s="20" t="str">
        <f t="shared" si="1272"/>
        <v>#REF!</v>
      </c>
      <c r="K1644" s="20" t="str">
        <f t="shared" ref="K1644:L1644" si="4927">#REF!</f>
        <v>#REF!</v>
      </c>
      <c r="L1644" s="20" t="str">
        <f t="shared" si="4927"/>
        <v>#REF!</v>
      </c>
    </row>
    <row r="1645">
      <c r="A1645" s="20" t="str">
        <f t="shared" si="1267"/>
        <v>#REF!</v>
      </c>
      <c r="B1645" s="20" t="str">
        <f t="shared" si="1268"/>
        <v>#REF!</v>
      </c>
      <c r="C1645" s="20" t="str">
        <f t="shared" ref="C1645:D1645" si="4928">#REF!</f>
        <v>#REF!</v>
      </c>
      <c r="D1645" s="20" t="str">
        <f t="shared" si="4928"/>
        <v>#REF!</v>
      </c>
      <c r="E1645" s="20" t="str">
        <f t="shared" si="1270"/>
        <v>#REF!</v>
      </c>
      <c r="F1645" s="22" t="str">
        <f t="shared" si="2"/>
        <v>#REF!</v>
      </c>
      <c r="G1645" s="20" t="str">
        <f t="shared" ref="G1645:I1645" si="4929">#REF!</f>
        <v>#REF!</v>
      </c>
      <c r="H1645" s="20" t="str">
        <f t="shared" si="4929"/>
        <v>#REF!</v>
      </c>
      <c r="I1645" s="20" t="str">
        <f t="shared" si="4929"/>
        <v>#REF!</v>
      </c>
      <c r="J1645" s="20" t="str">
        <f t="shared" si="1272"/>
        <v>#REF!</v>
      </c>
      <c r="K1645" s="20" t="str">
        <f t="shared" ref="K1645:L1645" si="4930">#REF!</f>
        <v>#REF!</v>
      </c>
      <c r="L1645" s="20" t="str">
        <f t="shared" si="4930"/>
        <v>#REF!</v>
      </c>
    </row>
    <row r="1646">
      <c r="A1646" s="20" t="str">
        <f t="shared" si="1267"/>
        <v>#REF!</v>
      </c>
      <c r="B1646" s="20" t="str">
        <f t="shared" si="1268"/>
        <v>#REF!</v>
      </c>
      <c r="C1646" s="20" t="str">
        <f t="shared" ref="C1646:D1646" si="4931">#REF!</f>
        <v>#REF!</v>
      </c>
      <c r="D1646" s="20" t="str">
        <f t="shared" si="4931"/>
        <v>#REF!</v>
      </c>
      <c r="E1646" s="20" t="str">
        <f t="shared" si="1270"/>
        <v>#REF!</v>
      </c>
      <c r="F1646" s="22" t="str">
        <f t="shared" si="2"/>
        <v>#REF!</v>
      </c>
      <c r="G1646" s="20" t="str">
        <f t="shared" ref="G1646:I1646" si="4932">#REF!</f>
        <v>#REF!</v>
      </c>
      <c r="H1646" s="20" t="str">
        <f t="shared" si="4932"/>
        <v>#REF!</v>
      </c>
      <c r="I1646" s="20" t="str">
        <f t="shared" si="4932"/>
        <v>#REF!</v>
      </c>
      <c r="J1646" s="20" t="str">
        <f t="shared" si="1272"/>
        <v>#REF!</v>
      </c>
      <c r="K1646" s="20" t="str">
        <f t="shared" ref="K1646:L1646" si="4933">#REF!</f>
        <v>#REF!</v>
      </c>
      <c r="L1646" s="20" t="str">
        <f t="shared" si="4933"/>
        <v>#REF!</v>
      </c>
    </row>
    <row r="1647">
      <c r="A1647" s="20" t="str">
        <f t="shared" si="1267"/>
        <v>#REF!</v>
      </c>
      <c r="B1647" s="20" t="str">
        <f t="shared" si="1268"/>
        <v>#REF!</v>
      </c>
      <c r="C1647" s="20" t="str">
        <f t="shared" ref="C1647:D1647" si="4934">#REF!</f>
        <v>#REF!</v>
      </c>
      <c r="D1647" s="20" t="str">
        <f t="shared" si="4934"/>
        <v>#REF!</v>
      </c>
      <c r="E1647" s="20" t="str">
        <f t="shared" si="1270"/>
        <v>#REF!</v>
      </c>
      <c r="F1647" s="22" t="str">
        <f t="shared" si="2"/>
        <v>#REF!</v>
      </c>
      <c r="G1647" s="20" t="str">
        <f t="shared" ref="G1647:I1647" si="4935">#REF!</f>
        <v>#REF!</v>
      </c>
      <c r="H1647" s="20" t="str">
        <f t="shared" si="4935"/>
        <v>#REF!</v>
      </c>
      <c r="I1647" s="20" t="str">
        <f t="shared" si="4935"/>
        <v>#REF!</v>
      </c>
      <c r="J1647" s="20" t="str">
        <f t="shared" si="1272"/>
        <v>#REF!</v>
      </c>
      <c r="K1647" s="20" t="str">
        <f t="shared" ref="K1647:L1647" si="4936">#REF!</f>
        <v>#REF!</v>
      </c>
      <c r="L1647" s="20" t="str">
        <f t="shared" si="4936"/>
        <v>#REF!</v>
      </c>
    </row>
    <row r="1648">
      <c r="A1648" s="20" t="str">
        <f t="shared" si="1267"/>
        <v>#REF!</v>
      </c>
      <c r="B1648" s="20" t="str">
        <f t="shared" si="1268"/>
        <v>#REF!</v>
      </c>
      <c r="C1648" s="20" t="str">
        <f t="shared" ref="C1648:D1648" si="4937">#REF!</f>
        <v>#REF!</v>
      </c>
      <c r="D1648" s="20" t="str">
        <f t="shared" si="4937"/>
        <v>#REF!</v>
      </c>
      <c r="E1648" s="20" t="str">
        <f t="shared" si="1270"/>
        <v>#REF!</v>
      </c>
      <c r="F1648" s="22" t="str">
        <f t="shared" si="2"/>
        <v>#REF!</v>
      </c>
      <c r="G1648" s="20" t="str">
        <f t="shared" ref="G1648:I1648" si="4938">#REF!</f>
        <v>#REF!</v>
      </c>
      <c r="H1648" s="20" t="str">
        <f t="shared" si="4938"/>
        <v>#REF!</v>
      </c>
      <c r="I1648" s="20" t="str">
        <f t="shared" si="4938"/>
        <v>#REF!</v>
      </c>
      <c r="J1648" s="20" t="str">
        <f t="shared" si="1272"/>
        <v>#REF!</v>
      </c>
      <c r="K1648" s="20" t="str">
        <f t="shared" ref="K1648:L1648" si="4939">#REF!</f>
        <v>#REF!</v>
      </c>
      <c r="L1648" s="20" t="str">
        <f t="shared" si="4939"/>
        <v>#REF!</v>
      </c>
    </row>
    <row r="1649">
      <c r="A1649" s="20" t="str">
        <f t="shared" si="1267"/>
        <v>#REF!</v>
      </c>
      <c r="B1649" s="20" t="str">
        <f t="shared" si="1268"/>
        <v>#REF!</v>
      </c>
      <c r="C1649" s="20" t="str">
        <f t="shared" ref="C1649:D1649" si="4940">#REF!</f>
        <v>#REF!</v>
      </c>
      <c r="D1649" s="20" t="str">
        <f t="shared" si="4940"/>
        <v>#REF!</v>
      </c>
      <c r="E1649" s="20" t="str">
        <f t="shared" si="1270"/>
        <v>#REF!</v>
      </c>
      <c r="F1649" s="22" t="str">
        <f t="shared" si="2"/>
        <v>#REF!</v>
      </c>
      <c r="G1649" s="20" t="str">
        <f t="shared" ref="G1649:I1649" si="4941">#REF!</f>
        <v>#REF!</v>
      </c>
      <c r="H1649" s="20" t="str">
        <f t="shared" si="4941"/>
        <v>#REF!</v>
      </c>
      <c r="I1649" s="20" t="str">
        <f t="shared" si="4941"/>
        <v>#REF!</v>
      </c>
      <c r="J1649" s="20" t="str">
        <f t="shared" si="1272"/>
        <v>#REF!</v>
      </c>
      <c r="K1649" s="20" t="str">
        <f t="shared" ref="K1649:L1649" si="4942">#REF!</f>
        <v>#REF!</v>
      </c>
      <c r="L1649" s="20" t="str">
        <f t="shared" si="4942"/>
        <v>#REF!</v>
      </c>
    </row>
    <row r="1650">
      <c r="A1650" s="20" t="str">
        <f t="shared" si="1267"/>
        <v>#REF!</v>
      </c>
      <c r="B1650" s="20" t="str">
        <f t="shared" si="1268"/>
        <v>#REF!</v>
      </c>
      <c r="C1650" s="20" t="str">
        <f t="shared" ref="C1650:D1650" si="4943">#REF!</f>
        <v>#REF!</v>
      </c>
      <c r="D1650" s="20" t="str">
        <f t="shared" si="4943"/>
        <v>#REF!</v>
      </c>
      <c r="E1650" s="20" t="str">
        <f t="shared" si="1270"/>
        <v>#REF!</v>
      </c>
      <c r="F1650" s="22" t="str">
        <f t="shared" si="2"/>
        <v>#REF!</v>
      </c>
      <c r="G1650" s="20" t="str">
        <f t="shared" ref="G1650:I1650" si="4944">#REF!</f>
        <v>#REF!</v>
      </c>
      <c r="H1650" s="20" t="str">
        <f t="shared" si="4944"/>
        <v>#REF!</v>
      </c>
      <c r="I1650" s="20" t="str">
        <f t="shared" si="4944"/>
        <v>#REF!</v>
      </c>
      <c r="J1650" s="20" t="str">
        <f t="shared" si="1272"/>
        <v>#REF!</v>
      </c>
      <c r="K1650" s="20" t="str">
        <f t="shared" ref="K1650:L1650" si="4945">#REF!</f>
        <v>#REF!</v>
      </c>
      <c r="L1650" s="20" t="str">
        <f t="shared" si="4945"/>
        <v>#REF!</v>
      </c>
    </row>
    <row r="1651">
      <c r="A1651" s="20" t="str">
        <f t="shared" si="1267"/>
        <v>#REF!</v>
      </c>
      <c r="B1651" s="20" t="str">
        <f t="shared" si="1268"/>
        <v>#REF!</v>
      </c>
      <c r="C1651" s="20" t="str">
        <f t="shared" ref="C1651:D1651" si="4946">#REF!</f>
        <v>#REF!</v>
      </c>
      <c r="D1651" s="20" t="str">
        <f t="shared" si="4946"/>
        <v>#REF!</v>
      </c>
      <c r="E1651" s="20" t="str">
        <f t="shared" si="1270"/>
        <v>#REF!</v>
      </c>
      <c r="F1651" s="22" t="str">
        <f t="shared" si="2"/>
        <v>#REF!</v>
      </c>
      <c r="G1651" s="20" t="str">
        <f t="shared" ref="G1651:I1651" si="4947">#REF!</f>
        <v>#REF!</v>
      </c>
      <c r="H1651" s="20" t="str">
        <f t="shared" si="4947"/>
        <v>#REF!</v>
      </c>
      <c r="I1651" s="20" t="str">
        <f t="shared" si="4947"/>
        <v>#REF!</v>
      </c>
      <c r="J1651" s="20" t="str">
        <f t="shared" si="1272"/>
        <v>#REF!</v>
      </c>
      <c r="K1651" s="20" t="str">
        <f t="shared" ref="K1651:L1651" si="4948">#REF!</f>
        <v>#REF!</v>
      </c>
      <c r="L1651" s="20" t="str">
        <f t="shared" si="4948"/>
        <v>#REF!</v>
      </c>
    </row>
    <row r="1652">
      <c r="A1652" s="20" t="str">
        <f t="shared" si="1267"/>
        <v>#REF!</v>
      </c>
      <c r="B1652" s="20" t="str">
        <f t="shared" si="1268"/>
        <v>#REF!</v>
      </c>
      <c r="C1652" s="20" t="str">
        <f t="shared" ref="C1652:D1652" si="4949">#REF!</f>
        <v>#REF!</v>
      </c>
      <c r="D1652" s="20" t="str">
        <f t="shared" si="4949"/>
        <v>#REF!</v>
      </c>
      <c r="E1652" s="20" t="str">
        <f t="shared" si="1270"/>
        <v>#REF!</v>
      </c>
      <c r="F1652" s="22" t="str">
        <f t="shared" si="2"/>
        <v>#REF!</v>
      </c>
      <c r="G1652" s="20" t="str">
        <f t="shared" ref="G1652:I1652" si="4950">#REF!</f>
        <v>#REF!</v>
      </c>
      <c r="H1652" s="20" t="str">
        <f t="shared" si="4950"/>
        <v>#REF!</v>
      </c>
      <c r="I1652" s="20" t="str">
        <f t="shared" si="4950"/>
        <v>#REF!</v>
      </c>
      <c r="J1652" s="20" t="str">
        <f t="shared" si="1272"/>
        <v>#REF!</v>
      </c>
      <c r="K1652" s="20" t="str">
        <f t="shared" ref="K1652:L1652" si="4951">#REF!</f>
        <v>#REF!</v>
      </c>
      <c r="L1652" s="20" t="str">
        <f t="shared" si="4951"/>
        <v>#REF!</v>
      </c>
    </row>
    <row r="1653">
      <c r="A1653" s="20" t="str">
        <f t="shared" si="1267"/>
        <v>#REF!</v>
      </c>
      <c r="B1653" s="20" t="str">
        <f t="shared" si="1268"/>
        <v>#REF!</v>
      </c>
      <c r="C1653" s="20" t="str">
        <f t="shared" ref="C1653:D1653" si="4952">#REF!</f>
        <v>#REF!</v>
      </c>
      <c r="D1653" s="20" t="str">
        <f t="shared" si="4952"/>
        <v>#REF!</v>
      </c>
      <c r="E1653" s="20" t="str">
        <f t="shared" si="1270"/>
        <v>#REF!</v>
      </c>
      <c r="F1653" s="22" t="str">
        <f t="shared" si="2"/>
        <v>#REF!</v>
      </c>
      <c r="G1653" s="20" t="str">
        <f t="shared" ref="G1653:I1653" si="4953">#REF!</f>
        <v>#REF!</v>
      </c>
      <c r="H1653" s="20" t="str">
        <f t="shared" si="4953"/>
        <v>#REF!</v>
      </c>
      <c r="I1653" s="20" t="str">
        <f t="shared" si="4953"/>
        <v>#REF!</v>
      </c>
      <c r="J1653" s="20" t="str">
        <f t="shared" si="1272"/>
        <v>#REF!</v>
      </c>
      <c r="K1653" s="20" t="str">
        <f t="shared" ref="K1653:L1653" si="4954">#REF!</f>
        <v>#REF!</v>
      </c>
      <c r="L1653" s="20" t="str">
        <f t="shared" si="4954"/>
        <v>#REF!</v>
      </c>
    </row>
    <row r="1654">
      <c r="A1654" s="20" t="str">
        <f t="shared" si="1267"/>
        <v>#REF!</v>
      </c>
      <c r="B1654" s="20" t="str">
        <f t="shared" si="1268"/>
        <v>#REF!</v>
      </c>
      <c r="C1654" s="20" t="str">
        <f t="shared" ref="C1654:D1654" si="4955">#REF!</f>
        <v>#REF!</v>
      </c>
      <c r="D1654" s="20" t="str">
        <f t="shared" si="4955"/>
        <v>#REF!</v>
      </c>
      <c r="E1654" s="20" t="str">
        <f t="shared" si="1270"/>
        <v>#REF!</v>
      </c>
      <c r="F1654" s="22" t="str">
        <f t="shared" si="2"/>
        <v>#REF!</v>
      </c>
      <c r="G1654" s="20" t="str">
        <f t="shared" ref="G1654:I1654" si="4956">#REF!</f>
        <v>#REF!</v>
      </c>
      <c r="H1654" s="20" t="str">
        <f t="shared" si="4956"/>
        <v>#REF!</v>
      </c>
      <c r="I1654" s="20" t="str">
        <f t="shared" si="4956"/>
        <v>#REF!</v>
      </c>
      <c r="J1654" s="20" t="str">
        <f t="shared" si="1272"/>
        <v>#REF!</v>
      </c>
      <c r="K1654" s="20" t="str">
        <f t="shared" ref="K1654:L1654" si="4957">#REF!</f>
        <v>#REF!</v>
      </c>
      <c r="L1654" s="20" t="str">
        <f t="shared" si="4957"/>
        <v>#REF!</v>
      </c>
    </row>
    <row r="1655">
      <c r="A1655" s="20" t="str">
        <f t="shared" si="1267"/>
        <v>#REF!</v>
      </c>
      <c r="B1655" s="20" t="str">
        <f t="shared" si="1268"/>
        <v>#REF!</v>
      </c>
      <c r="C1655" s="20" t="str">
        <f t="shared" ref="C1655:D1655" si="4958">#REF!</f>
        <v>#REF!</v>
      </c>
      <c r="D1655" s="20" t="str">
        <f t="shared" si="4958"/>
        <v>#REF!</v>
      </c>
      <c r="E1655" s="20" t="str">
        <f t="shared" si="1270"/>
        <v>#REF!</v>
      </c>
      <c r="F1655" s="22" t="str">
        <f t="shared" si="2"/>
        <v>#REF!</v>
      </c>
      <c r="G1655" s="20" t="str">
        <f t="shared" ref="G1655:I1655" si="4959">#REF!</f>
        <v>#REF!</v>
      </c>
      <c r="H1655" s="20" t="str">
        <f t="shared" si="4959"/>
        <v>#REF!</v>
      </c>
      <c r="I1655" s="20" t="str">
        <f t="shared" si="4959"/>
        <v>#REF!</v>
      </c>
      <c r="J1655" s="20" t="str">
        <f t="shared" si="1272"/>
        <v>#REF!</v>
      </c>
      <c r="K1655" s="20" t="str">
        <f t="shared" ref="K1655:L1655" si="4960">#REF!</f>
        <v>#REF!</v>
      </c>
      <c r="L1655" s="20" t="str">
        <f t="shared" si="4960"/>
        <v>#REF!</v>
      </c>
    </row>
    <row r="1656">
      <c r="A1656" s="20" t="str">
        <f t="shared" si="1267"/>
        <v>#REF!</v>
      </c>
      <c r="B1656" s="20" t="str">
        <f t="shared" si="1268"/>
        <v>#REF!</v>
      </c>
      <c r="C1656" s="20" t="str">
        <f t="shared" ref="C1656:D1656" si="4961">#REF!</f>
        <v>#REF!</v>
      </c>
      <c r="D1656" s="20" t="str">
        <f t="shared" si="4961"/>
        <v>#REF!</v>
      </c>
      <c r="E1656" s="20" t="str">
        <f t="shared" si="1270"/>
        <v>#REF!</v>
      </c>
      <c r="F1656" s="22" t="str">
        <f t="shared" si="2"/>
        <v>#REF!</v>
      </c>
      <c r="G1656" s="20" t="str">
        <f t="shared" ref="G1656:I1656" si="4962">#REF!</f>
        <v>#REF!</v>
      </c>
      <c r="H1656" s="20" t="str">
        <f t="shared" si="4962"/>
        <v>#REF!</v>
      </c>
      <c r="I1656" s="20" t="str">
        <f t="shared" si="4962"/>
        <v>#REF!</v>
      </c>
      <c r="J1656" s="20" t="str">
        <f t="shared" si="1272"/>
        <v>#REF!</v>
      </c>
      <c r="K1656" s="20" t="str">
        <f t="shared" ref="K1656:L1656" si="4963">#REF!</f>
        <v>#REF!</v>
      </c>
      <c r="L1656" s="20" t="str">
        <f t="shared" si="4963"/>
        <v>#REF!</v>
      </c>
    </row>
    <row r="1657">
      <c r="A1657" s="20" t="str">
        <f t="shared" si="1267"/>
        <v>#REF!</v>
      </c>
      <c r="B1657" s="20" t="str">
        <f t="shared" si="1268"/>
        <v>#REF!</v>
      </c>
      <c r="C1657" s="20" t="str">
        <f t="shared" ref="C1657:D1657" si="4964">#REF!</f>
        <v>#REF!</v>
      </c>
      <c r="D1657" s="20" t="str">
        <f t="shared" si="4964"/>
        <v>#REF!</v>
      </c>
      <c r="E1657" s="20" t="str">
        <f t="shared" si="1270"/>
        <v>#REF!</v>
      </c>
      <c r="F1657" s="22" t="str">
        <f t="shared" si="2"/>
        <v>#REF!</v>
      </c>
      <c r="G1657" s="20" t="str">
        <f t="shared" ref="G1657:I1657" si="4965">#REF!</f>
        <v>#REF!</v>
      </c>
      <c r="H1657" s="20" t="str">
        <f t="shared" si="4965"/>
        <v>#REF!</v>
      </c>
      <c r="I1657" s="20" t="str">
        <f t="shared" si="4965"/>
        <v>#REF!</v>
      </c>
      <c r="J1657" s="20" t="str">
        <f t="shared" si="1272"/>
        <v>#REF!</v>
      </c>
      <c r="K1657" s="20" t="str">
        <f t="shared" ref="K1657:L1657" si="4966">#REF!</f>
        <v>#REF!</v>
      </c>
      <c r="L1657" s="20" t="str">
        <f t="shared" si="4966"/>
        <v>#REF!</v>
      </c>
    </row>
    <row r="1658">
      <c r="A1658" s="20" t="str">
        <f t="shared" si="1267"/>
        <v>#REF!</v>
      </c>
      <c r="B1658" s="20" t="str">
        <f t="shared" si="1268"/>
        <v>#REF!</v>
      </c>
      <c r="C1658" s="20" t="str">
        <f t="shared" ref="C1658:D1658" si="4967">#REF!</f>
        <v>#REF!</v>
      </c>
      <c r="D1658" s="20" t="str">
        <f t="shared" si="4967"/>
        <v>#REF!</v>
      </c>
      <c r="E1658" s="20" t="str">
        <f t="shared" si="1270"/>
        <v>#REF!</v>
      </c>
      <c r="F1658" s="22" t="str">
        <f t="shared" si="2"/>
        <v>#REF!</v>
      </c>
      <c r="G1658" s="20" t="str">
        <f t="shared" ref="G1658:I1658" si="4968">#REF!</f>
        <v>#REF!</v>
      </c>
      <c r="H1658" s="20" t="str">
        <f t="shared" si="4968"/>
        <v>#REF!</v>
      </c>
      <c r="I1658" s="20" t="str">
        <f t="shared" si="4968"/>
        <v>#REF!</v>
      </c>
      <c r="J1658" s="20" t="str">
        <f t="shared" si="1272"/>
        <v>#REF!</v>
      </c>
      <c r="K1658" s="20" t="str">
        <f t="shared" ref="K1658:L1658" si="4969">#REF!</f>
        <v>#REF!</v>
      </c>
      <c r="L1658" s="20" t="str">
        <f t="shared" si="4969"/>
        <v>#REF!</v>
      </c>
    </row>
    <row r="1659">
      <c r="A1659" s="20" t="str">
        <f t="shared" si="1267"/>
        <v>#REF!</v>
      </c>
      <c r="B1659" s="20" t="str">
        <f t="shared" si="1268"/>
        <v>#REF!</v>
      </c>
      <c r="C1659" s="20" t="str">
        <f t="shared" ref="C1659:D1659" si="4970">#REF!</f>
        <v>#REF!</v>
      </c>
      <c r="D1659" s="20" t="str">
        <f t="shared" si="4970"/>
        <v>#REF!</v>
      </c>
      <c r="E1659" s="20" t="str">
        <f t="shared" si="1270"/>
        <v>#REF!</v>
      </c>
      <c r="F1659" s="22" t="str">
        <f t="shared" si="2"/>
        <v>#REF!</v>
      </c>
      <c r="G1659" s="20" t="str">
        <f t="shared" ref="G1659:I1659" si="4971">#REF!</f>
        <v>#REF!</v>
      </c>
      <c r="H1659" s="20" t="str">
        <f t="shared" si="4971"/>
        <v>#REF!</v>
      </c>
      <c r="I1659" s="20" t="str">
        <f t="shared" si="4971"/>
        <v>#REF!</v>
      </c>
      <c r="J1659" s="20" t="str">
        <f t="shared" si="1272"/>
        <v>#REF!</v>
      </c>
      <c r="K1659" s="20" t="str">
        <f t="shared" ref="K1659:L1659" si="4972">#REF!</f>
        <v>#REF!</v>
      </c>
      <c r="L1659" s="20" t="str">
        <f t="shared" si="4972"/>
        <v>#REF!</v>
      </c>
    </row>
    <row r="1660">
      <c r="A1660" s="20" t="str">
        <f t="shared" si="1267"/>
        <v>#REF!</v>
      </c>
      <c r="B1660" s="20" t="str">
        <f t="shared" si="1268"/>
        <v>#REF!</v>
      </c>
      <c r="C1660" s="20" t="str">
        <f t="shared" ref="C1660:D1660" si="4973">#REF!</f>
        <v>#REF!</v>
      </c>
      <c r="D1660" s="20" t="str">
        <f t="shared" si="4973"/>
        <v>#REF!</v>
      </c>
      <c r="E1660" s="20" t="str">
        <f t="shared" si="1270"/>
        <v>#REF!</v>
      </c>
      <c r="F1660" s="22" t="str">
        <f t="shared" si="2"/>
        <v>#REF!</v>
      </c>
      <c r="G1660" s="20" t="str">
        <f t="shared" ref="G1660:I1660" si="4974">#REF!</f>
        <v>#REF!</v>
      </c>
      <c r="H1660" s="20" t="str">
        <f t="shared" si="4974"/>
        <v>#REF!</v>
      </c>
      <c r="I1660" s="20" t="str">
        <f t="shared" si="4974"/>
        <v>#REF!</v>
      </c>
      <c r="J1660" s="20" t="str">
        <f t="shared" si="1272"/>
        <v>#REF!</v>
      </c>
      <c r="K1660" s="20" t="str">
        <f t="shared" ref="K1660:L1660" si="4975">#REF!</f>
        <v>#REF!</v>
      </c>
      <c r="L1660" s="20" t="str">
        <f t="shared" si="4975"/>
        <v>#REF!</v>
      </c>
    </row>
    <row r="1661">
      <c r="A1661" s="20" t="str">
        <f t="shared" si="1267"/>
        <v>#REF!</v>
      </c>
      <c r="B1661" s="20" t="str">
        <f t="shared" si="1268"/>
        <v>#REF!</v>
      </c>
      <c r="C1661" s="20" t="str">
        <f t="shared" ref="C1661:D1661" si="4976">#REF!</f>
        <v>#REF!</v>
      </c>
      <c r="D1661" s="20" t="str">
        <f t="shared" si="4976"/>
        <v>#REF!</v>
      </c>
      <c r="E1661" s="20" t="str">
        <f t="shared" si="1270"/>
        <v>#REF!</v>
      </c>
      <c r="F1661" s="22" t="str">
        <f t="shared" si="2"/>
        <v>#REF!</v>
      </c>
      <c r="G1661" s="20" t="str">
        <f t="shared" ref="G1661:I1661" si="4977">#REF!</f>
        <v>#REF!</v>
      </c>
      <c r="H1661" s="20" t="str">
        <f t="shared" si="4977"/>
        <v>#REF!</v>
      </c>
      <c r="I1661" s="20" t="str">
        <f t="shared" si="4977"/>
        <v>#REF!</v>
      </c>
      <c r="J1661" s="20" t="str">
        <f t="shared" si="1272"/>
        <v>#REF!</v>
      </c>
      <c r="K1661" s="20" t="str">
        <f t="shared" ref="K1661:L1661" si="4978">#REF!</f>
        <v>#REF!</v>
      </c>
      <c r="L1661" s="20" t="str">
        <f t="shared" si="4978"/>
        <v>#REF!</v>
      </c>
    </row>
    <row r="1662">
      <c r="A1662" s="20" t="str">
        <f t="shared" si="1267"/>
        <v>#REF!</v>
      </c>
      <c r="B1662" s="20" t="str">
        <f t="shared" si="1268"/>
        <v>#REF!</v>
      </c>
      <c r="C1662" s="20" t="str">
        <f t="shared" ref="C1662:D1662" si="4979">#REF!</f>
        <v>#REF!</v>
      </c>
      <c r="D1662" s="20" t="str">
        <f t="shared" si="4979"/>
        <v>#REF!</v>
      </c>
      <c r="E1662" s="20" t="str">
        <f t="shared" si="1270"/>
        <v>#REF!</v>
      </c>
      <c r="F1662" s="22" t="str">
        <f t="shared" si="2"/>
        <v>#REF!</v>
      </c>
      <c r="G1662" s="20" t="str">
        <f t="shared" ref="G1662:I1662" si="4980">#REF!</f>
        <v>#REF!</v>
      </c>
      <c r="H1662" s="20" t="str">
        <f t="shared" si="4980"/>
        <v>#REF!</v>
      </c>
      <c r="I1662" s="20" t="str">
        <f t="shared" si="4980"/>
        <v>#REF!</v>
      </c>
      <c r="J1662" s="20" t="str">
        <f t="shared" si="1272"/>
        <v>#REF!</v>
      </c>
      <c r="K1662" s="20" t="str">
        <f t="shared" ref="K1662:L1662" si="4981">#REF!</f>
        <v>#REF!</v>
      </c>
      <c r="L1662" s="20" t="str">
        <f t="shared" si="4981"/>
        <v>#REF!</v>
      </c>
    </row>
    <row r="1663">
      <c r="A1663" s="20" t="str">
        <f t="shared" si="1267"/>
        <v>#REF!</v>
      </c>
      <c r="B1663" s="20" t="str">
        <f t="shared" si="1268"/>
        <v>#REF!</v>
      </c>
      <c r="C1663" s="20" t="str">
        <f t="shared" ref="C1663:D1663" si="4982">#REF!</f>
        <v>#REF!</v>
      </c>
      <c r="D1663" s="20" t="str">
        <f t="shared" si="4982"/>
        <v>#REF!</v>
      </c>
      <c r="E1663" s="20" t="str">
        <f t="shared" si="1270"/>
        <v>#REF!</v>
      </c>
      <c r="F1663" s="22" t="str">
        <f t="shared" si="2"/>
        <v>#REF!</v>
      </c>
      <c r="G1663" s="20" t="str">
        <f t="shared" ref="G1663:I1663" si="4983">#REF!</f>
        <v>#REF!</v>
      </c>
      <c r="H1663" s="20" t="str">
        <f t="shared" si="4983"/>
        <v>#REF!</v>
      </c>
      <c r="I1663" s="20" t="str">
        <f t="shared" si="4983"/>
        <v>#REF!</v>
      </c>
      <c r="J1663" s="20" t="str">
        <f t="shared" si="1272"/>
        <v>#REF!</v>
      </c>
      <c r="K1663" s="20" t="str">
        <f t="shared" ref="K1663:L1663" si="4984">#REF!</f>
        <v>#REF!</v>
      </c>
      <c r="L1663" s="20" t="str">
        <f t="shared" si="4984"/>
        <v>#REF!</v>
      </c>
    </row>
    <row r="1664">
      <c r="A1664" s="20" t="str">
        <f t="shared" si="1267"/>
        <v>#REF!</v>
      </c>
      <c r="B1664" s="20" t="str">
        <f t="shared" si="1268"/>
        <v>#REF!</v>
      </c>
      <c r="C1664" s="20" t="str">
        <f t="shared" ref="C1664:D1664" si="4985">#REF!</f>
        <v>#REF!</v>
      </c>
      <c r="D1664" s="20" t="str">
        <f t="shared" si="4985"/>
        <v>#REF!</v>
      </c>
      <c r="E1664" s="20" t="str">
        <f t="shared" si="1270"/>
        <v>#REF!</v>
      </c>
      <c r="F1664" s="22" t="str">
        <f t="shared" si="2"/>
        <v>#REF!</v>
      </c>
      <c r="G1664" s="20" t="str">
        <f t="shared" ref="G1664:I1664" si="4986">#REF!</f>
        <v>#REF!</v>
      </c>
      <c r="H1664" s="20" t="str">
        <f t="shared" si="4986"/>
        <v>#REF!</v>
      </c>
      <c r="I1664" s="20" t="str">
        <f t="shared" si="4986"/>
        <v>#REF!</v>
      </c>
      <c r="J1664" s="20" t="str">
        <f t="shared" si="1272"/>
        <v>#REF!</v>
      </c>
      <c r="K1664" s="20" t="str">
        <f t="shared" ref="K1664:L1664" si="4987">#REF!</f>
        <v>#REF!</v>
      </c>
      <c r="L1664" s="20" t="str">
        <f t="shared" si="4987"/>
        <v>#REF!</v>
      </c>
    </row>
    <row r="1665">
      <c r="A1665" s="20" t="str">
        <f t="shared" si="1267"/>
        <v>#REF!</v>
      </c>
      <c r="B1665" s="20" t="str">
        <f t="shared" si="1268"/>
        <v>#REF!</v>
      </c>
      <c r="C1665" s="20" t="str">
        <f t="shared" ref="C1665:D1665" si="4988">#REF!</f>
        <v>#REF!</v>
      </c>
      <c r="D1665" s="20" t="str">
        <f t="shared" si="4988"/>
        <v>#REF!</v>
      </c>
      <c r="E1665" s="20" t="str">
        <f t="shared" si="1270"/>
        <v>#REF!</v>
      </c>
      <c r="F1665" s="22" t="str">
        <f t="shared" si="2"/>
        <v>#REF!</v>
      </c>
      <c r="G1665" s="20" t="str">
        <f t="shared" ref="G1665:I1665" si="4989">#REF!</f>
        <v>#REF!</v>
      </c>
      <c r="H1665" s="20" t="str">
        <f t="shared" si="4989"/>
        <v>#REF!</v>
      </c>
      <c r="I1665" s="20" t="str">
        <f t="shared" si="4989"/>
        <v>#REF!</v>
      </c>
      <c r="J1665" s="20" t="str">
        <f t="shared" si="1272"/>
        <v>#REF!</v>
      </c>
      <c r="K1665" s="20" t="str">
        <f t="shared" ref="K1665:L1665" si="4990">#REF!</f>
        <v>#REF!</v>
      </c>
      <c r="L1665" s="20" t="str">
        <f t="shared" si="4990"/>
        <v>#REF!</v>
      </c>
    </row>
    <row r="1666">
      <c r="A1666" s="20" t="str">
        <f t="shared" si="1267"/>
        <v>#REF!</v>
      </c>
      <c r="B1666" s="20" t="str">
        <f t="shared" si="1268"/>
        <v>#REF!</v>
      </c>
      <c r="C1666" s="20" t="str">
        <f t="shared" ref="C1666:D1666" si="4991">#REF!</f>
        <v>#REF!</v>
      </c>
      <c r="D1666" s="20" t="str">
        <f t="shared" si="4991"/>
        <v>#REF!</v>
      </c>
      <c r="E1666" s="20" t="str">
        <f t="shared" si="1270"/>
        <v>#REF!</v>
      </c>
      <c r="F1666" s="22" t="str">
        <f t="shared" si="2"/>
        <v>#REF!</v>
      </c>
      <c r="G1666" s="20" t="str">
        <f t="shared" ref="G1666:I1666" si="4992">#REF!</f>
        <v>#REF!</v>
      </c>
      <c r="H1666" s="20" t="str">
        <f t="shared" si="4992"/>
        <v>#REF!</v>
      </c>
      <c r="I1666" s="20" t="str">
        <f t="shared" si="4992"/>
        <v>#REF!</v>
      </c>
      <c r="J1666" s="20" t="str">
        <f t="shared" si="1272"/>
        <v>#REF!</v>
      </c>
      <c r="K1666" s="20" t="str">
        <f t="shared" ref="K1666:L1666" si="4993">#REF!</f>
        <v>#REF!</v>
      </c>
      <c r="L1666" s="20" t="str">
        <f t="shared" si="4993"/>
        <v>#REF!</v>
      </c>
    </row>
    <row r="1667">
      <c r="A1667" s="20" t="str">
        <f t="shared" si="1267"/>
        <v>#REF!</v>
      </c>
      <c r="B1667" s="20" t="str">
        <f t="shared" si="1268"/>
        <v>#REF!</v>
      </c>
      <c r="C1667" s="20" t="str">
        <f t="shared" ref="C1667:D1667" si="4994">#REF!</f>
        <v>#REF!</v>
      </c>
      <c r="D1667" s="20" t="str">
        <f t="shared" si="4994"/>
        <v>#REF!</v>
      </c>
      <c r="E1667" s="20" t="str">
        <f t="shared" si="1270"/>
        <v>#REF!</v>
      </c>
      <c r="F1667" s="22" t="str">
        <f t="shared" si="2"/>
        <v>#REF!</v>
      </c>
      <c r="G1667" s="20" t="str">
        <f t="shared" ref="G1667:I1667" si="4995">#REF!</f>
        <v>#REF!</v>
      </c>
      <c r="H1667" s="20" t="str">
        <f t="shared" si="4995"/>
        <v>#REF!</v>
      </c>
      <c r="I1667" s="20" t="str">
        <f t="shared" si="4995"/>
        <v>#REF!</v>
      </c>
      <c r="J1667" s="20" t="str">
        <f t="shared" si="1272"/>
        <v>#REF!</v>
      </c>
      <c r="K1667" s="20" t="str">
        <f t="shared" ref="K1667:L1667" si="4996">#REF!</f>
        <v>#REF!</v>
      </c>
      <c r="L1667" s="20" t="str">
        <f t="shared" si="4996"/>
        <v>#REF!</v>
      </c>
    </row>
    <row r="1668">
      <c r="A1668" s="20" t="str">
        <f t="shared" si="1267"/>
        <v>#REF!</v>
      </c>
      <c r="B1668" s="20" t="str">
        <f t="shared" si="1268"/>
        <v>#REF!</v>
      </c>
      <c r="C1668" s="20" t="str">
        <f t="shared" ref="C1668:D1668" si="4997">#REF!</f>
        <v>#REF!</v>
      </c>
      <c r="D1668" s="20" t="str">
        <f t="shared" si="4997"/>
        <v>#REF!</v>
      </c>
      <c r="E1668" s="20" t="str">
        <f t="shared" si="1270"/>
        <v>#REF!</v>
      </c>
      <c r="F1668" s="22" t="str">
        <f t="shared" si="2"/>
        <v>#REF!</v>
      </c>
      <c r="G1668" s="20" t="str">
        <f t="shared" ref="G1668:I1668" si="4998">#REF!</f>
        <v>#REF!</v>
      </c>
      <c r="H1668" s="20" t="str">
        <f t="shared" si="4998"/>
        <v>#REF!</v>
      </c>
      <c r="I1668" s="20" t="str">
        <f t="shared" si="4998"/>
        <v>#REF!</v>
      </c>
      <c r="J1668" s="20" t="str">
        <f t="shared" si="1272"/>
        <v>#REF!</v>
      </c>
      <c r="K1668" s="20" t="str">
        <f t="shared" ref="K1668:L1668" si="4999">#REF!</f>
        <v>#REF!</v>
      </c>
      <c r="L1668" s="20" t="str">
        <f t="shared" si="4999"/>
        <v>#REF!</v>
      </c>
    </row>
    <row r="1669">
      <c r="A1669" s="20" t="str">
        <f t="shared" si="1267"/>
        <v>#REF!</v>
      </c>
      <c r="B1669" s="20" t="str">
        <f t="shared" si="1268"/>
        <v>#REF!</v>
      </c>
      <c r="C1669" s="20" t="str">
        <f t="shared" ref="C1669:D1669" si="5000">#REF!</f>
        <v>#REF!</v>
      </c>
      <c r="D1669" s="20" t="str">
        <f t="shared" si="5000"/>
        <v>#REF!</v>
      </c>
      <c r="E1669" s="20" t="str">
        <f t="shared" si="1270"/>
        <v>#REF!</v>
      </c>
      <c r="F1669" s="22" t="str">
        <f t="shared" si="2"/>
        <v>#REF!</v>
      </c>
      <c r="G1669" s="20" t="str">
        <f t="shared" ref="G1669:I1669" si="5001">#REF!</f>
        <v>#REF!</v>
      </c>
      <c r="H1669" s="20" t="str">
        <f t="shared" si="5001"/>
        <v>#REF!</v>
      </c>
      <c r="I1669" s="20" t="str">
        <f t="shared" si="5001"/>
        <v>#REF!</v>
      </c>
      <c r="J1669" s="20" t="str">
        <f t="shared" si="1272"/>
        <v>#REF!</v>
      </c>
      <c r="K1669" s="20" t="str">
        <f t="shared" ref="K1669:L1669" si="5002">#REF!</f>
        <v>#REF!</v>
      </c>
      <c r="L1669" s="20" t="str">
        <f t="shared" si="5002"/>
        <v>#REF!</v>
      </c>
    </row>
    <row r="1670">
      <c r="A1670" s="20" t="str">
        <f t="shared" si="1267"/>
        <v>#REF!</v>
      </c>
      <c r="B1670" s="20" t="str">
        <f t="shared" si="1268"/>
        <v>#REF!</v>
      </c>
      <c r="C1670" s="20" t="str">
        <f t="shared" ref="C1670:D1670" si="5003">#REF!</f>
        <v>#REF!</v>
      </c>
      <c r="D1670" s="20" t="str">
        <f t="shared" si="5003"/>
        <v>#REF!</v>
      </c>
      <c r="E1670" s="20" t="str">
        <f t="shared" si="1270"/>
        <v>#REF!</v>
      </c>
      <c r="F1670" s="22" t="str">
        <f t="shared" si="2"/>
        <v>#REF!</v>
      </c>
      <c r="G1670" s="20" t="str">
        <f t="shared" ref="G1670:I1670" si="5004">#REF!</f>
        <v>#REF!</v>
      </c>
      <c r="H1670" s="20" t="str">
        <f t="shared" si="5004"/>
        <v>#REF!</v>
      </c>
      <c r="I1670" s="20" t="str">
        <f t="shared" si="5004"/>
        <v>#REF!</v>
      </c>
      <c r="J1670" s="20" t="str">
        <f t="shared" si="1272"/>
        <v>#REF!</v>
      </c>
      <c r="K1670" s="20" t="str">
        <f t="shared" ref="K1670:L1670" si="5005">#REF!</f>
        <v>#REF!</v>
      </c>
      <c r="L1670" s="20" t="str">
        <f t="shared" si="5005"/>
        <v>#REF!</v>
      </c>
    </row>
    <row r="1671">
      <c r="A1671" s="20" t="str">
        <f t="shared" si="1267"/>
        <v>#REF!</v>
      </c>
      <c r="B1671" s="20" t="str">
        <f t="shared" si="1268"/>
        <v>#REF!</v>
      </c>
      <c r="C1671" s="20" t="str">
        <f t="shared" ref="C1671:D1671" si="5006">#REF!</f>
        <v>#REF!</v>
      </c>
      <c r="D1671" s="20" t="str">
        <f t="shared" si="5006"/>
        <v>#REF!</v>
      </c>
      <c r="E1671" s="20" t="str">
        <f t="shared" si="1270"/>
        <v>#REF!</v>
      </c>
      <c r="F1671" s="22" t="str">
        <f t="shared" si="2"/>
        <v>#REF!</v>
      </c>
      <c r="G1671" s="20" t="str">
        <f t="shared" ref="G1671:I1671" si="5007">#REF!</f>
        <v>#REF!</v>
      </c>
      <c r="H1671" s="20" t="str">
        <f t="shared" si="5007"/>
        <v>#REF!</v>
      </c>
      <c r="I1671" s="20" t="str">
        <f t="shared" si="5007"/>
        <v>#REF!</v>
      </c>
      <c r="J1671" s="20" t="str">
        <f t="shared" si="1272"/>
        <v>#REF!</v>
      </c>
      <c r="K1671" s="20" t="str">
        <f t="shared" ref="K1671:L1671" si="5008">#REF!</f>
        <v>#REF!</v>
      </c>
      <c r="L1671" s="20" t="str">
        <f t="shared" si="5008"/>
        <v>#REF!</v>
      </c>
    </row>
    <row r="1672">
      <c r="A1672" s="20" t="str">
        <f t="shared" si="1267"/>
        <v>#REF!</v>
      </c>
      <c r="B1672" s="20" t="str">
        <f t="shared" si="1268"/>
        <v>#REF!</v>
      </c>
      <c r="C1672" s="20" t="str">
        <f t="shared" ref="C1672:D1672" si="5009">#REF!</f>
        <v>#REF!</v>
      </c>
      <c r="D1672" s="20" t="str">
        <f t="shared" si="5009"/>
        <v>#REF!</v>
      </c>
      <c r="E1672" s="20" t="str">
        <f t="shared" si="1270"/>
        <v>#REF!</v>
      </c>
      <c r="F1672" s="22" t="str">
        <f t="shared" si="2"/>
        <v>#REF!</v>
      </c>
      <c r="G1672" s="20" t="str">
        <f t="shared" ref="G1672:I1672" si="5010">#REF!</f>
        <v>#REF!</v>
      </c>
      <c r="H1672" s="20" t="str">
        <f t="shared" si="5010"/>
        <v>#REF!</v>
      </c>
      <c r="I1672" s="20" t="str">
        <f t="shared" si="5010"/>
        <v>#REF!</v>
      </c>
      <c r="J1672" s="20" t="str">
        <f t="shared" si="1272"/>
        <v>#REF!</v>
      </c>
      <c r="K1672" s="20" t="str">
        <f t="shared" ref="K1672:L1672" si="5011">#REF!</f>
        <v>#REF!</v>
      </c>
      <c r="L1672" s="20" t="str">
        <f t="shared" si="5011"/>
        <v>#REF!</v>
      </c>
    </row>
    <row r="1673">
      <c r="A1673" s="20" t="str">
        <f t="shared" si="1267"/>
        <v>#REF!</v>
      </c>
      <c r="B1673" s="20" t="str">
        <f t="shared" si="1268"/>
        <v>#REF!</v>
      </c>
      <c r="C1673" s="20" t="str">
        <f t="shared" ref="C1673:D1673" si="5012">#REF!</f>
        <v>#REF!</v>
      </c>
      <c r="D1673" s="20" t="str">
        <f t="shared" si="5012"/>
        <v>#REF!</v>
      </c>
      <c r="E1673" s="20" t="str">
        <f t="shared" si="1270"/>
        <v>#REF!</v>
      </c>
      <c r="F1673" s="22" t="str">
        <f t="shared" si="2"/>
        <v>#REF!</v>
      </c>
      <c r="G1673" s="20" t="str">
        <f t="shared" ref="G1673:I1673" si="5013">#REF!</f>
        <v>#REF!</v>
      </c>
      <c r="H1673" s="20" t="str">
        <f t="shared" si="5013"/>
        <v>#REF!</v>
      </c>
      <c r="I1673" s="20" t="str">
        <f t="shared" si="5013"/>
        <v>#REF!</v>
      </c>
      <c r="J1673" s="20" t="str">
        <f t="shared" si="1272"/>
        <v>#REF!</v>
      </c>
      <c r="K1673" s="20" t="str">
        <f t="shared" ref="K1673:L1673" si="5014">#REF!</f>
        <v>#REF!</v>
      </c>
      <c r="L1673" s="20" t="str">
        <f t="shared" si="5014"/>
        <v>#REF!</v>
      </c>
    </row>
    <row r="1674">
      <c r="A1674" s="20" t="str">
        <f t="shared" si="1267"/>
        <v>#REF!</v>
      </c>
      <c r="B1674" s="20" t="str">
        <f t="shared" si="1268"/>
        <v>#REF!</v>
      </c>
      <c r="C1674" s="20" t="str">
        <f t="shared" ref="C1674:D1674" si="5015">#REF!</f>
        <v>#REF!</v>
      </c>
      <c r="D1674" s="20" t="str">
        <f t="shared" si="5015"/>
        <v>#REF!</v>
      </c>
      <c r="E1674" s="20" t="str">
        <f t="shared" si="1270"/>
        <v>#REF!</v>
      </c>
      <c r="F1674" s="22" t="str">
        <f t="shared" si="2"/>
        <v>#REF!</v>
      </c>
      <c r="G1674" s="20" t="str">
        <f t="shared" ref="G1674:I1674" si="5016">#REF!</f>
        <v>#REF!</v>
      </c>
      <c r="H1674" s="20" t="str">
        <f t="shared" si="5016"/>
        <v>#REF!</v>
      </c>
      <c r="I1674" s="20" t="str">
        <f t="shared" si="5016"/>
        <v>#REF!</v>
      </c>
      <c r="J1674" s="20" t="str">
        <f t="shared" si="1272"/>
        <v>#REF!</v>
      </c>
      <c r="K1674" s="20" t="str">
        <f t="shared" ref="K1674:L1674" si="5017">#REF!</f>
        <v>#REF!</v>
      </c>
      <c r="L1674" s="20" t="str">
        <f t="shared" si="5017"/>
        <v>#REF!</v>
      </c>
    </row>
    <row r="1675">
      <c r="A1675" s="20" t="str">
        <f t="shared" si="1267"/>
        <v>#REF!</v>
      </c>
      <c r="B1675" s="20" t="str">
        <f t="shared" si="1268"/>
        <v>#REF!</v>
      </c>
      <c r="C1675" s="20" t="str">
        <f t="shared" ref="C1675:D1675" si="5018">#REF!</f>
        <v>#REF!</v>
      </c>
      <c r="D1675" s="20" t="str">
        <f t="shared" si="5018"/>
        <v>#REF!</v>
      </c>
      <c r="E1675" s="20" t="str">
        <f t="shared" si="1270"/>
        <v>#REF!</v>
      </c>
      <c r="F1675" s="22" t="str">
        <f t="shared" si="2"/>
        <v>#REF!</v>
      </c>
      <c r="G1675" s="20" t="str">
        <f t="shared" ref="G1675:I1675" si="5019">#REF!</f>
        <v>#REF!</v>
      </c>
      <c r="H1675" s="20" t="str">
        <f t="shared" si="5019"/>
        <v>#REF!</v>
      </c>
      <c r="I1675" s="20" t="str">
        <f t="shared" si="5019"/>
        <v>#REF!</v>
      </c>
      <c r="J1675" s="20" t="str">
        <f t="shared" si="1272"/>
        <v>#REF!</v>
      </c>
      <c r="K1675" s="20" t="str">
        <f t="shared" ref="K1675:L1675" si="5020">#REF!</f>
        <v>#REF!</v>
      </c>
      <c r="L1675" s="20" t="str">
        <f t="shared" si="5020"/>
        <v>#REF!</v>
      </c>
    </row>
    <row r="1676">
      <c r="A1676" s="20" t="str">
        <f t="shared" si="1267"/>
        <v>#REF!</v>
      </c>
      <c r="B1676" s="20" t="str">
        <f t="shared" si="1268"/>
        <v>#REF!</v>
      </c>
      <c r="C1676" s="20" t="str">
        <f t="shared" ref="C1676:D1676" si="5021">#REF!</f>
        <v>#REF!</v>
      </c>
      <c r="D1676" s="20" t="str">
        <f t="shared" si="5021"/>
        <v>#REF!</v>
      </c>
      <c r="E1676" s="20" t="str">
        <f t="shared" si="1270"/>
        <v>#REF!</v>
      </c>
      <c r="F1676" s="22" t="str">
        <f t="shared" si="2"/>
        <v>#REF!</v>
      </c>
      <c r="G1676" s="20" t="str">
        <f t="shared" ref="G1676:I1676" si="5022">#REF!</f>
        <v>#REF!</v>
      </c>
      <c r="H1676" s="20" t="str">
        <f t="shared" si="5022"/>
        <v>#REF!</v>
      </c>
      <c r="I1676" s="20" t="str">
        <f t="shared" si="5022"/>
        <v>#REF!</v>
      </c>
      <c r="J1676" s="20" t="str">
        <f t="shared" si="1272"/>
        <v>#REF!</v>
      </c>
      <c r="K1676" s="20" t="str">
        <f t="shared" ref="K1676:L1676" si="5023">#REF!</f>
        <v>#REF!</v>
      </c>
      <c r="L1676" s="20" t="str">
        <f t="shared" si="5023"/>
        <v>#REF!</v>
      </c>
    </row>
    <row r="1677">
      <c r="A1677" s="20" t="str">
        <f t="shared" si="1267"/>
        <v>#REF!</v>
      </c>
      <c r="B1677" s="20" t="str">
        <f t="shared" si="1268"/>
        <v>#REF!</v>
      </c>
      <c r="C1677" s="20" t="str">
        <f t="shared" ref="C1677:D1677" si="5024">#REF!</f>
        <v>#REF!</v>
      </c>
      <c r="D1677" s="20" t="str">
        <f t="shared" si="5024"/>
        <v>#REF!</v>
      </c>
      <c r="E1677" s="20" t="str">
        <f t="shared" si="1270"/>
        <v>#REF!</v>
      </c>
      <c r="F1677" s="22" t="str">
        <f t="shared" si="2"/>
        <v>#REF!</v>
      </c>
      <c r="G1677" s="20" t="str">
        <f t="shared" ref="G1677:I1677" si="5025">#REF!</f>
        <v>#REF!</v>
      </c>
      <c r="H1677" s="20" t="str">
        <f t="shared" si="5025"/>
        <v>#REF!</v>
      </c>
      <c r="I1677" s="20" t="str">
        <f t="shared" si="5025"/>
        <v>#REF!</v>
      </c>
      <c r="J1677" s="20" t="str">
        <f t="shared" si="1272"/>
        <v>#REF!</v>
      </c>
      <c r="K1677" s="20" t="str">
        <f t="shared" ref="K1677:L1677" si="5026">#REF!</f>
        <v>#REF!</v>
      </c>
      <c r="L1677" s="20" t="str">
        <f t="shared" si="5026"/>
        <v>#REF!</v>
      </c>
    </row>
    <row r="1678">
      <c r="A1678" s="20" t="str">
        <f t="shared" si="1267"/>
        <v>#REF!</v>
      </c>
      <c r="B1678" s="20" t="str">
        <f t="shared" si="1268"/>
        <v>#REF!</v>
      </c>
      <c r="C1678" s="20" t="str">
        <f t="shared" ref="C1678:D1678" si="5027">#REF!</f>
        <v>#REF!</v>
      </c>
      <c r="D1678" s="20" t="str">
        <f t="shared" si="5027"/>
        <v>#REF!</v>
      </c>
      <c r="E1678" s="20" t="str">
        <f t="shared" si="1270"/>
        <v>#REF!</v>
      </c>
      <c r="F1678" s="22" t="str">
        <f t="shared" si="2"/>
        <v>#REF!</v>
      </c>
      <c r="G1678" s="20" t="str">
        <f t="shared" ref="G1678:I1678" si="5028">#REF!</f>
        <v>#REF!</v>
      </c>
      <c r="H1678" s="20" t="str">
        <f t="shared" si="5028"/>
        <v>#REF!</v>
      </c>
      <c r="I1678" s="20" t="str">
        <f t="shared" si="5028"/>
        <v>#REF!</v>
      </c>
      <c r="J1678" s="20" t="str">
        <f t="shared" si="1272"/>
        <v>#REF!</v>
      </c>
      <c r="K1678" s="20" t="str">
        <f t="shared" ref="K1678:L1678" si="5029">#REF!</f>
        <v>#REF!</v>
      </c>
      <c r="L1678" s="20" t="str">
        <f t="shared" si="5029"/>
        <v>#REF!</v>
      </c>
    </row>
    <row r="1679">
      <c r="A1679" s="20" t="str">
        <f t="shared" si="1267"/>
        <v>#REF!</v>
      </c>
      <c r="B1679" s="20" t="str">
        <f t="shared" si="1268"/>
        <v>#REF!</v>
      </c>
      <c r="C1679" s="20" t="str">
        <f t="shared" ref="C1679:D1679" si="5030">#REF!</f>
        <v>#REF!</v>
      </c>
      <c r="D1679" s="20" t="str">
        <f t="shared" si="5030"/>
        <v>#REF!</v>
      </c>
      <c r="E1679" s="20" t="str">
        <f t="shared" si="1270"/>
        <v>#REF!</v>
      </c>
      <c r="F1679" s="22" t="str">
        <f t="shared" si="2"/>
        <v>#REF!</v>
      </c>
      <c r="G1679" s="20" t="str">
        <f t="shared" ref="G1679:I1679" si="5031">#REF!</f>
        <v>#REF!</v>
      </c>
      <c r="H1679" s="20" t="str">
        <f t="shared" si="5031"/>
        <v>#REF!</v>
      </c>
      <c r="I1679" s="20" t="str">
        <f t="shared" si="5031"/>
        <v>#REF!</v>
      </c>
      <c r="J1679" s="20" t="str">
        <f t="shared" si="1272"/>
        <v>#REF!</v>
      </c>
      <c r="K1679" s="20" t="str">
        <f t="shared" ref="K1679:L1679" si="5032">#REF!</f>
        <v>#REF!</v>
      </c>
      <c r="L1679" s="20" t="str">
        <f t="shared" si="5032"/>
        <v>#REF!</v>
      </c>
    </row>
    <row r="1680">
      <c r="A1680" s="20" t="str">
        <f t="shared" si="1267"/>
        <v>#REF!</v>
      </c>
      <c r="B1680" s="20" t="str">
        <f t="shared" si="1268"/>
        <v>#REF!</v>
      </c>
      <c r="C1680" s="20" t="str">
        <f t="shared" ref="C1680:D1680" si="5033">#REF!</f>
        <v>#REF!</v>
      </c>
      <c r="D1680" s="20" t="str">
        <f t="shared" si="5033"/>
        <v>#REF!</v>
      </c>
      <c r="E1680" s="20" t="str">
        <f t="shared" si="1270"/>
        <v>#REF!</v>
      </c>
      <c r="F1680" s="22" t="str">
        <f t="shared" si="2"/>
        <v>#REF!</v>
      </c>
      <c r="G1680" s="20" t="str">
        <f t="shared" ref="G1680:I1680" si="5034">#REF!</f>
        <v>#REF!</v>
      </c>
      <c r="H1680" s="20" t="str">
        <f t="shared" si="5034"/>
        <v>#REF!</v>
      </c>
      <c r="I1680" s="20" t="str">
        <f t="shared" si="5034"/>
        <v>#REF!</v>
      </c>
      <c r="J1680" s="20" t="str">
        <f t="shared" si="1272"/>
        <v>#REF!</v>
      </c>
      <c r="K1680" s="20" t="str">
        <f t="shared" ref="K1680:L1680" si="5035">#REF!</f>
        <v>#REF!</v>
      </c>
      <c r="L1680" s="20" t="str">
        <f t="shared" si="5035"/>
        <v>#REF!</v>
      </c>
    </row>
    <row r="1681">
      <c r="A1681" s="20" t="str">
        <f t="shared" si="1267"/>
        <v>#REF!</v>
      </c>
      <c r="B1681" s="20" t="str">
        <f t="shared" si="1268"/>
        <v>#REF!</v>
      </c>
      <c r="C1681" s="20" t="str">
        <f t="shared" ref="C1681:D1681" si="5036">#REF!</f>
        <v>#REF!</v>
      </c>
      <c r="D1681" s="20" t="str">
        <f t="shared" si="5036"/>
        <v>#REF!</v>
      </c>
      <c r="E1681" s="20" t="str">
        <f t="shared" si="1270"/>
        <v>#REF!</v>
      </c>
      <c r="F1681" s="22" t="str">
        <f t="shared" si="2"/>
        <v>#REF!</v>
      </c>
      <c r="G1681" s="20" t="str">
        <f t="shared" ref="G1681:I1681" si="5037">#REF!</f>
        <v>#REF!</v>
      </c>
      <c r="H1681" s="20" t="str">
        <f t="shared" si="5037"/>
        <v>#REF!</v>
      </c>
      <c r="I1681" s="20" t="str">
        <f t="shared" si="5037"/>
        <v>#REF!</v>
      </c>
      <c r="J1681" s="20" t="str">
        <f t="shared" si="1272"/>
        <v>#REF!</v>
      </c>
      <c r="K1681" s="20" t="str">
        <f t="shared" ref="K1681:L1681" si="5038">#REF!</f>
        <v>#REF!</v>
      </c>
      <c r="L1681" s="20" t="str">
        <f t="shared" si="5038"/>
        <v>#REF!</v>
      </c>
    </row>
    <row r="1682">
      <c r="A1682" s="20" t="str">
        <f t="shared" si="1267"/>
        <v>#REF!</v>
      </c>
      <c r="B1682" s="20" t="str">
        <f t="shared" si="1268"/>
        <v>#REF!</v>
      </c>
      <c r="C1682" s="20" t="str">
        <f t="shared" ref="C1682:D1682" si="5039">#REF!</f>
        <v>#REF!</v>
      </c>
      <c r="D1682" s="20" t="str">
        <f t="shared" si="5039"/>
        <v>#REF!</v>
      </c>
      <c r="E1682" s="20" t="str">
        <f t="shared" si="1270"/>
        <v>#REF!</v>
      </c>
      <c r="F1682" s="22" t="str">
        <f t="shared" si="2"/>
        <v>#REF!</v>
      </c>
      <c r="G1682" s="20" t="str">
        <f t="shared" ref="G1682:I1682" si="5040">#REF!</f>
        <v>#REF!</v>
      </c>
      <c r="H1682" s="20" t="str">
        <f t="shared" si="5040"/>
        <v>#REF!</v>
      </c>
      <c r="I1682" s="20" t="str">
        <f t="shared" si="5040"/>
        <v>#REF!</v>
      </c>
      <c r="J1682" s="20" t="str">
        <f t="shared" si="1272"/>
        <v>#REF!</v>
      </c>
      <c r="K1682" s="20" t="str">
        <f t="shared" ref="K1682:L1682" si="5041">#REF!</f>
        <v>#REF!</v>
      </c>
      <c r="L1682" s="20" t="str">
        <f t="shared" si="5041"/>
        <v>#REF!</v>
      </c>
    </row>
    <row r="1683">
      <c r="A1683" s="20" t="str">
        <f t="shared" si="1267"/>
        <v>#REF!</v>
      </c>
      <c r="B1683" s="20" t="str">
        <f t="shared" si="1268"/>
        <v>#REF!</v>
      </c>
      <c r="C1683" s="20" t="str">
        <f t="shared" ref="C1683:D1683" si="5042">#REF!</f>
        <v>#REF!</v>
      </c>
      <c r="D1683" s="20" t="str">
        <f t="shared" si="5042"/>
        <v>#REF!</v>
      </c>
      <c r="E1683" s="20" t="str">
        <f t="shared" si="1270"/>
        <v>#REF!</v>
      </c>
      <c r="F1683" s="22" t="str">
        <f t="shared" si="2"/>
        <v>#REF!</v>
      </c>
      <c r="G1683" s="20" t="str">
        <f t="shared" ref="G1683:I1683" si="5043">#REF!</f>
        <v>#REF!</v>
      </c>
      <c r="H1683" s="20" t="str">
        <f t="shared" si="5043"/>
        <v>#REF!</v>
      </c>
      <c r="I1683" s="20" t="str">
        <f t="shared" si="5043"/>
        <v>#REF!</v>
      </c>
      <c r="J1683" s="20" t="str">
        <f t="shared" si="1272"/>
        <v>#REF!</v>
      </c>
      <c r="K1683" s="20" t="str">
        <f t="shared" ref="K1683:L1683" si="5044">#REF!</f>
        <v>#REF!</v>
      </c>
      <c r="L1683" s="20" t="str">
        <f t="shared" si="5044"/>
        <v>#REF!</v>
      </c>
    </row>
    <row r="1684">
      <c r="A1684" s="20" t="str">
        <f t="shared" si="1267"/>
        <v>#REF!</v>
      </c>
      <c r="B1684" s="20" t="str">
        <f t="shared" si="1268"/>
        <v>#REF!</v>
      </c>
      <c r="C1684" s="20" t="str">
        <f t="shared" ref="C1684:D1684" si="5045">#REF!</f>
        <v>#REF!</v>
      </c>
      <c r="D1684" s="20" t="str">
        <f t="shared" si="5045"/>
        <v>#REF!</v>
      </c>
      <c r="E1684" s="20" t="str">
        <f t="shared" si="1270"/>
        <v>#REF!</v>
      </c>
      <c r="F1684" s="22" t="str">
        <f t="shared" si="2"/>
        <v>#REF!</v>
      </c>
      <c r="G1684" s="20" t="str">
        <f t="shared" ref="G1684:I1684" si="5046">#REF!</f>
        <v>#REF!</v>
      </c>
      <c r="H1684" s="20" t="str">
        <f t="shared" si="5046"/>
        <v>#REF!</v>
      </c>
      <c r="I1684" s="20" t="str">
        <f t="shared" si="5046"/>
        <v>#REF!</v>
      </c>
      <c r="J1684" s="20" t="str">
        <f t="shared" si="1272"/>
        <v>#REF!</v>
      </c>
      <c r="K1684" s="20" t="str">
        <f t="shared" ref="K1684:L1684" si="5047">#REF!</f>
        <v>#REF!</v>
      </c>
      <c r="L1684" s="20" t="str">
        <f t="shared" si="5047"/>
        <v>#REF!</v>
      </c>
    </row>
    <row r="1685">
      <c r="A1685" s="20" t="str">
        <f t="shared" si="1267"/>
        <v>#REF!</v>
      </c>
      <c r="B1685" s="20" t="str">
        <f t="shared" si="1268"/>
        <v>#REF!</v>
      </c>
      <c r="C1685" s="20" t="str">
        <f t="shared" ref="C1685:D1685" si="5048">#REF!</f>
        <v>#REF!</v>
      </c>
      <c r="D1685" s="20" t="str">
        <f t="shared" si="5048"/>
        <v>#REF!</v>
      </c>
      <c r="E1685" s="20" t="str">
        <f t="shared" si="1270"/>
        <v>#REF!</v>
      </c>
      <c r="F1685" s="22" t="str">
        <f t="shared" si="2"/>
        <v>#REF!</v>
      </c>
      <c r="G1685" s="20" t="str">
        <f t="shared" ref="G1685:I1685" si="5049">#REF!</f>
        <v>#REF!</v>
      </c>
      <c r="H1685" s="20" t="str">
        <f t="shared" si="5049"/>
        <v>#REF!</v>
      </c>
      <c r="I1685" s="20" t="str">
        <f t="shared" si="5049"/>
        <v>#REF!</v>
      </c>
      <c r="J1685" s="20" t="str">
        <f t="shared" si="1272"/>
        <v>#REF!</v>
      </c>
      <c r="K1685" s="20" t="str">
        <f t="shared" ref="K1685:L1685" si="5050">#REF!</f>
        <v>#REF!</v>
      </c>
      <c r="L1685" s="20" t="str">
        <f t="shared" si="5050"/>
        <v>#REF!</v>
      </c>
    </row>
    <row r="1686">
      <c r="A1686" s="20" t="str">
        <f t="shared" si="1267"/>
        <v>#REF!</v>
      </c>
      <c r="B1686" s="20" t="str">
        <f t="shared" si="1268"/>
        <v>#REF!</v>
      </c>
      <c r="C1686" s="20" t="str">
        <f t="shared" ref="C1686:D1686" si="5051">#REF!</f>
        <v>#REF!</v>
      </c>
      <c r="D1686" s="20" t="str">
        <f t="shared" si="5051"/>
        <v>#REF!</v>
      </c>
      <c r="E1686" s="20" t="str">
        <f t="shared" si="1270"/>
        <v>#REF!</v>
      </c>
      <c r="F1686" s="22" t="str">
        <f t="shared" si="2"/>
        <v>#REF!</v>
      </c>
      <c r="G1686" s="20" t="str">
        <f t="shared" ref="G1686:I1686" si="5052">#REF!</f>
        <v>#REF!</v>
      </c>
      <c r="H1686" s="20" t="str">
        <f t="shared" si="5052"/>
        <v>#REF!</v>
      </c>
      <c r="I1686" s="20" t="str">
        <f t="shared" si="5052"/>
        <v>#REF!</v>
      </c>
      <c r="J1686" s="20" t="str">
        <f t="shared" si="1272"/>
        <v>#REF!</v>
      </c>
      <c r="K1686" s="20" t="str">
        <f t="shared" ref="K1686:L1686" si="5053">#REF!</f>
        <v>#REF!</v>
      </c>
      <c r="L1686" s="20" t="str">
        <f t="shared" si="5053"/>
        <v>#REF!</v>
      </c>
    </row>
    <row r="1687">
      <c r="A1687" s="20" t="str">
        <f t="shared" si="1267"/>
        <v>#REF!</v>
      </c>
      <c r="B1687" s="20" t="str">
        <f t="shared" si="1268"/>
        <v>#REF!</v>
      </c>
      <c r="C1687" s="20" t="str">
        <f t="shared" ref="C1687:D1687" si="5054">#REF!</f>
        <v>#REF!</v>
      </c>
      <c r="D1687" s="20" t="str">
        <f t="shared" si="5054"/>
        <v>#REF!</v>
      </c>
      <c r="E1687" s="20" t="str">
        <f t="shared" si="1270"/>
        <v>#REF!</v>
      </c>
      <c r="F1687" s="22" t="str">
        <f t="shared" si="2"/>
        <v>#REF!</v>
      </c>
      <c r="G1687" s="20" t="str">
        <f t="shared" ref="G1687:I1687" si="5055">#REF!</f>
        <v>#REF!</v>
      </c>
      <c r="H1687" s="20" t="str">
        <f t="shared" si="5055"/>
        <v>#REF!</v>
      </c>
      <c r="I1687" s="20" t="str">
        <f t="shared" si="5055"/>
        <v>#REF!</v>
      </c>
      <c r="J1687" s="20" t="str">
        <f t="shared" si="1272"/>
        <v>#REF!</v>
      </c>
      <c r="K1687" s="20" t="str">
        <f t="shared" ref="K1687:L1687" si="5056">#REF!</f>
        <v>#REF!</v>
      </c>
      <c r="L1687" s="20" t="str">
        <f t="shared" si="5056"/>
        <v>#REF!</v>
      </c>
    </row>
    <row r="1688">
      <c r="A1688" s="20" t="str">
        <f t="shared" si="1267"/>
        <v>#REF!</v>
      </c>
      <c r="B1688" s="20" t="str">
        <f t="shared" si="1268"/>
        <v>#REF!</v>
      </c>
      <c r="C1688" s="20" t="str">
        <f t="shared" ref="C1688:D1688" si="5057">#REF!</f>
        <v>#REF!</v>
      </c>
      <c r="D1688" s="20" t="str">
        <f t="shared" si="5057"/>
        <v>#REF!</v>
      </c>
      <c r="E1688" s="20" t="str">
        <f t="shared" si="1270"/>
        <v>#REF!</v>
      </c>
      <c r="F1688" s="22" t="str">
        <f t="shared" si="2"/>
        <v>#REF!</v>
      </c>
      <c r="G1688" s="20" t="str">
        <f t="shared" ref="G1688:I1688" si="5058">#REF!</f>
        <v>#REF!</v>
      </c>
      <c r="H1688" s="20" t="str">
        <f t="shared" si="5058"/>
        <v>#REF!</v>
      </c>
      <c r="I1688" s="20" t="str">
        <f t="shared" si="5058"/>
        <v>#REF!</v>
      </c>
      <c r="J1688" s="20" t="str">
        <f t="shared" si="1272"/>
        <v>#REF!</v>
      </c>
      <c r="K1688" s="20" t="str">
        <f t="shared" ref="K1688:L1688" si="5059">#REF!</f>
        <v>#REF!</v>
      </c>
      <c r="L1688" s="20" t="str">
        <f t="shared" si="5059"/>
        <v>#REF!</v>
      </c>
    </row>
    <row r="1689">
      <c r="A1689" s="20" t="str">
        <f t="shared" si="1267"/>
        <v>#REF!</v>
      </c>
      <c r="B1689" s="20" t="str">
        <f t="shared" si="1268"/>
        <v>#REF!</v>
      </c>
      <c r="C1689" s="20" t="str">
        <f t="shared" ref="C1689:D1689" si="5060">#REF!</f>
        <v>#REF!</v>
      </c>
      <c r="D1689" s="20" t="str">
        <f t="shared" si="5060"/>
        <v>#REF!</v>
      </c>
      <c r="E1689" s="20" t="str">
        <f t="shared" si="1270"/>
        <v>#REF!</v>
      </c>
      <c r="F1689" s="22" t="str">
        <f t="shared" si="2"/>
        <v>#REF!</v>
      </c>
      <c r="G1689" s="20" t="str">
        <f t="shared" ref="G1689:I1689" si="5061">#REF!</f>
        <v>#REF!</v>
      </c>
      <c r="H1689" s="20" t="str">
        <f t="shared" si="5061"/>
        <v>#REF!</v>
      </c>
      <c r="I1689" s="20" t="str">
        <f t="shared" si="5061"/>
        <v>#REF!</v>
      </c>
      <c r="J1689" s="20" t="str">
        <f t="shared" si="1272"/>
        <v>#REF!</v>
      </c>
      <c r="K1689" s="20" t="str">
        <f t="shared" ref="K1689:L1689" si="5062">#REF!</f>
        <v>#REF!</v>
      </c>
      <c r="L1689" s="20" t="str">
        <f t="shared" si="5062"/>
        <v>#REF!</v>
      </c>
    </row>
    <row r="1690">
      <c r="A1690" s="20" t="str">
        <f t="shared" si="1267"/>
        <v>#REF!</v>
      </c>
      <c r="B1690" s="20" t="str">
        <f t="shared" si="1268"/>
        <v>#REF!</v>
      </c>
      <c r="C1690" s="20" t="str">
        <f t="shared" ref="C1690:D1690" si="5063">#REF!</f>
        <v>#REF!</v>
      </c>
      <c r="D1690" s="20" t="str">
        <f t="shared" si="5063"/>
        <v>#REF!</v>
      </c>
      <c r="E1690" s="20" t="str">
        <f t="shared" si="1270"/>
        <v>#REF!</v>
      </c>
      <c r="F1690" s="22" t="str">
        <f t="shared" si="2"/>
        <v>#REF!</v>
      </c>
      <c r="G1690" s="20" t="str">
        <f t="shared" ref="G1690:I1690" si="5064">#REF!</f>
        <v>#REF!</v>
      </c>
      <c r="H1690" s="20" t="str">
        <f t="shared" si="5064"/>
        <v>#REF!</v>
      </c>
      <c r="I1690" s="20" t="str">
        <f t="shared" si="5064"/>
        <v>#REF!</v>
      </c>
      <c r="J1690" s="20" t="str">
        <f t="shared" si="1272"/>
        <v>#REF!</v>
      </c>
      <c r="K1690" s="20" t="str">
        <f t="shared" ref="K1690:L1690" si="5065">#REF!</f>
        <v>#REF!</v>
      </c>
      <c r="L1690" s="20" t="str">
        <f t="shared" si="5065"/>
        <v>#REF!</v>
      </c>
    </row>
    <row r="1691">
      <c r="A1691" s="20" t="str">
        <f t="shared" si="1267"/>
        <v>#REF!</v>
      </c>
      <c r="B1691" s="20" t="str">
        <f t="shared" si="1268"/>
        <v>#REF!</v>
      </c>
      <c r="C1691" s="20" t="str">
        <f t="shared" ref="C1691:D1691" si="5066">#REF!</f>
        <v>#REF!</v>
      </c>
      <c r="D1691" s="20" t="str">
        <f t="shared" si="5066"/>
        <v>#REF!</v>
      </c>
      <c r="E1691" s="20" t="str">
        <f t="shared" si="1270"/>
        <v>#REF!</v>
      </c>
      <c r="F1691" s="22" t="str">
        <f t="shared" si="2"/>
        <v>#REF!</v>
      </c>
      <c r="G1691" s="20" t="str">
        <f t="shared" ref="G1691:I1691" si="5067">#REF!</f>
        <v>#REF!</v>
      </c>
      <c r="H1691" s="20" t="str">
        <f t="shared" si="5067"/>
        <v>#REF!</v>
      </c>
      <c r="I1691" s="20" t="str">
        <f t="shared" si="5067"/>
        <v>#REF!</v>
      </c>
      <c r="J1691" s="20" t="str">
        <f t="shared" si="1272"/>
        <v>#REF!</v>
      </c>
      <c r="K1691" s="20" t="str">
        <f t="shared" ref="K1691:L1691" si="5068">#REF!</f>
        <v>#REF!</v>
      </c>
      <c r="L1691" s="20" t="str">
        <f t="shared" si="5068"/>
        <v>#REF!</v>
      </c>
    </row>
    <row r="1692">
      <c r="A1692" s="20" t="str">
        <f t="shared" si="1267"/>
        <v>#REF!</v>
      </c>
      <c r="B1692" s="20" t="str">
        <f t="shared" si="1268"/>
        <v>#REF!</v>
      </c>
      <c r="C1692" s="20" t="str">
        <f t="shared" ref="C1692:D1692" si="5069">#REF!</f>
        <v>#REF!</v>
      </c>
      <c r="D1692" s="20" t="str">
        <f t="shared" si="5069"/>
        <v>#REF!</v>
      </c>
      <c r="E1692" s="20" t="str">
        <f t="shared" si="1270"/>
        <v>#REF!</v>
      </c>
      <c r="F1692" s="22" t="str">
        <f t="shared" si="2"/>
        <v>#REF!</v>
      </c>
      <c r="G1692" s="20" t="str">
        <f t="shared" ref="G1692:I1692" si="5070">#REF!</f>
        <v>#REF!</v>
      </c>
      <c r="H1692" s="20" t="str">
        <f t="shared" si="5070"/>
        <v>#REF!</v>
      </c>
      <c r="I1692" s="20" t="str">
        <f t="shared" si="5070"/>
        <v>#REF!</v>
      </c>
      <c r="J1692" s="20" t="str">
        <f t="shared" si="1272"/>
        <v>#REF!</v>
      </c>
      <c r="K1692" s="20" t="str">
        <f t="shared" ref="K1692:L1692" si="5071">#REF!</f>
        <v>#REF!</v>
      </c>
      <c r="L1692" s="20" t="str">
        <f t="shared" si="5071"/>
        <v>#REF!</v>
      </c>
    </row>
    <row r="1693">
      <c r="A1693" s="20" t="str">
        <f t="shared" si="1267"/>
        <v>#REF!</v>
      </c>
      <c r="B1693" s="20" t="str">
        <f t="shared" si="1268"/>
        <v>#REF!</v>
      </c>
      <c r="C1693" s="20" t="str">
        <f t="shared" ref="C1693:D1693" si="5072">#REF!</f>
        <v>#REF!</v>
      </c>
      <c r="D1693" s="20" t="str">
        <f t="shared" si="5072"/>
        <v>#REF!</v>
      </c>
      <c r="E1693" s="20" t="str">
        <f t="shared" si="1270"/>
        <v>#REF!</v>
      </c>
      <c r="F1693" s="22" t="str">
        <f t="shared" si="2"/>
        <v>#REF!</v>
      </c>
      <c r="G1693" s="20" t="str">
        <f t="shared" ref="G1693:I1693" si="5073">#REF!</f>
        <v>#REF!</v>
      </c>
      <c r="H1693" s="20" t="str">
        <f t="shared" si="5073"/>
        <v>#REF!</v>
      </c>
      <c r="I1693" s="20" t="str">
        <f t="shared" si="5073"/>
        <v>#REF!</v>
      </c>
      <c r="J1693" s="20" t="str">
        <f t="shared" si="1272"/>
        <v>#REF!</v>
      </c>
      <c r="K1693" s="20" t="str">
        <f t="shared" ref="K1693:L1693" si="5074">#REF!</f>
        <v>#REF!</v>
      </c>
      <c r="L1693" s="20" t="str">
        <f t="shared" si="5074"/>
        <v>#REF!</v>
      </c>
    </row>
    <row r="1694">
      <c r="A1694" s="20" t="str">
        <f t="shared" si="1267"/>
        <v>#REF!</v>
      </c>
      <c r="B1694" s="20" t="str">
        <f t="shared" si="1268"/>
        <v>#REF!</v>
      </c>
      <c r="C1694" s="20" t="str">
        <f t="shared" ref="C1694:D1694" si="5075">#REF!</f>
        <v>#REF!</v>
      </c>
      <c r="D1694" s="20" t="str">
        <f t="shared" si="5075"/>
        <v>#REF!</v>
      </c>
      <c r="E1694" s="20" t="str">
        <f t="shared" si="1270"/>
        <v>#REF!</v>
      </c>
      <c r="F1694" s="22" t="str">
        <f t="shared" si="2"/>
        <v>#REF!</v>
      </c>
      <c r="G1694" s="20" t="str">
        <f t="shared" ref="G1694:I1694" si="5076">#REF!</f>
        <v>#REF!</v>
      </c>
      <c r="H1694" s="20" t="str">
        <f t="shared" si="5076"/>
        <v>#REF!</v>
      </c>
      <c r="I1694" s="20" t="str">
        <f t="shared" si="5076"/>
        <v>#REF!</v>
      </c>
      <c r="J1694" s="20" t="str">
        <f t="shared" si="1272"/>
        <v>#REF!</v>
      </c>
      <c r="K1694" s="20" t="str">
        <f t="shared" ref="K1694:L1694" si="5077">#REF!</f>
        <v>#REF!</v>
      </c>
      <c r="L1694" s="20" t="str">
        <f t="shared" si="5077"/>
        <v>#REF!</v>
      </c>
    </row>
    <row r="1695">
      <c r="A1695" s="20" t="str">
        <f t="shared" si="1267"/>
        <v>#REF!</v>
      </c>
      <c r="B1695" s="20" t="str">
        <f t="shared" si="1268"/>
        <v>#REF!</v>
      </c>
      <c r="C1695" s="20" t="str">
        <f t="shared" ref="C1695:D1695" si="5078">#REF!</f>
        <v>#REF!</v>
      </c>
      <c r="D1695" s="20" t="str">
        <f t="shared" si="5078"/>
        <v>#REF!</v>
      </c>
      <c r="E1695" s="20" t="str">
        <f t="shared" si="1270"/>
        <v>#REF!</v>
      </c>
      <c r="F1695" s="22" t="str">
        <f t="shared" si="2"/>
        <v>#REF!</v>
      </c>
      <c r="G1695" s="20" t="str">
        <f t="shared" ref="G1695:I1695" si="5079">#REF!</f>
        <v>#REF!</v>
      </c>
      <c r="H1695" s="20" t="str">
        <f t="shared" si="5079"/>
        <v>#REF!</v>
      </c>
      <c r="I1695" s="20" t="str">
        <f t="shared" si="5079"/>
        <v>#REF!</v>
      </c>
      <c r="J1695" s="20" t="str">
        <f t="shared" si="1272"/>
        <v>#REF!</v>
      </c>
      <c r="K1695" s="20" t="str">
        <f t="shared" ref="K1695:L1695" si="5080">#REF!</f>
        <v>#REF!</v>
      </c>
      <c r="L1695" s="20" t="str">
        <f t="shared" si="5080"/>
        <v>#REF!</v>
      </c>
    </row>
    <row r="1696">
      <c r="A1696" s="20" t="str">
        <f t="shared" si="1267"/>
        <v>#REF!</v>
      </c>
      <c r="B1696" s="20" t="str">
        <f t="shared" si="1268"/>
        <v>#REF!</v>
      </c>
      <c r="C1696" s="20" t="str">
        <f t="shared" ref="C1696:D1696" si="5081">#REF!</f>
        <v>#REF!</v>
      </c>
      <c r="D1696" s="20" t="str">
        <f t="shared" si="5081"/>
        <v>#REF!</v>
      </c>
      <c r="E1696" s="20" t="str">
        <f t="shared" si="1270"/>
        <v>#REF!</v>
      </c>
      <c r="F1696" s="22" t="str">
        <f t="shared" si="2"/>
        <v>#REF!</v>
      </c>
      <c r="G1696" s="20" t="str">
        <f t="shared" ref="G1696:I1696" si="5082">#REF!</f>
        <v>#REF!</v>
      </c>
      <c r="H1696" s="20" t="str">
        <f t="shared" si="5082"/>
        <v>#REF!</v>
      </c>
      <c r="I1696" s="20" t="str">
        <f t="shared" si="5082"/>
        <v>#REF!</v>
      </c>
      <c r="J1696" s="20" t="str">
        <f t="shared" si="1272"/>
        <v>#REF!</v>
      </c>
      <c r="K1696" s="20" t="str">
        <f t="shared" ref="K1696:L1696" si="5083">#REF!</f>
        <v>#REF!</v>
      </c>
      <c r="L1696" s="20" t="str">
        <f t="shared" si="5083"/>
        <v>#REF!</v>
      </c>
    </row>
    <row r="1697">
      <c r="A1697" s="20" t="str">
        <f t="shared" si="1267"/>
        <v>#REF!</v>
      </c>
      <c r="B1697" s="20" t="str">
        <f t="shared" si="1268"/>
        <v>#REF!</v>
      </c>
      <c r="C1697" s="20" t="str">
        <f t="shared" ref="C1697:D1697" si="5084">#REF!</f>
        <v>#REF!</v>
      </c>
      <c r="D1697" s="20" t="str">
        <f t="shared" si="5084"/>
        <v>#REF!</v>
      </c>
      <c r="E1697" s="20" t="str">
        <f t="shared" si="1270"/>
        <v>#REF!</v>
      </c>
      <c r="F1697" s="22" t="str">
        <f t="shared" si="2"/>
        <v>#REF!</v>
      </c>
      <c r="G1697" s="20" t="str">
        <f t="shared" ref="G1697:I1697" si="5085">#REF!</f>
        <v>#REF!</v>
      </c>
      <c r="H1697" s="20" t="str">
        <f t="shared" si="5085"/>
        <v>#REF!</v>
      </c>
      <c r="I1697" s="20" t="str">
        <f t="shared" si="5085"/>
        <v>#REF!</v>
      </c>
      <c r="J1697" s="20" t="str">
        <f t="shared" si="1272"/>
        <v>#REF!</v>
      </c>
      <c r="K1697" s="20" t="str">
        <f t="shared" ref="K1697:L1697" si="5086">#REF!</f>
        <v>#REF!</v>
      </c>
      <c r="L1697" s="20" t="str">
        <f t="shared" si="5086"/>
        <v>#REF!</v>
      </c>
    </row>
    <row r="1698">
      <c r="A1698" s="20" t="str">
        <f t="shared" si="1267"/>
        <v>#REF!</v>
      </c>
      <c r="B1698" s="20" t="str">
        <f t="shared" si="1268"/>
        <v>#REF!</v>
      </c>
      <c r="C1698" s="20" t="str">
        <f t="shared" ref="C1698:D1698" si="5087">#REF!</f>
        <v>#REF!</v>
      </c>
      <c r="D1698" s="20" t="str">
        <f t="shared" si="5087"/>
        <v>#REF!</v>
      </c>
      <c r="E1698" s="20" t="str">
        <f t="shared" si="1270"/>
        <v>#REF!</v>
      </c>
      <c r="F1698" s="22" t="str">
        <f t="shared" si="2"/>
        <v>#REF!</v>
      </c>
      <c r="G1698" s="20" t="str">
        <f t="shared" ref="G1698:I1698" si="5088">#REF!</f>
        <v>#REF!</v>
      </c>
      <c r="H1698" s="20" t="str">
        <f t="shared" si="5088"/>
        <v>#REF!</v>
      </c>
      <c r="I1698" s="20" t="str">
        <f t="shared" si="5088"/>
        <v>#REF!</v>
      </c>
      <c r="J1698" s="20" t="str">
        <f t="shared" si="1272"/>
        <v>#REF!</v>
      </c>
      <c r="K1698" s="20" t="str">
        <f t="shared" ref="K1698:L1698" si="5089">#REF!</f>
        <v>#REF!</v>
      </c>
      <c r="L1698" s="20" t="str">
        <f t="shared" si="5089"/>
        <v>#REF!</v>
      </c>
    </row>
    <row r="1699">
      <c r="A1699" s="20" t="str">
        <f t="shared" si="1267"/>
        <v>#REF!</v>
      </c>
      <c r="B1699" s="20" t="str">
        <f t="shared" si="1268"/>
        <v>#REF!</v>
      </c>
      <c r="C1699" s="20" t="str">
        <f t="shared" ref="C1699:D1699" si="5090">#REF!</f>
        <v>#REF!</v>
      </c>
      <c r="D1699" s="20" t="str">
        <f t="shared" si="5090"/>
        <v>#REF!</v>
      </c>
      <c r="E1699" s="20" t="str">
        <f t="shared" si="1270"/>
        <v>#REF!</v>
      </c>
      <c r="F1699" s="22" t="str">
        <f t="shared" si="2"/>
        <v>#REF!</v>
      </c>
      <c r="G1699" s="20" t="str">
        <f t="shared" ref="G1699:I1699" si="5091">#REF!</f>
        <v>#REF!</v>
      </c>
      <c r="H1699" s="20" t="str">
        <f t="shared" si="5091"/>
        <v>#REF!</v>
      </c>
      <c r="I1699" s="20" t="str">
        <f t="shared" si="5091"/>
        <v>#REF!</v>
      </c>
      <c r="J1699" s="20" t="str">
        <f t="shared" si="1272"/>
        <v>#REF!</v>
      </c>
      <c r="K1699" s="20" t="str">
        <f t="shared" ref="K1699:L1699" si="5092">#REF!</f>
        <v>#REF!</v>
      </c>
      <c r="L1699" s="20" t="str">
        <f t="shared" si="5092"/>
        <v>#REF!</v>
      </c>
    </row>
    <row r="1700">
      <c r="A1700" s="20" t="str">
        <f t="shared" si="1267"/>
        <v>#REF!</v>
      </c>
      <c r="B1700" s="20" t="str">
        <f t="shared" si="1268"/>
        <v>#REF!</v>
      </c>
      <c r="C1700" s="20" t="str">
        <f t="shared" ref="C1700:D1700" si="5093">#REF!</f>
        <v>#REF!</v>
      </c>
      <c r="D1700" s="20" t="str">
        <f t="shared" si="5093"/>
        <v>#REF!</v>
      </c>
      <c r="E1700" s="20" t="str">
        <f t="shared" si="1270"/>
        <v>#REF!</v>
      </c>
      <c r="F1700" s="22" t="str">
        <f t="shared" si="2"/>
        <v>#REF!</v>
      </c>
      <c r="G1700" s="20" t="str">
        <f t="shared" ref="G1700:I1700" si="5094">#REF!</f>
        <v>#REF!</v>
      </c>
      <c r="H1700" s="20" t="str">
        <f t="shared" si="5094"/>
        <v>#REF!</v>
      </c>
      <c r="I1700" s="20" t="str">
        <f t="shared" si="5094"/>
        <v>#REF!</v>
      </c>
      <c r="J1700" s="20" t="str">
        <f t="shared" si="1272"/>
        <v>#REF!</v>
      </c>
      <c r="K1700" s="20" t="str">
        <f t="shared" ref="K1700:L1700" si="5095">#REF!</f>
        <v>#REF!</v>
      </c>
      <c r="L1700" s="20" t="str">
        <f t="shared" si="5095"/>
        <v>#REF!</v>
      </c>
    </row>
    <row r="1701">
      <c r="A1701" s="20" t="str">
        <f t="shared" si="1267"/>
        <v>#REF!</v>
      </c>
      <c r="B1701" s="20" t="str">
        <f t="shared" si="1268"/>
        <v>#REF!</v>
      </c>
      <c r="C1701" s="20" t="str">
        <f t="shared" ref="C1701:D1701" si="5096">#REF!</f>
        <v>#REF!</v>
      </c>
      <c r="D1701" s="20" t="str">
        <f t="shared" si="5096"/>
        <v>#REF!</v>
      </c>
      <c r="E1701" s="20" t="str">
        <f t="shared" si="1270"/>
        <v>#REF!</v>
      </c>
      <c r="F1701" s="22" t="str">
        <f t="shared" si="2"/>
        <v>#REF!</v>
      </c>
      <c r="G1701" s="20" t="str">
        <f t="shared" ref="G1701:I1701" si="5097">#REF!</f>
        <v>#REF!</v>
      </c>
      <c r="H1701" s="20" t="str">
        <f t="shared" si="5097"/>
        <v>#REF!</v>
      </c>
      <c r="I1701" s="20" t="str">
        <f t="shared" si="5097"/>
        <v>#REF!</v>
      </c>
      <c r="J1701" s="20" t="str">
        <f t="shared" si="1272"/>
        <v>#REF!</v>
      </c>
      <c r="K1701" s="20" t="str">
        <f t="shared" ref="K1701:L1701" si="5098">#REF!</f>
        <v>#REF!</v>
      </c>
      <c r="L1701" s="20" t="str">
        <f t="shared" si="5098"/>
        <v>#REF!</v>
      </c>
    </row>
    <row r="1702">
      <c r="A1702" s="20" t="str">
        <f t="shared" si="1267"/>
        <v>#REF!</v>
      </c>
      <c r="B1702" s="20" t="str">
        <f t="shared" si="1268"/>
        <v>#REF!</v>
      </c>
      <c r="C1702" s="20" t="str">
        <f t="shared" ref="C1702:D1702" si="5099">#REF!</f>
        <v>#REF!</v>
      </c>
      <c r="D1702" s="20" t="str">
        <f t="shared" si="5099"/>
        <v>#REF!</v>
      </c>
      <c r="E1702" s="20" t="str">
        <f t="shared" si="1270"/>
        <v>#REF!</v>
      </c>
      <c r="F1702" s="22" t="str">
        <f t="shared" si="2"/>
        <v>#REF!</v>
      </c>
      <c r="G1702" s="20" t="str">
        <f t="shared" ref="G1702:I1702" si="5100">#REF!</f>
        <v>#REF!</v>
      </c>
      <c r="H1702" s="20" t="str">
        <f t="shared" si="5100"/>
        <v>#REF!</v>
      </c>
      <c r="I1702" s="20" t="str">
        <f t="shared" si="5100"/>
        <v>#REF!</v>
      </c>
      <c r="J1702" s="20" t="str">
        <f t="shared" si="1272"/>
        <v>#REF!</v>
      </c>
      <c r="K1702" s="20" t="str">
        <f t="shared" ref="K1702:L1702" si="5101">#REF!</f>
        <v>#REF!</v>
      </c>
      <c r="L1702" s="20" t="str">
        <f t="shared" si="5101"/>
        <v>#REF!</v>
      </c>
    </row>
    <row r="1703">
      <c r="A1703" s="20" t="str">
        <f t="shared" si="1267"/>
        <v>#REF!</v>
      </c>
      <c r="B1703" s="20" t="str">
        <f t="shared" si="1268"/>
        <v>#REF!</v>
      </c>
      <c r="C1703" s="20" t="str">
        <f t="shared" ref="C1703:D1703" si="5102">#REF!</f>
        <v>#REF!</v>
      </c>
      <c r="D1703" s="20" t="str">
        <f t="shared" si="5102"/>
        <v>#REF!</v>
      </c>
      <c r="E1703" s="20" t="str">
        <f t="shared" si="1270"/>
        <v>#REF!</v>
      </c>
      <c r="F1703" s="22" t="str">
        <f t="shared" si="2"/>
        <v>#REF!</v>
      </c>
      <c r="G1703" s="20" t="str">
        <f t="shared" ref="G1703:I1703" si="5103">#REF!</f>
        <v>#REF!</v>
      </c>
      <c r="H1703" s="20" t="str">
        <f t="shared" si="5103"/>
        <v>#REF!</v>
      </c>
      <c r="I1703" s="20" t="str">
        <f t="shared" si="5103"/>
        <v>#REF!</v>
      </c>
      <c r="J1703" s="20" t="str">
        <f t="shared" si="1272"/>
        <v>#REF!</v>
      </c>
      <c r="K1703" s="20" t="str">
        <f t="shared" ref="K1703:L1703" si="5104">#REF!</f>
        <v>#REF!</v>
      </c>
      <c r="L1703" s="20" t="str">
        <f t="shared" si="5104"/>
        <v>#REF!</v>
      </c>
    </row>
    <row r="1704">
      <c r="A1704" s="20" t="str">
        <f t="shared" si="1267"/>
        <v>#REF!</v>
      </c>
      <c r="B1704" s="20" t="str">
        <f t="shared" si="1268"/>
        <v>#REF!</v>
      </c>
      <c r="C1704" s="20" t="str">
        <f t="shared" ref="C1704:D1704" si="5105">#REF!</f>
        <v>#REF!</v>
      </c>
      <c r="D1704" s="20" t="str">
        <f t="shared" si="5105"/>
        <v>#REF!</v>
      </c>
      <c r="E1704" s="20" t="str">
        <f t="shared" si="1270"/>
        <v>#REF!</v>
      </c>
      <c r="F1704" s="22" t="str">
        <f t="shared" si="2"/>
        <v>#REF!</v>
      </c>
      <c r="G1704" s="20" t="str">
        <f t="shared" ref="G1704:I1704" si="5106">#REF!</f>
        <v>#REF!</v>
      </c>
      <c r="H1704" s="20" t="str">
        <f t="shared" si="5106"/>
        <v>#REF!</v>
      </c>
      <c r="I1704" s="20" t="str">
        <f t="shared" si="5106"/>
        <v>#REF!</v>
      </c>
      <c r="J1704" s="20" t="str">
        <f t="shared" si="1272"/>
        <v>#REF!</v>
      </c>
      <c r="K1704" s="20" t="str">
        <f t="shared" ref="K1704:L1704" si="5107">#REF!</f>
        <v>#REF!</v>
      </c>
      <c r="L1704" s="20" t="str">
        <f t="shared" si="5107"/>
        <v>#REF!</v>
      </c>
    </row>
    <row r="1705">
      <c r="A1705" s="20" t="str">
        <f t="shared" si="1267"/>
        <v>#REF!</v>
      </c>
      <c r="B1705" s="20" t="str">
        <f t="shared" si="1268"/>
        <v>#REF!</v>
      </c>
      <c r="C1705" s="20" t="str">
        <f t="shared" ref="C1705:D1705" si="5108">#REF!</f>
        <v>#REF!</v>
      </c>
      <c r="D1705" s="20" t="str">
        <f t="shared" si="5108"/>
        <v>#REF!</v>
      </c>
      <c r="E1705" s="20" t="str">
        <f t="shared" si="1270"/>
        <v>#REF!</v>
      </c>
      <c r="F1705" s="22" t="str">
        <f t="shared" si="2"/>
        <v>#REF!</v>
      </c>
      <c r="G1705" s="20" t="str">
        <f t="shared" ref="G1705:I1705" si="5109">#REF!</f>
        <v>#REF!</v>
      </c>
      <c r="H1705" s="20" t="str">
        <f t="shared" si="5109"/>
        <v>#REF!</v>
      </c>
      <c r="I1705" s="20" t="str">
        <f t="shared" si="5109"/>
        <v>#REF!</v>
      </c>
      <c r="J1705" s="20" t="str">
        <f t="shared" si="1272"/>
        <v>#REF!</v>
      </c>
      <c r="K1705" s="20" t="str">
        <f t="shared" ref="K1705:L1705" si="5110">#REF!</f>
        <v>#REF!</v>
      </c>
      <c r="L1705" s="20" t="str">
        <f t="shared" si="5110"/>
        <v>#REF!</v>
      </c>
    </row>
    <row r="1706">
      <c r="A1706" s="20" t="str">
        <f t="shared" si="1267"/>
        <v>#REF!</v>
      </c>
      <c r="B1706" s="20" t="str">
        <f t="shared" si="1268"/>
        <v>#REF!</v>
      </c>
      <c r="C1706" s="20" t="str">
        <f t="shared" ref="C1706:D1706" si="5111">#REF!</f>
        <v>#REF!</v>
      </c>
      <c r="D1706" s="20" t="str">
        <f t="shared" si="5111"/>
        <v>#REF!</v>
      </c>
      <c r="E1706" s="20" t="str">
        <f t="shared" si="1270"/>
        <v>#REF!</v>
      </c>
      <c r="F1706" s="22" t="str">
        <f t="shared" si="2"/>
        <v>#REF!</v>
      </c>
      <c r="G1706" s="20" t="str">
        <f t="shared" ref="G1706:I1706" si="5112">#REF!</f>
        <v>#REF!</v>
      </c>
      <c r="H1706" s="20" t="str">
        <f t="shared" si="5112"/>
        <v>#REF!</v>
      </c>
      <c r="I1706" s="20" t="str">
        <f t="shared" si="5112"/>
        <v>#REF!</v>
      </c>
      <c r="J1706" s="20" t="str">
        <f t="shared" si="1272"/>
        <v>#REF!</v>
      </c>
      <c r="K1706" s="20" t="str">
        <f t="shared" ref="K1706:L1706" si="5113">#REF!</f>
        <v>#REF!</v>
      </c>
      <c r="L1706" s="20" t="str">
        <f t="shared" si="5113"/>
        <v>#REF!</v>
      </c>
    </row>
    <row r="1707">
      <c r="A1707" s="20" t="str">
        <f t="shared" si="1267"/>
        <v>#REF!</v>
      </c>
      <c r="B1707" s="20" t="str">
        <f t="shared" si="1268"/>
        <v>#REF!</v>
      </c>
      <c r="C1707" s="20" t="str">
        <f t="shared" ref="C1707:D1707" si="5114">#REF!</f>
        <v>#REF!</v>
      </c>
      <c r="D1707" s="20" t="str">
        <f t="shared" si="5114"/>
        <v>#REF!</v>
      </c>
      <c r="E1707" s="20" t="str">
        <f t="shared" si="1270"/>
        <v>#REF!</v>
      </c>
      <c r="F1707" s="22" t="str">
        <f t="shared" si="2"/>
        <v>#REF!</v>
      </c>
      <c r="G1707" s="20" t="str">
        <f t="shared" ref="G1707:I1707" si="5115">#REF!</f>
        <v>#REF!</v>
      </c>
      <c r="H1707" s="20" t="str">
        <f t="shared" si="5115"/>
        <v>#REF!</v>
      </c>
      <c r="I1707" s="20" t="str">
        <f t="shared" si="5115"/>
        <v>#REF!</v>
      </c>
      <c r="J1707" s="20" t="str">
        <f t="shared" si="1272"/>
        <v>#REF!</v>
      </c>
      <c r="K1707" s="20" t="str">
        <f t="shared" ref="K1707:L1707" si="5116">#REF!</f>
        <v>#REF!</v>
      </c>
      <c r="L1707" s="20" t="str">
        <f t="shared" si="5116"/>
        <v>#REF!</v>
      </c>
    </row>
    <row r="1708">
      <c r="A1708" s="20" t="str">
        <f t="shared" si="1267"/>
        <v>#REF!</v>
      </c>
      <c r="B1708" s="20" t="str">
        <f t="shared" si="1268"/>
        <v>#REF!</v>
      </c>
      <c r="C1708" s="20" t="str">
        <f t="shared" ref="C1708:D1708" si="5117">#REF!</f>
        <v>#REF!</v>
      </c>
      <c r="D1708" s="20" t="str">
        <f t="shared" si="5117"/>
        <v>#REF!</v>
      </c>
      <c r="E1708" s="20" t="str">
        <f t="shared" si="1270"/>
        <v>#REF!</v>
      </c>
      <c r="F1708" s="22" t="str">
        <f t="shared" si="2"/>
        <v>#REF!</v>
      </c>
      <c r="G1708" s="20" t="str">
        <f t="shared" ref="G1708:I1708" si="5118">#REF!</f>
        <v>#REF!</v>
      </c>
      <c r="H1708" s="20" t="str">
        <f t="shared" si="5118"/>
        <v>#REF!</v>
      </c>
      <c r="I1708" s="20" t="str">
        <f t="shared" si="5118"/>
        <v>#REF!</v>
      </c>
      <c r="J1708" s="20" t="str">
        <f t="shared" si="1272"/>
        <v>#REF!</v>
      </c>
      <c r="K1708" s="20" t="str">
        <f t="shared" ref="K1708:L1708" si="5119">#REF!</f>
        <v>#REF!</v>
      </c>
      <c r="L1708" s="20" t="str">
        <f t="shared" si="5119"/>
        <v>#REF!</v>
      </c>
    </row>
    <row r="1709">
      <c r="A1709" s="20" t="str">
        <f t="shared" si="1267"/>
        <v>#REF!</v>
      </c>
      <c r="B1709" s="20" t="str">
        <f t="shared" si="1268"/>
        <v>#REF!</v>
      </c>
      <c r="C1709" s="20" t="str">
        <f t="shared" ref="C1709:D1709" si="5120">#REF!</f>
        <v>#REF!</v>
      </c>
      <c r="D1709" s="20" t="str">
        <f t="shared" si="5120"/>
        <v>#REF!</v>
      </c>
      <c r="E1709" s="20" t="str">
        <f t="shared" si="1270"/>
        <v>#REF!</v>
      </c>
      <c r="F1709" s="22" t="str">
        <f t="shared" si="2"/>
        <v>#REF!</v>
      </c>
      <c r="G1709" s="20" t="str">
        <f t="shared" ref="G1709:I1709" si="5121">#REF!</f>
        <v>#REF!</v>
      </c>
      <c r="H1709" s="20" t="str">
        <f t="shared" si="5121"/>
        <v>#REF!</v>
      </c>
      <c r="I1709" s="20" t="str">
        <f t="shared" si="5121"/>
        <v>#REF!</v>
      </c>
      <c r="J1709" s="20" t="str">
        <f t="shared" si="1272"/>
        <v>#REF!</v>
      </c>
      <c r="K1709" s="20" t="str">
        <f t="shared" ref="K1709:L1709" si="5122">#REF!</f>
        <v>#REF!</v>
      </c>
      <c r="L1709" s="20" t="str">
        <f t="shared" si="5122"/>
        <v>#REF!</v>
      </c>
    </row>
    <row r="1710">
      <c r="A1710" s="20" t="str">
        <f t="shared" si="1267"/>
        <v>#REF!</v>
      </c>
      <c r="B1710" s="20" t="str">
        <f t="shared" si="1268"/>
        <v>#REF!</v>
      </c>
      <c r="C1710" s="20" t="str">
        <f t="shared" ref="C1710:D1710" si="5123">#REF!</f>
        <v>#REF!</v>
      </c>
      <c r="D1710" s="20" t="str">
        <f t="shared" si="5123"/>
        <v>#REF!</v>
      </c>
      <c r="E1710" s="20" t="str">
        <f t="shared" si="1270"/>
        <v>#REF!</v>
      </c>
      <c r="F1710" s="22" t="str">
        <f t="shared" si="2"/>
        <v>#REF!</v>
      </c>
      <c r="G1710" s="20" t="str">
        <f t="shared" ref="G1710:I1710" si="5124">#REF!</f>
        <v>#REF!</v>
      </c>
      <c r="H1710" s="20" t="str">
        <f t="shared" si="5124"/>
        <v>#REF!</v>
      </c>
      <c r="I1710" s="20" t="str">
        <f t="shared" si="5124"/>
        <v>#REF!</v>
      </c>
      <c r="J1710" s="20" t="str">
        <f t="shared" si="1272"/>
        <v>#REF!</v>
      </c>
      <c r="K1710" s="20" t="str">
        <f t="shared" ref="K1710:L1710" si="5125">#REF!</f>
        <v>#REF!</v>
      </c>
      <c r="L1710" s="20" t="str">
        <f t="shared" si="5125"/>
        <v>#REF!</v>
      </c>
    </row>
    <row r="1711">
      <c r="A1711" s="20" t="str">
        <f t="shared" si="1267"/>
        <v>#REF!</v>
      </c>
      <c r="B1711" s="20" t="str">
        <f t="shared" si="1268"/>
        <v>#REF!</v>
      </c>
      <c r="C1711" s="20" t="str">
        <f t="shared" ref="C1711:D1711" si="5126">#REF!</f>
        <v>#REF!</v>
      </c>
      <c r="D1711" s="20" t="str">
        <f t="shared" si="5126"/>
        <v>#REF!</v>
      </c>
      <c r="E1711" s="20" t="str">
        <f t="shared" si="1270"/>
        <v>#REF!</v>
      </c>
      <c r="F1711" s="22" t="str">
        <f t="shared" si="2"/>
        <v>#REF!</v>
      </c>
      <c r="G1711" s="20" t="str">
        <f t="shared" ref="G1711:I1711" si="5127">#REF!</f>
        <v>#REF!</v>
      </c>
      <c r="H1711" s="20" t="str">
        <f t="shared" si="5127"/>
        <v>#REF!</v>
      </c>
      <c r="I1711" s="20" t="str">
        <f t="shared" si="5127"/>
        <v>#REF!</v>
      </c>
      <c r="J1711" s="20" t="str">
        <f t="shared" si="1272"/>
        <v>#REF!</v>
      </c>
      <c r="K1711" s="20" t="str">
        <f t="shared" ref="K1711:L1711" si="5128">#REF!</f>
        <v>#REF!</v>
      </c>
      <c r="L1711" s="20" t="str">
        <f t="shared" si="5128"/>
        <v>#REF!</v>
      </c>
    </row>
    <row r="1712">
      <c r="A1712" s="20" t="str">
        <f t="shared" si="1267"/>
        <v>#REF!</v>
      </c>
      <c r="B1712" s="20" t="str">
        <f t="shared" si="1268"/>
        <v>#REF!</v>
      </c>
      <c r="C1712" s="20" t="str">
        <f t="shared" ref="C1712:D1712" si="5129">#REF!</f>
        <v>#REF!</v>
      </c>
      <c r="D1712" s="20" t="str">
        <f t="shared" si="5129"/>
        <v>#REF!</v>
      </c>
      <c r="E1712" s="20" t="str">
        <f t="shared" si="1270"/>
        <v>#REF!</v>
      </c>
      <c r="F1712" s="22" t="str">
        <f t="shared" si="2"/>
        <v>#REF!</v>
      </c>
      <c r="G1712" s="20" t="str">
        <f t="shared" ref="G1712:I1712" si="5130">#REF!</f>
        <v>#REF!</v>
      </c>
      <c r="H1712" s="20" t="str">
        <f t="shared" si="5130"/>
        <v>#REF!</v>
      </c>
      <c r="I1712" s="20" t="str">
        <f t="shared" si="5130"/>
        <v>#REF!</v>
      </c>
      <c r="J1712" s="20" t="str">
        <f t="shared" si="1272"/>
        <v>#REF!</v>
      </c>
      <c r="K1712" s="20" t="str">
        <f t="shared" ref="K1712:L1712" si="5131">#REF!</f>
        <v>#REF!</v>
      </c>
      <c r="L1712" s="20" t="str">
        <f t="shared" si="5131"/>
        <v>#REF!</v>
      </c>
    </row>
    <row r="1713">
      <c r="A1713" s="20" t="str">
        <f t="shared" si="1267"/>
        <v>#REF!</v>
      </c>
      <c r="B1713" s="20" t="str">
        <f t="shared" si="1268"/>
        <v>#REF!</v>
      </c>
      <c r="C1713" s="20" t="str">
        <f t="shared" ref="C1713:D1713" si="5132">#REF!</f>
        <v>#REF!</v>
      </c>
      <c r="D1713" s="20" t="str">
        <f t="shared" si="5132"/>
        <v>#REF!</v>
      </c>
      <c r="E1713" s="20" t="str">
        <f t="shared" si="1270"/>
        <v>#REF!</v>
      </c>
      <c r="F1713" s="22" t="str">
        <f t="shared" si="2"/>
        <v>#REF!</v>
      </c>
      <c r="G1713" s="20" t="str">
        <f t="shared" ref="G1713:I1713" si="5133">#REF!</f>
        <v>#REF!</v>
      </c>
      <c r="H1713" s="20" t="str">
        <f t="shared" si="5133"/>
        <v>#REF!</v>
      </c>
      <c r="I1713" s="20" t="str">
        <f t="shared" si="5133"/>
        <v>#REF!</v>
      </c>
      <c r="J1713" s="20" t="str">
        <f t="shared" si="1272"/>
        <v>#REF!</v>
      </c>
      <c r="K1713" s="20" t="str">
        <f t="shared" ref="K1713:L1713" si="5134">#REF!</f>
        <v>#REF!</v>
      </c>
      <c r="L1713" s="20" t="str">
        <f t="shared" si="5134"/>
        <v>#REF!</v>
      </c>
    </row>
    <row r="1714">
      <c r="A1714" s="20" t="str">
        <f t="shared" si="1267"/>
        <v>#REF!</v>
      </c>
      <c r="B1714" s="20" t="str">
        <f t="shared" si="1268"/>
        <v>#REF!</v>
      </c>
      <c r="C1714" s="20" t="str">
        <f t="shared" ref="C1714:D1714" si="5135">#REF!</f>
        <v>#REF!</v>
      </c>
      <c r="D1714" s="20" t="str">
        <f t="shared" si="5135"/>
        <v>#REF!</v>
      </c>
      <c r="E1714" s="20" t="str">
        <f t="shared" si="1270"/>
        <v>#REF!</v>
      </c>
      <c r="F1714" s="22" t="str">
        <f t="shared" si="2"/>
        <v>#REF!</v>
      </c>
      <c r="G1714" s="20" t="str">
        <f t="shared" ref="G1714:I1714" si="5136">#REF!</f>
        <v>#REF!</v>
      </c>
      <c r="H1714" s="20" t="str">
        <f t="shared" si="5136"/>
        <v>#REF!</v>
      </c>
      <c r="I1714" s="20" t="str">
        <f t="shared" si="5136"/>
        <v>#REF!</v>
      </c>
      <c r="J1714" s="20" t="str">
        <f t="shared" si="1272"/>
        <v>#REF!</v>
      </c>
      <c r="K1714" s="20" t="str">
        <f t="shared" ref="K1714:L1714" si="5137">#REF!</f>
        <v>#REF!</v>
      </c>
      <c r="L1714" s="20" t="str">
        <f t="shared" si="5137"/>
        <v>#REF!</v>
      </c>
    </row>
    <row r="1715">
      <c r="A1715" s="20" t="str">
        <f t="shared" si="1267"/>
        <v>#REF!</v>
      </c>
      <c r="B1715" s="20" t="str">
        <f t="shared" si="1268"/>
        <v>#REF!</v>
      </c>
      <c r="C1715" s="20" t="str">
        <f t="shared" ref="C1715:D1715" si="5138">#REF!</f>
        <v>#REF!</v>
      </c>
      <c r="D1715" s="20" t="str">
        <f t="shared" si="5138"/>
        <v>#REF!</v>
      </c>
      <c r="E1715" s="20" t="str">
        <f t="shared" si="1270"/>
        <v>#REF!</v>
      </c>
      <c r="F1715" s="22" t="str">
        <f t="shared" si="2"/>
        <v>#REF!</v>
      </c>
      <c r="G1715" s="20" t="str">
        <f t="shared" ref="G1715:I1715" si="5139">#REF!</f>
        <v>#REF!</v>
      </c>
      <c r="H1715" s="20" t="str">
        <f t="shared" si="5139"/>
        <v>#REF!</v>
      </c>
      <c r="I1715" s="20" t="str">
        <f t="shared" si="5139"/>
        <v>#REF!</v>
      </c>
      <c r="J1715" s="20" t="str">
        <f t="shared" si="1272"/>
        <v>#REF!</v>
      </c>
      <c r="K1715" s="20" t="str">
        <f t="shared" ref="K1715:L1715" si="5140">#REF!</f>
        <v>#REF!</v>
      </c>
      <c r="L1715" s="20" t="str">
        <f t="shared" si="5140"/>
        <v>#REF!</v>
      </c>
    </row>
    <row r="1716">
      <c r="A1716" s="20" t="str">
        <f t="shared" si="1267"/>
        <v>#REF!</v>
      </c>
      <c r="B1716" s="20" t="str">
        <f t="shared" si="1268"/>
        <v>#REF!</v>
      </c>
      <c r="C1716" s="20" t="str">
        <f t="shared" ref="C1716:D1716" si="5141">#REF!</f>
        <v>#REF!</v>
      </c>
      <c r="D1716" s="20" t="str">
        <f t="shared" si="5141"/>
        <v>#REF!</v>
      </c>
      <c r="E1716" s="20" t="str">
        <f t="shared" si="1270"/>
        <v>#REF!</v>
      </c>
      <c r="F1716" s="22" t="str">
        <f t="shared" si="2"/>
        <v>#REF!</v>
      </c>
      <c r="G1716" s="20" t="str">
        <f t="shared" ref="G1716:I1716" si="5142">#REF!</f>
        <v>#REF!</v>
      </c>
      <c r="H1716" s="20" t="str">
        <f t="shared" si="5142"/>
        <v>#REF!</v>
      </c>
      <c r="I1716" s="20" t="str">
        <f t="shared" si="5142"/>
        <v>#REF!</v>
      </c>
      <c r="J1716" s="20" t="str">
        <f t="shared" si="1272"/>
        <v>#REF!</v>
      </c>
      <c r="K1716" s="20" t="str">
        <f t="shared" ref="K1716:L1716" si="5143">#REF!</f>
        <v>#REF!</v>
      </c>
      <c r="L1716" s="20" t="str">
        <f t="shared" si="5143"/>
        <v>#REF!</v>
      </c>
    </row>
    <row r="1717">
      <c r="A1717" s="20" t="str">
        <f t="shared" si="1267"/>
        <v>#REF!</v>
      </c>
      <c r="B1717" s="20" t="str">
        <f t="shared" si="1268"/>
        <v>#REF!</v>
      </c>
      <c r="C1717" s="20" t="str">
        <f t="shared" ref="C1717:D1717" si="5144">#REF!</f>
        <v>#REF!</v>
      </c>
      <c r="D1717" s="20" t="str">
        <f t="shared" si="5144"/>
        <v>#REF!</v>
      </c>
      <c r="E1717" s="20" t="str">
        <f t="shared" si="1270"/>
        <v>#REF!</v>
      </c>
      <c r="F1717" s="22" t="str">
        <f t="shared" si="2"/>
        <v>#REF!</v>
      </c>
      <c r="G1717" s="20" t="str">
        <f t="shared" ref="G1717:I1717" si="5145">#REF!</f>
        <v>#REF!</v>
      </c>
      <c r="H1717" s="20" t="str">
        <f t="shared" si="5145"/>
        <v>#REF!</v>
      </c>
      <c r="I1717" s="20" t="str">
        <f t="shared" si="5145"/>
        <v>#REF!</v>
      </c>
      <c r="J1717" s="20" t="str">
        <f t="shared" si="1272"/>
        <v>#REF!</v>
      </c>
      <c r="K1717" s="20" t="str">
        <f t="shared" ref="K1717:L1717" si="5146">#REF!</f>
        <v>#REF!</v>
      </c>
      <c r="L1717" s="20" t="str">
        <f t="shared" si="5146"/>
        <v>#REF!</v>
      </c>
    </row>
    <row r="1718">
      <c r="A1718" s="20" t="str">
        <f t="shared" si="1267"/>
        <v>#REF!</v>
      </c>
      <c r="B1718" s="20" t="str">
        <f t="shared" si="1268"/>
        <v>#REF!</v>
      </c>
      <c r="C1718" s="20" t="str">
        <f t="shared" ref="C1718:D1718" si="5147">#REF!</f>
        <v>#REF!</v>
      </c>
      <c r="D1718" s="20" t="str">
        <f t="shared" si="5147"/>
        <v>#REF!</v>
      </c>
      <c r="E1718" s="20" t="str">
        <f t="shared" si="1270"/>
        <v>#REF!</v>
      </c>
      <c r="F1718" s="22" t="str">
        <f t="shared" si="2"/>
        <v>#REF!</v>
      </c>
      <c r="G1718" s="20" t="str">
        <f t="shared" ref="G1718:I1718" si="5148">#REF!</f>
        <v>#REF!</v>
      </c>
      <c r="H1718" s="20" t="str">
        <f t="shared" si="5148"/>
        <v>#REF!</v>
      </c>
      <c r="I1718" s="20" t="str">
        <f t="shared" si="5148"/>
        <v>#REF!</v>
      </c>
      <c r="J1718" s="20" t="str">
        <f t="shared" si="1272"/>
        <v>#REF!</v>
      </c>
      <c r="K1718" s="20" t="str">
        <f t="shared" ref="K1718:L1718" si="5149">#REF!</f>
        <v>#REF!</v>
      </c>
      <c r="L1718" s="20" t="str">
        <f t="shared" si="5149"/>
        <v>#REF!</v>
      </c>
    </row>
    <row r="1719">
      <c r="A1719" s="20" t="str">
        <f t="shared" si="1267"/>
        <v>#REF!</v>
      </c>
      <c r="B1719" s="20" t="str">
        <f t="shared" si="1268"/>
        <v>#REF!</v>
      </c>
      <c r="C1719" s="20" t="str">
        <f t="shared" ref="C1719:D1719" si="5150">#REF!</f>
        <v>#REF!</v>
      </c>
      <c r="D1719" s="20" t="str">
        <f t="shared" si="5150"/>
        <v>#REF!</v>
      </c>
      <c r="E1719" s="20" t="str">
        <f t="shared" si="1270"/>
        <v>#REF!</v>
      </c>
      <c r="F1719" s="22" t="str">
        <f t="shared" si="2"/>
        <v>#REF!</v>
      </c>
      <c r="G1719" s="20" t="str">
        <f t="shared" ref="G1719:I1719" si="5151">#REF!</f>
        <v>#REF!</v>
      </c>
      <c r="H1719" s="20" t="str">
        <f t="shared" si="5151"/>
        <v>#REF!</v>
      </c>
      <c r="I1719" s="20" t="str">
        <f t="shared" si="5151"/>
        <v>#REF!</v>
      </c>
      <c r="J1719" s="20" t="str">
        <f t="shared" si="1272"/>
        <v>#REF!</v>
      </c>
      <c r="K1719" s="20" t="str">
        <f t="shared" ref="K1719:L1719" si="5152">#REF!</f>
        <v>#REF!</v>
      </c>
      <c r="L1719" s="20" t="str">
        <f t="shared" si="5152"/>
        <v>#REF!</v>
      </c>
    </row>
    <row r="1720">
      <c r="A1720" s="20" t="str">
        <f t="shared" si="1267"/>
        <v>#REF!</v>
      </c>
      <c r="B1720" s="20" t="str">
        <f t="shared" si="1268"/>
        <v>#REF!</v>
      </c>
      <c r="C1720" s="20" t="str">
        <f t="shared" ref="C1720:D1720" si="5153">#REF!</f>
        <v>#REF!</v>
      </c>
      <c r="D1720" s="20" t="str">
        <f t="shared" si="5153"/>
        <v>#REF!</v>
      </c>
      <c r="E1720" s="20" t="str">
        <f t="shared" si="1270"/>
        <v>#REF!</v>
      </c>
      <c r="F1720" s="22" t="str">
        <f t="shared" si="2"/>
        <v>#REF!</v>
      </c>
      <c r="G1720" s="20" t="str">
        <f t="shared" ref="G1720:I1720" si="5154">#REF!</f>
        <v>#REF!</v>
      </c>
      <c r="H1720" s="20" t="str">
        <f t="shared" si="5154"/>
        <v>#REF!</v>
      </c>
      <c r="I1720" s="20" t="str">
        <f t="shared" si="5154"/>
        <v>#REF!</v>
      </c>
      <c r="J1720" s="20" t="str">
        <f t="shared" si="1272"/>
        <v>#REF!</v>
      </c>
      <c r="K1720" s="20" t="str">
        <f t="shared" ref="K1720:L1720" si="5155">#REF!</f>
        <v>#REF!</v>
      </c>
      <c r="L1720" s="20" t="str">
        <f t="shared" si="5155"/>
        <v>#REF!</v>
      </c>
    </row>
    <row r="1721">
      <c r="A1721" s="20" t="str">
        <f t="shared" si="1267"/>
        <v>#REF!</v>
      </c>
      <c r="B1721" s="20" t="str">
        <f t="shared" si="1268"/>
        <v>#REF!</v>
      </c>
      <c r="C1721" s="20" t="str">
        <f t="shared" ref="C1721:D1721" si="5156">#REF!</f>
        <v>#REF!</v>
      </c>
      <c r="D1721" s="20" t="str">
        <f t="shared" si="5156"/>
        <v>#REF!</v>
      </c>
      <c r="E1721" s="20" t="str">
        <f t="shared" si="1270"/>
        <v>#REF!</v>
      </c>
      <c r="F1721" s="22" t="str">
        <f t="shared" si="2"/>
        <v>#REF!</v>
      </c>
      <c r="G1721" s="20" t="str">
        <f t="shared" ref="G1721:I1721" si="5157">#REF!</f>
        <v>#REF!</v>
      </c>
      <c r="H1721" s="20" t="str">
        <f t="shared" si="5157"/>
        <v>#REF!</v>
      </c>
      <c r="I1721" s="20" t="str">
        <f t="shared" si="5157"/>
        <v>#REF!</v>
      </c>
      <c r="J1721" s="20" t="str">
        <f t="shared" si="1272"/>
        <v>#REF!</v>
      </c>
      <c r="K1721" s="20" t="str">
        <f t="shared" ref="K1721:L1721" si="5158">#REF!</f>
        <v>#REF!</v>
      </c>
      <c r="L1721" s="20" t="str">
        <f t="shared" si="5158"/>
        <v>#REF!</v>
      </c>
    </row>
    <row r="1722">
      <c r="A1722" s="20" t="str">
        <f t="shared" si="1267"/>
        <v>#REF!</v>
      </c>
      <c r="B1722" s="20" t="str">
        <f t="shared" si="1268"/>
        <v>#REF!</v>
      </c>
      <c r="C1722" s="20" t="str">
        <f t="shared" ref="C1722:D1722" si="5159">#REF!</f>
        <v>#REF!</v>
      </c>
      <c r="D1722" s="20" t="str">
        <f t="shared" si="5159"/>
        <v>#REF!</v>
      </c>
      <c r="E1722" s="20" t="str">
        <f t="shared" si="1270"/>
        <v>#REF!</v>
      </c>
      <c r="F1722" s="22" t="str">
        <f t="shared" si="2"/>
        <v>#REF!</v>
      </c>
      <c r="G1722" s="20" t="str">
        <f t="shared" ref="G1722:I1722" si="5160">#REF!</f>
        <v>#REF!</v>
      </c>
      <c r="H1722" s="20" t="str">
        <f t="shared" si="5160"/>
        <v>#REF!</v>
      </c>
      <c r="I1722" s="20" t="str">
        <f t="shared" si="5160"/>
        <v>#REF!</v>
      </c>
      <c r="J1722" s="20" t="str">
        <f t="shared" si="1272"/>
        <v>#REF!</v>
      </c>
      <c r="K1722" s="20" t="str">
        <f t="shared" ref="K1722:L1722" si="5161">#REF!</f>
        <v>#REF!</v>
      </c>
      <c r="L1722" s="20" t="str">
        <f t="shared" si="5161"/>
        <v>#REF!</v>
      </c>
    </row>
    <row r="1723">
      <c r="A1723" s="20" t="str">
        <f t="shared" si="1267"/>
        <v>#REF!</v>
      </c>
      <c r="B1723" s="20" t="str">
        <f t="shared" si="1268"/>
        <v>#REF!</v>
      </c>
      <c r="C1723" s="20" t="str">
        <f t="shared" ref="C1723:D1723" si="5162">#REF!</f>
        <v>#REF!</v>
      </c>
      <c r="D1723" s="20" t="str">
        <f t="shared" si="5162"/>
        <v>#REF!</v>
      </c>
      <c r="E1723" s="20" t="str">
        <f t="shared" si="1270"/>
        <v>#REF!</v>
      </c>
      <c r="F1723" s="22" t="str">
        <f t="shared" si="2"/>
        <v>#REF!</v>
      </c>
      <c r="G1723" s="20" t="str">
        <f t="shared" ref="G1723:I1723" si="5163">#REF!</f>
        <v>#REF!</v>
      </c>
      <c r="H1723" s="20" t="str">
        <f t="shared" si="5163"/>
        <v>#REF!</v>
      </c>
      <c r="I1723" s="20" t="str">
        <f t="shared" si="5163"/>
        <v>#REF!</v>
      </c>
      <c r="J1723" s="20" t="str">
        <f t="shared" si="1272"/>
        <v>#REF!</v>
      </c>
      <c r="K1723" s="20" t="str">
        <f t="shared" ref="K1723:L1723" si="5164">#REF!</f>
        <v>#REF!</v>
      </c>
      <c r="L1723" s="20" t="str">
        <f t="shared" si="5164"/>
        <v>#REF!</v>
      </c>
    </row>
    <row r="1724">
      <c r="A1724" s="20" t="str">
        <f t="shared" si="1267"/>
        <v>#REF!</v>
      </c>
      <c r="B1724" s="20" t="str">
        <f t="shared" si="1268"/>
        <v>#REF!</v>
      </c>
      <c r="C1724" s="20" t="str">
        <f t="shared" ref="C1724:D1724" si="5165">#REF!</f>
        <v>#REF!</v>
      </c>
      <c r="D1724" s="20" t="str">
        <f t="shared" si="5165"/>
        <v>#REF!</v>
      </c>
      <c r="E1724" s="20" t="str">
        <f t="shared" si="1270"/>
        <v>#REF!</v>
      </c>
      <c r="F1724" s="22" t="str">
        <f t="shared" si="2"/>
        <v>#REF!</v>
      </c>
      <c r="G1724" s="20" t="str">
        <f t="shared" ref="G1724:I1724" si="5166">#REF!</f>
        <v>#REF!</v>
      </c>
      <c r="H1724" s="20" t="str">
        <f t="shared" si="5166"/>
        <v>#REF!</v>
      </c>
      <c r="I1724" s="20" t="str">
        <f t="shared" si="5166"/>
        <v>#REF!</v>
      </c>
      <c r="J1724" s="20" t="str">
        <f t="shared" si="1272"/>
        <v>#REF!</v>
      </c>
      <c r="K1724" s="20" t="str">
        <f t="shared" ref="K1724:L1724" si="5167">#REF!</f>
        <v>#REF!</v>
      </c>
      <c r="L1724" s="20" t="str">
        <f t="shared" si="5167"/>
        <v>#REF!</v>
      </c>
    </row>
    <row r="1725">
      <c r="A1725" s="20" t="str">
        <f t="shared" si="1267"/>
        <v>#REF!</v>
      </c>
      <c r="B1725" s="20" t="str">
        <f t="shared" si="1268"/>
        <v>#REF!</v>
      </c>
      <c r="C1725" s="20" t="str">
        <f t="shared" ref="C1725:D1725" si="5168">#REF!</f>
        <v>#REF!</v>
      </c>
      <c r="D1725" s="20" t="str">
        <f t="shared" si="5168"/>
        <v>#REF!</v>
      </c>
      <c r="E1725" s="20" t="str">
        <f t="shared" si="1270"/>
        <v>#REF!</v>
      </c>
      <c r="F1725" s="22" t="str">
        <f t="shared" si="2"/>
        <v>#REF!</v>
      </c>
      <c r="G1725" s="20" t="str">
        <f t="shared" ref="G1725:I1725" si="5169">#REF!</f>
        <v>#REF!</v>
      </c>
      <c r="H1725" s="20" t="str">
        <f t="shared" si="5169"/>
        <v>#REF!</v>
      </c>
      <c r="I1725" s="20" t="str">
        <f t="shared" si="5169"/>
        <v>#REF!</v>
      </c>
      <c r="J1725" s="20" t="str">
        <f t="shared" si="1272"/>
        <v>#REF!</v>
      </c>
      <c r="K1725" s="20" t="str">
        <f t="shared" ref="K1725:L1725" si="5170">#REF!</f>
        <v>#REF!</v>
      </c>
      <c r="L1725" s="20" t="str">
        <f t="shared" si="5170"/>
        <v>#REF!</v>
      </c>
    </row>
    <row r="1726">
      <c r="A1726" s="20" t="str">
        <f t="shared" si="1267"/>
        <v>#REF!</v>
      </c>
      <c r="B1726" s="20" t="str">
        <f t="shared" si="1268"/>
        <v>#REF!</v>
      </c>
      <c r="C1726" s="20" t="str">
        <f t="shared" ref="C1726:D1726" si="5171">#REF!</f>
        <v>#REF!</v>
      </c>
      <c r="D1726" s="20" t="str">
        <f t="shared" si="5171"/>
        <v>#REF!</v>
      </c>
      <c r="E1726" s="20" t="str">
        <f t="shared" si="1270"/>
        <v>#REF!</v>
      </c>
      <c r="F1726" s="22" t="str">
        <f t="shared" si="2"/>
        <v>#REF!</v>
      </c>
      <c r="G1726" s="20" t="str">
        <f t="shared" ref="G1726:I1726" si="5172">#REF!</f>
        <v>#REF!</v>
      </c>
      <c r="H1726" s="20" t="str">
        <f t="shared" si="5172"/>
        <v>#REF!</v>
      </c>
      <c r="I1726" s="20" t="str">
        <f t="shared" si="5172"/>
        <v>#REF!</v>
      </c>
      <c r="J1726" s="20" t="str">
        <f t="shared" si="1272"/>
        <v>#REF!</v>
      </c>
      <c r="K1726" s="20" t="str">
        <f t="shared" ref="K1726:L1726" si="5173">#REF!</f>
        <v>#REF!</v>
      </c>
      <c r="L1726" s="20" t="str">
        <f t="shared" si="5173"/>
        <v>#REF!</v>
      </c>
    </row>
    <row r="1727">
      <c r="A1727" s="20" t="str">
        <f t="shared" si="1267"/>
        <v>#REF!</v>
      </c>
      <c r="B1727" s="20" t="str">
        <f t="shared" si="1268"/>
        <v>#REF!</v>
      </c>
      <c r="C1727" s="20" t="str">
        <f t="shared" ref="C1727:D1727" si="5174">#REF!</f>
        <v>#REF!</v>
      </c>
      <c r="D1727" s="20" t="str">
        <f t="shared" si="5174"/>
        <v>#REF!</v>
      </c>
      <c r="E1727" s="20" t="str">
        <f t="shared" si="1270"/>
        <v>#REF!</v>
      </c>
      <c r="F1727" s="22" t="str">
        <f t="shared" si="2"/>
        <v>#REF!</v>
      </c>
      <c r="G1727" s="20" t="str">
        <f t="shared" ref="G1727:I1727" si="5175">#REF!</f>
        <v>#REF!</v>
      </c>
      <c r="H1727" s="20" t="str">
        <f t="shared" si="5175"/>
        <v>#REF!</v>
      </c>
      <c r="I1727" s="20" t="str">
        <f t="shared" si="5175"/>
        <v>#REF!</v>
      </c>
      <c r="J1727" s="20" t="str">
        <f t="shared" si="1272"/>
        <v>#REF!</v>
      </c>
      <c r="K1727" s="20" t="str">
        <f t="shared" ref="K1727:L1727" si="5176">#REF!</f>
        <v>#REF!</v>
      </c>
      <c r="L1727" s="20" t="str">
        <f t="shared" si="5176"/>
        <v>#REF!</v>
      </c>
    </row>
    <row r="1728">
      <c r="A1728" s="20" t="str">
        <f t="shared" si="1267"/>
        <v>#REF!</v>
      </c>
      <c r="B1728" s="20" t="str">
        <f t="shared" si="1268"/>
        <v>#REF!</v>
      </c>
      <c r="C1728" s="20" t="str">
        <f t="shared" ref="C1728:D1728" si="5177">#REF!</f>
        <v>#REF!</v>
      </c>
      <c r="D1728" s="20" t="str">
        <f t="shared" si="5177"/>
        <v>#REF!</v>
      </c>
      <c r="E1728" s="20" t="str">
        <f t="shared" si="1270"/>
        <v>#REF!</v>
      </c>
      <c r="F1728" s="22" t="str">
        <f t="shared" si="2"/>
        <v>#REF!</v>
      </c>
      <c r="G1728" s="20" t="str">
        <f t="shared" ref="G1728:I1728" si="5178">#REF!</f>
        <v>#REF!</v>
      </c>
      <c r="H1728" s="20" t="str">
        <f t="shared" si="5178"/>
        <v>#REF!</v>
      </c>
      <c r="I1728" s="20" t="str">
        <f t="shared" si="5178"/>
        <v>#REF!</v>
      </c>
      <c r="J1728" s="20" t="str">
        <f t="shared" si="1272"/>
        <v>#REF!</v>
      </c>
      <c r="K1728" s="20" t="str">
        <f t="shared" ref="K1728:L1728" si="5179">#REF!</f>
        <v>#REF!</v>
      </c>
      <c r="L1728" s="20" t="str">
        <f t="shared" si="5179"/>
        <v>#REF!</v>
      </c>
    </row>
    <row r="1729">
      <c r="A1729" s="20" t="str">
        <f t="shared" si="1267"/>
        <v>#REF!</v>
      </c>
      <c r="B1729" s="20" t="str">
        <f t="shared" si="1268"/>
        <v>#REF!</v>
      </c>
      <c r="C1729" s="20" t="str">
        <f t="shared" ref="C1729:D1729" si="5180">#REF!</f>
        <v>#REF!</v>
      </c>
      <c r="D1729" s="20" t="str">
        <f t="shared" si="5180"/>
        <v>#REF!</v>
      </c>
      <c r="E1729" s="20" t="str">
        <f t="shared" si="1270"/>
        <v>#REF!</v>
      </c>
      <c r="F1729" s="22" t="str">
        <f t="shared" si="2"/>
        <v>#REF!</v>
      </c>
      <c r="G1729" s="20" t="str">
        <f t="shared" ref="G1729:I1729" si="5181">#REF!</f>
        <v>#REF!</v>
      </c>
      <c r="H1729" s="20" t="str">
        <f t="shared" si="5181"/>
        <v>#REF!</v>
      </c>
      <c r="I1729" s="20" t="str">
        <f t="shared" si="5181"/>
        <v>#REF!</v>
      </c>
      <c r="J1729" s="20" t="str">
        <f t="shared" si="1272"/>
        <v>#REF!</v>
      </c>
      <c r="K1729" s="20" t="str">
        <f t="shared" ref="K1729:L1729" si="5182">#REF!</f>
        <v>#REF!</v>
      </c>
      <c r="L1729" s="20" t="str">
        <f t="shared" si="5182"/>
        <v>#REF!</v>
      </c>
    </row>
    <row r="1730">
      <c r="A1730" s="20" t="str">
        <f t="shared" si="1267"/>
        <v>#REF!</v>
      </c>
      <c r="B1730" s="20" t="str">
        <f t="shared" si="1268"/>
        <v>#REF!</v>
      </c>
      <c r="C1730" s="20" t="str">
        <f t="shared" ref="C1730:D1730" si="5183">#REF!</f>
        <v>#REF!</v>
      </c>
      <c r="D1730" s="20" t="str">
        <f t="shared" si="5183"/>
        <v>#REF!</v>
      </c>
      <c r="E1730" s="20" t="str">
        <f t="shared" si="1270"/>
        <v>#REF!</v>
      </c>
      <c r="F1730" s="22" t="str">
        <f t="shared" si="2"/>
        <v>#REF!</v>
      </c>
      <c r="G1730" s="20" t="str">
        <f t="shared" ref="G1730:I1730" si="5184">#REF!</f>
        <v>#REF!</v>
      </c>
      <c r="H1730" s="20" t="str">
        <f t="shared" si="5184"/>
        <v>#REF!</v>
      </c>
      <c r="I1730" s="20" t="str">
        <f t="shared" si="5184"/>
        <v>#REF!</v>
      </c>
      <c r="J1730" s="20" t="str">
        <f t="shared" si="1272"/>
        <v>#REF!</v>
      </c>
      <c r="K1730" s="20" t="str">
        <f t="shared" ref="K1730:L1730" si="5185">#REF!</f>
        <v>#REF!</v>
      </c>
      <c r="L1730" s="20" t="str">
        <f t="shared" si="5185"/>
        <v>#REF!</v>
      </c>
    </row>
    <row r="1731">
      <c r="A1731" s="20" t="str">
        <f t="shared" si="1267"/>
        <v>#REF!</v>
      </c>
      <c r="B1731" s="20" t="str">
        <f t="shared" si="1268"/>
        <v>#REF!</v>
      </c>
      <c r="C1731" s="20" t="str">
        <f t="shared" ref="C1731:D1731" si="5186">#REF!</f>
        <v>#REF!</v>
      </c>
      <c r="D1731" s="20" t="str">
        <f t="shared" si="5186"/>
        <v>#REF!</v>
      </c>
      <c r="E1731" s="20" t="str">
        <f t="shared" si="1270"/>
        <v>#REF!</v>
      </c>
      <c r="F1731" s="22" t="str">
        <f t="shared" si="2"/>
        <v>#REF!</v>
      </c>
      <c r="G1731" s="20" t="str">
        <f t="shared" ref="G1731:I1731" si="5187">#REF!</f>
        <v>#REF!</v>
      </c>
      <c r="H1731" s="20" t="str">
        <f t="shared" si="5187"/>
        <v>#REF!</v>
      </c>
      <c r="I1731" s="20" t="str">
        <f t="shared" si="5187"/>
        <v>#REF!</v>
      </c>
      <c r="J1731" s="20" t="str">
        <f t="shared" si="1272"/>
        <v>#REF!</v>
      </c>
      <c r="K1731" s="20" t="str">
        <f t="shared" ref="K1731:L1731" si="5188">#REF!</f>
        <v>#REF!</v>
      </c>
      <c r="L1731" s="20" t="str">
        <f t="shared" si="5188"/>
        <v>#REF!</v>
      </c>
    </row>
    <row r="1732">
      <c r="A1732" s="20" t="str">
        <f t="shared" si="1267"/>
        <v>#REF!</v>
      </c>
      <c r="B1732" s="20" t="str">
        <f t="shared" si="1268"/>
        <v>#REF!</v>
      </c>
      <c r="C1732" s="20" t="str">
        <f t="shared" ref="C1732:D1732" si="5189">#REF!</f>
        <v>#REF!</v>
      </c>
      <c r="D1732" s="20" t="str">
        <f t="shared" si="5189"/>
        <v>#REF!</v>
      </c>
      <c r="E1732" s="20" t="str">
        <f t="shared" si="1270"/>
        <v>#REF!</v>
      </c>
      <c r="F1732" s="22" t="str">
        <f t="shared" si="2"/>
        <v>#REF!</v>
      </c>
      <c r="G1732" s="20" t="str">
        <f t="shared" ref="G1732:I1732" si="5190">#REF!</f>
        <v>#REF!</v>
      </c>
      <c r="H1732" s="20" t="str">
        <f t="shared" si="5190"/>
        <v>#REF!</v>
      </c>
      <c r="I1732" s="20" t="str">
        <f t="shared" si="5190"/>
        <v>#REF!</v>
      </c>
      <c r="J1732" s="20" t="str">
        <f t="shared" si="1272"/>
        <v>#REF!</v>
      </c>
      <c r="K1732" s="20" t="str">
        <f t="shared" ref="K1732:L1732" si="5191">#REF!</f>
        <v>#REF!</v>
      </c>
      <c r="L1732" s="20" t="str">
        <f t="shared" si="5191"/>
        <v>#REF!</v>
      </c>
    </row>
    <row r="1733">
      <c r="A1733" s="20" t="str">
        <f t="shared" si="1267"/>
        <v>#REF!</v>
      </c>
      <c r="B1733" s="20" t="str">
        <f t="shared" si="1268"/>
        <v>#REF!</v>
      </c>
      <c r="C1733" s="20" t="str">
        <f t="shared" ref="C1733:D1733" si="5192">#REF!</f>
        <v>#REF!</v>
      </c>
      <c r="D1733" s="20" t="str">
        <f t="shared" si="5192"/>
        <v>#REF!</v>
      </c>
      <c r="E1733" s="20" t="str">
        <f t="shared" si="1270"/>
        <v>#REF!</v>
      </c>
      <c r="F1733" s="22" t="str">
        <f t="shared" si="2"/>
        <v>#REF!</v>
      </c>
      <c r="G1733" s="20" t="str">
        <f t="shared" ref="G1733:I1733" si="5193">#REF!</f>
        <v>#REF!</v>
      </c>
      <c r="H1733" s="20" t="str">
        <f t="shared" si="5193"/>
        <v>#REF!</v>
      </c>
      <c r="I1733" s="20" t="str">
        <f t="shared" si="5193"/>
        <v>#REF!</v>
      </c>
      <c r="J1733" s="20" t="str">
        <f t="shared" si="1272"/>
        <v>#REF!</v>
      </c>
      <c r="K1733" s="20" t="str">
        <f t="shared" ref="K1733:L1733" si="5194">#REF!</f>
        <v>#REF!</v>
      </c>
      <c r="L1733" s="20" t="str">
        <f t="shared" si="5194"/>
        <v>#REF!</v>
      </c>
    </row>
    <row r="1734">
      <c r="A1734" s="20" t="str">
        <f t="shared" si="1267"/>
        <v>#REF!</v>
      </c>
      <c r="B1734" s="20" t="str">
        <f t="shared" si="1268"/>
        <v>#REF!</v>
      </c>
      <c r="C1734" s="20" t="str">
        <f t="shared" ref="C1734:D1734" si="5195">#REF!</f>
        <v>#REF!</v>
      </c>
      <c r="D1734" s="20" t="str">
        <f t="shared" si="5195"/>
        <v>#REF!</v>
      </c>
      <c r="E1734" s="20" t="str">
        <f t="shared" si="1270"/>
        <v>#REF!</v>
      </c>
      <c r="F1734" s="22" t="str">
        <f t="shared" si="2"/>
        <v>#REF!</v>
      </c>
      <c r="G1734" s="20" t="str">
        <f t="shared" ref="G1734:I1734" si="5196">#REF!</f>
        <v>#REF!</v>
      </c>
      <c r="H1734" s="20" t="str">
        <f t="shared" si="5196"/>
        <v>#REF!</v>
      </c>
      <c r="I1734" s="20" t="str">
        <f t="shared" si="5196"/>
        <v>#REF!</v>
      </c>
      <c r="J1734" s="20" t="str">
        <f t="shared" si="1272"/>
        <v>#REF!</v>
      </c>
      <c r="K1734" s="20" t="str">
        <f t="shared" ref="K1734:L1734" si="5197">#REF!</f>
        <v>#REF!</v>
      </c>
      <c r="L1734" s="20" t="str">
        <f t="shared" si="5197"/>
        <v>#REF!</v>
      </c>
    </row>
    <row r="1735">
      <c r="A1735" s="20" t="str">
        <f t="shared" si="1267"/>
        <v>#REF!</v>
      </c>
      <c r="B1735" s="20" t="str">
        <f t="shared" si="1268"/>
        <v>#REF!</v>
      </c>
      <c r="C1735" s="20" t="str">
        <f t="shared" ref="C1735:D1735" si="5198">#REF!</f>
        <v>#REF!</v>
      </c>
      <c r="D1735" s="20" t="str">
        <f t="shared" si="5198"/>
        <v>#REF!</v>
      </c>
      <c r="E1735" s="20" t="str">
        <f t="shared" si="1270"/>
        <v>#REF!</v>
      </c>
      <c r="F1735" s="22" t="str">
        <f t="shared" si="2"/>
        <v>#REF!</v>
      </c>
      <c r="G1735" s="20" t="str">
        <f t="shared" ref="G1735:I1735" si="5199">#REF!</f>
        <v>#REF!</v>
      </c>
      <c r="H1735" s="20" t="str">
        <f t="shared" si="5199"/>
        <v>#REF!</v>
      </c>
      <c r="I1735" s="20" t="str">
        <f t="shared" si="5199"/>
        <v>#REF!</v>
      </c>
      <c r="J1735" s="20" t="str">
        <f t="shared" si="1272"/>
        <v>#REF!</v>
      </c>
      <c r="K1735" s="20" t="str">
        <f t="shared" ref="K1735:L1735" si="5200">#REF!</f>
        <v>#REF!</v>
      </c>
      <c r="L1735" s="20" t="str">
        <f t="shared" si="5200"/>
        <v>#REF!</v>
      </c>
    </row>
    <row r="1736">
      <c r="A1736" s="20" t="str">
        <f t="shared" si="1267"/>
        <v>#REF!</v>
      </c>
      <c r="B1736" s="20" t="str">
        <f t="shared" si="1268"/>
        <v>#REF!</v>
      </c>
      <c r="C1736" s="20" t="str">
        <f t="shared" ref="C1736:D1736" si="5201">#REF!</f>
        <v>#REF!</v>
      </c>
      <c r="D1736" s="20" t="str">
        <f t="shared" si="5201"/>
        <v>#REF!</v>
      </c>
      <c r="E1736" s="20" t="str">
        <f t="shared" si="1270"/>
        <v>#REF!</v>
      </c>
      <c r="F1736" s="22" t="str">
        <f t="shared" si="2"/>
        <v>#REF!</v>
      </c>
      <c r="G1736" s="20" t="str">
        <f t="shared" ref="G1736:I1736" si="5202">#REF!</f>
        <v>#REF!</v>
      </c>
      <c r="H1736" s="20" t="str">
        <f t="shared" si="5202"/>
        <v>#REF!</v>
      </c>
      <c r="I1736" s="20" t="str">
        <f t="shared" si="5202"/>
        <v>#REF!</v>
      </c>
      <c r="J1736" s="20" t="str">
        <f t="shared" si="1272"/>
        <v>#REF!</v>
      </c>
      <c r="K1736" s="20" t="str">
        <f t="shared" ref="K1736:L1736" si="5203">#REF!</f>
        <v>#REF!</v>
      </c>
      <c r="L1736" s="20" t="str">
        <f t="shared" si="5203"/>
        <v>#REF!</v>
      </c>
    </row>
    <row r="1737">
      <c r="A1737" s="20" t="str">
        <f t="shared" si="1267"/>
        <v>#REF!</v>
      </c>
      <c r="B1737" s="20" t="str">
        <f t="shared" si="1268"/>
        <v>#REF!</v>
      </c>
      <c r="C1737" s="20" t="str">
        <f t="shared" ref="C1737:D1737" si="5204">#REF!</f>
        <v>#REF!</v>
      </c>
      <c r="D1737" s="20" t="str">
        <f t="shared" si="5204"/>
        <v>#REF!</v>
      </c>
      <c r="E1737" s="20" t="str">
        <f t="shared" si="1270"/>
        <v>#REF!</v>
      </c>
      <c r="F1737" s="22" t="str">
        <f t="shared" si="2"/>
        <v>#REF!</v>
      </c>
      <c r="G1737" s="20" t="str">
        <f t="shared" ref="G1737:I1737" si="5205">#REF!</f>
        <v>#REF!</v>
      </c>
      <c r="H1737" s="20" t="str">
        <f t="shared" si="5205"/>
        <v>#REF!</v>
      </c>
      <c r="I1737" s="20" t="str">
        <f t="shared" si="5205"/>
        <v>#REF!</v>
      </c>
      <c r="J1737" s="20" t="str">
        <f t="shared" si="1272"/>
        <v>#REF!</v>
      </c>
      <c r="K1737" s="20" t="str">
        <f t="shared" ref="K1737:L1737" si="5206">#REF!</f>
        <v>#REF!</v>
      </c>
      <c r="L1737" s="20" t="str">
        <f t="shared" si="5206"/>
        <v>#REF!</v>
      </c>
    </row>
    <row r="1738">
      <c r="A1738" s="20" t="str">
        <f t="shared" si="1267"/>
        <v>#REF!</v>
      </c>
      <c r="B1738" s="20" t="str">
        <f t="shared" si="1268"/>
        <v>#REF!</v>
      </c>
      <c r="C1738" s="20" t="str">
        <f t="shared" ref="C1738:D1738" si="5207">#REF!</f>
        <v>#REF!</v>
      </c>
      <c r="D1738" s="20" t="str">
        <f t="shared" si="5207"/>
        <v>#REF!</v>
      </c>
      <c r="E1738" s="20" t="str">
        <f t="shared" si="1270"/>
        <v>#REF!</v>
      </c>
      <c r="F1738" s="22" t="str">
        <f t="shared" si="2"/>
        <v>#REF!</v>
      </c>
      <c r="G1738" s="20" t="str">
        <f t="shared" ref="G1738:I1738" si="5208">#REF!</f>
        <v>#REF!</v>
      </c>
      <c r="H1738" s="20" t="str">
        <f t="shared" si="5208"/>
        <v>#REF!</v>
      </c>
      <c r="I1738" s="20" t="str">
        <f t="shared" si="5208"/>
        <v>#REF!</v>
      </c>
      <c r="J1738" s="20" t="str">
        <f t="shared" si="1272"/>
        <v>#REF!</v>
      </c>
      <c r="K1738" s="20" t="str">
        <f t="shared" ref="K1738:L1738" si="5209">#REF!</f>
        <v>#REF!</v>
      </c>
      <c r="L1738" s="20" t="str">
        <f t="shared" si="5209"/>
        <v>#REF!</v>
      </c>
    </row>
    <row r="1739">
      <c r="A1739" s="20" t="str">
        <f t="shared" si="1267"/>
        <v>#REF!</v>
      </c>
      <c r="B1739" s="20" t="str">
        <f t="shared" si="1268"/>
        <v>#REF!</v>
      </c>
      <c r="C1739" s="20" t="str">
        <f t="shared" ref="C1739:D1739" si="5210">#REF!</f>
        <v>#REF!</v>
      </c>
      <c r="D1739" s="20" t="str">
        <f t="shared" si="5210"/>
        <v>#REF!</v>
      </c>
      <c r="E1739" s="20" t="str">
        <f t="shared" si="1270"/>
        <v>#REF!</v>
      </c>
      <c r="F1739" s="22" t="str">
        <f t="shared" si="2"/>
        <v>#REF!</v>
      </c>
      <c r="G1739" s="20" t="str">
        <f t="shared" ref="G1739:I1739" si="5211">#REF!</f>
        <v>#REF!</v>
      </c>
      <c r="H1739" s="20" t="str">
        <f t="shared" si="5211"/>
        <v>#REF!</v>
      </c>
      <c r="I1739" s="20" t="str">
        <f t="shared" si="5211"/>
        <v>#REF!</v>
      </c>
      <c r="J1739" s="20" t="str">
        <f t="shared" si="1272"/>
        <v>#REF!</v>
      </c>
      <c r="K1739" s="20" t="str">
        <f t="shared" ref="K1739:L1739" si="5212">#REF!</f>
        <v>#REF!</v>
      </c>
      <c r="L1739" s="20" t="str">
        <f t="shared" si="5212"/>
        <v>#REF!</v>
      </c>
    </row>
    <row r="1740">
      <c r="A1740" s="20" t="str">
        <f t="shared" si="1267"/>
        <v>#REF!</v>
      </c>
      <c r="B1740" s="20" t="str">
        <f t="shared" si="1268"/>
        <v>#REF!</v>
      </c>
      <c r="C1740" s="20" t="str">
        <f t="shared" ref="C1740:D1740" si="5213">#REF!</f>
        <v>#REF!</v>
      </c>
      <c r="D1740" s="20" t="str">
        <f t="shared" si="5213"/>
        <v>#REF!</v>
      </c>
      <c r="E1740" s="20" t="str">
        <f t="shared" si="1270"/>
        <v>#REF!</v>
      </c>
      <c r="F1740" s="22" t="str">
        <f t="shared" si="2"/>
        <v>#REF!</v>
      </c>
      <c r="G1740" s="20" t="str">
        <f t="shared" ref="G1740:I1740" si="5214">#REF!</f>
        <v>#REF!</v>
      </c>
      <c r="H1740" s="20" t="str">
        <f t="shared" si="5214"/>
        <v>#REF!</v>
      </c>
      <c r="I1740" s="20" t="str">
        <f t="shared" si="5214"/>
        <v>#REF!</v>
      </c>
      <c r="J1740" s="20" t="str">
        <f t="shared" si="1272"/>
        <v>#REF!</v>
      </c>
      <c r="K1740" s="20" t="str">
        <f t="shared" ref="K1740:L1740" si="5215">#REF!</f>
        <v>#REF!</v>
      </c>
      <c r="L1740" s="20" t="str">
        <f t="shared" si="5215"/>
        <v>#REF!</v>
      </c>
    </row>
    <row r="1741">
      <c r="A1741" s="20" t="str">
        <f t="shared" si="1267"/>
        <v>#REF!</v>
      </c>
      <c r="B1741" s="20" t="str">
        <f t="shared" si="1268"/>
        <v>#REF!</v>
      </c>
      <c r="C1741" s="20" t="str">
        <f t="shared" ref="C1741:D1741" si="5216">#REF!</f>
        <v>#REF!</v>
      </c>
      <c r="D1741" s="20" t="str">
        <f t="shared" si="5216"/>
        <v>#REF!</v>
      </c>
      <c r="E1741" s="20" t="str">
        <f t="shared" si="1270"/>
        <v>#REF!</v>
      </c>
      <c r="F1741" s="22" t="str">
        <f t="shared" si="2"/>
        <v>#REF!</v>
      </c>
      <c r="G1741" s="20" t="str">
        <f t="shared" ref="G1741:I1741" si="5217">#REF!</f>
        <v>#REF!</v>
      </c>
      <c r="H1741" s="20" t="str">
        <f t="shared" si="5217"/>
        <v>#REF!</v>
      </c>
      <c r="I1741" s="20" t="str">
        <f t="shared" si="5217"/>
        <v>#REF!</v>
      </c>
      <c r="J1741" s="20" t="str">
        <f t="shared" si="1272"/>
        <v>#REF!</v>
      </c>
      <c r="K1741" s="20" t="str">
        <f t="shared" ref="K1741:L1741" si="5218">#REF!</f>
        <v>#REF!</v>
      </c>
      <c r="L1741" s="20" t="str">
        <f t="shared" si="5218"/>
        <v>#REF!</v>
      </c>
    </row>
    <row r="1742">
      <c r="A1742" s="20" t="str">
        <f t="shared" si="1267"/>
        <v>#REF!</v>
      </c>
      <c r="B1742" s="20" t="str">
        <f t="shared" si="1268"/>
        <v>#REF!</v>
      </c>
      <c r="C1742" s="20" t="str">
        <f t="shared" ref="C1742:D1742" si="5219">#REF!</f>
        <v>#REF!</v>
      </c>
      <c r="D1742" s="20" t="str">
        <f t="shared" si="5219"/>
        <v>#REF!</v>
      </c>
      <c r="E1742" s="20" t="str">
        <f t="shared" si="1270"/>
        <v>#REF!</v>
      </c>
      <c r="F1742" s="22" t="str">
        <f t="shared" si="2"/>
        <v>#REF!</v>
      </c>
      <c r="G1742" s="20" t="str">
        <f t="shared" ref="G1742:I1742" si="5220">#REF!</f>
        <v>#REF!</v>
      </c>
      <c r="H1742" s="20" t="str">
        <f t="shared" si="5220"/>
        <v>#REF!</v>
      </c>
      <c r="I1742" s="20" t="str">
        <f t="shared" si="5220"/>
        <v>#REF!</v>
      </c>
      <c r="J1742" s="20" t="str">
        <f t="shared" si="1272"/>
        <v>#REF!</v>
      </c>
      <c r="K1742" s="20" t="str">
        <f t="shared" ref="K1742:L1742" si="5221">#REF!</f>
        <v>#REF!</v>
      </c>
      <c r="L1742" s="20" t="str">
        <f t="shared" si="5221"/>
        <v>#REF!</v>
      </c>
    </row>
    <row r="1743">
      <c r="A1743" s="20" t="str">
        <f t="shared" si="1267"/>
        <v>#REF!</v>
      </c>
      <c r="B1743" s="20" t="str">
        <f t="shared" si="1268"/>
        <v>#REF!</v>
      </c>
      <c r="C1743" s="20" t="str">
        <f t="shared" ref="C1743:D1743" si="5222">#REF!</f>
        <v>#REF!</v>
      </c>
      <c r="D1743" s="20" t="str">
        <f t="shared" si="5222"/>
        <v>#REF!</v>
      </c>
      <c r="E1743" s="20" t="str">
        <f t="shared" si="1270"/>
        <v>#REF!</v>
      </c>
      <c r="F1743" s="22" t="str">
        <f t="shared" si="2"/>
        <v>#REF!</v>
      </c>
      <c r="G1743" s="20" t="str">
        <f t="shared" ref="G1743:I1743" si="5223">#REF!</f>
        <v>#REF!</v>
      </c>
      <c r="H1743" s="20" t="str">
        <f t="shared" si="5223"/>
        <v>#REF!</v>
      </c>
      <c r="I1743" s="20" t="str">
        <f t="shared" si="5223"/>
        <v>#REF!</v>
      </c>
      <c r="J1743" s="20" t="str">
        <f t="shared" si="1272"/>
        <v>#REF!</v>
      </c>
      <c r="K1743" s="20" t="str">
        <f t="shared" ref="K1743:L1743" si="5224">#REF!</f>
        <v>#REF!</v>
      </c>
      <c r="L1743" s="20" t="str">
        <f t="shared" si="5224"/>
        <v>#REF!</v>
      </c>
    </row>
    <row r="1744">
      <c r="A1744" s="20" t="str">
        <f t="shared" si="1267"/>
        <v>#REF!</v>
      </c>
      <c r="B1744" s="20" t="str">
        <f t="shared" si="1268"/>
        <v>#REF!</v>
      </c>
      <c r="C1744" s="20" t="str">
        <f t="shared" ref="C1744:D1744" si="5225">#REF!</f>
        <v>#REF!</v>
      </c>
      <c r="D1744" s="20" t="str">
        <f t="shared" si="5225"/>
        <v>#REF!</v>
      </c>
      <c r="E1744" s="20" t="str">
        <f t="shared" si="1270"/>
        <v>#REF!</v>
      </c>
      <c r="F1744" s="22" t="str">
        <f t="shared" si="2"/>
        <v>#REF!</v>
      </c>
      <c r="G1744" s="20" t="str">
        <f t="shared" ref="G1744:I1744" si="5226">#REF!</f>
        <v>#REF!</v>
      </c>
      <c r="H1744" s="20" t="str">
        <f t="shared" si="5226"/>
        <v>#REF!</v>
      </c>
      <c r="I1744" s="20" t="str">
        <f t="shared" si="5226"/>
        <v>#REF!</v>
      </c>
      <c r="J1744" s="20" t="str">
        <f t="shared" si="1272"/>
        <v>#REF!</v>
      </c>
      <c r="K1744" s="20" t="str">
        <f t="shared" ref="K1744:L1744" si="5227">#REF!</f>
        <v>#REF!</v>
      </c>
      <c r="L1744" s="20" t="str">
        <f t="shared" si="5227"/>
        <v>#REF!</v>
      </c>
    </row>
    <row r="1745">
      <c r="A1745" s="20" t="str">
        <f t="shared" si="1267"/>
        <v>#REF!</v>
      </c>
      <c r="B1745" s="20" t="str">
        <f t="shared" si="1268"/>
        <v>#REF!</v>
      </c>
      <c r="C1745" s="20" t="str">
        <f t="shared" ref="C1745:D1745" si="5228">#REF!</f>
        <v>#REF!</v>
      </c>
      <c r="D1745" s="20" t="str">
        <f t="shared" si="5228"/>
        <v>#REF!</v>
      </c>
      <c r="E1745" s="20" t="str">
        <f t="shared" si="1270"/>
        <v>#REF!</v>
      </c>
      <c r="F1745" s="22" t="str">
        <f t="shared" si="2"/>
        <v>#REF!</v>
      </c>
      <c r="G1745" s="20" t="str">
        <f t="shared" ref="G1745:I1745" si="5229">#REF!</f>
        <v>#REF!</v>
      </c>
      <c r="H1745" s="20" t="str">
        <f t="shared" si="5229"/>
        <v>#REF!</v>
      </c>
      <c r="I1745" s="20" t="str">
        <f t="shared" si="5229"/>
        <v>#REF!</v>
      </c>
      <c r="J1745" s="20" t="str">
        <f t="shared" si="1272"/>
        <v>#REF!</v>
      </c>
      <c r="K1745" s="20" t="str">
        <f t="shared" ref="K1745:L1745" si="5230">#REF!</f>
        <v>#REF!</v>
      </c>
      <c r="L1745" s="20" t="str">
        <f t="shared" si="5230"/>
        <v>#REF!</v>
      </c>
    </row>
    <row r="1746">
      <c r="A1746" s="20" t="str">
        <f t="shared" si="1267"/>
        <v>#REF!</v>
      </c>
      <c r="B1746" s="20" t="str">
        <f t="shared" si="1268"/>
        <v>#REF!</v>
      </c>
      <c r="C1746" s="20" t="str">
        <f t="shared" ref="C1746:D1746" si="5231">#REF!</f>
        <v>#REF!</v>
      </c>
      <c r="D1746" s="20" t="str">
        <f t="shared" si="5231"/>
        <v>#REF!</v>
      </c>
      <c r="E1746" s="20" t="str">
        <f t="shared" si="1270"/>
        <v>#REF!</v>
      </c>
      <c r="F1746" s="22" t="str">
        <f t="shared" si="2"/>
        <v>#REF!</v>
      </c>
      <c r="G1746" s="20" t="str">
        <f t="shared" ref="G1746:I1746" si="5232">#REF!</f>
        <v>#REF!</v>
      </c>
      <c r="H1746" s="20" t="str">
        <f t="shared" si="5232"/>
        <v>#REF!</v>
      </c>
      <c r="I1746" s="20" t="str">
        <f t="shared" si="5232"/>
        <v>#REF!</v>
      </c>
      <c r="J1746" s="20" t="str">
        <f t="shared" si="1272"/>
        <v>#REF!</v>
      </c>
      <c r="K1746" s="20" t="str">
        <f t="shared" ref="K1746:L1746" si="5233">#REF!</f>
        <v>#REF!</v>
      </c>
      <c r="L1746" s="20" t="str">
        <f t="shared" si="5233"/>
        <v>#REF!</v>
      </c>
    </row>
    <row r="1747">
      <c r="A1747" s="20" t="str">
        <f t="shared" si="1267"/>
        <v>#REF!</v>
      </c>
      <c r="B1747" s="20" t="str">
        <f t="shared" si="1268"/>
        <v>#REF!</v>
      </c>
      <c r="C1747" s="20" t="str">
        <f t="shared" ref="C1747:D1747" si="5234">#REF!</f>
        <v>#REF!</v>
      </c>
      <c r="D1747" s="20" t="str">
        <f t="shared" si="5234"/>
        <v>#REF!</v>
      </c>
      <c r="E1747" s="20" t="str">
        <f t="shared" si="1270"/>
        <v>#REF!</v>
      </c>
      <c r="F1747" s="22" t="str">
        <f t="shared" si="2"/>
        <v>#REF!</v>
      </c>
      <c r="G1747" s="20" t="str">
        <f t="shared" ref="G1747:I1747" si="5235">#REF!</f>
        <v>#REF!</v>
      </c>
      <c r="H1747" s="20" t="str">
        <f t="shared" si="5235"/>
        <v>#REF!</v>
      </c>
      <c r="I1747" s="20" t="str">
        <f t="shared" si="5235"/>
        <v>#REF!</v>
      </c>
      <c r="J1747" s="20" t="str">
        <f t="shared" si="1272"/>
        <v>#REF!</v>
      </c>
      <c r="K1747" s="20" t="str">
        <f t="shared" ref="K1747:L1747" si="5236">#REF!</f>
        <v>#REF!</v>
      </c>
      <c r="L1747" s="20" t="str">
        <f t="shared" si="5236"/>
        <v>#REF!</v>
      </c>
    </row>
    <row r="1748">
      <c r="A1748" s="20" t="str">
        <f t="shared" si="1267"/>
        <v>#REF!</v>
      </c>
      <c r="B1748" s="20" t="str">
        <f t="shared" si="1268"/>
        <v>#REF!</v>
      </c>
      <c r="C1748" s="20" t="str">
        <f t="shared" ref="C1748:D1748" si="5237">#REF!</f>
        <v>#REF!</v>
      </c>
      <c r="D1748" s="20" t="str">
        <f t="shared" si="5237"/>
        <v>#REF!</v>
      </c>
      <c r="E1748" s="20" t="str">
        <f t="shared" si="1270"/>
        <v>#REF!</v>
      </c>
      <c r="F1748" s="22" t="str">
        <f t="shared" si="2"/>
        <v>#REF!</v>
      </c>
      <c r="G1748" s="20" t="str">
        <f t="shared" ref="G1748:I1748" si="5238">#REF!</f>
        <v>#REF!</v>
      </c>
      <c r="H1748" s="20" t="str">
        <f t="shared" si="5238"/>
        <v>#REF!</v>
      </c>
      <c r="I1748" s="20" t="str">
        <f t="shared" si="5238"/>
        <v>#REF!</v>
      </c>
      <c r="J1748" s="20" t="str">
        <f t="shared" si="1272"/>
        <v>#REF!</v>
      </c>
      <c r="K1748" s="20" t="str">
        <f t="shared" ref="K1748:L1748" si="5239">#REF!</f>
        <v>#REF!</v>
      </c>
      <c r="L1748" s="20" t="str">
        <f t="shared" si="5239"/>
        <v>#REF!</v>
      </c>
    </row>
    <row r="1749">
      <c r="A1749" s="20" t="str">
        <f t="shared" si="1267"/>
        <v>#REF!</v>
      </c>
      <c r="B1749" s="20" t="str">
        <f t="shared" si="1268"/>
        <v>#REF!</v>
      </c>
      <c r="C1749" s="20" t="str">
        <f t="shared" ref="C1749:D1749" si="5240">#REF!</f>
        <v>#REF!</v>
      </c>
      <c r="D1749" s="20" t="str">
        <f t="shared" si="5240"/>
        <v>#REF!</v>
      </c>
      <c r="E1749" s="20" t="str">
        <f t="shared" si="1270"/>
        <v>#REF!</v>
      </c>
      <c r="F1749" s="22" t="str">
        <f t="shared" si="2"/>
        <v>#REF!</v>
      </c>
      <c r="G1749" s="20" t="str">
        <f t="shared" ref="G1749:I1749" si="5241">#REF!</f>
        <v>#REF!</v>
      </c>
      <c r="H1749" s="20" t="str">
        <f t="shared" si="5241"/>
        <v>#REF!</v>
      </c>
      <c r="I1749" s="20" t="str">
        <f t="shared" si="5241"/>
        <v>#REF!</v>
      </c>
      <c r="J1749" s="20" t="str">
        <f t="shared" si="1272"/>
        <v>#REF!</v>
      </c>
      <c r="K1749" s="20" t="str">
        <f t="shared" ref="K1749:L1749" si="5242">#REF!</f>
        <v>#REF!</v>
      </c>
      <c r="L1749" s="20" t="str">
        <f t="shared" si="5242"/>
        <v>#REF!</v>
      </c>
    </row>
    <row r="1750">
      <c r="A1750" s="20" t="str">
        <f t="shared" si="1267"/>
        <v>#REF!</v>
      </c>
      <c r="B1750" s="20" t="str">
        <f t="shared" si="1268"/>
        <v>#REF!</v>
      </c>
      <c r="C1750" s="20" t="str">
        <f t="shared" ref="C1750:D1750" si="5243">#REF!</f>
        <v>#REF!</v>
      </c>
      <c r="D1750" s="20" t="str">
        <f t="shared" si="5243"/>
        <v>#REF!</v>
      </c>
      <c r="E1750" s="20" t="str">
        <f t="shared" si="1270"/>
        <v>#REF!</v>
      </c>
      <c r="F1750" s="22" t="str">
        <f t="shared" si="2"/>
        <v>#REF!</v>
      </c>
      <c r="G1750" s="20" t="str">
        <f t="shared" ref="G1750:I1750" si="5244">#REF!</f>
        <v>#REF!</v>
      </c>
      <c r="H1750" s="20" t="str">
        <f t="shared" si="5244"/>
        <v>#REF!</v>
      </c>
      <c r="I1750" s="20" t="str">
        <f t="shared" si="5244"/>
        <v>#REF!</v>
      </c>
      <c r="J1750" s="20" t="str">
        <f t="shared" si="1272"/>
        <v>#REF!</v>
      </c>
      <c r="K1750" s="20" t="str">
        <f t="shared" ref="K1750:L1750" si="5245">#REF!</f>
        <v>#REF!</v>
      </c>
      <c r="L1750" s="20" t="str">
        <f t="shared" si="5245"/>
        <v>#REF!</v>
      </c>
    </row>
    <row r="1751">
      <c r="A1751" s="20" t="str">
        <f t="shared" si="1267"/>
        <v>#REF!</v>
      </c>
      <c r="B1751" s="20" t="str">
        <f t="shared" si="1268"/>
        <v>#REF!</v>
      </c>
      <c r="C1751" s="20" t="str">
        <f t="shared" ref="C1751:D1751" si="5246">#REF!</f>
        <v>#REF!</v>
      </c>
      <c r="D1751" s="20" t="str">
        <f t="shared" si="5246"/>
        <v>#REF!</v>
      </c>
      <c r="E1751" s="20" t="str">
        <f t="shared" si="1270"/>
        <v>#REF!</v>
      </c>
      <c r="F1751" s="22" t="str">
        <f t="shared" si="2"/>
        <v>#REF!</v>
      </c>
      <c r="G1751" s="20" t="str">
        <f t="shared" ref="G1751:I1751" si="5247">#REF!</f>
        <v>#REF!</v>
      </c>
      <c r="H1751" s="20" t="str">
        <f t="shared" si="5247"/>
        <v>#REF!</v>
      </c>
      <c r="I1751" s="20" t="str">
        <f t="shared" si="5247"/>
        <v>#REF!</v>
      </c>
      <c r="J1751" s="20" t="str">
        <f t="shared" si="1272"/>
        <v>#REF!</v>
      </c>
      <c r="K1751" s="20" t="str">
        <f t="shared" ref="K1751:L1751" si="5248">#REF!</f>
        <v>#REF!</v>
      </c>
      <c r="L1751" s="20" t="str">
        <f t="shared" si="5248"/>
        <v>#REF!</v>
      </c>
    </row>
    <row r="1752">
      <c r="A1752" s="20" t="str">
        <f t="shared" si="1267"/>
        <v>#REF!</v>
      </c>
      <c r="B1752" s="20" t="str">
        <f t="shared" si="1268"/>
        <v>#REF!</v>
      </c>
      <c r="C1752" s="20" t="str">
        <f t="shared" ref="C1752:D1752" si="5249">#REF!</f>
        <v>#REF!</v>
      </c>
      <c r="D1752" s="20" t="str">
        <f t="shared" si="5249"/>
        <v>#REF!</v>
      </c>
      <c r="E1752" s="20" t="str">
        <f t="shared" si="1270"/>
        <v>#REF!</v>
      </c>
      <c r="F1752" s="22" t="str">
        <f t="shared" si="2"/>
        <v>#REF!</v>
      </c>
      <c r="G1752" s="20" t="str">
        <f t="shared" ref="G1752:I1752" si="5250">#REF!</f>
        <v>#REF!</v>
      </c>
      <c r="H1752" s="20" t="str">
        <f t="shared" si="5250"/>
        <v>#REF!</v>
      </c>
      <c r="I1752" s="20" t="str">
        <f t="shared" si="5250"/>
        <v>#REF!</v>
      </c>
      <c r="J1752" s="20" t="str">
        <f t="shared" si="1272"/>
        <v>#REF!</v>
      </c>
      <c r="K1752" s="20" t="str">
        <f t="shared" ref="K1752:L1752" si="5251">#REF!</f>
        <v>#REF!</v>
      </c>
      <c r="L1752" s="20" t="str">
        <f t="shared" si="5251"/>
        <v>#REF!</v>
      </c>
    </row>
    <row r="1753">
      <c r="A1753" s="20" t="str">
        <f t="shared" si="1267"/>
        <v>#REF!</v>
      </c>
      <c r="B1753" s="20" t="str">
        <f t="shared" si="1268"/>
        <v>#REF!</v>
      </c>
      <c r="C1753" s="20" t="str">
        <f t="shared" ref="C1753:D1753" si="5252">#REF!</f>
        <v>#REF!</v>
      </c>
      <c r="D1753" s="20" t="str">
        <f t="shared" si="5252"/>
        <v>#REF!</v>
      </c>
      <c r="E1753" s="20" t="str">
        <f t="shared" si="1270"/>
        <v>#REF!</v>
      </c>
      <c r="F1753" s="22" t="str">
        <f t="shared" si="2"/>
        <v>#REF!</v>
      </c>
      <c r="G1753" s="20" t="str">
        <f t="shared" ref="G1753:I1753" si="5253">#REF!</f>
        <v>#REF!</v>
      </c>
      <c r="H1753" s="20" t="str">
        <f t="shared" si="5253"/>
        <v>#REF!</v>
      </c>
      <c r="I1753" s="20" t="str">
        <f t="shared" si="5253"/>
        <v>#REF!</v>
      </c>
      <c r="J1753" s="20" t="str">
        <f t="shared" si="1272"/>
        <v>#REF!</v>
      </c>
      <c r="K1753" s="20" t="str">
        <f t="shared" ref="K1753:L1753" si="5254">#REF!</f>
        <v>#REF!</v>
      </c>
      <c r="L1753" s="20" t="str">
        <f t="shared" si="5254"/>
        <v>#REF!</v>
      </c>
    </row>
    <row r="1754">
      <c r="A1754" s="20" t="str">
        <f t="shared" si="1267"/>
        <v>#REF!</v>
      </c>
      <c r="B1754" s="20" t="str">
        <f t="shared" si="1268"/>
        <v>#REF!</v>
      </c>
      <c r="C1754" s="20" t="str">
        <f t="shared" ref="C1754:D1754" si="5255">#REF!</f>
        <v>#REF!</v>
      </c>
      <c r="D1754" s="20" t="str">
        <f t="shared" si="5255"/>
        <v>#REF!</v>
      </c>
      <c r="E1754" s="20" t="str">
        <f t="shared" si="1270"/>
        <v>#REF!</v>
      </c>
      <c r="F1754" s="22" t="str">
        <f t="shared" si="2"/>
        <v>#REF!</v>
      </c>
      <c r="G1754" s="20" t="str">
        <f t="shared" ref="G1754:I1754" si="5256">#REF!</f>
        <v>#REF!</v>
      </c>
      <c r="H1754" s="20" t="str">
        <f t="shared" si="5256"/>
        <v>#REF!</v>
      </c>
      <c r="I1754" s="20" t="str">
        <f t="shared" si="5256"/>
        <v>#REF!</v>
      </c>
      <c r="J1754" s="20" t="str">
        <f t="shared" si="1272"/>
        <v>#REF!</v>
      </c>
      <c r="K1754" s="20" t="str">
        <f t="shared" ref="K1754:L1754" si="5257">#REF!</f>
        <v>#REF!</v>
      </c>
      <c r="L1754" s="20" t="str">
        <f t="shared" si="5257"/>
        <v>#REF!</v>
      </c>
    </row>
    <row r="1755">
      <c r="A1755" s="20" t="str">
        <f t="shared" si="1267"/>
        <v>#REF!</v>
      </c>
      <c r="B1755" s="20" t="str">
        <f t="shared" si="1268"/>
        <v>#REF!</v>
      </c>
      <c r="C1755" s="20" t="str">
        <f t="shared" ref="C1755:D1755" si="5258">#REF!</f>
        <v>#REF!</v>
      </c>
      <c r="D1755" s="20" t="str">
        <f t="shared" si="5258"/>
        <v>#REF!</v>
      </c>
      <c r="E1755" s="20" t="str">
        <f t="shared" si="1270"/>
        <v>#REF!</v>
      </c>
      <c r="F1755" s="22" t="str">
        <f t="shared" si="2"/>
        <v>#REF!</v>
      </c>
      <c r="G1755" s="20" t="str">
        <f t="shared" ref="G1755:I1755" si="5259">#REF!</f>
        <v>#REF!</v>
      </c>
      <c r="H1755" s="20" t="str">
        <f t="shared" si="5259"/>
        <v>#REF!</v>
      </c>
      <c r="I1755" s="20" t="str">
        <f t="shared" si="5259"/>
        <v>#REF!</v>
      </c>
      <c r="J1755" s="20" t="str">
        <f t="shared" si="1272"/>
        <v>#REF!</v>
      </c>
      <c r="K1755" s="20" t="str">
        <f t="shared" ref="K1755:L1755" si="5260">#REF!</f>
        <v>#REF!</v>
      </c>
      <c r="L1755" s="20" t="str">
        <f t="shared" si="5260"/>
        <v>#REF!</v>
      </c>
    </row>
    <row r="1756">
      <c r="A1756" s="20" t="str">
        <f t="shared" si="1267"/>
        <v>#REF!</v>
      </c>
      <c r="B1756" s="20" t="str">
        <f t="shared" si="1268"/>
        <v>#REF!</v>
      </c>
      <c r="C1756" s="20" t="str">
        <f t="shared" ref="C1756:D1756" si="5261">#REF!</f>
        <v>#REF!</v>
      </c>
      <c r="D1756" s="20" t="str">
        <f t="shared" si="5261"/>
        <v>#REF!</v>
      </c>
      <c r="E1756" s="20" t="str">
        <f t="shared" si="1270"/>
        <v>#REF!</v>
      </c>
      <c r="F1756" s="22" t="str">
        <f t="shared" si="2"/>
        <v>#REF!</v>
      </c>
      <c r="G1756" s="20" t="str">
        <f t="shared" ref="G1756:I1756" si="5262">#REF!</f>
        <v>#REF!</v>
      </c>
      <c r="H1756" s="20" t="str">
        <f t="shared" si="5262"/>
        <v>#REF!</v>
      </c>
      <c r="I1756" s="20" t="str">
        <f t="shared" si="5262"/>
        <v>#REF!</v>
      </c>
      <c r="J1756" s="20" t="str">
        <f t="shared" si="1272"/>
        <v>#REF!</v>
      </c>
      <c r="K1756" s="20" t="str">
        <f t="shared" ref="K1756:L1756" si="5263">#REF!</f>
        <v>#REF!</v>
      </c>
      <c r="L1756" s="20" t="str">
        <f t="shared" si="5263"/>
        <v>#REF!</v>
      </c>
    </row>
    <row r="1757">
      <c r="A1757" s="20" t="str">
        <f t="shared" si="1267"/>
        <v>#REF!</v>
      </c>
      <c r="B1757" s="20" t="str">
        <f t="shared" si="1268"/>
        <v>#REF!</v>
      </c>
      <c r="C1757" s="20" t="str">
        <f t="shared" ref="C1757:D1757" si="5264">#REF!</f>
        <v>#REF!</v>
      </c>
      <c r="D1757" s="20" t="str">
        <f t="shared" si="5264"/>
        <v>#REF!</v>
      </c>
      <c r="E1757" s="20" t="str">
        <f t="shared" si="1270"/>
        <v>#REF!</v>
      </c>
      <c r="F1757" s="22" t="str">
        <f t="shared" si="2"/>
        <v>#REF!</v>
      </c>
      <c r="G1757" s="20" t="str">
        <f t="shared" ref="G1757:I1757" si="5265">#REF!</f>
        <v>#REF!</v>
      </c>
      <c r="H1757" s="20" t="str">
        <f t="shared" si="5265"/>
        <v>#REF!</v>
      </c>
      <c r="I1757" s="20" t="str">
        <f t="shared" si="5265"/>
        <v>#REF!</v>
      </c>
      <c r="J1757" s="20" t="str">
        <f t="shared" si="1272"/>
        <v>#REF!</v>
      </c>
      <c r="K1757" s="20" t="str">
        <f t="shared" ref="K1757:L1757" si="5266">#REF!</f>
        <v>#REF!</v>
      </c>
      <c r="L1757" s="20" t="str">
        <f t="shared" si="5266"/>
        <v>#REF!</v>
      </c>
    </row>
    <row r="1758">
      <c r="A1758" s="20" t="str">
        <f t="shared" si="1267"/>
        <v>#REF!</v>
      </c>
      <c r="B1758" s="20" t="str">
        <f t="shared" si="1268"/>
        <v>#REF!</v>
      </c>
      <c r="C1758" s="20" t="str">
        <f t="shared" ref="C1758:D1758" si="5267">#REF!</f>
        <v>#REF!</v>
      </c>
      <c r="D1758" s="20" t="str">
        <f t="shared" si="5267"/>
        <v>#REF!</v>
      </c>
      <c r="E1758" s="20" t="str">
        <f t="shared" si="1270"/>
        <v>#REF!</v>
      </c>
      <c r="F1758" s="22" t="str">
        <f t="shared" si="2"/>
        <v>#REF!</v>
      </c>
      <c r="G1758" s="20" t="str">
        <f t="shared" ref="G1758:I1758" si="5268">#REF!</f>
        <v>#REF!</v>
      </c>
      <c r="H1758" s="20" t="str">
        <f t="shared" si="5268"/>
        <v>#REF!</v>
      </c>
      <c r="I1758" s="20" t="str">
        <f t="shared" si="5268"/>
        <v>#REF!</v>
      </c>
      <c r="J1758" s="20" t="str">
        <f t="shared" si="1272"/>
        <v>#REF!</v>
      </c>
      <c r="K1758" s="20" t="str">
        <f t="shared" ref="K1758:L1758" si="5269">#REF!</f>
        <v>#REF!</v>
      </c>
      <c r="L1758" s="20" t="str">
        <f t="shared" si="5269"/>
        <v>#REF!</v>
      </c>
    </row>
    <row r="1759">
      <c r="A1759" s="20" t="str">
        <f t="shared" si="1267"/>
        <v>#REF!</v>
      </c>
      <c r="B1759" s="20" t="str">
        <f t="shared" si="1268"/>
        <v>#REF!</v>
      </c>
      <c r="C1759" s="20" t="str">
        <f t="shared" ref="C1759:D1759" si="5270">#REF!</f>
        <v>#REF!</v>
      </c>
      <c r="D1759" s="20" t="str">
        <f t="shared" si="5270"/>
        <v>#REF!</v>
      </c>
      <c r="E1759" s="20" t="str">
        <f t="shared" si="1270"/>
        <v>#REF!</v>
      </c>
      <c r="F1759" s="22" t="str">
        <f t="shared" si="2"/>
        <v>#REF!</v>
      </c>
      <c r="G1759" s="20" t="str">
        <f t="shared" ref="G1759:I1759" si="5271">#REF!</f>
        <v>#REF!</v>
      </c>
      <c r="H1759" s="20" t="str">
        <f t="shared" si="5271"/>
        <v>#REF!</v>
      </c>
      <c r="I1759" s="20" t="str">
        <f t="shared" si="5271"/>
        <v>#REF!</v>
      </c>
      <c r="J1759" s="20" t="str">
        <f t="shared" si="1272"/>
        <v>#REF!</v>
      </c>
      <c r="K1759" s="20" t="str">
        <f t="shared" ref="K1759:L1759" si="5272">#REF!</f>
        <v>#REF!</v>
      </c>
      <c r="L1759" s="20" t="str">
        <f t="shared" si="5272"/>
        <v>#REF!</v>
      </c>
    </row>
    <row r="1760">
      <c r="A1760" s="20" t="str">
        <f t="shared" si="1267"/>
        <v>#REF!</v>
      </c>
      <c r="B1760" s="20" t="str">
        <f t="shared" si="1268"/>
        <v>#REF!</v>
      </c>
      <c r="C1760" s="20" t="str">
        <f t="shared" ref="C1760:D1760" si="5273">#REF!</f>
        <v>#REF!</v>
      </c>
      <c r="D1760" s="20" t="str">
        <f t="shared" si="5273"/>
        <v>#REF!</v>
      </c>
      <c r="E1760" s="20" t="str">
        <f t="shared" si="1270"/>
        <v>#REF!</v>
      </c>
      <c r="F1760" s="22" t="str">
        <f t="shared" si="2"/>
        <v>#REF!</v>
      </c>
      <c r="G1760" s="20" t="str">
        <f t="shared" ref="G1760:I1760" si="5274">#REF!</f>
        <v>#REF!</v>
      </c>
      <c r="H1760" s="20" t="str">
        <f t="shared" si="5274"/>
        <v>#REF!</v>
      </c>
      <c r="I1760" s="20" t="str">
        <f t="shared" si="5274"/>
        <v>#REF!</v>
      </c>
      <c r="J1760" s="20" t="str">
        <f t="shared" si="1272"/>
        <v>#REF!</v>
      </c>
      <c r="K1760" s="20" t="str">
        <f t="shared" ref="K1760:L1760" si="5275">#REF!</f>
        <v>#REF!</v>
      </c>
      <c r="L1760" s="20" t="str">
        <f t="shared" si="5275"/>
        <v>#REF!</v>
      </c>
    </row>
    <row r="1761">
      <c r="A1761" s="20" t="str">
        <f t="shared" si="1267"/>
        <v>#REF!</v>
      </c>
      <c r="B1761" s="20" t="str">
        <f t="shared" si="1268"/>
        <v>#REF!</v>
      </c>
      <c r="C1761" s="20" t="str">
        <f t="shared" ref="C1761:D1761" si="5276">#REF!</f>
        <v>#REF!</v>
      </c>
      <c r="D1761" s="20" t="str">
        <f t="shared" si="5276"/>
        <v>#REF!</v>
      </c>
      <c r="E1761" s="20" t="str">
        <f t="shared" si="1270"/>
        <v>#REF!</v>
      </c>
      <c r="F1761" s="22" t="str">
        <f t="shared" si="2"/>
        <v>#REF!</v>
      </c>
      <c r="G1761" s="20" t="str">
        <f t="shared" ref="G1761:I1761" si="5277">#REF!</f>
        <v>#REF!</v>
      </c>
      <c r="H1761" s="20" t="str">
        <f t="shared" si="5277"/>
        <v>#REF!</v>
      </c>
      <c r="I1761" s="20" t="str">
        <f t="shared" si="5277"/>
        <v>#REF!</v>
      </c>
      <c r="J1761" s="20" t="str">
        <f t="shared" si="1272"/>
        <v>#REF!</v>
      </c>
      <c r="K1761" s="20" t="str">
        <f t="shared" ref="K1761:L1761" si="5278">#REF!</f>
        <v>#REF!</v>
      </c>
      <c r="L1761" s="20" t="str">
        <f t="shared" si="5278"/>
        <v>#REF!</v>
      </c>
    </row>
    <row r="1762">
      <c r="A1762" s="20" t="str">
        <f t="shared" si="1267"/>
        <v>#REF!</v>
      </c>
      <c r="B1762" s="20" t="str">
        <f t="shared" si="1268"/>
        <v>#REF!</v>
      </c>
      <c r="C1762" s="20" t="str">
        <f t="shared" ref="C1762:D1762" si="5279">#REF!</f>
        <v>#REF!</v>
      </c>
      <c r="D1762" s="20" t="str">
        <f t="shared" si="5279"/>
        <v>#REF!</v>
      </c>
      <c r="E1762" s="20" t="str">
        <f t="shared" si="1270"/>
        <v>#REF!</v>
      </c>
      <c r="F1762" s="22" t="str">
        <f t="shared" si="2"/>
        <v>#REF!</v>
      </c>
      <c r="G1762" s="20" t="str">
        <f t="shared" ref="G1762:I1762" si="5280">#REF!</f>
        <v>#REF!</v>
      </c>
      <c r="H1762" s="20" t="str">
        <f t="shared" si="5280"/>
        <v>#REF!</v>
      </c>
      <c r="I1762" s="20" t="str">
        <f t="shared" si="5280"/>
        <v>#REF!</v>
      </c>
      <c r="J1762" s="20" t="str">
        <f t="shared" si="1272"/>
        <v>#REF!</v>
      </c>
      <c r="K1762" s="20" t="str">
        <f t="shared" ref="K1762:L1762" si="5281">#REF!</f>
        <v>#REF!</v>
      </c>
      <c r="L1762" s="20" t="str">
        <f t="shared" si="5281"/>
        <v>#REF!</v>
      </c>
    </row>
    <row r="1763">
      <c r="A1763" s="20" t="str">
        <f t="shared" si="1267"/>
        <v>#REF!</v>
      </c>
      <c r="B1763" s="20" t="str">
        <f t="shared" si="1268"/>
        <v>#REF!</v>
      </c>
      <c r="C1763" s="20" t="str">
        <f t="shared" ref="C1763:D1763" si="5282">#REF!</f>
        <v>#REF!</v>
      </c>
      <c r="D1763" s="20" t="str">
        <f t="shared" si="5282"/>
        <v>#REF!</v>
      </c>
      <c r="E1763" s="20" t="str">
        <f t="shared" si="1270"/>
        <v>#REF!</v>
      </c>
      <c r="F1763" s="22" t="str">
        <f t="shared" si="2"/>
        <v>#REF!</v>
      </c>
      <c r="G1763" s="20" t="str">
        <f t="shared" ref="G1763:I1763" si="5283">#REF!</f>
        <v>#REF!</v>
      </c>
      <c r="H1763" s="20" t="str">
        <f t="shared" si="5283"/>
        <v>#REF!</v>
      </c>
      <c r="I1763" s="20" t="str">
        <f t="shared" si="5283"/>
        <v>#REF!</v>
      </c>
      <c r="J1763" s="20" t="str">
        <f t="shared" si="1272"/>
        <v>#REF!</v>
      </c>
      <c r="K1763" s="20" t="str">
        <f t="shared" ref="K1763:L1763" si="5284">#REF!</f>
        <v>#REF!</v>
      </c>
      <c r="L1763" s="20" t="str">
        <f t="shared" si="5284"/>
        <v>#REF!</v>
      </c>
    </row>
    <row r="1764">
      <c r="A1764" s="20" t="str">
        <f t="shared" si="1267"/>
        <v>#REF!</v>
      </c>
      <c r="B1764" s="20" t="str">
        <f t="shared" si="1268"/>
        <v>#REF!</v>
      </c>
      <c r="C1764" s="20" t="str">
        <f t="shared" ref="C1764:D1764" si="5285">#REF!</f>
        <v>#REF!</v>
      </c>
      <c r="D1764" s="20" t="str">
        <f t="shared" si="5285"/>
        <v>#REF!</v>
      </c>
      <c r="E1764" s="20" t="str">
        <f t="shared" si="1270"/>
        <v>#REF!</v>
      </c>
      <c r="F1764" s="22" t="str">
        <f t="shared" si="2"/>
        <v>#REF!</v>
      </c>
      <c r="G1764" s="20" t="str">
        <f t="shared" ref="G1764:I1764" si="5286">#REF!</f>
        <v>#REF!</v>
      </c>
      <c r="H1764" s="20" t="str">
        <f t="shared" si="5286"/>
        <v>#REF!</v>
      </c>
      <c r="I1764" s="20" t="str">
        <f t="shared" si="5286"/>
        <v>#REF!</v>
      </c>
      <c r="J1764" s="20" t="str">
        <f t="shared" si="1272"/>
        <v>#REF!</v>
      </c>
      <c r="K1764" s="20" t="str">
        <f t="shared" ref="K1764:L1764" si="5287">#REF!</f>
        <v>#REF!</v>
      </c>
      <c r="L1764" s="20" t="str">
        <f t="shared" si="5287"/>
        <v>#REF!</v>
      </c>
    </row>
    <row r="1765">
      <c r="A1765" s="20" t="str">
        <f t="shared" si="1267"/>
        <v>#REF!</v>
      </c>
      <c r="B1765" s="20" t="str">
        <f t="shared" si="1268"/>
        <v>#REF!</v>
      </c>
      <c r="C1765" s="20" t="str">
        <f t="shared" ref="C1765:D1765" si="5288">#REF!</f>
        <v>#REF!</v>
      </c>
      <c r="D1765" s="20" t="str">
        <f t="shared" si="5288"/>
        <v>#REF!</v>
      </c>
      <c r="E1765" s="20" t="str">
        <f t="shared" si="1270"/>
        <v>#REF!</v>
      </c>
      <c r="F1765" s="22" t="str">
        <f t="shared" si="2"/>
        <v>#REF!</v>
      </c>
      <c r="G1765" s="20" t="str">
        <f t="shared" ref="G1765:I1765" si="5289">#REF!</f>
        <v>#REF!</v>
      </c>
      <c r="H1765" s="20" t="str">
        <f t="shared" si="5289"/>
        <v>#REF!</v>
      </c>
      <c r="I1765" s="20" t="str">
        <f t="shared" si="5289"/>
        <v>#REF!</v>
      </c>
      <c r="J1765" s="20" t="str">
        <f t="shared" si="1272"/>
        <v>#REF!</v>
      </c>
      <c r="K1765" s="20" t="str">
        <f t="shared" ref="K1765:L1765" si="5290">#REF!</f>
        <v>#REF!</v>
      </c>
      <c r="L1765" s="20" t="str">
        <f t="shared" si="5290"/>
        <v>#REF!</v>
      </c>
    </row>
    <row r="1766">
      <c r="A1766" s="20" t="str">
        <f t="shared" si="1267"/>
        <v>#REF!</v>
      </c>
      <c r="B1766" s="20" t="str">
        <f t="shared" si="1268"/>
        <v>#REF!</v>
      </c>
      <c r="C1766" s="20" t="str">
        <f t="shared" ref="C1766:D1766" si="5291">#REF!</f>
        <v>#REF!</v>
      </c>
      <c r="D1766" s="20" t="str">
        <f t="shared" si="5291"/>
        <v>#REF!</v>
      </c>
      <c r="E1766" s="20" t="str">
        <f t="shared" si="1270"/>
        <v>#REF!</v>
      </c>
      <c r="F1766" s="22" t="str">
        <f t="shared" si="2"/>
        <v>#REF!</v>
      </c>
      <c r="G1766" s="20" t="str">
        <f t="shared" ref="G1766:I1766" si="5292">#REF!</f>
        <v>#REF!</v>
      </c>
      <c r="H1766" s="20" t="str">
        <f t="shared" si="5292"/>
        <v>#REF!</v>
      </c>
      <c r="I1766" s="20" t="str">
        <f t="shared" si="5292"/>
        <v>#REF!</v>
      </c>
      <c r="J1766" s="20" t="str">
        <f t="shared" si="1272"/>
        <v>#REF!</v>
      </c>
      <c r="K1766" s="20" t="str">
        <f t="shared" ref="K1766:L1766" si="5293">#REF!</f>
        <v>#REF!</v>
      </c>
      <c r="L1766" s="20" t="str">
        <f t="shared" si="5293"/>
        <v>#REF!</v>
      </c>
    </row>
    <row r="1767">
      <c r="A1767" s="20" t="str">
        <f t="shared" si="1267"/>
        <v>#REF!</v>
      </c>
      <c r="B1767" s="20" t="str">
        <f t="shared" si="1268"/>
        <v>#REF!</v>
      </c>
      <c r="C1767" s="20" t="str">
        <f t="shared" ref="C1767:D1767" si="5294">#REF!</f>
        <v>#REF!</v>
      </c>
      <c r="D1767" s="20" t="str">
        <f t="shared" si="5294"/>
        <v>#REF!</v>
      </c>
      <c r="E1767" s="20" t="str">
        <f t="shared" si="1270"/>
        <v>#REF!</v>
      </c>
      <c r="F1767" s="22" t="str">
        <f t="shared" si="2"/>
        <v>#REF!</v>
      </c>
      <c r="G1767" s="20" t="str">
        <f t="shared" ref="G1767:I1767" si="5295">#REF!</f>
        <v>#REF!</v>
      </c>
      <c r="H1767" s="20" t="str">
        <f t="shared" si="5295"/>
        <v>#REF!</v>
      </c>
      <c r="I1767" s="20" t="str">
        <f t="shared" si="5295"/>
        <v>#REF!</v>
      </c>
      <c r="J1767" s="20" t="str">
        <f t="shared" si="1272"/>
        <v>#REF!</v>
      </c>
      <c r="K1767" s="20" t="str">
        <f t="shared" ref="K1767:L1767" si="5296">#REF!</f>
        <v>#REF!</v>
      </c>
      <c r="L1767" s="20" t="str">
        <f t="shared" si="5296"/>
        <v>#REF!</v>
      </c>
    </row>
    <row r="1768">
      <c r="A1768" s="20" t="str">
        <f t="shared" si="1267"/>
        <v>#REF!</v>
      </c>
      <c r="B1768" s="20" t="str">
        <f t="shared" si="1268"/>
        <v>#REF!</v>
      </c>
      <c r="C1768" s="20" t="str">
        <f t="shared" ref="C1768:D1768" si="5297">#REF!</f>
        <v>#REF!</v>
      </c>
      <c r="D1768" s="20" t="str">
        <f t="shared" si="5297"/>
        <v>#REF!</v>
      </c>
      <c r="E1768" s="20" t="str">
        <f t="shared" si="1270"/>
        <v>#REF!</v>
      </c>
      <c r="F1768" s="22" t="str">
        <f t="shared" si="2"/>
        <v>#REF!</v>
      </c>
      <c r="G1768" s="20" t="str">
        <f t="shared" ref="G1768:I1768" si="5298">#REF!</f>
        <v>#REF!</v>
      </c>
      <c r="H1768" s="20" t="str">
        <f t="shared" si="5298"/>
        <v>#REF!</v>
      </c>
      <c r="I1768" s="20" t="str">
        <f t="shared" si="5298"/>
        <v>#REF!</v>
      </c>
      <c r="J1768" s="20" t="str">
        <f t="shared" si="1272"/>
        <v>#REF!</v>
      </c>
      <c r="K1768" s="20" t="str">
        <f t="shared" ref="K1768:L1768" si="5299">#REF!</f>
        <v>#REF!</v>
      </c>
      <c r="L1768" s="20" t="str">
        <f t="shared" si="5299"/>
        <v>#REF!</v>
      </c>
    </row>
    <row r="1769">
      <c r="A1769" s="20" t="str">
        <f t="shared" si="1267"/>
        <v>#REF!</v>
      </c>
      <c r="B1769" s="20" t="str">
        <f t="shared" si="1268"/>
        <v>#REF!</v>
      </c>
      <c r="C1769" s="20" t="str">
        <f t="shared" ref="C1769:D1769" si="5300">#REF!</f>
        <v>#REF!</v>
      </c>
      <c r="D1769" s="20" t="str">
        <f t="shared" si="5300"/>
        <v>#REF!</v>
      </c>
      <c r="E1769" s="20" t="str">
        <f t="shared" si="1270"/>
        <v>#REF!</v>
      </c>
      <c r="F1769" s="22" t="str">
        <f t="shared" si="2"/>
        <v>#REF!</v>
      </c>
      <c r="G1769" s="20" t="str">
        <f t="shared" ref="G1769:I1769" si="5301">#REF!</f>
        <v>#REF!</v>
      </c>
      <c r="H1769" s="20" t="str">
        <f t="shared" si="5301"/>
        <v>#REF!</v>
      </c>
      <c r="I1769" s="20" t="str">
        <f t="shared" si="5301"/>
        <v>#REF!</v>
      </c>
      <c r="J1769" s="20" t="str">
        <f t="shared" si="1272"/>
        <v>#REF!</v>
      </c>
      <c r="K1769" s="20" t="str">
        <f t="shared" ref="K1769:L1769" si="5302">#REF!</f>
        <v>#REF!</v>
      </c>
      <c r="L1769" s="20" t="str">
        <f t="shared" si="5302"/>
        <v>#REF!</v>
      </c>
    </row>
    <row r="1770">
      <c r="A1770" s="20" t="str">
        <f t="shared" si="1267"/>
        <v>#REF!</v>
      </c>
      <c r="B1770" s="20" t="str">
        <f t="shared" si="1268"/>
        <v>#REF!</v>
      </c>
      <c r="C1770" s="20" t="str">
        <f t="shared" ref="C1770:D1770" si="5303">#REF!</f>
        <v>#REF!</v>
      </c>
      <c r="D1770" s="20" t="str">
        <f t="shared" si="5303"/>
        <v>#REF!</v>
      </c>
      <c r="E1770" s="20" t="str">
        <f t="shared" si="1270"/>
        <v>#REF!</v>
      </c>
      <c r="F1770" s="22" t="str">
        <f t="shared" si="2"/>
        <v>#REF!</v>
      </c>
      <c r="G1770" s="20" t="str">
        <f t="shared" ref="G1770:I1770" si="5304">#REF!</f>
        <v>#REF!</v>
      </c>
      <c r="H1770" s="20" t="str">
        <f t="shared" si="5304"/>
        <v>#REF!</v>
      </c>
      <c r="I1770" s="20" t="str">
        <f t="shared" si="5304"/>
        <v>#REF!</v>
      </c>
      <c r="J1770" s="20" t="str">
        <f t="shared" si="1272"/>
        <v>#REF!</v>
      </c>
      <c r="K1770" s="20" t="str">
        <f t="shared" ref="K1770:L1770" si="5305">#REF!</f>
        <v>#REF!</v>
      </c>
      <c r="L1770" s="20" t="str">
        <f t="shared" si="5305"/>
        <v>#REF!</v>
      </c>
    </row>
    <row r="1771">
      <c r="A1771" s="20" t="str">
        <f t="shared" si="1267"/>
        <v>#REF!</v>
      </c>
      <c r="B1771" s="20" t="str">
        <f t="shared" si="1268"/>
        <v>#REF!</v>
      </c>
      <c r="C1771" s="20" t="str">
        <f t="shared" ref="C1771:D1771" si="5306">#REF!</f>
        <v>#REF!</v>
      </c>
      <c r="D1771" s="20" t="str">
        <f t="shared" si="5306"/>
        <v>#REF!</v>
      </c>
      <c r="E1771" s="20" t="str">
        <f t="shared" si="1270"/>
        <v>#REF!</v>
      </c>
      <c r="F1771" s="22" t="str">
        <f t="shared" si="2"/>
        <v>#REF!</v>
      </c>
      <c r="G1771" s="20" t="str">
        <f t="shared" ref="G1771:I1771" si="5307">#REF!</f>
        <v>#REF!</v>
      </c>
      <c r="H1771" s="20" t="str">
        <f t="shared" si="5307"/>
        <v>#REF!</v>
      </c>
      <c r="I1771" s="20" t="str">
        <f t="shared" si="5307"/>
        <v>#REF!</v>
      </c>
      <c r="J1771" s="20" t="str">
        <f t="shared" si="1272"/>
        <v>#REF!</v>
      </c>
      <c r="K1771" s="20" t="str">
        <f t="shared" ref="K1771:L1771" si="5308">#REF!</f>
        <v>#REF!</v>
      </c>
      <c r="L1771" s="20" t="str">
        <f t="shared" si="5308"/>
        <v>#REF!</v>
      </c>
    </row>
    <row r="1772">
      <c r="A1772" s="20" t="str">
        <f t="shared" si="1267"/>
        <v>#REF!</v>
      </c>
      <c r="B1772" s="20" t="str">
        <f t="shared" si="1268"/>
        <v>#REF!</v>
      </c>
      <c r="C1772" s="20" t="str">
        <f t="shared" ref="C1772:D1772" si="5309">#REF!</f>
        <v>#REF!</v>
      </c>
      <c r="D1772" s="20" t="str">
        <f t="shared" si="5309"/>
        <v>#REF!</v>
      </c>
      <c r="E1772" s="20" t="str">
        <f t="shared" si="1270"/>
        <v>#REF!</v>
      </c>
      <c r="F1772" s="22" t="str">
        <f t="shared" si="2"/>
        <v>#REF!</v>
      </c>
      <c r="G1772" s="20" t="str">
        <f t="shared" ref="G1772:I1772" si="5310">#REF!</f>
        <v>#REF!</v>
      </c>
      <c r="H1772" s="20" t="str">
        <f t="shared" si="5310"/>
        <v>#REF!</v>
      </c>
      <c r="I1772" s="20" t="str">
        <f t="shared" si="5310"/>
        <v>#REF!</v>
      </c>
      <c r="J1772" s="20" t="str">
        <f t="shared" si="1272"/>
        <v>#REF!</v>
      </c>
      <c r="K1772" s="20" t="str">
        <f t="shared" ref="K1772:L1772" si="5311">#REF!</f>
        <v>#REF!</v>
      </c>
      <c r="L1772" s="20" t="str">
        <f t="shared" si="5311"/>
        <v>#REF!</v>
      </c>
    </row>
    <row r="1773">
      <c r="A1773" s="20" t="str">
        <f t="shared" si="1267"/>
        <v>#REF!</v>
      </c>
      <c r="B1773" s="20" t="str">
        <f t="shared" si="1268"/>
        <v>#REF!</v>
      </c>
      <c r="C1773" s="20" t="str">
        <f t="shared" ref="C1773:D1773" si="5312">#REF!</f>
        <v>#REF!</v>
      </c>
      <c r="D1773" s="20" t="str">
        <f t="shared" si="5312"/>
        <v>#REF!</v>
      </c>
      <c r="E1773" s="20" t="str">
        <f t="shared" si="1270"/>
        <v>#REF!</v>
      </c>
      <c r="F1773" s="22" t="str">
        <f t="shared" si="2"/>
        <v>#REF!</v>
      </c>
      <c r="G1773" s="20" t="str">
        <f t="shared" ref="G1773:I1773" si="5313">#REF!</f>
        <v>#REF!</v>
      </c>
      <c r="H1773" s="20" t="str">
        <f t="shared" si="5313"/>
        <v>#REF!</v>
      </c>
      <c r="I1773" s="20" t="str">
        <f t="shared" si="5313"/>
        <v>#REF!</v>
      </c>
      <c r="J1773" s="20" t="str">
        <f t="shared" si="1272"/>
        <v>#REF!</v>
      </c>
      <c r="K1773" s="20" t="str">
        <f t="shared" ref="K1773:L1773" si="5314">#REF!</f>
        <v>#REF!</v>
      </c>
      <c r="L1773" s="20" t="str">
        <f t="shared" si="5314"/>
        <v>#REF!</v>
      </c>
    </row>
    <row r="1774">
      <c r="A1774" s="20" t="str">
        <f t="shared" si="1267"/>
        <v>#REF!</v>
      </c>
      <c r="B1774" s="20" t="str">
        <f t="shared" si="1268"/>
        <v>#REF!</v>
      </c>
      <c r="C1774" s="20" t="str">
        <f t="shared" ref="C1774:D1774" si="5315">#REF!</f>
        <v>#REF!</v>
      </c>
      <c r="D1774" s="20" t="str">
        <f t="shared" si="5315"/>
        <v>#REF!</v>
      </c>
      <c r="E1774" s="20" t="str">
        <f t="shared" si="1270"/>
        <v>#REF!</v>
      </c>
      <c r="F1774" s="22" t="str">
        <f t="shared" si="2"/>
        <v>#REF!</v>
      </c>
      <c r="G1774" s="20" t="str">
        <f t="shared" ref="G1774:I1774" si="5316">#REF!</f>
        <v>#REF!</v>
      </c>
      <c r="H1774" s="20" t="str">
        <f t="shared" si="5316"/>
        <v>#REF!</v>
      </c>
      <c r="I1774" s="20" t="str">
        <f t="shared" si="5316"/>
        <v>#REF!</v>
      </c>
      <c r="J1774" s="20" t="str">
        <f t="shared" si="1272"/>
        <v>#REF!</v>
      </c>
      <c r="K1774" s="20" t="str">
        <f t="shared" ref="K1774:L1774" si="5317">#REF!</f>
        <v>#REF!</v>
      </c>
      <c r="L1774" s="20" t="str">
        <f t="shared" si="5317"/>
        <v>#REF!</v>
      </c>
    </row>
    <row r="1775">
      <c r="A1775" s="20" t="str">
        <f t="shared" si="1267"/>
        <v>#REF!</v>
      </c>
      <c r="B1775" s="20" t="str">
        <f t="shared" si="1268"/>
        <v>#REF!</v>
      </c>
      <c r="C1775" s="20" t="str">
        <f t="shared" ref="C1775:D1775" si="5318">#REF!</f>
        <v>#REF!</v>
      </c>
      <c r="D1775" s="20" t="str">
        <f t="shared" si="5318"/>
        <v>#REF!</v>
      </c>
      <c r="E1775" s="20" t="str">
        <f t="shared" si="1270"/>
        <v>#REF!</v>
      </c>
      <c r="F1775" s="22" t="str">
        <f t="shared" si="2"/>
        <v>#REF!</v>
      </c>
      <c r="G1775" s="20" t="str">
        <f t="shared" ref="G1775:I1775" si="5319">#REF!</f>
        <v>#REF!</v>
      </c>
      <c r="H1775" s="20" t="str">
        <f t="shared" si="5319"/>
        <v>#REF!</v>
      </c>
      <c r="I1775" s="20" t="str">
        <f t="shared" si="5319"/>
        <v>#REF!</v>
      </c>
      <c r="J1775" s="20" t="str">
        <f t="shared" si="1272"/>
        <v>#REF!</v>
      </c>
      <c r="K1775" s="20" t="str">
        <f t="shared" ref="K1775:L1775" si="5320">#REF!</f>
        <v>#REF!</v>
      </c>
      <c r="L1775" s="20" t="str">
        <f t="shared" si="5320"/>
        <v>#REF!</v>
      </c>
    </row>
    <row r="1776">
      <c r="A1776" s="20" t="str">
        <f t="shared" si="1267"/>
        <v>#REF!</v>
      </c>
      <c r="B1776" s="20" t="str">
        <f t="shared" si="1268"/>
        <v>#REF!</v>
      </c>
      <c r="C1776" s="20" t="str">
        <f t="shared" ref="C1776:D1776" si="5321">#REF!</f>
        <v>#REF!</v>
      </c>
      <c r="D1776" s="20" t="str">
        <f t="shared" si="5321"/>
        <v>#REF!</v>
      </c>
      <c r="E1776" s="20" t="str">
        <f t="shared" si="1270"/>
        <v>#REF!</v>
      </c>
      <c r="F1776" s="22" t="str">
        <f t="shared" si="2"/>
        <v>#REF!</v>
      </c>
      <c r="G1776" s="20" t="str">
        <f t="shared" ref="G1776:I1776" si="5322">#REF!</f>
        <v>#REF!</v>
      </c>
      <c r="H1776" s="20" t="str">
        <f t="shared" si="5322"/>
        <v>#REF!</v>
      </c>
      <c r="I1776" s="20" t="str">
        <f t="shared" si="5322"/>
        <v>#REF!</v>
      </c>
      <c r="J1776" s="20" t="str">
        <f t="shared" si="1272"/>
        <v>#REF!</v>
      </c>
      <c r="K1776" s="20" t="str">
        <f t="shared" ref="K1776:L1776" si="5323">#REF!</f>
        <v>#REF!</v>
      </c>
      <c r="L1776" s="20" t="str">
        <f t="shared" si="5323"/>
        <v>#REF!</v>
      </c>
    </row>
    <row r="1777">
      <c r="A1777" s="20" t="str">
        <f t="shared" si="1267"/>
        <v>#REF!</v>
      </c>
      <c r="B1777" s="20" t="str">
        <f t="shared" si="1268"/>
        <v>#REF!</v>
      </c>
      <c r="C1777" s="20" t="str">
        <f t="shared" ref="C1777:D1777" si="5324">#REF!</f>
        <v>#REF!</v>
      </c>
      <c r="D1777" s="20" t="str">
        <f t="shared" si="5324"/>
        <v>#REF!</v>
      </c>
      <c r="E1777" s="20" t="str">
        <f t="shared" si="1270"/>
        <v>#REF!</v>
      </c>
      <c r="F1777" s="22" t="str">
        <f t="shared" si="2"/>
        <v>#REF!</v>
      </c>
      <c r="G1777" s="20" t="str">
        <f t="shared" ref="G1777:I1777" si="5325">#REF!</f>
        <v>#REF!</v>
      </c>
      <c r="H1777" s="20" t="str">
        <f t="shared" si="5325"/>
        <v>#REF!</v>
      </c>
      <c r="I1777" s="20" t="str">
        <f t="shared" si="5325"/>
        <v>#REF!</v>
      </c>
      <c r="J1777" s="20" t="str">
        <f t="shared" si="1272"/>
        <v>#REF!</v>
      </c>
      <c r="K1777" s="20" t="str">
        <f t="shared" ref="K1777:L1777" si="5326">#REF!</f>
        <v>#REF!</v>
      </c>
      <c r="L1777" s="20" t="str">
        <f t="shared" si="5326"/>
        <v>#REF!</v>
      </c>
    </row>
    <row r="1778">
      <c r="A1778" s="20" t="str">
        <f t="shared" si="1267"/>
        <v>#REF!</v>
      </c>
      <c r="B1778" s="20" t="str">
        <f t="shared" si="1268"/>
        <v>#REF!</v>
      </c>
      <c r="C1778" s="20" t="str">
        <f t="shared" ref="C1778:D1778" si="5327">#REF!</f>
        <v>#REF!</v>
      </c>
      <c r="D1778" s="20" t="str">
        <f t="shared" si="5327"/>
        <v>#REF!</v>
      </c>
      <c r="E1778" s="20" t="str">
        <f t="shared" si="1270"/>
        <v>#REF!</v>
      </c>
      <c r="F1778" s="22" t="str">
        <f t="shared" si="2"/>
        <v>#REF!</v>
      </c>
      <c r="G1778" s="20" t="str">
        <f t="shared" ref="G1778:I1778" si="5328">#REF!</f>
        <v>#REF!</v>
      </c>
      <c r="H1778" s="20" t="str">
        <f t="shared" si="5328"/>
        <v>#REF!</v>
      </c>
      <c r="I1778" s="20" t="str">
        <f t="shared" si="5328"/>
        <v>#REF!</v>
      </c>
      <c r="J1778" s="20" t="str">
        <f t="shared" si="1272"/>
        <v>#REF!</v>
      </c>
      <c r="K1778" s="20" t="str">
        <f t="shared" ref="K1778:L1778" si="5329">#REF!</f>
        <v>#REF!</v>
      </c>
      <c r="L1778" s="20" t="str">
        <f t="shared" si="5329"/>
        <v>#REF!</v>
      </c>
    </row>
    <row r="1779">
      <c r="A1779" s="20" t="str">
        <f t="shared" si="1267"/>
        <v>#REF!</v>
      </c>
      <c r="B1779" s="20" t="str">
        <f t="shared" si="1268"/>
        <v>#REF!</v>
      </c>
      <c r="C1779" s="20" t="str">
        <f t="shared" ref="C1779:D1779" si="5330">#REF!</f>
        <v>#REF!</v>
      </c>
      <c r="D1779" s="20" t="str">
        <f t="shared" si="5330"/>
        <v>#REF!</v>
      </c>
      <c r="E1779" s="20" t="str">
        <f t="shared" si="1270"/>
        <v>#REF!</v>
      </c>
      <c r="F1779" s="22" t="str">
        <f t="shared" si="2"/>
        <v>#REF!</v>
      </c>
      <c r="G1779" s="20" t="str">
        <f t="shared" ref="G1779:I1779" si="5331">#REF!</f>
        <v>#REF!</v>
      </c>
      <c r="H1779" s="20" t="str">
        <f t="shared" si="5331"/>
        <v>#REF!</v>
      </c>
      <c r="I1779" s="20" t="str">
        <f t="shared" si="5331"/>
        <v>#REF!</v>
      </c>
      <c r="J1779" s="20" t="str">
        <f t="shared" si="1272"/>
        <v>#REF!</v>
      </c>
      <c r="K1779" s="20" t="str">
        <f t="shared" ref="K1779:L1779" si="5332">#REF!</f>
        <v>#REF!</v>
      </c>
      <c r="L1779" s="20" t="str">
        <f t="shared" si="5332"/>
        <v>#REF!</v>
      </c>
    </row>
    <row r="1780">
      <c r="A1780" s="20" t="str">
        <f t="shared" si="1267"/>
        <v>#REF!</v>
      </c>
      <c r="B1780" s="20" t="str">
        <f t="shared" si="1268"/>
        <v>#REF!</v>
      </c>
      <c r="C1780" s="20" t="str">
        <f t="shared" ref="C1780:D1780" si="5333">#REF!</f>
        <v>#REF!</v>
      </c>
      <c r="D1780" s="20" t="str">
        <f t="shared" si="5333"/>
        <v>#REF!</v>
      </c>
      <c r="E1780" s="20" t="str">
        <f t="shared" si="1270"/>
        <v>#REF!</v>
      </c>
      <c r="F1780" s="22" t="str">
        <f t="shared" si="2"/>
        <v>#REF!</v>
      </c>
      <c r="G1780" s="20" t="str">
        <f t="shared" ref="G1780:I1780" si="5334">#REF!</f>
        <v>#REF!</v>
      </c>
      <c r="H1780" s="20" t="str">
        <f t="shared" si="5334"/>
        <v>#REF!</v>
      </c>
      <c r="I1780" s="20" t="str">
        <f t="shared" si="5334"/>
        <v>#REF!</v>
      </c>
      <c r="J1780" s="20" t="str">
        <f t="shared" si="1272"/>
        <v>#REF!</v>
      </c>
      <c r="K1780" s="20" t="str">
        <f t="shared" ref="K1780:L1780" si="5335">#REF!</f>
        <v>#REF!</v>
      </c>
      <c r="L1780" s="20" t="str">
        <f t="shared" si="5335"/>
        <v>#REF!</v>
      </c>
    </row>
    <row r="1781">
      <c r="A1781" s="20" t="str">
        <f t="shared" si="1267"/>
        <v>#REF!</v>
      </c>
      <c r="B1781" s="20" t="str">
        <f t="shared" si="1268"/>
        <v>#REF!</v>
      </c>
      <c r="C1781" s="20" t="str">
        <f t="shared" ref="C1781:D1781" si="5336">#REF!</f>
        <v>#REF!</v>
      </c>
      <c r="D1781" s="20" t="str">
        <f t="shared" si="5336"/>
        <v>#REF!</v>
      </c>
      <c r="E1781" s="20" t="str">
        <f t="shared" si="1270"/>
        <v>#REF!</v>
      </c>
      <c r="F1781" s="22" t="str">
        <f t="shared" si="2"/>
        <v>#REF!</v>
      </c>
      <c r="G1781" s="20" t="str">
        <f t="shared" ref="G1781:I1781" si="5337">#REF!</f>
        <v>#REF!</v>
      </c>
      <c r="H1781" s="20" t="str">
        <f t="shared" si="5337"/>
        <v>#REF!</v>
      </c>
      <c r="I1781" s="20" t="str">
        <f t="shared" si="5337"/>
        <v>#REF!</v>
      </c>
      <c r="J1781" s="20" t="str">
        <f t="shared" si="1272"/>
        <v>#REF!</v>
      </c>
      <c r="K1781" s="20" t="str">
        <f t="shared" ref="K1781:L1781" si="5338">#REF!</f>
        <v>#REF!</v>
      </c>
      <c r="L1781" s="20" t="str">
        <f t="shared" si="5338"/>
        <v>#REF!</v>
      </c>
    </row>
    <row r="1782">
      <c r="A1782" s="20" t="str">
        <f t="shared" si="1267"/>
        <v>#REF!</v>
      </c>
      <c r="B1782" s="20" t="str">
        <f t="shared" si="1268"/>
        <v>#REF!</v>
      </c>
      <c r="C1782" s="20" t="str">
        <f t="shared" ref="C1782:D1782" si="5339">#REF!</f>
        <v>#REF!</v>
      </c>
      <c r="D1782" s="20" t="str">
        <f t="shared" si="5339"/>
        <v>#REF!</v>
      </c>
      <c r="E1782" s="20" t="str">
        <f t="shared" si="1270"/>
        <v>#REF!</v>
      </c>
      <c r="F1782" s="22" t="str">
        <f t="shared" si="2"/>
        <v>#REF!</v>
      </c>
      <c r="G1782" s="20" t="str">
        <f t="shared" ref="G1782:I1782" si="5340">#REF!</f>
        <v>#REF!</v>
      </c>
      <c r="H1782" s="20" t="str">
        <f t="shared" si="5340"/>
        <v>#REF!</v>
      </c>
      <c r="I1782" s="20" t="str">
        <f t="shared" si="5340"/>
        <v>#REF!</v>
      </c>
      <c r="J1782" s="20" t="str">
        <f t="shared" si="1272"/>
        <v>#REF!</v>
      </c>
      <c r="K1782" s="20" t="str">
        <f t="shared" ref="K1782:L1782" si="5341">#REF!</f>
        <v>#REF!</v>
      </c>
      <c r="L1782" s="20" t="str">
        <f t="shared" si="5341"/>
        <v>#REF!</v>
      </c>
    </row>
    <row r="1783">
      <c r="A1783" s="20" t="str">
        <f t="shared" si="1267"/>
        <v>#REF!</v>
      </c>
      <c r="B1783" s="20" t="str">
        <f t="shared" si="1268"/>
        <v>#REF!</v>
      </c>
      <c r="C1783" s="20" t="str">
        <f t="shared" ref="C1783:D1783" si="5342">#REF!</f>
        <v>#REF!</v>
      </c>
      <c r="D1783" s="20" t="str">
        <f t="shared" si="5342"/>
        <v>#REF!</v>
      </c>
      <c r="E1783" s="20" t="str">
        <f t="shared" si="1270"/>
        <v>#REF!</v>
      </c>
      <c r="F1783" s="22" t="str">
        <f t="shared" si="2"/>
        <v>#REF!</v>
      </c>
      <c r="G1783" s="20" t="str">
        <f t="shared" ref="G1783:I1783" si="5343">#REF!</f>
        <v>#REF!</v>
      </c>
      <c r="H1783" s="20" t="str">
        <f t="shared" si="5343"/>
        <v>#REF!</v>
      </c>
      <c r="I1783" s="20" t="str">
        <f t="shared" si="5343"/>
        <v>#REF!</v>
      </c>
      <c r="J1783" s="20" t="str">
        <f t="shared" si="1272"/>
        <v>#REF!</v>
      </c>
      <c r="K1783" s="20" t="str">
        <f t="shared" ref="K1783:L1783" si="5344">#REF!</f>
        <v>#REF!</v>
      </c>
      <c r="L1783" s="20" t="str">
        <f t="shared" si="5344"/>
        <v>#REF!</v>
      </c>
    </row>
    <row r="1784">
      <c r="A1784" s="20" t="str">
        <f t="shared" si="1267"/>
        <v>#REF!</v>
      </c>
      <c r="B1784" s="20" t="str">
        <f t="shared" si="1268"/>
        <v>#REF!</v>
      </c>
      <c r="C1784" s="20" t="str">
        <f t="shared" ref="C1784:D1784" si="5345">#REF!</f>
        <v>#REF!</v>
      </c>
      <c r="D1784" s="20" t="str">
        <f t="shared" si="5345"/>
        <v>#REF!</v>
      </c>
      <c r="E1784" s="20" t="str">
        <f t="shared" si="1270"/>
        <v>#REF!</v>
      </c>
      <c r="F1784" s="22" t="str">
        <f t="shared" si="2"/>
        <v>#REF!</v>
      </c>
      <c r="G1784" s="20" t="str">
        <f t="shared" ref="G1784:I1784" si="5346">#REF!</f>
        <v>#REF!</v>
      </c>
      <c r="H1784" s="20" t="str">
        <f t="shared" si="5346"/>
        <v>#REF!</v>
      </c>
      <c r="I1784" s="20" t="str">
        <f t="shared" si="5346"/>
        <v>#REF!</v>
      </c>
      <c r="J1784" s="20" t="str">
        <f t="shared" si="1272"/>
        <v>#REF!</v>
      </c>
      <c r="K1784" s="20" t="str">
        <f t="shared" ref="K1784:L1784" si="5347">#REF!</f>
        <v>#REF!</v>
      </c>
      <c r="L1784" s="20" t="str">
        <f t="shared" si="5347"/>
        <v>#REF!</v>
      </c>
    </row>
    <row r="1785">
      <c r="A1785" s="20" t="str">
        <f t="shared" si="1267"/>
        <v>#REF!</v>
      </c>
      <c r="B1785" s="20" t="str">
        <f t="shared" si="1268"/>
        <v>#REF!</v>
      </c>
      <c r="C1785" s="20" t="str">
        <f t="shared" ref="C1785:D1785" si="5348">#REF!</f>
        <v>#REF!</v>
      </c>
      <c r="D1785" s="20" t="str">
        <f t="shared" si="5348"/>
        <v>#REF!</v>
      </c>
      <c r="E1785" s="20" t="str">
        <f t="shared" si="1270"/>
        <v>#REF!</v>
      </c>
      <c r="F1785" s="22" t="str">
        <f t="shared" si="2"/>
        <v>#REF!</v>
      </c>
      <c r="G1785" s="20" t="str">
        <f t="shared" ref="G1785:I1785" si="5349">#REF!</f>
        <v>#REF!</v>
      </c>
      <c r="H1785" s="20" t="str">
        <f t="shared" si="5349"/>
        <v>#REF!</v>
      </c>
      <c r="I1785" s="20" t="str">
        <f t="shared" si="5349"/>
        <v>#REF!</v>
      </c>
      <c r="J1785" s="20" t="str">
        <f t="shared" si="1272"/>
        <v>#REF!</v>
      </c>
      <c r="K1785" s="20" t="str">
        <f t="shared" ref="K1785:L1785" si="5350">#REF!</f>
        <v>#REF!</v>
      </c>
      <c r="L1785" s="20" t="str">
        <f t="shared" si="5350"/>
        <v>#REF!</v>
      </c>
    </row>
    <row r="1786">
      <c r="A1786" s="20" t="str">
        <f t="shared" si="1267"/>
        <v>#REF!</v>
      </c>
      <c r="B1786" s="20" t="str">
        <f t="shared" si="1268"/>
        <v>#REF!</v>
      </c>
      <c r="C1786" s="20" t="str">
        <f t="shared" ref="C1786:D1786" si="5351">#REF!</f>
        <v>#REF!</v>
      </c>
      <c r="D1786" s="20" t="str">
        <f t="shared" si="5351"/>
        <v>#REF!</v>
      </c>
      <c r="E1786" s="20" t="str">
        <f t="shared" si="1270"/>
        <v>#REF!</v>
      </c>
      <c r="F1786" s="22" t="str">
        <f t="shared" si="2"/>
        <v>#REF!</v>
      </c>
      <c r="G1786" s="20" t="str">
        <f t="shared" ref="G1786:I1786" si="5352">#REF!</f>
        <v>#REF!</v>
      </c>
      <c r="H1786" s="20" t="str">
        <f t="shared" si="5352"/>
        <v>#REF!</v>
      </c>
      <c r="I1786" s="20" t="str">
        <f t="shared" si="5352"/>
        <v>#REF!</v>
      </c>
      <c r="J1786" s="20" t="str">
        <f t="shared" si="1272"/>
        <v>#REF!</v>
      </c>
      <c r="K1786" s="20" t="str">
        <f t="shared" ref="K1786:L1786" si="5353">#REF!</f>
        <v>#REF!</v>
      </c>
      <c r="L1786" s="20" t="str">
        <f t="shared" si="5353"/>
        <v>#REF!</v>
      </c>
    </row>
    <row r="1787">
      <c r="A1787" s="20" t="str">
        <f t="shared" si="1267"/>
        <v>#REF!</v>
      </c>
      <c r="B1787" s="20" t="str">
        <f t="shared" si="1268"/>
        <v>#REF!</v>
      </c>
      <c r="C1787" s="20" t="str">
        <f t="shared" ref="C1787:D1787" si="5354">#REF!</f>
        <v>#REF!</v>
      </c>
      <c r="D1787" s="20" t="str">
        <f t="shared" si="5354"/>
        <v>#REF!</v>
      </c>
      <c r="E1787" s="20" t="str">
        <f t="shared" si="1270"/>
        <v>#REF!</v>
      </c>
      <c r="F1787" s="22" t="str">
        <f t="shared" si="2"/>
        <v>#REF!</v>
      </c>
      <c r="G1787" s="20" t="str">
        <f t="shared" ref="G1787:I1787" si="5355">#REF!</f>
        <v>#REF!</v>
      </c>
      <c r="H1787" s="20" t="str">
        <f t="shared" si="5355"/>
        <v>#REF!</v>
      </c>
      <c r="I1787" s="20" t="str">
        <f t="shared" si="5355"/>
        <v>#REF!</v>
      </c>
      <c r="J1787" s="20" t="str">
        <f t="shared" si="1272"/>
        <v>#REF!</v>
      </c>
      <c r="K1787" s="20" t="str">
        <f t="shared" ref="K1787:L1787" si="5356">#REF!</f>
        <v>#REF!</v>
      </c>
      <c r="L1787" s="20" t="str">
        <f t="shared" si="5356"/>
        <v>#REF!</v>
      </c>
    </row>
    <row r="1788">
      <c r="A1788" s="20" t="str">
        <f t="shared" si="1267"/>
        <v>#REF!</v>
      </c>
      <c r="B1788" s="20" t="str">
        <f t="shared" si="1268"/>
        <v>#REF!</v>
      </c>
      <c r="C1788" s="20" t="str">
        <f t="shared" ref="C1788:D1788" si="5357">#REF!</f>
        <v>#REF!</v>
      </c>
      <c r="D1788" s="20" t="str">
        <f t="shared" si="5357"/>
        <v>#REF!</v>
      </c>
      <c r="E1788" s="20" t="str">
        <f t="shared" si="1270"/>
        <v>#REF!</v>
      </c>
      <c r="F1788" s="22" t="str">
        <f t="shared" si="2"/>
        <v>#REF!</v>
      </c>
      <c r="G1788" s="20" t="str">
        <f t="shared" ref="G1788:I1788" si="5358">#REF!</f>
        <v>#REF!</v>
      </c>
      <c r="H1788" s="20" t="str">
        <f t="shared" si="5358"/>
        <v>#REF!</v>
      </c>
      <c r="I1788" s="20" t="str">
        <f t="shared" si="5358"/>
        <v>#REF!</v>
      </c>
      <c r="J1788" s="20" t="str">
        <f t="shared" si="1272"/>
        <v>#REF!</v>
      </c>
      <c r="K1788" s="20" t="str">
        <f t="shared" ref="K1788:L1788" si="5359">#REF!</f>
        <v>#REF!</v>
      </c>
      <c r="L1788" s="20" t="str">
        <f t="shared" si="5359"/>
        <v>#REF!</v>
      </c>
    </row>
    <row r="1789">
      <c r="A1789" s="20" t="str">
        <f t="shared" si="1267"/>
        <v>#REF!</v>
      </c>
      <c r="B1789" s="20" t="str">
        <f t="shared" si="1268"/>
        <v>#REF!</v>
      </c>
      <c r="C1789" s="20" t="str">
        <f t="shared" ref="C1789:D1789" si="5360">#REF!</f>
        <v>#REF!</v>
      </c>
      <c r="D1789" s="20" t="str">
        <f t="shared" si="5360"/>
        <v>#REF!</v>
      </c>
      <c r="E1789" s="20" t="str">
        <f t="shared" si="1270"/>
        <v>#REF!</v>
      </c>
      <c r="F1789" s="22" t="str">
        <f t="shared" si="2"/>
        <v>#REF!</v>
      </c>
      <c r="G1789" s="20" t="str">
        <f t="shared" ref="G1789:I1789" si="5361">#REF!</f>
        <v>#REF!</v>
      </c>
      <c r="H1789" s="20" t="str">
        <f t="shared" si="5361"/>
        <v>#REF!</v>
      </c>
      <c r="I1789" s="20" t="str">
        <f t="shared" si="5361"/>
        <v>#REF!</v>
      </c>
      <c r="J1789" s="20" t="str">
        <f t="shared" si="1272"/>
        <v>#REF!</v>
      </c>
      <c r="K1789" s="20" t="str">
        <f t="shared" ref="K1789:L1789" si="5362">#REF!</f>
        <v>#REF!</v>
      </c>
      <c r="L1789" s="20" t="str">
        <f t="shared" si="5362"/>
        <v>#REF!</v>
      </c>
    </row>
    <row r="1790">
      <c r="A1790" s="20" t="str">
        <f t="shared" si="1267"/>
        <v>#REF!</v>
      </c>
      <c r="B1790" s="20" t="str">
        <f t="shared" si="1268"/>
        <v>#REF!</v>
      </c>
      <c r="C1790" s="20" t="str">
        <f t="shared" ref="C1790:D1790" si="5363">#REF!</f>
        <v>#REF!</v>
      </c>
      <c r="D1790" s="20" t="str">
        <f t="shared" si="5363"/>
        <v>#REF!</v>
      </c>
      <c r="E1790" s="20" t="str">
        <f t="shared" si="1270"/>
        <v>#REF!</v>
      </c>
      <c r="F1790" s="22" t="str">
        <f t="shared" si="2"/>
        <v>#REF!</v>
      </c>
      <c r="G1790" s="20" t="str">
        <f t="shared" ref="G1790:I1790" si="5364">#REF!</f>
        <v>#REF!</v>
      </c>
      <c r="H1790" s="20" t="str">
        <f t="shared" si="5364"/>
        <v>#REF!</v>
      </c>
      <c r="I1790" s="20" t="str">
        <f t="shared" si="5364"/>
        <v>#REF!</v>
      </c>
      <c r="J1790" s="20" t="str">
        <f t="shared" si="1272"/>
        <v>#REF!</v>
      </c>
      <c r="K1790" s="20" t="str">
        <f t="shared" ref="K1790:L1790" si="5365">#REF!</f>
        <v>#REF!</v>
      </c>
      <c r="L1790" s="20" t="str">
        <f t="shared" si="5365"/>
        <v>#REF!</v>
      </c>
    </row>
    <row r="1791">
      <c r="A1791" s="20" t="str">
        <f t="shared" si="1267"/>
        <v>#REF!</v>
      </c>
      <c r="B1791" s="20" t="str">
        <f t="shared" si="1268"/>
        <v>#REF!</v>
      </c>
      <c r="C1791" s="20" t="str">
        <f t="shared" ref="C1791:D1791" si="5366">#REF!</f>
        <v>#REF!</v>
      </c>
      <c r="D1791" s="20" t="str">
        <f t="shared" si="5366"/>
        <v>#REF!</v>
      </c>
      <c r="E1791" s="20" t="str">
        <f t="shared" si="1270"/>
        <v>#REF!</v>
      </c>
      <c r="F1791" s="22" t="str">
        <f t="shared" si="2"/>
        <v>#REF!</v>
      </c>
      <c r="G1791" s="20" t="str">
        <f t="shared" ref="G1791:I1791" si="5367">#REF!</f>
        <v>#REF!</v>
      </c>
      <c r="H1791" s="20" t="str">
        <f t="shared" si="5367"/>
        <v>#REF!</v>
      </c>
      <c r="I1791" s="20" t="str">
        <f t="shared" si="5367"/>
        <v>#REF!</v>
      </c>
      <c r="J1791" s="20" t="str">
        <f t="shared" si="1272"/>
        <v>#REF!</v>
      </c>
      <c r="K1791" s="20" t="str">
        <f t="shared" ref="K1791:L1791" si="5368">#REF!</f>
        <v>#REF!</v>
      </c>
      <c r="L1791" s="20" t="str">
        <f t="shared" si="5368"/>
        <v>#REF!</v>
      </c>
    </row>
    <row r="1792">
      <c r="A1792" s="20" t="str">
        <f t="shared" si="1267"/>
        <v>#REF!</v>
      </c>
      <c r="B1792" s="20" t="str">
        <f t="shared" si="1268"/>
        <v>#REF!</v>
      </c>
      <c r="C1792" s="20" t="str">
        <f t="shared" ref="C1792:D1792" si="5369">#REF!</f>
        <v>#REF!</v>
      </c>
      <c r="D1792" s="20" t="str">
        <f t="shared" si="5369"/>
        <v>#REF!</v>
      </c>
      <c r="E1792" s="20" t="str">
        <f t="shared" si="1270"/>
        <v>#REF!</v>
      </c>
      <c r="F1792" s="22" t="str">
        <f t="shared" si="2"/>
        <v>#REF!</v>
      </c>
      <c r="G1792" s="20" t="str">
        <f t="shared" ref="G1792:I1792" si="5370">#REF!</f>
        <v>#REF!</v>
      </c>
      <c r="H1792" s="20" t="str">
        <f t="shared" si="5370"/>
        <v>#REF!</v>
      </c>
      <c r="I1792" s="20" t="str">
        <f t="shared" si="5370"/>
        <v>#REF!</v>
      </c>
      <c r="J1792" s="20" t="str">
        <f t="shared" si="1272"/>
        <v>#REF!</v>
      </c>
      <c r="K1792" s="20" t="str">
        <f t="shared" ref="K1792:L1792" si="5371">#REF!</f>
        <v>#REF!</v>
      </c>
      <c r="L1792" s="20" t="str">
        <f t="shared" si="5371"/>
        <v>#REF!</v>
      </c>
    </row>
    <row r="1793">
      <c r="A1793" s="20" t="str">
        <f t="shared" si="1267"/>
        <v>#REF!</v>
      </c>
      <c r="B1793" s="20" t="str">
        <f t="shared" si="1268"/>
        <v>#REF!</v>
      </c>
      <c r="C1793" s="20" t="str">
        <f t="shared" ref="C1793:D1793" si="5372">#REF!</f>
        <v>#REF!</v>
      </c>
      <c r="D1793" s="20" t="str">
        <f t="shared" si="5372"/>
        <v>#REF!</v>
      </c>
      <c r="E1793" s="20" t="str">
        <f t="shared" si="1270"/>
        <v>#REF!</v>
      </c>
      <c r="F1793" s="22" t="str">
        <f t="shared" si="2"/>
        <v>#REF!</v>
      </c>
      <c r="G1793" s="20" t="str">
        <f t="shared" ref="G1793:I1793" si="5373">#REF!</f>
        <v>#REF!</v>
      </c>
      <c r="H1793" s="20" t="str">
        <f t="shared" si="5373"/>
        <v>#REF!</v>
      </c>
      <c r="I1793" s="20" t="str">
        <f t="shared" si="5373"/>
        <v>#REF!</v>
      </c>
      <c r="J1793" s="20" t="str">
        <f t="shared" si="1272"/>
        <v>#REF!</v>
      </c>
      <c r="K1793" s="20" t="str">
        <f t="shared" ref="K1793:L1793" si="5374">#REF!</f>
        <v>#REF!</v>
      </c>
      <c r="L1793" s="20" t="str">
        <f t="shared" si="5374"/>
        <v>#REF!</v>
      </c>
    </row>
    <row r="1794">
      <c r="A1794" s="20" t="str">
        <f t="shared" si="1267"/>
        <v>#REF!</v>
      </c>
      <c r="B1794" s="20" t="str">
        <f t="shared" si="1268"/>
        <v>#REF!</v>
      </c>
      <c r="C1794" s="20" t="str">
        <f t="shared" ref="C1794:D1794" si="5375">#REF!</f>
        <v>#REF!</v>
      </c>
      <c r="D1794" s="20" t="str">
        <f t="shared" si="5375"/>
        <v>#REF!</v>
      </c>
      <c r="E1794" s="20" t="str">
        <f t="shared" si="1270"/>
        <v>#REF!</v>
      </c>
      <c r="F1794" s="22" t="str">
        <f t="shared" si="2"/>
        <v>#REF!</v>
      </c>
      <c r="G1794" s="20" t="str">
        <f t="shared" ref="G1794:I1794" si="5376">#REF!</f>
        <v>#REF!</v>
      </c>
      <c r="H1794" s="20" t="str">
        <f t="shared" si="5376"/>
        <v>#REF!</v>
      </c>
      <c r="I1794" s="20" t="str">
        <f t="shared" si="5376"/>
        <v>#REF!</v>
      </c>
      <c r="J1794" s="20" t="str">
        <f t="shared" si="1272"/>
        <v>#REF!</v>
      </c>
      <c r="K1794" s="20" t="str">
        <f t="shared" ref="K1794:L1794" si="5377">#REF!</f>
        <v>#REF!</v>
      </c>
      <c r="L1794" s="20" t="str">
        <f t="shared" si="5377"/>
        <v>#REF!</v>
      </c>
    </row>
    <row r="1795">
      <c r="A1795" s="20" t="str">
        <f t="shared" si="1267"/>
        <v>#REF!</v>
      </c>
      <c r="B1795" s="20" t="str">
        <f t="shared" si="1268"/>
        <v>#REF!</v>
      </c>
      <c r="C1795" s="20" t="str">
        <f t="shared" ref="C1795:D1795" si="5378">#REF!</f>
        <v>#REF!</v>
      </c>
      <c r="D1795" s="20" t="str">
        <f t="shared" si="5378"/>
        <v>#REF!</v>
      </c>
      <c r="E1795" s="20" t="str">
        <f t="shared" si="1270"/>
        <v>#REF!</v>
      </c>
      <c r="F1795" s="22" t="str">
        <f t="shared" si="2"/>
        <v>#REF!</v>
      </c>
      <c r="G1795" s="20" t="str">
        <f t="shared" ref="G1795:I1795" si="5379">#REF!</f>
        <v>#REF!</v>
      </c>
      <c r="H1795" s="20" t="str">
        <f t="shared" si="5379"/>
        <v>#REF!</v>
      </c>
      <c r="I1795" s="20" t="str">
        <f t="shared" si="5379"/>
        <v>#REF!</v>
      </c>
      <c r="J1795" s="20" t="str">
        <f t="shared" si="1272"/>
        <v>#REF!</v>
      </c>
      <c r="K1795" s="20" t="str">
        <f t="shared" ref="K1795:L1795" si="5380">#REF!</f>
        <v>#REF!</v>
      </c>
      <c r="L1795" s="20" t="str">
        <f t="shared" si="5380"/>
        <v>#REF!</v>
      </c>
    </row>
    <row r="1796">
      <c r="A1796" s="20" t="str">
        <f t="shared" si="1267"/>
        <v>#REF!</v>
      </c>
      <c r="B1796" s="20" t="str">
        <f t="shared" si="1268"/>
        <v>#REF!</v>
      </c>
      <c r="C1796" s="20" t="str">
        <f t="shared" ref="C1796:D1796" si="5381">#REF!</f>
        <v>#REF!</v>
      </c>
      <c r="D1796" s="20" t="str">
        <f t="shared" si="5381"/>
        <v>#REF!</v>
      </c>
      <c r="E1796" s="20" t="str">
        <f t="shared" si="1270"/>
        <v>#REF!</v>
      </c>
      <c r="F1796" s="22" t="str">
        <f t="shared" si="2"/>
        <v>#REF!</v>
      </c>
      <c r="G1796" s="20" t="str">
        <f t="shared" ref="G1796:I1796" si="5382">#REF!</f>
        <v>#REF!</v>
      </c>
      <c r="H1796" s="20" t="str">
        <f t="shared" si="5382"/>
        <v>#REF!</v>
      </c>
      <c r="I1796" s="20" t="str">
        <f t="shared" si="5382"/>
        <v>#REF!</v>
      </c>
      <c r="J1796" s="20" t="str">
        <f t="shared" si="1272"/>
        <v>#REF!</v>
      </c>
      <c r="K1796" s="20" t="str">
        <f t="shared" ref="K1796:L1796" si="5383">#REF!</f>
        <v>#REF!</v>
      </c>
      <c r="L1796" s="20" t="str">
        <f t="shared" si="5383"/>
        <v>#REF!</v>
      </c>
    </row>
    <row r="1797">
      <c r="A1797" s="20" t="str">
        <f t="shared" si="1267"/>
        <v>#REF!</v>
      </c>
      <c r="B1797" s="20" t="str">
        <f t="shared" si="1268"/>
        <v>#REF!</v>
      </c>
      <c r="C1797" s="20" t="str">
        <f t="shared" ref="C1797:D1797" si="5384">#REF!</f>
        <v>#REF!</v>
      </c>
      <c r="D1797" s="20" t="str">
        <f t="shared" si="5384"/>
        <v>#REF!</v>
      </c>
      <c r="E1797" s="20" t="str">
        <f t="shared" si="1270"/>
        <v>#REF!</v>
      </c>
      <c r="F1797" s="22" t="str">
        <f t="shared" si="2"/>
        <v>#REF!</v>
      </c>
      <c r="G1797" s="20" t="str">
        <f t="shared" ref="G1797:I1797" si="5385">#REF!</f>
        <v>#REF!</v>
      </c>
      <c r="H1797" s="20" t="str">
        <f t="shared" si="5385"/>
        <v>#REF!</v>
      </c>
      <c r="I1797" s="20" t="str">
        <f t="shared" si="5385"/>
        <v>#REF!</v>
      </c>
      <c r="J1797" s="20" t="str">
        <f t="shared" si="1272"/>
        <v>#REF!</v>
      </c>
      <c r="K1797" s="20" t="str">
        <f t="shared" ref="K1797:L1797" si="5386">#REF!</f>
        <v>#REF!</v>
      </c>
      <c r="L1797" s="20" t="str">
        <f t="shared" si="5386"/>
        <v>#REF!</v>
      </c>
    </row>
    <row r="1798">
      <c r="A1798" s="20" t="str">
        <f t="shared" si="1267"/>
        <v>#REF!</v>
      </c>
      <c r="B1798" s="20" t="str">
        <f t="shared" si="1268"/>
        <v>#REF!</v>
      </c>
      <c r="C1798" s="20" t="str">
        <f t="shared" ref="C1798:D1798" si="5387">#REF!</f>
        <v>#REF!</v>
      </c>
      <c r="D1798" s="20" t="str">
        <f t="shared" si="5387"/>
        <v>#REF!</v>
      </c>
      <c r="E1798" s="20" t="str">
        <f t="shared" si="1270"/>
        <v>#REF!</v>
      </c>
      <c r="F1798" s="22" t="str">
        <f t="shared" si="2"/>
        <v>#REF!</v>
      </c>
      <c r="G1798" s="20" t="str">
        <f t="shared" ref="G1798:I1798" si="5388">#REF!</f>
        <v>#REF!</v>
      </c>
      <c r="H1798" s="20" t="str">
        <f t="shared" si="5388"/>
        <v>#REF!</v>
      </c>
      <c r="I1798" s="20" t="str">
        <f t="shared" si="5388"/>
        <v>#REF!</v>
      </c>
      <c r="J1798" s="20" t="str">
        <f t="shared" si="1272"/>
        <v>#REF!</v>
      </c>
      <c r="K1798" s="20" t="str">
        <f t="shared" ref="K1798:L1798" si="5389">#REF!</f>
        <v>#REF!</v>
      </c>
      <c r="L1798" s="20" t="str">
        <f t="shared" si="5389"/>
        <v>#REF!</v>
      </c>
    </row>
    <row r="1799">
      <c r="A1799" s="20" t="str">
        <f t="shared" si="1267"/>
        <v>#REF!</v>
      </c>
      <c r="B1799" s="20" t="str">
        <f t="shared" si="1268"/>
        <v>#REF!</v>
      </c>
      <c r="C1799" s="20" t="str">
        <f t="shared" ref="C1799:D1799" si="5390">#REF!</f>
        <v>#REF!</v>
      </c>
      <c r="D1799" s="20" t="str">
        <f t="shared" si="5390"/>
        <v>#REF!</v>
      </c>
      <c r="E1799" s="20" t="str">
        <f t="shared" si="1270"/>
        <v>#REF!</v>
      </c>
      <c r="F1799" s="22" t="str">
        <f t="shared" si="2"/>
        <v>#REF!</v>
      </c>
      <c r="G1799" s="20" t="str">
        <f t="shared" ref="G1799:I1799" si="5391">#REF!</f>
        <v>#REF!</v>
      </c>
      <c r="H1799" s="20" t="str">
        <f t="shared" si="5391"/>
        <v>#REF!</v>
      </c>
      <c r="I1799" s="20" t="str">
        <f t="shared" si="5391"/>
        <v>#REF!</v>
      </c>
      <c r="J1799" s="20" t="str">
        <f t="shared" si="1272"/>
        <v>#REF!</v>
      </c>
      <c r="K1799" s="20" t="str">
        <f t="shared" ref="K1799:L1799" si="5392">#REF!</f>
        <v>#REF!</v>
      </c>
      <c r="L1799" s="20" t="str">
        <f t="shared" si="5392"/>
        <v>#REF!</v>
      </c>
    </row>
    <row r="1800">
      <c r="A1800" s="20" t="str">
        <f t="shared" si="1267"/>
        <v>#REF!</v>
      </c>
      <c r="B1800" s="20" t="str">
        <f t="shared" si="1268"/>
        <v>#REF!</v>
      </c>
      <c r="C1800" s="20" t="str">
        <f t="shared" ref="C1800:D1800" si="5393">#REF!</f>
        <v>#REF!</v>
      </c>
      <c r="D1800" s="20" t="str">
        <f t="shared" si="5393"/>
        <v>#REF!</v>
      </c>
      <c r="E1800" s="20" t="str">
        <f t="shared" si="1270"/>
        <v>#REF!</v>
      </c>
      <c r="F1800" s="22" t="str">
        <f t="shared" si="2"/>
        <v>#REF!</v>
      </c>
      <c r="G1800" s="20" t="str">
        <f t="shared" ref="G1800:I1800" si="5394">#REF!</f>
        <v>#REF!</v>
      </c>
      <c r="H1800" s="20" t="str">
        <f t="shared" si="5394"/>
        <v>#REF!</v>
      </c>
      <c r="I1800" s="20" t="str">
        <f t="shared" si="5394"/>
        <v>#REF!</v>
      </c>
      <c r="J1800" s="20" t="str">
        <f t="shared" si="1272"/>
        <v>#REF!</v>
      </c>
      <c r="K1800" s="20" t="str">
        <f t="shared" ref="K1800:L1800" si="5395">#REF!</f>
        <v>#REF!</v>
      </c>
      <c r="L1800" s="20" t="str">
        <f t="shared" si="5395"/>
        <v>#REF!</v>
      </c>
    </row>
    <row r="1801">
      <c r="A1801" s="20" t="str">
        <f t="shared" si="1267"/>
        <v>#REF!</v>
      </c>
      <c r="B1801" s="20" t="str">
        <f t="shared" si="1268"/>
        <v>#REF!</v>
      </c>
      <c r="C1801" s="20" t="str">
        <f t="shared" ref="C1801:D1801" si="5396">#REF!</f>
        <v>#REF!</v>
      </c>
      <c r="D1801" s="20" t="str">
        <f t="shared" si="5396"/>
        <v>#REF!</v>
      </c>
      <c r="E1801" s="20" t="str">
        <f t="shared" si="1270"/>
        <v>#REF!</v>
      </c>
      <c r="F1801" s="22" t="str">
        <f t="shared" si="2"/>
        <v>#REF!</v>
      </c>
      <c r="G1801" s="20" t="str">
        <f t="shared" ref="G1801:I1801" si="5397">#REF!</f>
        <v>#REF!</v>
      </c>
      <c r="H1801" s="20" t="str">
        <f t="shared" si="5397"/>
        <v>#REF!</v>
      </c>
      <c r="I1801" s="20" t="str">
        <f t="shared" si="5397"/>
        <v>#REF!</v>
      </c>
      <c r="J1801" s="20" t="str">
        <f t="shared" si="1272"/>
        <v>#REF!</v>
      </c>
      <c r="K1801" s="20" t="str">
        <f t="shared" ref="K1801:L1801" si="5398">#REF!</f>
        <v>#REF!</v>
      </c>
      <c r="L1801" s="20" t="str">
        <f t="shared" si="5398"/>
        <v>#REF!</v>
      </c>
    </row>
    <row r="1802">
      <c r="A1802" s="20" t="str">
        <f t="shared" si="1267"/>
        <v>#REF!</v>
      </c>
      <c r="B1802" s="20" t="str">
        <f t="shared" si="1268"/>
        <v>#REF!</v>
      </c>
      <c r="C1802" s="20" t="str">
        <f t="shared" ref="C1802:D1802" si="5399">#REF!</f>
        <v>#REF!</v>
      </c>
      <c r="D1802" s="20" t="str">
        <f t="shared" si="5399"/>
        <v>#REF!</v>
      </c>
      <c r="E1802" s="20" t="str">
        <f t="shared" si="1270"/>
        <v>#REF!</v>
      </c>
      <c r="F1802" s="22" t="str">
        <f t="shared" si="2"/>
        <v>#REF!</v>
      </c>
      <c r="G1802" s="20" t="str">
        <f t="shared" ref="G1802:I1802" si="5400">#REF!</f>
        <v>#REF!</v>
      </c>
      <c r="H1802" s="20" t="str">
        <f t="shared" si="5400"/>
        <v>#REF!</v>
      </c>
      <c r="I1802" s="20" t="str">
        <f t="shared" si="5400"/>
        <v>#REF!</v>
      </c>
      <c r="J1802" s="20" t="str">
        <f t="shared" si="1272"/>
        <v>#REF!</v>
      </c>
      <c r="K1802" s="20" t="str">
        <f t="shared" ref="K1802:L1802" si="5401">#REF!</f>
        <v>#REF!</v>
      </c>
      <c r="L1802" s="20" t="str">
        <f t="shared" si="5401"/>
        <v>#REF!</v>
      </c>
    </row>
    <row r="1803">
      <c r="A1803" s="20" t="str">
        <f t="shared" si="1267"/>
        <v>#REF!</v>
      </c>
      <c r="B1803" s="20" t="str">
        <f t="shared" si="1268"/>
        <v>#REF!</v>
      </c>
      <c r="C1803" s="20" t="str">
        <f t="shared" ref="C1803:D1803" si="5402">#REF!</f>
        <v>#REF!</v>
      </c>
      <c r="D1803" s="20" t="str">
        <f t="shared" si="5402"/>
        <v>#REF!</v>
      </c>
      <c r="E1803" s="20" t="str">
        <f t="shared" si="1270"/>
        <v>#REF!</v>
      </c>
      <c r="F1803" s="22" t="str">
        <f t="shared" si="2"/>
        <v>#REF!</v>
      </c>
      <c r="G1803" s="20" t="str">
        <f t="shared" ref="G1803:I1803" si="5403">#REF!</f>
        <v>#REF!</v>
      </c>
      <c r="H1803" s="20" t="str">
        <f t="shared" si="5403"/>
        <v>#REF!</v>
      </c>
      <c r="I1803" s="20" t="str">
        <f t="shared" si="5403"/>
        <v>#REF!</v>
      </c>
      <c r="J1803" s="20" t="str">
        <f t="shared" si="1272"/>
        <v>#REF!</v>
      </c>
      <c r="K1803" s="20" t="str">
        <f t="shared" ref="K1803:L1803" si="5404">#REF!</f>
        <v>#REF!</v>
      </c>
      <c r="L1803" s="20" t="str">
        <f t="shared" si="5404"/>
        <v>#REF!</v>
      </c>
    </row>
    <row r="1804">
      <c r="A1804" s="20" t="str">
        <f t="shared" si="1267"/>
        <v>#REF!</v>
      </c>
      <c r="B1804" s="20" t="str">
        <f t="shared" si="1268"/>
        <v>#REF!</v>
      </c>
      <c r="C1804" s="20" t="str">
        <f t="shared" ref="C1804:D1804" si="5405">#REF!</f>
        <v>#REF!</v>
      </c>
      <c r="D1804" s="20" t="str">
        <f t="shared" si="5405"/>
        <v>#REF!</v>
      </c>
      <c r="E1804" s="20" t="str">
        <f t="shared" si="1270"/>
        <v>#REF!</v>
      </c>
      <c r="F1804" s="22" t="str">
        <f t="shared" si="2"/>
        <v>#REF!</v>
      </c>
      <c r="G1804" s="20" t="str">
        <f t="shared" ref="G1804:I1804" si="5406">#REF!</f>
        <v>#REF!</v>
      </c>
      <c r="H1804" s="20" t="str">
        <f t="shared" si="5406"/>
        <v>#REF!</v>
      </c>
      <c r="I1804" s="20" t="str">
        <f t="shared" si="5406"/>
        <v>#REF!</v>
      </c>
      <c r="J1804" s="20" t="str">
        <f t="shared" si="1272"/>
        <v>#REF!</v>
      </c>
      <c r="K1804" s="20" t="str">
        <f t="shared" ref="K1804:L1804" si="5407">#REF!</f>
        <v>#REF!</v>
      </c>
      <c r="L1804" s="20" t="str">
        <f t="shared" si="5407"/>
        <v>#REF!</v>
      </c>
    </row>
    <row r="1805">
      <c r="A1805" s="20" t="str">
        <f t="shared" si="1267"/>
        <v>#REF!</v>
      </c>
      <c r="B1805" s="20" t="str">
        <f t="shared" si="1268"/>
        <v>#REF!</v>
      </c>
      <c r="C1805" s="20" t="str">
        <f t="shared" ref="C1805:D1805" si="5408">#REF!</f>
        <v>#REF!</v>
      </c>
      <c r="D1805" s="20" t="str">
        <f t="shared" si="5408"/>
        <v>#REF!</v>
      </c>
      <c r="E1805" s="20" t="str">
        <f t="shared" si="1270"/>
        <v>#REF!</v>
      </c>
      <c r="F1805" s="22" t="str">
        <f t="shared" si="2"/>
        <v>#REF!</v>
      </c>
      <c r="G1805" s="20" t="str">
        <f t="shared" ref="G1805:I1805" si="5409">#REF!</f>
        <v>#REF!</v>
      </c>
      <c r="H1805" s="20" t="str">
        <f t="shared" si="5409"/>
        <v>#REF!</v>
      </c>
      <c r="I1805" s="20" t="str">
        <f t="shared" si="5409"/>
        <v>#REF!</v>
      </c>
      <c r="J1805" s="20" t="str">
        <f t="shared" si="1272"/>
        <v>#REF!</v>
      </c>
      <c r="K1805" s="20" t="str">
        <f t="shared" ref="K1805:L1805" si="5410">#REF!</f>
        <v>#REF!</v>
      </c>
      <c r="L1805" s="20" t="str">
        <f t="shared" si="5410"/>
        <v>#REF!</v>
      </c>
    </row>
    <row r="1806">
      <c r="A1806" s="20" t="str">
        <f t="shared" si="1267"/>
        <v>#REF!</v>
      </c>
      <c r="B1806" s="20" t="str">
        <f t="shared" si="1268"/>
        <v>#REF!</v>
      </c>
      <c r="C1806" s="20" t="str">
        <f t="shared" ref="C1806:D1806" si="5411">#REF!</f>
        <v>#REF!</v>
      </c>
      <c r="D1806" s="20" t="str">
        <f t="shared" si="5411"/>
        <v>#REF!</v>
      </c>
      <c r="E1806" s="20" t="str">
        <f t="shared" si="1270"/>
        <v>#REF!</v>
      </c>
      <c r="F1806" s="22" t="str">
        <f t="shared" si="2"/>
        <v>#REF!</v>
      </c>
      <c r="G1806" s="20" t="str">
        <f t="shared" ref="G1806:I1806" si="5412">#REF!</f>
        <v>#REF!</v>
      </c>
      <c r="H1806" s="20" t="str">
        <f t="shared" si="5412"/>
        <v>#REF!</v>
      </c>
      <c r="I1806" s="20" t="str">
        <f t="shared" si="5412"/>
        <v>#REF!</v>
      </c>
      <c r="J1806" s="20" t="str">
        <f t="shared" si="1272"/>
        <v>#REF!</v>
      </c>
      <c r="K1806" s="20" t="str">
        <f t="shared" ref="K1806:L1806" si="5413">#REF!</f>
        <v>#REF!</v>
      </c>
      <c r="L1806" s="20" t="str">
        <f t="shared" si="5413"/>
        <v>#REF!</v>
      </c>
    </row>
    <row r="1807">
      <c r="A1807" s="20" t="str">
        <f t="shared" si="1267"/>
        <v>#REF!</v>
      </c>
      <c r="B1807" s="20" t="str">
        <f t="shared" si="1268"/>
        <v>#REF!</v>
      </c>
      <c r="C1807" s="20" t="str">
        <f t="shared" ref="C1807:D1807" si="5414">#REF!</f>
        <v>#REF!</v>
      </c>
      <c r="D1807" s="20" t="str">
        <f t="shared" si="5414"/>
        <v>#REF!</v>
      </c>
      <c r="E1807" s="20" t="str">
        <f t="shared" si="1270"/>
        <v>#REF!</v>
      </c>
      <c r="F1807" s="22" t="str">
        <f t="shared" si="2"/>
        <v>#REF!</v>
      </c>
      <c r="G1807" s="20" t="str">
        <f t="shared" ref="G1807:I1807" si="5415">#REF!</f>
        <v>#REF!</v>
      </c>
      <c r="H1807" s="20" t="str">
        <f t="shared" si="5415"/>
        <v>#REF!</v>
      </c>
      <c r="I1807" s="20" t="str">
        <f t="shared" si="5415"/>
        <v>#REF!</v>
      </c>
      <c r="J1807" s="20" t="str">
        <f t="shared" si="1272"/>
        <v>#REF!</v>
      </c>
      <c r="K1807" s="20" t="str">
        <f t="shared" ref="K1807:L1807" si="5416">#REF!</f>
        <v>#REF!</v>
      </c>
      <c r="L1807" s="20" t="str">
        <f t="shared" si="5416"/>
        <v>#REF!</v>
      </c>
    </row>
    <row r="1808">
      <c r="A1808" s="20" t="str">
        <f t="shared" si="1267"/>
        <v>#REF!</v>
      </c>
      <c r="B1808" s="20" t="str">
        <f t="shared" si="1268"/>
        <v>#REF!</v>
      </c>
      <c r="C1808" s="20" t="str">
        <f t="shared" ref="C1808:D1808" si="5417">#REF!</f>
        <v>#REF!</v>
      </c>
      <c r="D1808" s="20" t="str">
        <f t="shared" si="5417"/>
        <v>#REF!</v>
      </c>
      <c r="E1808" s="20" t="str">
        <f t="shared" si="1270"/>
        <v>#REF!</v>
      </c>
      <c r="F1808" s="22" t="str">
        <f t="shared" si="2"/>
        <v>#REF!</v>
      </c>
      <c r="G1808" s="20" t="str">
        <f t="shared" ref="G1808:I1808" si="5418">#REF!</f>
        <v>#REF!</v>
      </c>
      <c r="H1808" s="20" t="str">
        <f t="shared" si="5418"/>
        <v>#REF!</v>
      </c>
      <c r="I1808" s="20" t="str">
        <f t="shared" si="5418"/>
        <v>#REF!</v>
      </c>
      <c r="J1808" s="20" t="str">
        <f t="shared" si="1272"/>
        <v>#REF!</v>
      </c>
      <c r="K1808" s="20" t="str">
        <f t="shared" ref="K1808:L1808" si="5419">#REF!</f>
        <v>#REF!</v>
      </c>
      <c r="L1808" s="20" t="str">
        <f t="shared" si="5419"/>
        <v>#REF!</v>
      </c>
    </row>
    <row r="1809">
      <c r="A1809" s="20" t="str">
        <f t="shared" si="1267"/>
        <v>#REF!</v>
      </c>
      <c r="B1809" s="20" t="str">
        <f t="shared" si="1268"/>
        <v>#REF!</v>
      </c>
      <c r="C1809" s="20" t="str">
        <f t="shared" ref="C1809:D1809" si="5420">#REF!</f>
        <v>#REF!</v>
      </c>
      <c r="D1809" s="20" t="str">
        <f t="shared" si="5420"/>
        <v>#REF!</v>
      </c>
      <c r="E1809" s="20" t="str">
        <f t="shared" si="1270"/>
        <v>#REF!</v>
      </c>
      <c r="F1809" s="22" t="str">
        <f t="shared" si="2"/>
        <v>#REF!</v>
      </c>
      <c r="G1809" s="20" t="str">
        <f t="shared" ref="G1809:I1809" si="5421">#REF!</f>
        <v>#REF!</v>
      </c>
      <c r="H1809" s="20" t="str">
        <f t="shared" si="5421"/>
        <v>#REF!</v>
      </c>
      <c r="I1809" s="20" t="str">
        <f t="shared" si="5421"/>
        <v>#REF!</v>
      </c>
      <c r="J1809" s="20" t="str">
        <f t="shared" si="1272"/>
        <v>#REF!</v>
      </c>
      <c r="K1809" s="20" t="str">
        <f t="shared" ref="K1809:L1809" si="5422">#REF!</f>
        <v>#REF!</v>
      </c>
      <c r="L1809" s="20" t="str">
        <f t="shared" si="5422"/>
        <v>#REF!</v>
      </c>
    </row>
    <row r="1810">
      <c r="A1810" s="20" t="str">
        <f t="shared" si="1267"/>
        <v>#REF!</v>
      </c>
      <c r="B1810" s="20" t="str">
        <f t="shared" si="1268"/>
        <v>#REF!</v>
      </c>
      <c r="C1810" s="20" t="str">
        <f t="shared" ref="C1810:D1810" si="5423">#REF!</f>
        <v>#REF!</v>
      </c>
      <c r="D1810" s="20" t="str">
        <f t="shared" si="5423"/>
        <v>#REF!</v>
      </c>
      <c r="E1810" s="20" t="str">
        <f t="shared" si="1270"/>
        <v>#REF!</v>
      </c>
      <c r="F1810" s="22" t="str">
        <f t="shared" si="2"/>
        <v>#REF!</v>
      </c>
      <c r="G1810" s="20" t="str">
        <f t="shared" ref="G1810:I1810" si="5424">#REF!</f>
        <v>#REF!</v>
      </c>
      <c r="H1810" s="20" t="str">
        <f t="shared" si="5424"/>
        <v>#REF!</v>
      </c>
      <c r="I1810" s="20" t="str">
        <f t="shared" si="5424"/>
        <v>#REF!</v>
      </c>
      <c r="J1810" s="20" t="str">
        <f t="shared" si="1272"/>
        <v>#REF!</v>
      </c>
      <c r="K1810" s="20" t="str">
        <f t="shared" ref="K1810:L1810" si="5425">#REF!</f>
        <v>#REF!</v>
      </c>
      <c r="L1810" s="20" t="str">
        <f t="shared" si="5425"/>
        <v>#REF!</v>
      </c>
    </row>
    <row r="1811">
      <c r="A1811" s="20" t="str">
        <f t="shared" si="1267"/>
        <v>#REF!</v>
      </c>
      <c r="B1811" s="20" t="str">
        <f t="shared" si="1268"/>
        <v>#REF!</v>
      </c>
      <c r="C1811" s="20" t="str">
        <f t="shared" ref="C1811:D1811" si="5426">#REF!</f>
        <v>#REF!</v>
      </c>
      <c r="D1811" s="20" t="str">
        <f t="shared" si="5426"/>
        <v>#REF!</v>
      </c>
      <c r="E1811" s="20" t="str">
        <f t="shared" si="1270"/>
        <v>#REF!</v>
      </c>
      <c r="F1811" s="22" t="str">
        <f t="shared" si="2"/>
        <v>#REF!</v>
      </c>
      <c r="G1811" s="20" t="str">
        <f t="shared" ref="G1811:I1811" si="5427">#REF!</f>
        <v>#REF!</v>
      </c>
      <c r="H1811" s="20" t="str">
        <f t="shared" si="5427"/>
        <v>#REF!</v>
      </c>
      <c r="I1811" s="20" t="str">
        <f t="shared" si="5427"/>
        <v>#REF!</v>
      </c>
      <c r="J1811" s="20" t="str">
        <f t="shared" si="1272"/>
        <v>#REF!</v>
      </c>
      <c r="K1811" s="20" t="str">
        <f t="shared" ref="K1811:L1811" si="5428">#REF!</f>
        <v>#REF!</v>
      </c>
      <c r="L1811" s="20" t="str">
        <f t="shared" si="5428"/>
        <v>#REF!</v>
      </c>
    </row>
    <row r="1812">
      <c r="A1812" s="20" t="str">
        <f t="shared" si="1267"/>
        <v>#REF!</v>
      </c>
      <c r="B1812" s="20" t="str">
        <f t="shared" si="1268"/>
        <v>#REF!</v>
      </c>
      <c r="C1812" s="20" t="str">
        <f t="shared" ref="C1812:D1812" si="5429">#REF!</f>
        <v>#REF!</v>
      </c>
      <c r="D1812" s="20" t="str">
        <f t="shared" si="5429"/>
        <v>#REF!</v>
      </c>
      <c r="E1812" s="20" t="str">
        <f t="shared" si="1270"/>
        <v>#REF!</v>
      </c>
      <c r="F1812" s="22" t="str">
        <f t="shared" si="2"/>
        <v>#REF!</v>
      </c>
      <c r="G1812" s="20" t="str">
        <f t="shared" ref="G1812:I1812" si="5430">#REF!</f>
        <v>#REF!</v>
      </c>
      <c r="H1812" s="20" t="str">
        <f t="shared" si="5430"/>
        <v>#REF!</v>
      </c>
      <c r="I1812" s="20" t="str">
        <f t="shared" si="5430"/>
        <v>#REF!</v>
      </c>
      <c r="J1812" s="20" t="str">
        <f t="shared" si="1272"/>
        <v>#REF!</v>
      </c>
      <c r="K1812" s="20" t="str">
        <f t="shared" ref="K1812:L1812" si="5431">#REF!</f>
        <v>#REF!</v>
      </c>
      <c r="L1812" s="20" t="str">
        <f t="shared" si="5431"/>
        <v>#REF!</v>
      </c>
    </row>
    <row r="1813">
      <c r="A1813" s="20" t="str">
        <f t="shared" si="1267"/>
        <v>#REF!</v>
      </c>
      <c r="B1813" s="20" t="str">
        <f t="shared" si="1268"/>
        <v>#REF!</v>
      </c>
      <c r="C1813" s="20" t="str">
        <f t="shared" ref="C1813:D1813" si="5432">#REF!</f>
        <v>#REF!</v>
      </c>
      <c r="D1813" s="20" t="str">
        <f t="shared" si="5432"/>
        <v>#REF!</v>
      </c>
      <c r="E1813" s="20" t="str">
        <f t="shared" si="1270"/>
        <v>#REF!</v>
      </c>
      <c r="F1813" s="22" t="str">
        <f t="shared" si="2"/>
        <v>#REF!</v>
      </c>
      <c r="G1813" s="20" t="str">
        <f t="shared" ref="G1813:I1813" si="5433">#REF!</f>
        <v>#REF!</v>
      </c>
      <c r="H1813" s="20" t="str">
        <f t="shared" si="5433"/>
        <v>#REF!</v>
      </c>
      <c r="I1813" s="20" t="str">
        <f t="shared" si="5433"/>
        <v>#REF!</v>
      </c>
      <c r="J1813" s="20" t="str">
        <f t="shared" si="1272"/>
        <v>#REF!</v>
      </c>
      <c r="K1813" s="20" t="str">
        <f t="shared" ref="K1813:L1813" si="5434">#REF!</f>
        <v>#REF!</v>
      </c>
      <c r="L1813" s="20" t="str">
        <f t="shared" si="5434"/>
        <v>#REF!</v>
      </c>
    </row>
    <row r="1814">
      <c r="A1814" s="20" t="str">
        <f t="shared" si="1267"/>
        <v>#REF!</v>
      </c>
      <c r="B1814" s="20" t="str">
        <f t="shared" si="1268"/>
        <v>#REF!</v>
      </c>
      <c r="C1814" s="20" t="str">
        <f t="shared" ref="C1814:D1814" si="5435">#REF!</f>
        <v>#REF!</v>
      </c>
      <c r="D1814" s="20" t="str">
        <f t="shared" si="5435"/>
        <v>#REF!</v>
      </c>
      <c r="E1814" s="20" t="str">
        <f t="shared" si="1270"/>
        <v>#REF!</v>
      </c>
      <c r="F1814" s="22" t="str">
        <f t="shared" si="2"/>
        <v>#REF!</v>
      </c>
      <c r="G1814" s="20" t="str">
        <f t="shared" ref="G1814:I1814" si="5436">#REF!</f>
        <v>#REF!</v>
      </c>
      <c r="H1814" s="20" t="str">
        <f t="shared" si="5436"/>
        <v>#REF!</v>
      </c>
      <c r="I1814" s="20" t="str">
        <f t="shared" si="5436"/>
        <v>#REF!</v>
      </c>
      <c r="J1814" s="20" t="str">
        <f t="shared" si="1272"/>
        <v>#REF!</v>
      </c>
      <c r="K1814" s="20" t="str">
        <f t="shared" ref="K1814:L1814" si="5437">#REF!</f>
        <v>#REF!</v>
      </c>
      <c r="L1814" s="20" t="str">
        <f t="shared" si="5437"/>
        <v>#REF!</v>
      </c>
    </row>
    <row r="1815">
      <c r="A1815" s="20" t="str">
        <f t="shared" si="1267"/>
        <v>#REF!</v>
      </c>
      <c r="B1815" s="20" t="str">
        <f t="shared" si="1268"/>
        <v>#REF!</v>
      </c>
      <c r="C1815" s="20" t="str">
        <f t="shared" ref="C1815:D1815" si="5438">#REF!</f>
        <v>#REF!</v>
      </c>
      <c r="D1815" s="20" t="str">
        <f t="shared" si="5438"/>
        <v>#REF!</v>
      </c>
      <c r="E1815" s="20" t="str">
        <f t="shared" si="1270"/>
        <v>#REF!</v>
      </c>
      <c r="F1815" s="22" t="str">
        <f t="shared" si="2"/>
        <v>#REF!</v>
      </c>
      <c r="G1815" s="20" t="str">
        <f t="shared" ref="G1815:I1815" si="5439">#REF!</f>
        <v>#REF!</v>
      </c>
      <c r="H1815" s="20" t="str">
        <f t="shared" si="5439"/>
        <v>#REF!</v>
      </c>
      <c r="I1815" s="20" t="str">
        <f t="shared" si="5439"/>
        <v>#REF!</v>
      </c>
      <c r="J1815" s="20" t="str">
        <f t="shared" si="1272"/>
        <v>#REF!</v>
      </c>
      <c r="K1815" s="20" t="str">
        <f t="shared" ref="K1815:L1815" si="5440">#REF!</f>
        <v>#REF!</v>
      </c>
      <c r="L1815" s="20" t="str">
        <f t="shared" si="5440"/>
        <v>#REF!</v>
      </c>
    </row>
    <row r="1816">
      <c r="A1816" s="20" t="str">
        <f t="shared" si="1267"/>
        <v>#REF!</v>
      </c>
      <c r="B1816" s="20" t="str">
        <f t="shared" si="1268"/>
        <v>#REF!</v>
      </c>
      <c r="C1816" s="20" t="str">
        <f t="shared" ref="C1816:D1816" si="5441">#REF!</f>
        <v>#REF!</v>
      </c>
      <c r="D1816" s="20" t="str">
        <f t="shared" si="5441"/>
        <v>#REF!</v>
      </c>
      <c r="E1816" s="20" t="str">
        <f t="shared" si="1270"/>
        <v>#REF!</v>
      </c>
      <c r="F1816" s="22" t="str">
        <f t="shared" si="2"/>
        <v>#REF!</v>
      </c>
      <c r="G1816" s="20" t="str">
        <f t="shared" ref="G1816:I1816" si="5442">#REF!</f>
        <v>#REF!</v>
      </c>
      <c r="H1816" s="20" t="str">
        <f t="shared" si="5442"/>
        <v>#REF!</v>
      </c>
      <c r="I1816" s="20" t="str">
        <f t="shared" si="5442"/>
        <v>#REF!</v>
      </c>
      <c r="J1816" s="20" t="str">
        <f t="shared" si="1272"/>
        <v>#REF!</v>
      </c>
      <c r="K1816" s="20" t="str">
        <f t="shared" ref="K1816:L1816" si="5443">#REF!</f>
        <v>#REF!</v>
      </c>
      <c r="L1816" s="20" t="str">
        <f t="shared" si="5443"/>
        <v>#REF!</v>
      </c>
    </row>
    <row r="1817">
      <c r="A1817" s="20" t="str">
        <f t="shared" si="1267"/>
        <v>#REF!</v>
      </c>
      <c r="B1817" s="20" t="str">
        <f t="shared" si="1268"/>
        <v>#REF!</v>
      </c>
      <c r="C1817" s="20" t="str">
        <f t="shared" ref="C1817:D1817" si="5444">#REF!</f>
        <v>#REF!</v>
      </c>
      <c r="D1817" s="20" t="str">
        <f t="shared" si="5444"/>
        <v>#REF!</v>
      </c>
      <c r="E1817" s="20" t="str">
        <f t="shared" si="1270"/>
        <v>#REF!</v>
      </c>
      <c r="F1817" s="22" t="str">
        <f t="shared" si="2"/>
        <v>#REF!</v>
      </c>
      <c r="G1817" s="20" t="str">
        <f t="shared" ref="G1817:I1817" si="5445">#REF!</f>
        <v>#REF!</v>
      </c>
      <c r="H1817" s="20" t="str">
        <f t="shared" si="5445"/>
        <v>#REF!</v>
      </c>
      <c r="I1817" s="20" t="str">
        <f t="shared" si="5445"/>
        <v>#REF!</v>
      </c>
      <c r="J1817" s="20" t="str">
        <f t="shared" si="1272"/>
        <v>#REF!</v>
      </c>
      <c r="K1817" s="20" t="str">
        <f t="shared" ref="K1817:L1817" si="5446">#REF!</f>
        <v>#REF!</v>
      </c>
      <c r="L1817" s="20" t="str">
        <f t="shared" si="5446"/>
        <v>#REF!</v>
      </c>
    </row>
    <row r="1818">
      <c r="A1818" s="20" t="str">
        <f t="shared" si="1267"/>
        <v>#REF!</v>
      </c>
      <c r="B1818" s="20" t="str">
        <f t="shared" si="1268"/>
        <v>#REF!</v>
      </c>
      <c r="C1818" s="20" t="str">
        <f t="shared" ref="C1818:D1818" si="5447">#REF!</f>
        <v>#REF!</v>
      </c>
      <c r="D1818" s="20" t="str">
        <f t="shared" si="5447"/>
        <v>#REF!</v>
      </c>
      <c r="E1818" s="20" t="str">
        <f t="shared" si="1270"/>
        <v>#REF!</v>
      </c>
      <c r="F1818" s="22" t="str">
        <f t="shared" si="2"/>
        <v>#REF!</v>
      </c>
      <c r="G1818" s="20" t="str">
        <f t="shared" ref="G1818:I1818" si="5448">#REF!</f>
        <v>#REF!</v>
      </c>
      <c r="H1818" s="20" t="str">
        <f t="shared" si="5448"/>
        <v>#REF!</v>
      </c>
      <c r="I1818" s="20" t="str">
        <f t="shared" si="5448"/>
        <v>#REF!</v>
      </c>
      <c r="J1818" s="20" t="str">
        <f t="shared" si="1272"/>
        <v>#REF!</v>
      </c>
      <c r="K1818" s="20" t="str">
        <f t="shared" ref="K1818:L1818" si="5449">#REF!</f>
        <v>#REF!</v>
      </c>
      <c r="L1818" s="20" t="str">
        <f t="shared" si="5449"/>
        <v>#REF!</v>
      </c>
    </row>
    <row r="1819">
      <c r="A1819" s="20" t="str">
        <f t="shared" si="1267"/>
        <v>#REF!</v>
      </c>
      <c r="B1819" s="20" t="str">
        <f t="shared" si="1268"/>
        <v>#REF!</v>
      </c>
      <c r="C1819" s="20" t="str">
        <f t="shared" ref="C1819:D1819" si="5450">#REF!</f>
        <v>#REF!</v>
      </c>
      <c r="D1819" s="20" t="str">
        <f t="shared" si="5450"/>
        <v>#REF!</v>
      </c>
      <c r="E1819" s="20" t="str">
        <f t="shared" si="1270"/>
        <v>#REF!</v>
      </c>
      <c r="F1819" s="22" t="str">
        <f t="shared" si="2"/>
        <v>#REF!</v>
      </c>
      <c r="G1819" s="20" t="str">
        <f t="shared" ref="G1819:I1819" si="5451">#REF!</f>
        <v>#REF!</v>
      </c>
      <c r="H1819" s="20" t="str">
        <f t="shared" si="5451"/>
        <v>#REF!</v>
      </c>
      <c r="I1819" s="20" t="str">
        <f t="shared" si="5451"/>
        <v>#REF!</v>
      </c>
      <c r="J1819" s="20" t="str">
        <f t="shared" si="1272"/>
        <v>#REF!</v>
      </c>
      <c r="K1819" s="20" t="str">
        <f t="shared" ref="K1819:L1819" si="5452">#REF!</f>
        <v>#REF!</v>
      </c>
      <c r="L1819" s="20" t="str">
        <f t="shared" si="5452"/>
        <v>#REF!</v>
      </c>
    </row>
    <row r="1820">
      <c r="A1820" s="20" t="str">
        <f t="shared" si="1267"/>
        <v>#REF!</v>
      </c>
      <c r="B1820" s="20" t="str">
        <f t="shared" si="1268"/>
        <v>#REF!</v>
      </c>
      <c r="C1820" s="20" t="str">
        <f t="shared" ref="C1820:D1820" si="5453">#REF!</f>
        <v>#REF!</v>
      </c>
      <c r="D1820" s="20" t="str">
        <f t="shared" si="5453"/>
        <v>#REF!</v>
      </c>
      <c r="E1820" s="20" t="str">
        <f t="shared" si="1270"/>
        <v>#REF!</v>
      </c>
      <c r="F1820" s="22" t="str">
        <f t="shared" si="2"/>
        <v>#REF!</v>
      </c>
      <c r="G1820" s="20" t="str">
        <f t="shared" ref="G1820:I1820" si="5454">#REF!</f>
        <v>#REF!</v>
      </c>
      <c r="H1820" s="20" t="str">
        <f t="shared" si="5454"/>
        <v>#REF!</v>
      </c>
      <c r="I1820" s="20" t="str">
        <f t="shared" si="5454"/>
        <v>#REF!</v>
      </c>
      <c r="J1820" s="20" t="str">
        <f t="shared" si="1272"/>
        <v>#REF!</v>
      </c>
      <c r="K1820" s="20" t="str">
        <f t="shared" ref="K1820:L1820" si="5455">#REF!</f>
        <v>#REF!</v>
      </c>
      <c r="L1820" s="20" t="str">
        <f t="shared" si="5455"/>
        <v>#REF!</v>
      </c>
    </row>
    <row r="1821">
      <c r="A1821" s="20" t="str">
        <f t="shared" si="1267"/>
        <v>#REF!</v>
      </c>
      <c r="B1821" s="20" t="str">
        <f t="shared" si="1268"/>
        <v>#REF!</v>
      </c>
      <c r="C1821" s="20" t="str">
        <f t="shared" ref="C1821:D1821" si="5456">#REF!</f>
        <v>#REF!</v>
      </c>
      <c r="D1821" s="20" t="str">
        <f t="shared" si="5456"/>
        <v>#REF!</v>
      </c>
      <c r="E1821" s="20" t="str">
        <f t="shared" si="1270"/>
        <v>#REF!</v>
      </c>
      <c r="F1821" s="22" t="str">
        <f t="shared" si="2"/>
        <v>#REF!</v>
      </c>
      <c r="G1821" s="20" t="str">
        <f t="shared" ref="G1821:I1821" si="5457">#REF!</f>
        <v>#REF!</v>
      </c>
      <c r="H1821" s="20" t="str">
        <f t="shared" si="5457"/>
        <v>#REF!</v>
      </c>
      <c r="I1821" s="20" t="str">
        <f t="shared" si="5457"/>
        <v>#REF!</v>
      </c>
      <c r="J1821" s="20" t="str">
        <f t="shared" si="1272"/>
        <v>#REF!</v>
      </c>
      <c r="K1821" s="20" t="str">
        <f t="shared" ref="K1821:L1821" si="5458">#REF!</f>
        <v>#REF!</v>
      </c>
      <c r="L1821" s="20" t="str">
        <f t="shared" si="5458"/>
        <v>#REF!</v>
      </c>
    </row>
    <row r="1822">
      <c r="A1822" s="20" t="str">
        <f t="shared" si="1267"/>
        <v>#REF!</v>
      </c>
      <c r="B1822" s="20" t="str">
        <f t="shared" si="1268"/>
        <v>#REF!</v>
      </c>
      <c r="C1822" s="20" t="str">
        <f t="shared" ref="C1822:D1822" si="5459">#REF!</f>
        <v>#REF!</v>
      </c>
      <c r="D1822" s="20" t="str">
        <f t="shared" si="5459"/>
        <v>#REF!</v>
      </c>
      <c r="E1822" s="20" t="str">
        <f t="shared" si="1270"/>
        <v>#REF!</v>
      </c>
      <c r="F1822" s="22" t="str">
        <f t="shared" si="2"/>
        <v>#REF!</v>
      </c>
      <c r="G1822" s="20" t="str">
        <f t="shared" ref="G1822:I1822" si="5460">#REF!</f>
        <v>#REF!</v>
      </c>
      <c r="H1822" s="20" t="str">
        <f t="shared" si="5460"/>
        <v>#REF!</v>
      </c>
      <c r="I1822" s="20" t="str">
        <f t="shared" si="5460"/>
        <v>#REF!</v>
      </c>
      <c r="J1822" s="20" t="str">
        <f t="shared" si="1272"/>
        <v>#REF!</v>
      </c>
      <c r="K1822" s="20" t="str">
        <f t="shared" ref="K1822:L1822" si="5461">#REF!</f>
        <v>#REF!</v>
      </c>
      <c r="L1822" s="20" t="str">
        <f t="shared" si="5461"/>
        <v>#REF!</v>
      </c>
    </row>
    <row r="1823">
      <c r="A1823" s="20" t="str">
        <f t="shared" si="1267"/>
        <v>#REF!</v>
      </c>
      <c r="B1823" s="20" t="str">
        <f t="shared" si="1268"/>
        <v>#REF!</v>
      </c>
      <c r="C1823" s="20" t="str">
        <f t="shared" ref="C1823:D1823" si="5462">#REF!</f>
        <v>#REF!</v>
      </c>
      <c r="D1823" s="20" t="str">
        <f t="shared" si="5462"/>
        <v>#REF!</v>
      </c>
      <c r="E1823" s="20" t="str">
        <f t="shared" si="1270"/>
        <v>#REF!</v>
      </c>
      <c r="F1823" s="22" t="str">
        <f t="shared" si="2"/>
        <v>#REF!</v>
      </c>
      <c r="G1823" s="20" t="str">
        <f t="shared" ref="G1823:I1823" si="5463">#REF!</f>
        <v>#REF!</v>
      </c>
      <c r="H1823" s="20" t="str">
        <f t="shared" si="5463"/>
        <v>#REF!</v>
      </c>
      <c r="I1823" s="20" t="str">
        <f t="shared" si="5463"/>
        <v>#REF!</v>
      </c>
      <c r="J1823" s="20" t="str">
        <f t="shared" si="1272"/>
        <v>#REF!</v>
      </c>
      <c r="K1823" s="20" t="str">
        <f t="shared" ref="K1823:L1823" si="5464">#REF!</f>
        <v>#REF!</v>
      </c>
      <c r="L1823" s="20" t="str">
        <f t="shared" si="5464"/>
        <v>#REF!</v>
      </c>
    </row>
    <row r="1824">
      <c r="A1824" s="20" t="str">
        <f t="shared" si="1267"/>
        <v>#REF!</v>
      </c>
      <c r="B1824" s="20" t="str">
        <f t="shared" si="1268"/>
        <v>#REF!</v>
      </c>
      <c r="C1824" s="20" t="str">
        <f t="shared" ref="C1824:D1824" si="5465">#REF!</f>
        <v>#REF!</v>
      </c>
      <c r="D1824" s="20" t="str">
        <f t="shared" si="5465"/>
        <v>#REF!</v>
      </c>
      <c r="E1824" s="20" t="str">
        <f t="shared" si="1270"/>
        <v>#REF!</v>
      </c>
      <c r="F1824" s="22" t="str">
        <f t="shared" si="2"/>
        <v>#REF!</v>
      </c>
      <c r="G1824" s="20" t="str">
        <f t="shared" ref="G1824:I1824" si="5466">#REF!</f>
        <v>#REF!</v>
      </c>
      <c r="H1824" s="20" t="str">
        <f t="shared" si="5466"/>
        <v>#REF!</v>
      </c>
      <c r="I1824" s="20" t="str">
        <f t="shared" si="5466"/>
        <v>#REF!</v>
      </c>
      <c r="J1824" s="20" t="str">
        <f t="shared" si="1272"/>
        <v>#REF!</v>
      </c>
      <c r="K1824" s="20" t="str">
        <f t="shared" ref="K1824:L1824" si="5467">#REF!</f>
        <v>#REF!</v>
      </c>
      <c r="L1824" s="20" t="str">
        <f t="shared" si="5467"/>
        <v>#REF!</v>
      </c>
    </row>
    <row r="1825">
      <c r="A1825" s="20" t="str">
        <f t="shared" si="1267"/>
        <v>#REF!</v>
      </c>
      <c r="B1825" s="20" t="str">
        <f t="shared" si="1268"/>
        <v>#REF!</v>
      </c>
      <c r="C1825" s="20" t="str">
        <f t="shared" ref="C1825:D1825" si="5468">#REF!</f>
        <v>#REF!</v>
      </c>
      <c r="D1825" s="20" t="str">
        <f t="shared" si="5468"/>
        <v>#REF!</v>
      </c>
      <c r="E1825" s="20" t="str">
        <f t="shared" si="1270"/>
        <v>#REF!</v>
      </c>
      <c r="F1825" s="22" t="str">
        <f t="shared" si="2"/>
        <v>#REF!</v>
      </c>
      <c r="G1825" s="20" t="str">
        <f t="shared" ref="G1825:I1825" si="5469">#REF!</f>
        <v>#REF!</v>
      </c>
      <c r="H1825" s="20" t="str">
        <f t="shared" si="5469"/>
        <v>#REF!</v>
      </c>
      <c r="I1825" s="20" t="str">
        <f t="shared" si="5469"/>
        <v>#REF!</v>
      </c>
      <c r="J1825" s="20" t="str">
        <f t="shared" si="1272"/>
        <v>#REF!</v>
      </c>
      <c r="K1825" s="20" t="str">
        <f t="shared" ref="K1825:L1825" si="5470">#REF!</f>
        <v>#REF!</v>
      </c>
      <c r="L1825" s="20" t="str">
        <f t="shared" si="5470"/>
        <v>#REF!</v>
      </c>
    </row>
    <row r="1826">
      <c r="A1826" s="20" t="str">
        <f t="shared" si="1267"/>
        <v>#REF!</v>
      </c>
      <c r="B1826" s="20" t="str">
        <f t="shared" si="1268"/>
        <v>#REF!</v>
      </c>
      <c r="C1826" s="20" t="str">
        <f t="shared" ref="C1826:D1826" si="5471">#REF!</f>
        <v>#REF!</v>
      </c>
      <c r="D1826" s="20" t="str">
        <f t="shared" si="5471"/>
        <v>#REF!</v>
      </c>
      <c r="E1826" s="20" t="str">
        <f t="shared" si="1270"/>
        <v>#REF!</v>
      </c>
      <c r="F1826" s="22" t="str">
        <f t="shared" si="2"/>
        <v>#REF!</v>
      </c>
      <c r="G1826" s="20" t="str">
        <f t="shared" ref="G1826:I1826" si="5472">#REF!</f>
        <v>#REF!</v>
      </c>
      <c r="H1826" s="20" t="str">
        <f t="shared" si="5472"/>
        <v>#REF!</v>
      </c>
      <c r="I1826" s="20" t="str">
        <f t="shared" si="5472"/>
        <v>#REF!</v>
      </c>
      <c r="J1826" s="20" t="str">
        <f t="shared" si="1272"/>
        <v>#REF!</v>
      </c>
      <c r="K1826" s="20" t="str">
        <f t="shared" ref="K1826:L1826" si="5473">#REF!</f>
        <v>#REF!</v>
      </c>
      <c r="L1826" s="20" t="str">
        <f t="shared" si="5473"/>
        <v>#REF!</v>
      </c>
    </row>
    <row r="1827">
      <c r="A1827" s="20" t="str">
        <f t="shared" si="1267"/>
        <v>#REF!</v>
      </c>
      <c r="B1827" s="20" t="str">
        <f t="shared" si="1268"/>
        <v>#REF!</v>
      </c>
      <c r="C1827" s="20" t="str">
        <f t="shared" ref="C1827:D1827" si="5474">#REF!</f>
        <v>#REF!</v>
      </c>
      <c r="D1827" s="20" t="str">
        <f t="shared" si="5474"/>
        <v>#REF!</v>
      </c>
      <c r="E1827" s="20" t="str">
        <f t="shared" si="1270"/>
        <v>#REF!</v>
      </c>
      <c r="F1827" s="22" t="str">
        <f t="shared" si="2"/>
        <v>#REF!</v>
      </c>
      <c r="G1827" s="20" t="str">
        <f t="shared" ref="G1827:I1827" si="5475">#REF!</f>
        <v>#REF!</v>
      </c>
      <c r="H1827" s="20" t="str">
        <f t="shared" si="5475"/>
        <v>#REF!</v>
      </c>
      <c r="I1827" s="20" t="str">
        <f t="shared" si="5475"/>
        <v>#REF!</v>
      </c>
      <c r="J1827" s="20" t="str">
        <f t="shared" si="1272"/>
        <v>#REF!</v>
      </c>
      <c r="K1827" s="20" t="str">
        <f t="shared" ref="K1827:L1827" si="5476">#REF!</f>
        <v>#REF!</v>
      </c>
      <c r="L1827" s="20" t="str">
        <f t="shared" si="5476"/>
        <v>#REF!</v>
      </c>
    </row>
    <row r="1828">
      <c r="A1828" s="20" t="str">
        <f t="shared" si="1267"/>
        <v>#REF!</v>
      </c>
      <c r="B1828" s="20" t="str">
        <f t="shared" si="1268"/>
        <v>#REF!</v>
      </c>
      <c r="C1828" s="20" t="str">
        <f t="shared" ref="C1828:D1828" si="5477">#REF!</f>
        <v>#REF!</v>
      </c>
      <c r="D1828" s="20" t="str">
        <f t="shared" si="5477"/>
        <v>#REF!</v>
      </c>
      <c r="E1828" s="20" t="str">
        <f t="shared" si="1270"/>
        <v>#REF!</v>
      </c>
      <c r="F1828" s="22" t="str">
        <f t="shared" si="2"/>
        <v>#REF!</v>
      </c>
      <c r="G1828" s="20" t="str">
        <f t="shared" ref="G1828:I1828" si="5478">#REF!</f>
        <v>#REF!</v>
      </c>
      <c r="H1828" s="20" t="str">
        <f t="shared" si="5478"/>
        <v>#REF!</v>
      </c>
      <c r="I1828" s="20" t="str">
        <f t="shared" si="5478"/>
        <v>#REF!</v>
      </c>
      <c r="J1828" s="20" t="str">
        <f t="shared" si="1272"/>
        <v>#REF!</v>
      </c>
      <c r="K1828" s="20" t="str">
        <f t="shared" ref="K1828:L1828" si="5479">#REF!</f>
        <v>#REF!</v>
      </c>
      <c r="L1828" s="20" t="str">
        <f t="shared" si="5479"/>
        <v>#REF!</v>
      </c>
    </row>
    <row r="1829">
      <c r="A1829" s="20" t="str">
        <f t="shared" si="1267"/>
        <v>#REF!</v>
      </c>
      <c r="B1829" s="20" t="str">
        <f t="shared" si="1268"/>
        <v>#REF!</v>
      </c>
      <c r="C1829" s="20" t="str">
        <f t="shared" ref="C1829:D1829" si="5480">#REF!</f>
        <v>#REF!</v>
      </c>
      <c r="D1829" s="20" t="str">
        <f t="shared" si="5480"/>
        <v>#REF!</v>
      </c>
      <c r="E1829" s="20" t="str">
        <f t="shared" si="1270"/>
        <v>#REF!</v>
      </c>
      <c r="F1829" s="22" t="str">
        <f t="shared" si="2"/>
        <v>#REF!</v>
      </c>
      <c r="G1829" s="20" t="str">
        <f t="shared" ref="G1829:I1829" si="5481">#REF!</f>
        <v>#REF!</v>
      </c>
      <c r="H1829" s="20" t="str">
        <f t="shared" si="5481"/>
        <v>#REF!</v>
      </c>
      <c r="I1829" s="20" t="str">
        <f t="shared" si="5481"/>
        <v>#REF!</v>
      </c>
      <c r="J1829" s="20" t="str">
        <f t="shared" si="1272"/>
        <v>#REF!</v>
      </c>
      <c r="K1829" s="20" t="str">
        <f t="shared" ref="K1829:L1829" si="5482">#REF!</f>
        <v>#REF!</v>
      </c>
      <c r="L1829" s="20" t="str">
        <f t="shared" si="5482"/>
        <v>#REF!</v>
      </c>
    </row>
    <row r="1830">
      <c r="A1830" s="20" t="str">
        <f t="shared" si="1267"/>
        <v>#REF!</v>
      </c>
      <c r="B1830" s="20" t="str">
        <f t="shared" si="1268"/>
        <v>#REF!</v>
      </c>
      <c r="C1830" s="20" t="str">
        <f t="shared" ref="C1830:D1830" si="5483">#REF!</f>
        <v>#REF!</v>
      </c>
      <c r="D1830" s="20" t="str">
        <f t="shared" si="5483"/>
        <v>#REF!</v>
      </c>
      <c r="E1830" s="20" t="str">
        <f t="shared" si="1270"/>
        <v>#REF!</v>
      </c>
      <c r="F1830" s="22" t="str">
        <f t="shared" si="2"/>
        <v>#REF!</v>
      </c>
      <c r="G1830" s="20" t="str">
        <f t="shared" ref="G1830:I1830" si="5484">#REF!</f>
        <v>#REF!</v>
      </c>
      <c r="H1830" s="20" t="str">
        <f t="shared" si="5484"/>
        <v>#REF!</v>
      </c>
      <c r="I1830" s="20" t="str">
        <f t="shared" si="5484"/>
        <v>#REF!</v>
      </c>
      <c r="J1830" s="20" t="str">
        <f t="shared" si="1272"/>
        <v>#REF!</v>
      </c>
      <c r="K1830" s="20" t="str">
        <f t="shared" ref="K1830:L1830" si="5485">#REF!</f>
        <v>#REF!</v>
      </c>
      <c r="L1830" s="20" t="str">
        <f t="shared" si="5485"/>
        <v>#REF!</v>
      </c>
    </row>
    <row r="1831">
      <c r="A1831" s="20" t="str">
        <f t="shared" si="1267"/>
        <v>#REF!</v>
      </c>
      <c r="B1831" s="20" t="str">
        <f t="shared" si="1268"/>
        <v>#REF!</v>
      </c>
      <c r="C1831" s="20" t="str">
        <f t="shared" ref="C1831:D1831" si="5486">#REF!</f>
        <v>#REF!</v>
      </c>
      <c r="D1831" s="20" t="str">
        <f t="shared" si="5486"/>
        <v>#REF!</v>
      </c>
      <c r="E1831" s="20" t="str">
        <f t="shared" si="1270"/>
        <v>#REF!</v>
      </c>
      <c r="F1831" s="22" t="str">
        <f t="shared" si="2"/>
        <v>#REF!</v>
      </c>
      <c r="G1831" s="20" t="str">
        <f t="shared" ref="G1831:I1831" si="5487">#REF!</f>
        <v>#REF!</v>
      </c>
      <c r="H1831" s="20" t="str">
        <f t="shared" si="5487"/>
        <v>#REF!</v>
      </c>
      <c r="I1831" s="20" t="str">
        <f t="shared" si="5487"/>
        <v>#REF!</v>
      </c>
      <c r="J1831" s="20" t="str">
        <f t="shared" si="1272"/>
        <v>#REF!</v>
      </c>
      <c r="K1831" s="20" t="str">
        <f t="shared" ref="K1831:L1831" si="5488">#REF!</f>
        <v>#REF!</v>
      </c>
      <c r="L1831" s="20" t="str">
        <f t="shared" si="5488"/>
        <v>#REF!</v>
      </c>
    </row>
    <row r="1832">
      <c r="A1832" s="20" t="str">
        <f t="shared" si="1267"/>
        <v>#REF!</v>
      </c>
      <c r="B1832" s="20" t="str">
        <f t="shared" si="1268"/>
        <v>#REF!</v>
      </c>
      <c r="C1832" s="20" t="str">
        <f t="shared" ref="C1832:D1832" si="5489">#REF!</f>
        <v>#REF!</v>
      </c>
      <c r="D1832" s="20" t="str">
        <f t="shared" si="5489"/>
        <v>#REF!</v>
      </c>
      <c r="E1832" s="20" t="str">
        <f t="shared" si="1270"/>
        <v>#REF!</v>
      </c>
      <c r="F1832" s="22" t="str">
        <f t="shared" si="2"/>
        <v>#REF!</v>
      </c>
      <c r="G1832" s="20" t="str">
        <f t="shared" ref="G1832:I1832" si="5490">#REF!</f>
        <v>#REF!</v>
      </c>
      <c r="H1832" s="20" t="str">
        <f t="shared" si="5490"/>
        <v>#REF!</v>
      </c>
      <c r="I1832" s="20" t="str">
        <f t="shared" si="5490"/>
        <v>#REF!</v>
      </c>
      <c r="J1832" s="20" t="str">
        <f t="shared" si="1272"/>
        <v>#REF!</v>
      </c>
      <c r="K1832" s="20" t="str">
        <f t="shared" ref="K1832:L1832" si="5491">#REF!</f>
        <v>#REF!</v>
      </c>
      <c r="L1832" s="20" t="str">
        <f t="shared" si="5491"/>
        <v>#REF!</v>
      </c>
    </row>
    <row r="1833">
      <c r="A1833" s="20" t="str">
        <f t="shared" si="1267"/>
        <v>#REF!</v>
      </c>
      <c r="B1833" s="20" t="str">
        <f t="shared" si="1268"/>
        <v>#REF!</v>
      </c>
      <c r="C1833" s="20" t="str">
        <f t="shared" ref="C1833:D1833" si="5492">#REF!</f>
        <v>#REF!</v>
      </c>
      <c r="D1833" s="20" t="str">
        <f t="shared" si="5492"/>
        <v>#REF!</v>
      </c>
      <c r="E1833" s="20" t="str">
        <f t="shared" si="1270"/>
        <v>#REF!</v>
      </c>
      <c r="F1833" s="22" t="str">
        <f t="shared" si="2"/>
        <v>#REF!</v>
      </c>
      <c r="G1833" s="20" t="str">
        <f t="shared" ref="G1833:I1833" si="5493">#REF!</f>
        <v>#REF!</v>
      </c>
      <c r="H1833" s="20" t="str">
        <f t="shared" si="5493"/>
        <v>#REF!</v>
      </c>
      <c r="I1833" s="20" t="str">
        <f t="shared" si="5493"/>
        <v>#REF!</v>
      </c>
      <c r="J1833" s="20" t="str">
        <f t="shared" si="1272"/>
        <v>#REF!</v>
      </c>
      <c r="K1833" s="20" t="str">
        <f t="shared" ref="K1833:L1833" si="5494">#REF!</f>
        <v>#REF!</v>
      </c>
      <c r="L1833" s="20" t="str">
        <f t="shared" si="5494"/>
        <v>#REF!</v>
      </c>
    </row>
    <row r="1834">
      <c r="A1834" s="20" t="str">
        <f t="shared" si="1267"/>
        <v>#REF!</v>
      </c>
      <c r="B1834" s="20" t="str">
        <f t="shared" si="1268"/>
        <v>#REF!</v>
      </c>
      <c r="C1834" s="20" t="str">
        <f t="shared" ref="C1834:D1834" si="5495">#REF!</f>
        <v>#REF!</v>
      </c>
      <c r="D1834" s="20" t="str">
        <f t="shared" si="5495"/>
        <v>#REF!</v>
      </c>
      <c r="E1834" s="20" t="str">
        <f t="shared" si="1270"/>
        <v>#REF!</v>
      </c>
      <c r="F1834" s="22" t="str">
        <f t="shared" si="2"/>
        <v>#REF!</v>
      </c>
      <c r="G1834" s="20" t="str">
        <f t="shared" ref="G1834:I1834" si="5496">#REF!</f>
        <v>#REF!</v>
      </c>
      <c r="H1834" s="20" t="str">
        <f t="shared" si="5496"/>
        <v>#REF!</v>
      </c>
      <c r="I1834" s="20" t="str">
        <f t="shared" si="5496"/>
        <v>#REF!</v>
      </c>
      <c r="J1834" s="20" t="str">
        <f t="shared" si="1272"/>
        <v>#REF!</v>
      </c>
      <c r="K1834" s="20" t="str">
        <f t="shared" ref="K1834:L1834" si="5497">#REF!</f>
        <v>#REF!</v>
      </c>
      <c r="L1834" s="20" t="str">
        <f t="shared" si="5497"/>
        <v>#REF!</v>
      </c>
    </row>
    <row r="1835">
      <c r="A1835" s="20" t="str">
        <f t="shared" si="1267"/>
        <v>#REF!</v>
      </c>
      <c r="B1835" s="20" t="str">
        <f t="shared" si="1268"/>
        <v>#REF!</v>
      </c>
      <c r="C1835" s="20" t="str">
        <f t="shared" ref="C1835:D1835" si="5498">#REF!</f>
        <v>#REF!</v>
      </c>
      <c r="D1835" s="20" t="str">
        <f t="shared" si="5498"/>
        <v>#REF!</v>
      </c>
      <c r="E1835" s="20" t="str">
        <f t="shared" si="1270"/>
        <v>#REF!</v>
      </c>
      <c r="F1835" s="22" t="str">
        <f t="shared" si="2"/>
        <v>#REF!</v>
      </c>
      <c r="G1835" s="20" t="str">
        <f t="shared" ref="G1835:I1835" si="5499">#REF!</f>
        <v>#REF!</v>
      </c>
      <c r="H1835" s="20" t="str">
        <f t="shared" si="5499"/>
        <v>#REF!</v>
      </c>
      <c r="I1835" s="20" t="str">
        <f t="shared" si="5499"/>
        <v>#REF!</v>
      </c>
      <c r="J1835" s="20" t="str">
        <f t="shared" si="1272"/>
        <v>#REF!</v>
      </c>
      <c r="K1835" s="20" t="str">
        <f t="shared" ref="K1835:L1835" si="5500">#REF!</f>
        <v>#REF!</v>
      </c>
      <c r="L1835" s="20" t="str">
        <f t="shared" si="5500"/>
        <v>#REF!</v>
      </c>
    </row>
    <row r="1836">
      <c r="A1836" s="20" t="str">
        <f t="shared" si="1267"/>
        <v>#REF!</v>
      </c>
      <c r="B1836" s="20" t="str">
        <f t="shared" si="1268"/>
        <v>#REF!</v>
      </c>
      <c r="C1836" s="20" t="str">
        <f t="shared" ref="C1836:D1836" si="5501">#REF!</f>
        <v>#REF!</v>
      </c>
      <c r="D1836" s="20" t="str">
        <f t="shared" si="5501"/>
        <v>#REF!</v>
      </c>
      <c r="E1836" s="20" t="str">
        <f t="shared" si="1270"/>
        <v>#REF!</v>
      </c>
      <c r="F1836" s="22" t="str">
        <f t="shared" si="2"/>
        <v>#REF!</v>
      </c>
      <c r="G1836" s="20" t="str">
        <f t="shared" ref="G1836:I1836" si="5502">#REF!</f>
        <v>#REF!</v>
      </c>
      <c r="H1836" s="20" t="str">
        <f t="shared" si="5502"/>
        <v>#REF!</v>
      </c>
      <c r="I1836" s="20" t="str">
        <f t="shared" si="5502"/>
        <v>#REF!</v>
      </c>
      <c r="J1836" s="20" t="str">
        <f t="shared" si="1272"/>
        <v>#REF!</v>
      </c>
      <c r="K1836" s="20" t="str">
        <f t="shared" ref="K1836:L1836" si="5503">#REF!</f>
        <v>#REF!</v>
      </c>
      <c r="L1836" s="20" t="str">
        <f t="shared" si="5503"/>
        <v>#REF!</v>
      </c>
    </row>
    <row r="1837">
      <c r="A1837" s="20" t="str">
        <f t="shared" si="1267"/>
        <v>#REF!</v>
      </c>
      <c r="B1837" s="20" t="str">
        <f t="shared" si="1268"/>
        <v>#REF!</v>
      </c>
      <c r="C1837" s="20" t="str">
        <f t="shared" ref="C1837:D1837" si="5504">#REF!</f>
        <v>#REF!</v>
      </c>
      <c r="D1837" s="20" t="str">
        <f t="shared" si="5504"/>
        <v>#REF!</v>
      </c>
      <c r="E1837" s="20" t="str">
        <f t="shared" si="1270"/>
        <v>#REF!</v>
      </c>
      <c r="F1837" s="22" t="str">
        <f t="shared" si="2"/>
        <v>#REF!</v>
      </c>
      <c r="G1837" s="20" t="str">
        <f t="shared" ref="G1837:I1837" si="5505">#REF!</f>
        <v>#REF!</v>
      </c>
      <c r="H1837" s="20" t="str">
        <f t="shared" si="5505"/>
        <v>#REF!</v>
      </c>
      <c r="I1837" s="20" t="str">
        <f t="shared" si="5505"/>
        <v>#REF!</v>
      </c>
      <c r="J1837" s="20" t="str">
        <f t="shared" si="1272"/>
        <v>#REF!</v>
      </c>
      <c r="K1837" s="20" t="str">
        <f t="shared" ref="K1837:L1837" si="5506">#REF!</f>
        <v>#REF!</v>
      </c>
      <c r="L1837" s="20" t="str">
        <f t="shared" si="5506"/>
        <v>#REF!</v>
      </c>
    </row>
    <row r="1838">
      <c r="A1838" s="20" t="str">
        <f t="shared" si="1267"/>
        <v>#REF!</v>
      </c>
      <c r="B1838" s="20" t="str">
        <f t="shared" si="1268"/>
        <v>#REF!</v>
      </c>
      <c r="C1838" s="20" t="str">
        <f t="shared" ref="C1838:D1838" si="5507">#REF!</f>
        <v>#REF!</v>
      </c>
      <c r="D1838" s="20" t="str">
        <f t="shared" si="5507"/>
        <v>#REF!</v>
      </c>
      <c r="E1838" s="20" t="str">
        <f t="shared" si="1270"/>
        <v>#REF!</v>
      </c>
      <c r="F1838" s="22" t="str">
        <f t="shared" si="2"/>
        <v>#REF!</v>
      </c>
      <c r="G1838" s="20" t="str">
        <f t="shared" ref="G1838:I1838" si="5508">#REF!</f>
        <v>#REF!</v>
      </c>
      <c r="H1838" s="20" t="str">
        <f t="shared" si="5508"/>
        <v>#REF!</v>
      </c>
      <c r="I1838" s="20" t="str">
        <f t="shared" si="5508"/>
        <v>#REF!</v>
      </c>
      <c r="J1838" s="20" t="str">
        <f t="shared" si="1272"/>
        <v>#REF!</v>
      </c>
      <c r="K1838" s="20" t="str">
        <f t="shared" ref="K1838:L1838" si="5509">#REF!</f>
        <v>#REF!</v>
      </c>
      <c r="L1838" s="20" t="str">
        <f t="shared" si="5509"/>
        <v>#REF!</v>
      </c>
    </row>
    <row r="1839">
      <c r="A1839" s="20" t="str">
        <f t="shared" si="1267"/>
        <v>#REF!</v>
      </c>
      <c r="B1839" s="20" t="str">
        <f t="shared" si="1268"/>
        <v>#REF!</v>
      </c>
      <c r="C1839" s="20" t="str">
        <f t="shared" ref="C1839:D1839" si="5510">#REF!</f>
        <v>#REF!</v>
      </c>
      <c r="D1839" s="20" t="str">
        <f t="shared" si="5510"/>
        <v>#REF!</v>
      </c>
      <c r="E1839" s="20" t="str">
        <f t="shared" si="1270"/>
        <v>#REF!</v>
      </c>
      <c r="F1839" s="22" t="str">
        <f t="shared" si="2"/>
        <v>#REF!</v>
      </c>
      <c r="G1839" s="20" t="str">
        <f t="shared" ref="G1839:I1839" si="5511">#REF!</f>
        <v>#REF!</v>
      </c>
      <c r="H1839" s="20" t="str">
        <f t="shared" si="5511"/>
        <v>#REF!</v>
      </c>
      <c r="I1839" s="20" t="str">
        <f t="shared" si="5511"/>
        <v>#REF!</v>
      </c>
      <c r="J1839" s="20" t="str">
        <f t="shared" si="1272"/>
        <v>#REF!</v>
      </c>
      <c r="K1839" s="20" t="str">
        <f t="shared" ref="K1839:L1839" si="5512">#REF!</f>
        <v>#REF!</v>
      </c>
      <c r="L1839" s="20" t="str">
        <f t="shared" si="5512"/>
        <v>#REF!</v>
      </c>
    </row>
    <row r="1840">
      <c r="A1840" s="20" t="str">
        <f t="shared" si="1267"/>
        <v>#REF!</v>
      </c>
      <c r="B1840" s="20" t="str">
        <f t="shared" si="1268"/>
        <v>#REF!</v>
      </c>
      <c r="C1840" s="20" t="str">
        <f t="shared" ref="C1840:D1840" si="5513">#REF!</f>
        <v>#REF!</v>
      </c>
      <c r="D1840" s="20" t="str">
        <f t="shared" si="5513"/>
        <v>#REF!</v>
      </c>
      <c r="E1840" s="20" t="str">
        <f t="shared" si="1270"/>
        <v>#REF!</v>
      </c>
      <c r="F1840" s="22" t="str">
        <f t="shared" si="2"/>
        <v>#REF!</v>
      </c>
      <c r="G1840" s="20" t="str">
        <f t="shared" ref="G1840:I1840" si="5514">#REF!</f>
        <v>#REF!</v>
      </c>
      <c r="H1840" s="20" t="str">
        <f t="shared" si="5514"/>
        <v>#REF!</v>
      </c>
      <c r="I1840" s="20" t="str">
        <f t="shared" si="5514"/>
        <v>#REF!</v>
      </c>
      <c r="J1840" s="20" t="str">
        <f t="shared" si="1272"/>
        <v>#REF!</v>
      </c>
      <c r="K1840" s="20" t="str">
        <f t="shared" ref="K1840:L1840" si="5515">#REF!</f>
        <v>#REF!</v>
      </c>
      <c r="L1840" s="20" t="str">
        <f t="shared" si="5515"/>
        <v>#REF!</v>
      </c>
    </row>
    <row r="1841">
      <c r="A1841" s="20" t="str">
        <f t="shared" si="1267"/>
        <v>#REF!</v>
      </c>
      <c r="B1841" s="20" t="str">
        <f t="shared" si="1268"/>
        <v>#REF!</v>
      </c>
      <c r="C1841" s="20" t="str">
        <f t="shared" ref="C1841:D1841" si="5516">#REF!</f>
        <v>#REF!</v>
      </c>
      <c r="D1841" s="20" t="str">
        <f t="shared" si="5516"/>
        <v>#REF!</v>
      </c>
      <c r="E1841" s="20" t="str">
        <f t="shared" si="1270"/>
        <v>#REF!</v>
      </c>
      <c r="F1841" s="22" t="str">
        <f t="shared" si="2"/>
        <v>#REF!</v>
      </c>
      <c r="G1841" s="20" t="str">
        <f t="shared" ref="G1841:I1841" si="5517">#REF!</f>
        <v>#REF!</v>
      </c>
      <c r="H1841" s="20" t="str">
        <f t="shared" si="5517"/>
        <v>#REF!</v>
      </c>
      <c r="I1841" s="20" t="str">
        <f t="shared" si="5517"/>
        <v>#REF!</v>
      </c>
      <c r="J1841" s="20" t="str">
        <f t="shared" si="1272"/>
        <v>#REF!</v>
      </c>
      <c r="K1841" s="20" t="str">
        <f t="shared" ref="K1841:L1841" si="5518">#REF!</f>
        <v>#REF!</v>
      </c>
      <c r="L1841" s="20" t="str">
        <f t="shared" si="5518"/>
        <v>#REF!</v>
      </c>
    </row>
    <row r="1842">
      <c r="A1842" s="20" t="str">
        <f t="shared" si="1267"/>
        <v>#REF!</v>
      </c>
      <c r="B1842" s="20" t="str">
        <f t="shared" si="1268"/>
        <v>#REF!</v>
      </c>
      <c r="C1842" s="20" t="str">
        <f t="shared" ref="C1842:D1842" si="5519">#REF!</f>
        <v>#REF!</v>
      </c>
      <c r="D1842" s="20" t="str">
        <f t="shared" si="5519"/>
        <v>#REF!</v>
      </c>
      <c r="E1842" s="20" t="str">
        <f t="shared" si="1270"/>
        <v>#REF!</v>
      </c>
      <c r="F1842" s="22" t="str">
        <f t="shared" si="2"/>
        <v>#REF!</v>
      </c>
      <c r="G1842" s="20" t="str">
        <f t="shared" ref="G1842:I1842" si="5520">#REF!</f>
        <v>#REF!</v>
      </c>
      <c r="H1842" s="20" t="str">
        <f t="shared" si="5520"/>
        <v>#REF!</v>
      </c>
      <c r="I1842" s="20" t="str">
        <f t="shared" si="5520"/>
        <v>#REF!</v>
      </c>
      <c r="J1842" s="20" t="str">
        <f t="shared" si="1272"/>
        <v>#REF!</v>
      </c>
      <c r="K1842" s="20" t="str">
        <f t="shared" ref="K1842:L1842" si="5521">#REF!</f>
        <v>#REF!</v>
      </c>
      <c r="L1842" s="20" t="str">
        <f t="shared" si="5521"/>
        <v>#REF!</v>
      </c>
    </row>
    <row r="1843">
      <c r="A1843" s="20" t="str">
        <f t="shared" si="1267"/>
        <v>#REF!</v>
      </c>
      <c r="B1843" s="20" t="str">
        <f t="shared" si="1268"/>
        <v>#REF!</v>
      </c>
      <c r="C1843" s="20" t="str">
        <f t="shared" ref="C1843:D1843" si="5522">#REF!</f>
        <v>#REF!</v>
      </c>
      <c r="D1843" s="20" t="str">
        <f t="shared" si="5522"/>
        <v>#REF!</v>
      </c>
      <c r="E1843" s="20" t="str">
        <f t="shared" si="1270"/>
        <v>#REF!</v>
      </c>
      <c r="F1843" s="22" t="str">
        <f t="shared" si="2"/>
        <v>#REF!</v>
      </c>
      <c r="G1843" s="20" t="str">
        <f t="shared" ref="G1843:I1843" si="5523">#REF!</f>
        <v>#REF!</v>
      </c>
      <c r="H1843" s="20" t="str">
        <f t="shared" si="5523"/>
        <v>#REF!</v>
      </c>
      <c r="I1843" s="20" t="str">
        <f t="shared" si="5523"/>
        <v>#REF!</v>
      </c>
      <c r="J1843" s="20" t="str">
        <f t="shared" si="1272"/>
        <v>#REF!</v>
      </c>
      <c r="K1843" s="20" t="str">
        <f t="shared" ref="K1843:L1843" si="5524">#REF!</f>
        <v>#REF!</v>
      </c>
      <c r="L1843" s="20" t="str">
        <f t="shared" si="5524"/>
        <v>#REF!</v>
      </c>
    </row>
    <row r="1844">
      <c r="A1844" s="20" t="str">
        <f t="shared" si="1267"/>
        <v>#REF!</v>
      </c>
      <c r="B1844" s="20" t="str">
        <f t="shared" si="1268"/>
        <v>#REF!</v>
      </c>
      <c r="C1844" s="20" t="str">
        <f t="shared" ref="C1844:D1844" si="5525">#REF!</f>
        <v>#REF!</v>
      </c>
      <c r="D1844" s="20" t="str">
        <f t="shared" si="5525"/>
        <v>#REF!</v>
      </c>
      <c r="E1844" s="20" t="str">
        <f t="shared" si="1270"/>
        <v>#REF!</v>
      </c>
      <c r="F1844" s="22" t="str">
        <f t="shared" si="2"/>
        <v>#REF!</v>
      </c>
      <c r="G1844" s="20" t="str">
        <f t="shared" ref="G1844:I1844" si="5526">#REF!</f>
        <v>#REF!</v>
      </c>
      <c r="H1844" s="20" t="str">
        <f t="shared" si="5526"/>
        <v>#REF!</v>
      </c>
      <c r="I1844" s="20" t="str">
        <f t="shared" si="5526"/>
        <v>#REF!</v>
      </c>
      <c r="J1844" s="20" t="str">
        <f t="shared" si="1272"/>
        <v>#REF!</v>
      </c>
      <c r="K1844" s="20" t="str">
        <f t="shared" ref="K1844:L1844" si="5527">#REF!</f>
        <v>#REF!</v>
      </c>
      <c r="L1844" s="20" t="str">
        <f t="shared" si="5527"/>
        <v>#REF!</v>
      </c>
    </row>
    <row r="1845">
      <c r="A1845" s="20" t="str">
        <f t="shared" si="1267"/>
        <v>#REF!</v>
      </c>
      <c r="B1845" s="20" t="str">
        <f t="shared" si="1268"/>
        <v>#REF!</v>
      </c>
      <c r="C1845" s="20" t="str">
        <f t="shared" ref="C1845:D1845" si="5528">#REF!</f>
        <v>#REF!</v>
      </c>
      <c r="D1845" s="20" t="str">
        <f t="shared" si="5528"/>
        <v>#REF!</v>
      </c>
      <c r="E1845" s="20" t="str">
        <f t="shared" si="1270"/>
        <v>#REF!</v>
      </c>
      <c r="F1845" s="22" t="str">
        <f t="shared" si="2"/>
        <v>#REF!</v>
      </c>
      <c r="G1845" s="20" t="str">
        <f t="shared" ref="G1845:I1845" si="5529">#REF!</f>
        <v>#REF!</v>
      </c>
      <c r="H1845" s="20" t="str">
        <f t="shared" si="5529"/>
        <v>#REF!</v>
      </c>
      <c r="I1845" s="20" t="str">
        <f t="shared" si="5529"/>
        <v>#REF!</v>
      </c>
      <c r="J1845" s="20" t="str">
        <f t="shared" si="1272"/>
        <v>#REF!</v>
      </c>
      <c r="K1845" s="20" t="str">
        <f t="shared" ref="K1845:L1845" si="5530">#REF!</f>
        <v>#REF!</v>
      </c>
      <c r="L1845" s="20" t="str">
        <f t="shared" si="5530"/>
        <v>#REF!</v>
      </c>
    </row>
    <row r="1846">
      <c r="A1846" s="20" t="str">
        <f t="shared" si="1267"/>
        <v>#REF!</v>
      </c>
      <c r="B1846" s="20" t="str">
        <f t="shared" si="1268"/>
        <v>#REF!</v>
      </c>
      <c r="C1846" s="20" t="str">
        <f t="shared" ref="C1846:D1846" si="5531">#REF!</f>
        <v>#REF!</v>
      </c>
      <c r="D1846" s="20" t="str">
        <f t="shared" si="5531"/>
        <v>#REF!</v>
      </c>
      <c r="E1846" s="20" t="str">
        <f t="shared" si="1270"/>
        <v>#REF!</v>
      </c>
      <c r="F1846" s="22" t="str">
        <f t="shared" si="2"/>
        <v>#REF!</v>
      </c>
      <c r="G1846" s="20" t="str">
        <f t="shared" ref="G1846:I1846" si="5532">#REF!</f>
        <v>#REF!</v>
      </c>
      <c r="H1846" s="20" t="str">
        <f t="shared" si="5532"/>
        <v>#REF!</v>
      </c>
      <c r="I1846" s="20" t="str">
        <f t="shared" si="5532"/>
        <v>#REF!</v>
      </c>
      <c r="J1846" s="20" t="str">
        <f t="shared" si="1272"/>
        <v>#REF!</v>
      </c>
      <c r="K1846" s="20" t="str">
        <f t="shared" ref="K1846:L1846" si="5533">#REF!</f>
        <v>#REF!</v>
      </c>
      <c r="L1846" s="20" t="str">
        <f t="shared" si="5533"/>
        <v>#REF!</v>
      </c>
    </row>
    <row r="1847">
      <c r="A1847" s="20" t="str">
        <f t="shared" si="1267"/>
        <v>#REF!</v>
      </c>
      <c r="B1847" s="20" t="str">
        <f t="shared" si="1268"/>
        <v>#REF!</v>
      </c>
      <c r="C1847" s="20" t="str">
        <f t="shared" ref="C1847:D1847" si="5534">#REF!</f>
        <v>#REF!</v>
      </c>
      <c r="D1847" s="20" t="str">
        <f t="shared" si="5534"/>
        <v>#REF!</v>
      </c>
      <c r="E1847" s="20" t="str">
        <f t="shared" si="1270"/>
        <v>#REF!</v>
      </c>
      <c r="F1847" s="22" t="str">
        <f t="shared" si="2"/>
        <v>#REF!</v>
      </c>
      <c r="G1847" s="20" t="str">
        <f t="shared" ref="G1847:I1847" si="5535">#REF!</f>
        <v>#REF!</v>
      </c>
      <c r="H1847" s="20" t="str">
        <f t="shared" si="5535"/>
        <v>#REF!</v>
      </c>
      <c r="I1847" s="20" t="str">
        <f t="shared" si="5535"/>
        <v>#REF!</v>
      </c>
      <c r="J1847" s="20" t="str">
        <f t="shared" si="1272"/>
        <v>#REF!</v>
      </c>
      <c r="K1847" s="20" t="str">
        <f t="shared" ref="K1847:L1847" si="5536">#REF!</f>
        <v>#REF!</v>
      </c>
      <c r="L1847" s="20" t="str">
        <f t="shared" si="5536"/>
        <v>#REF!</v>
      </c>
    </row>
    <row r="1848">
      <c r="A1848" s="20" t="str">
        <f t="shared" si="1267"/>
        <v>#REF!</v>
      </c>
      <c r="B1848" s="20" t="str">
        <f t="shared" si="1268"/>
        <v>#REF!</v>
      </c>
      <c r="C1848" s="20" t="str">
        <f t="shared" ref="C1848:D1848" si="5537">#REF!</f>
        <v>#REF!</v>
      </c>
      <c r="D1848" s="20" t="str">
        <f t="shared" si="5537"/>
        <v>#REF!</v>
      </c>
      <c r="E1848" s="20" t="str">
        <f t="shared" si="1270"/>
        <v>#REF!</v>
      </c>
      <c r="F1848" s="22" t="str">
        <f t="shared" si="2"/>
        <v>#REF!</v>
      </c>
      <c r="G1848" s="20" t="str">
        <f t="shared" ref="G1848:I1848" si="5538">#REF!</f>
        <v>#REF!</v>
      </c>
      <c r="H1848" s="20" t="str">
        <f t="shared" si="5538"/>
        <v>#REF!</v>
      </c>
      <c r="I1848" s="20" t="str">
        <f t="shared" si="5538"/>
        <v>#REF!</v>
      </c>
      <c r="J1848" s="20" t="str">
        <f t="shared" si="1272"/>
        <v>#REF!</v>
      </c>
      <c r="K1848" s="20" t="str">
        <f t="shared" ref="K1848:L1848" si="5539">#REF!</f>
        <v>#REF!</v>
      </c>
      <c r="L1848" s="20" t="str">
        <f t="shared" si="5539"/>
        <v>#REF!</v>
      </c>
    </row>
    <row r="1849">
      <c r="A1849" s="20" t="str">
        <f t="shared" si="1267"/>
        <v>#REF!</v>
      </c>
      <c r="B1849" s="20" t="str">
        <f t="shared" si="1268"/>
        <v>#REF!</v>
      </c>
      <c r="C1849" s="20" t="str">
        <f t="shared" ref="C1849:D1849" si="5540">#REF!</f>
        <v>#REF!</v>
      </c>
      <c r="D1849" s="20" t="str">
        <f t="shared" si="5540"/>
        <v>#REF!</v>
      </c>
      <c r="E1849" s="20" t="str">
        <f t="shared" si="1270"/>
        <v>#REF!</v>
      </c>
      <c r="F1849" s="22" t="str">
        <f t="shared" si="2"/>
        <v>#REF!</v>
      </c>
      <c r="G1849" s="20" t="str">
        <f t="shared" ref="G1849:I1849" si="5541">#REF!</f>
        <v>#REF!</v>
      </c>
      <c r="H1849" s="20" t="str">
        <f t="shared" si="5541"/>
        <v>#REF!</v>
      </c>
      <c r="I1849" s="20" t="str">
        <f t="shared" si="5541"/>
        <v>#REF!</v>
      </c>
      <c r="J1849" s="20" t="str">
        <f t="shared" si="1272"/>
        <v>#REF!</v>
      </c>
      <c r="K1849" s="20" t="str">
        <f t="shared" ref="K1849:L1849" si="5542">#REF!</f>
        <v>#REF!</v>
      </c>
      <c r="L1849" s="20" t="str">
        <f t="shared" si="5542"/>
        <v>#REF!</v>
      </c>
    </row>
    <row r="1850">
      <c r="A1850" s="20" t="str">
        <f t="shared" si="1267"/>
        <v>#REF!</v>
      </c>
      <c r="B1850" s="20" t="str">
        <f t="shared" si="1268"/>
        <v>#REF!</v>
      </c>
      <c r="C1850" s="20" t="str">
        <f t="shared" ref="C1850:D1850" si="5543">#REF!</f>
        <v>#REF!</v>
      </c>
      <c r="D1850" s="20" t="str">
        <f t="shared" si="5543"/>
        <v>#REF!</v>
      </c>
      <c r="E1850" s="20" t="str">
        <f t="shared" si="1270"/>
        <v>#REF!</v>
      </c>
      <c r="F1850" s="22" t="str">
        <f t="shared" si="2"/>
        <v>#REF!</v>
      </c>
      <c r="G1850" s="20" t="str">
        <f t="shared" ref="G1850:I1850" si="5544">#REF!</f>
        <v>#REF!</v>
      </c>
      <c r="H1850" s="20" t="str">
        <f t="shared" si="5544"/>
        <v>#REF!</v>
      </c>
      <c r="I1850" s="20" t="str">
        <f t="shared" si="5544"/>
        <v>#REF!</v>
      </c>
      <c r="J1850" s="20" t="str">
        <f t="shared" si="1272"/>
        <v>#REF!</v>
      </c>
      <c r="K1850" s="20" t="str">
        <f t="shared" ref="K1850:L1850" si="5545">#REF!</f>
        <v>#REF!</v>
      </c>
      <c r="L1850" s="20" t="str">
        <f t="shared" si="5545"/>
        <v>#REF!</v>
      </c>
    </row>
    <row r="1851">
      <c r="A1851" s="20" t="str">
        <f t="shared" si="1267"/>
        <v>#REF!</v>
      </c>
      <c r="B1851" s="20" t="str">
        <f t="shared" si="1268"/>
        <v>#REF!</v>
      </c>
      <c r="C1851" s="20" t="str">
        <f t="shared" ref="C1851:D1851" si="5546">#REF!</f>
        <v>#REF!</v>
      </c>
      <c r="D1851" s="20" t="str">
        <f t="shared" si="5546"/>
        <v>#REF!</v>
      </c>
      <c r="E1851" s="20" t="str">
        <f t="shared" si="1270"/>
        <v>#REF!</v>
      </c>
      <c r="F1851" s="22" t="str">
        <f t="shared" si="2"/>
        <v>#REF!</v>
      </c>
      <c r="G1851" s="20" t="str">
        <f t="shared" ref="G1851:I1851" si="5547">#REF!</f>
        <v>#REF!</v>
      </c>
      <c r="H1851" s="20" t="str">
        <f t="shared" si="5547"/>
        <v>#REF!</v>
      </c>
      <c r="I1851" s="20" t="str">
        <f t="shared" si="5547"/>
        <v>#REF!</v>
      </c>
      <c r="J1851" s="20" t="str">
        <f t="shared" si="1272"/>
        <v>#REF!</v>
      </c>
      <c r="K1851" s="20" t="str">
        <f t="shared" ref="K1851:L1851" si="5548">#REF!</f>
        <v>#REF!</v>
      </c>
      <c r="L1851" s="20" t="str">
        <f t="shared" si="5548"/>
        <v>#REF!</v>
      </c>
    </row>
    <row r="1852">
      <c r="A1852" s="20" t="str">
        <f t="shared" si="1267"/>
        <v>#REF!</v>
      </c>
      <c r="B1852" s="20" t="str">
        <f t="shared" si="1268"/>
        <v>#REF!</v>
      </c>
      <c r="C1852" s="20" t="str">
        <f t="shared" ref="C1852:D1852" si="5549">#REF!</f>
        <v>#REF!</v>
      </c>
      <c r="D1852" s="20" t="str">
        <f t="shared" si="5549"/>
        <v>#REF!</v>
      </c>
      <c r="E1852" s="20" t="str">
        <f t="shared" si="1270"/>
        <v>#REF!</v>
      </c>
      <c r="F1852" s="22" t="str">
        <f t="shared" si="2"/>
        <v>#REF!</v>
      </c>
      <c r="G1852" s="20" t="str">
        <f t="shared" ref="G1852:I1852" si="5550">#REF!</f>
        <v>#REF!</v>
      </c>
      <c r="H1852" s="20" t="str">
        <f t="shared" si="5550"/>
        <v>#REF!</v>
      </c>
      <c r="I1852" s="20" t="str">
        <f t="shared" si="5550"/>
        <v>#REF!</v>
      </c>
      <c r="J1852" s="20" t="str">
        <f t="shared" si="1272"/>
        <v>#REF!</v>
      </c>
      <c r="K1852" s="20" t="str">
        <f t="shared" ref="K1852:L1852" si="5551">#REF!</f>
        <v>#REF!</v>
      </c>
      <c r="L1852" s="20" t="str">
        <f t="shared" si="5551"/>
        <v>#REF!</v>
      </c>
    </row>
    <row r="1853">
      <c r="A1853" s="20" t="str">
        <f t="shared" si="1267"/>
        <v>#REF!</v>
      </c>
      <c r="B1853" s="20" t="str">
        <f t="shared" si="1268"/>
        <v>#REF!</v>
      </c>
      <c r="C1853" s="20" t="str">
        <f t="shared" ref="C1853:D1853" si="5552">#REF!</f>
        <v>#REF!</v>
      </c>
      <c r="D1853" s="20" t="str">
        <f t="shared" si="5552"/>
        <v>#REF!</v>
      </c>
      <c r="E1853" s="20" t="str">
        <f t="shared" si="1270"/>
        <v>#REF!</v>
      </c>
      <c r="F1853" s="22" t="str">
        <f t="shared" si="2"/>
        <v>#REF!</v>
      </c>
      <c r="G1853" s="20" t="str">
        <f t="shared" ref="G1853:I1853" si="5553">#REF!</f>
        <v>#REF!</v>
      </c>
      <c r="H1853" s="20" t="str">
        <f t="shared" si="5553"/>
        <v>#REF!</v>
      </c>
      <c r="I1853" s="20" t="str">
        <f t="shared" si="5553"/>
        <v>#REF!</v>
      </c>
      <c r="J1853" s="20" t="str">
        <f t="shared" si="1272"/>
        <v>#REF!</v>
      </c>
      <c r="K1853" s="20" t="str">
        <f t="shared" ref="K1853:L1853" si="5554">#REF!</f>
        <v>#REF!</v>
      </c>
      <c r="L1853" s="20" t="str">
        <f t="shared" si="5554"/>
        <v>#REF!</v>
      </c>
    </row>
    <row r="1854">
      <c r="A1854" s="20" t="str">
        <f t="shared" si="1267"/>
        <v>#REF!</v>
      </c>
      <c r="B1854" s="20" t="str">
        <f t="shared" si="1268"/>
        <v>#REF!</v>
      </c>
      <c r="C1854" s="20" t="str">
        <f t="shared" ref="C1854:D1854" si="5555">#REF!</f>
        <v>#REF!</v>
      </c>
      <c r="D1854" s="20" t="str">
        <f t="shared" si="5555"/>
        <v>#REF!</v>
      </c>
      <c r="E1854" s="20" t="str">
        <f t="shared" si="1270"/>
        <v>#REF!</v>
      </c>
      <c r="F1854" s="22" t="str">
        <f t="shared" si="2"/>
        <v>#REF!</v>
      </c>
      <c r="G1854" s="20" t="str">
        <f t="shared" ref="G1854:I1854" si="5556">#REF!</f>
        <v>#REF!</v>
      </c>
      <c r="H1854" s="20" t="str">
        <f t="shared" si="5556"/>
        <v>#REF!</v>
      </c>
      <c r="I1854" s="20" t="str">
        <f t="shared" si="5556"/>
        <v>#REF!</v>
      </c>
      <c r="J1854" s="20" t="str">
        <f t="shared" si="1272"/>
        <v>#REF!</v>
      </c>
      <c r="K1854" s="20" t="str">
        <f t="shared" ref="K1854:L1854" si="5557">#REF!</f>
        <v>#REF!</v>
      </c>
      <c r="L1854" s="20" t="str">
        <f t="shared" si="5557"/>
        <v>#REF!</v>
      </c>
    </row>
    <row r="1855">
      <c r="A1855" s="20" t="str">
        <f t="shared" si="1267"/>
        <v>#REF!</v>
      </c>
      <c r="B1855" s="20" t="str">
        <f t="shared" si="1268"/>
        <v>#REF!</v>
      </c>
      <c r="C1855" s="20" t="str">
        <f t="shared" ref="C1855:D1855" si="5558">#REF!</f>
        <v>#REF!</v>
      </c>
      <c r="D1855" s="20" t="str">
        <f t="shared" si="5558"/>
        <v>#REF!</v>
      </c>
      <c r="E1855" s="20" t="str">
        <f t="shared" si="1270"/>
        <v>#REF!</v>
      </c>
      <c r="F1855" s="22" t="str">
        <f t="shared" si="2"/>
        <v>#REF!</v>
      </c>
      <c r="G1855" s="20" t="str">
        <f t="shared" ref="G1855:I1855" si="5559">#REF!</f>
        <v>#REF!</v>
      </c>
      <c r="H1855" s="20" t="str">
        <f t="shared" si="5559"/>
        <v>#REF!</v>
      </c>
      <c r="I1855" s="20" t="str">
        <f t="shared" si="5559"/>
        <v>#REF!</v>
      </c>
      <c r="J1855" s="20" t="str">
        <f t="shared" si="1272"/>
        <v>#REF!</v>
      </c>
      <c r="K1855" s="20" t="str">
        <f t="shared" ref="K1855:L1855" si="5560">#REF!</f>
        <v>#REF!</v>
      </c>
      <c r="L1855" s="20" t="str">
        <f t="shared" si="5560"/>
        <v>#REF!</v>
      </c>
    </row>
    <row r="1856">
      <c r="A1856" s="20" t="str">
        <f t="shared" si="1267"/>
        <v>#REF!</v>
      </c>
      <c r="B1856" s="20" t="str">
        <f t="shared" si="1268"/>
        <v>#REF!</v>
      </c>
      <c r="C1856" s="20" t="str">
        <f t="shared" ref="C1856:D1856" si="5561">#REF!</f>
        <v>#REF!</v>
      </c>
      <c r="D1856" s="20" t="str">
        <f t="shared" si="5561"/>
        <v>#REF!</v>
      </c>
      <c r="E1856" s="20" t="str">
        <f t="shared" si="1270"/>
        <v>#REF!</v>
      </c>
      <c r="F1856" s="22" t="str">
        <f t="shared" si="2"/>
        <v>#REF!</v>
      </c>
      <c r="G1856" s="20" t="str">
        <f t="shared" ref="G1856:I1856" si="5562">#REF!</f>
        <v>#REF!</v>
      </c>
      <c r="H1856" s="20" t="str">
        <f t="shared" si="5562"/>
        <v>#REF!</v>
      </c>
      <c r="I1856" s="20" t="str">
        <f t="shared" si="5562"/>
        <v>#REF!</v>
      </c>
      <c r="J1856" s="20" t="str">
        <f t="shared" si="1272"/>
        <v>#REF!</v>
      </c>
      <c r="K1856" s="20" t="str">
        <f t="shared" ref="K1856:L1856" si="5563">#REF!</f>
        <v>#REF!</v>
      </c>
      <c r="L1856" s="20" t="str">
        <f t="shared" si="5563"/>
        <v>#REF!</v>
      </c>
    </row>
    <row r="1857">
      <c r="A1857" s="20" t="str">
        <f t="shared" si="1267"/>
        <v>#REF!</v>
      </c>
      <c r="B1857" s="20" t="str">
        <f t="shared" si="1268"/>
        <v>#REF!</v>
      </c>
      <c r="C1857" s="20" t="str">
        <f t="shared" ref="C1857:D1857" si="5564">#REF!</f>
        <v>#REF!</v>
      </c>
      <c r="D1857" s="20" t="str">
        <f t="shared" si="5564"/>
        <v>#REF!</v>
      </c>
      <c r="E1857" s="20" t="str">
        <f t="shared" si="1270"/>
        <v>#REF!</v>
      </c>
      <c r="F1857" s="22" t="str">
        <f t="shared" si="2"/>
        <v>#REF!</v>
      </c>
      <c r="G1857" s="20" t="str">
        <f t="shared" ref="G1857:I1857" si="5565">#REF!</f>
        <v>#REF!</v>
      </c>
      <c r="H1857" s="20" t="str">
        <f t="shared" si="5565"/>
        <v>#REF!</v>
      </c>
      <c r="I1857" s="20" t="str">
        <f t="shared" si="5565"/>
        <v>#REF!</v>
      </c>
      <c r="J1857" s="20" t="str">
        <f t="shared" si="1272"/>
        <v>#REF!</v>
      </c>
      <c r="K1857" s="20" t="str">
        <f t="shared" ref="K1857:L1857" si="5566">#REF!</f>
        <v>#REF!</v>
      </c>
      <c r="L1857" s="20" t="str">
        <f t="shared" si="5566"/>
        <v>#REF!</v>
      </c>
    </row>
    <row r="1858">
      <c r="A1858" s="20" t="str">
        <f t="shared" si="1267"/>
        <v>#REF!</v>
      </c>
      <c r="B1858" s="20" t="str">
        <f t="shared" si="1268"/>
        <v>#REF!</v>
      </c>
      <c r="C1858" s="20" t="str">
        <f t="shared" ref="C1858:D1858" si="5567">#REF!</f>
        <v>#REF!</v>
      </c>
      <c r="D1858" s="20" t="str">
        <f t="shared" si="5567"/>
        <v>#REF!</v>
      </c>
      <c r="E1858" s="20" t="str">
        <f t="shared" si="1270"/>
        <v>#REF!</v>
      </c>
      <c r="F1858" s="22" t="str">
        <f t="shared" si="2"/>
        <v>#REF!</v>
      </c>
      <c r="G1858" s="20" t="str">
        <f t="shared" ref="G1858:I1858" si="5568">#REF!</f>
        <v>#REF!</v>
      </c>
      <c r="H1858" s="20" t="str">
        <f t="shared" si="5568"/>
        <v>#REF!</v>
      </c>
      <c r="I1858" s="20" t="str">
        <f t="shared" si="5568"/>
        <v>#REF!</v>
      </c>
      <c r="J1858" s="20" t="str">
        <f t="shared" si="1272"/>
        <v>#REF!</v>
      </c>
      <c r="K1858" s="20" t="str">
        <f t="shared" ref="K1858:L1858" si="5569">#REF!</f>
        <v>#REF!</v>
      </c>
      <c r="L1858" s="20" t="str">
        <f t="shared" si="5569"/>
        <v>#REF!</v>
      </c>
    </row>
    <row r="1859">
      <c r="A1859" s="20" t="str">
        <f t="shared" si="1267"/>
        <v>#REF!</v>
      </c>
      <c r="B1859" s="20" t="str">
        <f t="shared" si="1268"/>
        <v>#REF!</v>
      </c>
      <c r="C1859" s="20" t="str">
        <f t="shared" ref="C1859:D1859" si="5570">#REF!</f>
        <v>#REF!</v>
      </c>
      <c r="D1859" s="20" t="str">
        <f t="shared" si="5570"/>
        <v>#REF!</v>
      </c>
      <c r="E1859" s="20" t="str">
        <f t="shared" si="1270"/>
        <v>#REF!</v>
      </c>
      <c r="F1859" s="22" t="str">
        <f t="shared" si="2"/>
        <v>#REF!</v>
      </c>
      <c r="G1859" s="20" t="str">
        <f t="shared" ref="G1859:I1859" si="5571">#REF!</f>
        <v>#REF!</v>
      </c>
      <c r="H1859" s="20" t="str">
        <f t="shared" si="5571"/>
        <v>#REF!</v>
      </c>
      <c r="I1859" s="20" t="str">
        <f t="shared" si="5571"/>
        <v>#REF!</v>
      </c>
      <c r="J1859" s="20" t="str">
        <f t="shared" si="1272"/>
        <v>#REF!</v>
      </c>
      <c r="K1859" s="20" t="str">
        <f t="shared" ref="K1859:L1859" si="5572">#REF!</f>
        <v>#REF!</v>
      </c>
      <c r="L1859" s="20" t="str">
        <f t="shared" si="5572"/>
        <v>#REF!</v>
      </c>
    </row>
    <row r="1860">
      <c r="A1860" s="20" t="str">
        <f t="shared" si="1267"/>
        <v>#REF!</v>
      </c>
      <c r="B1860" s="20" t="str">
        <f t="shared" si="1268"/>
        <v>#REF!</v>
      </c>
      <c r="C1860" s="20" t="str">
        <f t="shared" ref="C1860:D1860" si="5573">#REF!</f>
        <v>#REF!</v>
      </c>
      <c r="D1860" s="20" t="str">
        <f t="shared" si="5573"/>
        <v>#REF!</v>
      </c>
      <c r="E1860" s="20" t="str">
        <f t="shared" si="1270"/>
        <v>#REF!</v>
      </c>
      <c r="F1860" s="22" t="str">
        <f t="shared" si="2"/>
        <v>#REF!</v>
      </c>
      <c r="G1860" s="20" t="str">
        <f t="shared" ref="G1860:I1860" si="5574">#REF!</f>
        <v>#REF!</v>
      </c>
      <c r="H1860" s="20" t="str">
        <f t="shared" si="5574"/>
        <v>#REF!</v>
      </c>
      <c r="I1860" s="20" t="str">
        <f t="shared" si="5574"/>
        <v>#REF!</v>
      </c>
      <c r="J1860" s="20" t="str">
        <f t="shared" si="1272"/>
        <v>#REF!</v>
      </c>
      <c r="K1860" s="20" t="str">
        <f t="shared" ref="K1860:L1860" si="5575">#REF!</f>
        <v>#REF!</v>
      </c>
      <c r="L1860" s="20" t="str">
        <f t="shared" si="5575"/>
        <v>#REF!</v>
      </c>
    </row>
    <row r="1861">
      <c r="A1861" s="20" t="str">
        <f t="shared" si="1267"/>
        <v>#REF!</v>
      </c>
      <c r="B1861" s="20" t="str">
        <f t="shared" si="1268"/>
        <v>#REF!</v>
      </c>
      <c r="C1861" s="20" t="str">
        <f t="shared" ref="C1861:D1861" si="5576">#REF!</f>
        <v>#REF!</v>
      </c>
      <c r="D1861" s="20" t="str">
        <f t="shared" si="5576"/>
        <v>#REF!</v>
      </c>
      <c r="E1861" s="20" t="str">
        <f t="shared" si="1270"/>
        <v>#REF!</v>
      </c>
      <c r="F1861" s="22" t="str">
        <f t="shared" si="2"/>
        <v>#REF!</v>
      </c>
      <c r="G1861" s="20" t="str">
        <f t="shared" ref="G1861:I1861" si="5577">#REF!</f>
        <v>#REF!</v>
      </c>
      <c r="H1861" s="20" t="str">
        <f t="shared" si="5577"/>
        <v>#REF!</v>
      </c>
      <c r="I1861" s="20" t="str">
        <f t="shared" si="5577"/>
        <v>#REF!</v>
      </c>
      <c r="J1861" s="20" t="str">
        <f t="shared" si="1272"/>
        <v>#REF!</v>
      </c>
      <c r="K1861" s="20" t="str">
        <f t="shared" ref="K1861:L1861" si="5578">#REF!</f>
        <v>#REF!</v>
      </c>
      <c r="L1861" s="20" t="str">
        <f t="shared" si="5578"/>
        <v>#REF!</v>
      </c>
    </row>
    <row r="1862">
      <c r="A1862" s="20" t="str">
        <f t="shared" si="1267"/>
        <v>#REF!</v>
      </c>
      <c r="B1862" s="20" t="str">
        <f t="shared" si="1268"/>
        <v>#REF!</v>
      </c>
      <c r="C1862" s="20" t="str">
        <f t="shared" ref="C1862:D1862" si="5579">#REF!</f>
        <v>#REF!</v>
      </c>
      <c r="D1862" s="20" t="str">
        <f t="shared" si="5579"/>
        <v>#REF!</v>
      </c>
      <c r="E1862" s="20" t="str">
        <f t="shared" si="1270"/>
        <v>#REF!</v>
      </c>
      <c r="F1862" s="22" t="str">
        <f t="shared" si="2"/>
        <v>#REF!</v>
      </c>
      <c r="G1862" s="20" t="str">
        <f t="shared" ref="G1862:I1862" si="5580">#REF!</f>
        <v>#REF!</v>
      </c>
      <c r="H1862" s="20" t="str">
        <f t="shared" si="5580"/>
        <v>#REF!</v>
      </c>
      <c r="I1862" s="20" t="str">
        <f t="shared" si="5580"/>
        <v>#REF!</v>
      </c>
      <c r="J1862" s="20" t="str">
        <f t="shared" si="1272"/>
        <v>#REF!</v>
      </c>
      <c r="K1862" s="20" t="str">
        <f t="shared" ref="K1862:L1862" si="5581">#REF!</f>
        <v>#REF!</v>
      </c>
      <c r="L1862" s="20" t="str">
        <f t="shared" si="5581"/>
        <v>#REF!</v>
      </c>
    </row>
    <row r="1863">
      <c r="A1863" s="20" t="str">
        <f t="shared" si="1267"/>
        <v>#REF!</v>
      </c>
      <c r="B1863" s="20" t="str">
        <f t="shared" si="1268"/>
        <v>#REF!</v>
      </c>
      <c r="C1863" s="20" t="str">
        <f t="shared" ref="C1863:D1863" si="5582">#REF!</f>
        <v>#REF!</v>
      </c>
      <c r="D1863" s="20" t="str">
        <f t="shared" si="5582"/>
        <v>#REF!</v>
      </c>
      <c r="E1863" s="20" t="str">
        <f t="shared" si="1270"/>
        <v>#REF!</v>
      </c>
      <c r="F1863" s="22" t="str">
        <f t="shared" si="2"/>
        <v>#REF!</v>
      </c>
      <c r="G1863" s="20" t="str">
        <f t="shared" ref="G1863:I1863" si="5583">#REF!</f>
        <v>#REF!</v>
      </c>
      <c r="H1863" s="20" t="str">
        <f t="shared" si="5583"/>
        <v>#REF!</v>
      </c>
      <c r="I1863" s="20" t="str">
        <f t="shared" si="5583"/>
        <v>#REF!</v>
      </c>
      <c r="J1863" s="20" t="str">
        <f t="shared" si="1272"/>
        <v>#REF!</v>
      </c>
      <c r="K1863" s="20" t="str">
        <f t="shared" ref="K1863:L1863" si="5584">#REF!</f>
        <v>#REF!</v>
      </c>
      <c r="L1863" s="20" t="str">
        <f t="shared" si="5584"/>
        <v>#REF!</v>
      </c>
    </row>
    <row r="1864">
      <c r="A1864" s="20" t="str">
        <f t="shared" si="1267"/>
        <v>#REF!</v>
      </c>
      <c r="B1864" s="20" t="str">
        <f t="shared" si="1268"/>
        <v>#REF!</v>
      </c>
      <c r="C1864" s="20" t="str">
        <f t="shared" ref="C1864:D1864" si="5585">#REF!</f>
        <v>#REF!</v>
      </c>
      <c r="D1864" s="20" t="str">
        <f t="shared" si="5585"/>
        <v>#REF!</v>
      </c>
      <c r="E1864" s="20" t="str">
        <f t="shared" si="1270"/>
        <v>#REF!</v>
      </c>
      <c r="F1864" s="22" t="str">
        <f t="shared" si="2"/>
        <v>#REF!</v>
      </c>
      <c r="G1864" s="20" t="str">
        <f t="shared" ref="G1864:I1864" si="5586">#REF!</f>
        <v>#REF!</v>
      </c>
      <c r="H1864" s="20" t="str">
        <f t="shared" si="5586"/>
        <v>#REF!</v>
      </c>
      <c r="I1864" s="20" t="str">
        <f t="shared" si="5586"/>
        <v>#REF!</v>
      </c>
      <c r="J1864" s="20" t="str">
        <f t="shared" si="1272"/>
        <v>#REF!</v>
      </c>
      <c r="K1864" s="20" t="str">
        <f t="shared" ref="K1864:L1864" si="5587">#REF!</f>
        <v>#REF!</v>
      </c>
      <c r="L1864" s="20" t="str">
        <f t="shared" si="5587"/>
        <v>#REF!</v>
      </c>
    </row>
    <row r="1865">
      <c r="A1865" s="20" t="str">
        <f t="shared" si="1267"/>
        <v>#REF!</v>
      </c>
      <c r="B1865" s="20" t="str">
        <f t="shared" si="1268"/>
        <v>#REF!</v>
      </c>
      <c r="C1865" s="20" t="str">
        <f t="shared" ref="C1865:D1865" si="5588">#REF!</f>
        <v>#REF!</v>
      </c>
      <c r="D1865" s="20" t="str">
        <f t="shared" si="5588"/>
        <v>#REF!</v>
      </c>
      <c r="E1865" s="20" t="str">
        <f t="shared" si="1270"/>
        <v>#REF!</v>
      </c>
      <c r="F1865" s="22" t="str">
        <f t="shared" si="2"/>
        <v>#REF!</v>
      </c>
      <c r="G1865" s="20" t="str">
        <f t="shared" ref="G1865:I1865" si="5589">#REF!</f>
        <v>#REF!</v>
      </c>
      <c r="H1865" s="20" t="str">
        <f t="shared" si="5589"/>
        <v>#REF!</v>
      </c>
      <c r="I1865" s="20" t="str">
        <f t="shared" si="5589"/>
        <v>#REF!</v>
      </c>
      <c r="J1865" s="20" t="str">
        <f t="shared" si="1272"/>
        <v>#REF!</v>
      </c>
      <c r="K1865" s="20" t="str">
        <f t="shared" ref="K1865:L1865" si="5590">#REF!</f>
        <v>#REF!</v>
      </c>
      <c r="L1865" s="20" t="str">
        <f t="shared" si="5590"/>
        <v>#REF!</v>
      </c>
    </row>
    <row r="1866">
      <c r="A1866" s="20" t="str">
        <f t="shared" si="1267"/>
        <v>#REF!</v>
      </c>
      <c r="B1866" s="20" t="str">
        <f t="shared" si="1268"/>
        <v>#REF!</v>
      </c>
      <c r="C1866" s="20" t="str">
        <f t="shared" ref="C1866:D1866" si="5591">#REF!</f>
        <v>#REF!</v>
      </c>
      <c r="D1866" s="20" t="str">
        <f t="shared" si="5591"/>
        <v>#REF!</v>
      </c>
      <c r="E1866" s="20" t="str">
        <f t="shared" si="1270"/>
        <v>#REF!</v>
      </c>
      <c r="F1866" s="22" t="str">
        <f t="shared" si="2"/>
        <v>#REF!</v>
      </c>
      <c r="G1866" s="20" t="str">
        <f t="shared" ref="G1866:I1866" si="5592">#REF!</f>
        <v>#REF!</v>
      </c>
      <c r="H1866" s="20" t="str">
        <f t="shared" si="5592"/>
        <v>#REF!</v>
      </c>
      <c r="I1866" s="20" t="str">
        <f t="shared" si="5592"/>
        <v>#REF!</v>
      </c>
      <c r="J1866" s="20" t="str">
        <f t="shared" si="1272"/>
        <v>#REF!</v>
      </c>
      <c r="K1866" s="20" t="str">
        <f t="shared" ref="K1866:L1866" si="5593">#REF!</f>
        <v>#REF!</v>
      </c>
      <c r="L1866" s="20" t="str">
        <f t="shared" si="5593"/>
        <v>#REF!</v>
      </c>
    </row>
    <row r="1867">
      <c r="A1867" s="20" t="str">
        <f t="shared" si="1267"/>
        <v>#REF!</v>
      </c>
      <c r="B1867" s="20" t="str">
        <f t="shared" si="1268"/>
        <v>#REF!</v>
      </c>
      <c r="C1867" s="20" t="str">
        <f t="shared" ref="C1867:D1867" si="5594">#REF!</f>
        <v>#REF!</v>
      </c>
      <c r="D1867" s="20" t="str">
        <f t="shared" si="5594"/>
        <v>#REF!</v>
      </c>
      <c r="E1867" s="20" t="str">
        <f t="shared" si="1270"/>
        <v>#REF!</v>
      </c>
      <c r="F1867" s="22" t="str">
        <f t="shared" si="2"/>
        <v>#REF!</v>
      </c>
      <c r="G1867" s="20" t="str">
        <f t="shared" ref="G1867:I1867" si="5595">#REF!</f>
        <v>#REF!</v>
      </c>
      <c r="H1867" s="20" t="str">
        <f t="shared" si="5595"/>
        <v>#REF!</v>
      </c>
      <c r="I1867" s="20" t="str">
        <f t="shared" si="5595"/>
        <v>#REF!</v>
      </c>
      <c r="J1867" s="20" t="str">
        <f t="shared" si="1272"/>
        <v>#REF!</v>
      </c>
      <c r="K1867" s="20" t="str">
        <f t="shared" ref="K1867:L1867" si="5596">#REF!</f>
        <v>#REF!</v>
      </c>
      <c r="L1867" s="20" t="str">
        <f t="shared" si="5596"/>
        <v>#REF!</v>
      </c>
    </row>
    <row r="1868">
      <c r="A1868" s="20" t="str">
        <f t="shared" si="1267"/>
        <v>#REF!</v>
      </c>
      <c r="B1868" s="20" t="str">
        <f t="shared" si="1268"/>
        <v>#REF!</v>
      </c>
      <c r="C1868" s="20" t="str">
        <f t="shared" ref="C1868:D1868" si="5597">#REF!</f>
        <v>#REF!</v>
      </c>
      <c r="D1868" s="20" t="str">
        <f t="shared" si="5597"/>
        <v>#REF!</v>
      </c>
      <c r="E1868" s="20" t="str">
        <f t="shared" si="1270"/>
        <v>#REF!</v>
      </c>
      <c r="F1868" s="22" t="str">
        <f t="shared" si="2"/>
        <v>#REF!</v>
      </c>
      <c r="G1868" s="20" t="str">
        <f t="shared" ref="G1868:I1868" si="5598">#REF!</f>
        <v>#REF!</v>
      </c>
      <c r="H1868" s="20" t="str">
        <f t="shared" si="5598"/>
        <v>#REF!</v>
      </c>
      <c r="I1868" s="20" t="str">
        <f t="shared" si="5598"/>
        <v>#REF!</v>
      </c>
      <c r="J1868" s="20" t="str">
        <f t="shared" si="1272"/>
        <v>#REF!</v>
      </c>
      <c r="K1868" s="20" t="str">
        <f t="shared" ref="K1868:L1868" si="5599">#REF!</f>
        <v>#REF!</v>
      </c>
      <c r="L1868" s="20" t="str">
        <f t="shared" si="5599"/>
        <v>#REF!</v>
      </c>
    </row>
    <row r="1869">
      <c r="A1869" s="20" t="str">
        <f t="shared" si="1267"/>
        <v>#REF!</v>
      </c>
      <c r="B1869" s="20" t="str">
        <f t="shared" si="1268"/>
        <v>#REF!</v>
      </c>
      <c r="C1869" s="20" t="str">
        <f t="shared" ref="C1869:D1869" si="5600">#REF!</f>
        <v>#REF!</v>
      </c>
      <c r="D1869" s="20" t="str">
        <f t="shared" si="5600"/>
        <v>#REF!</v>
      </c>
      <c r="E1869" s="20" t="str">
        <f t="shared" si="1270"/>
        <v>#REF!</v>
      </c>
      <c r="F1869" s="22" t="str">
        <f t="shared" si="2"/>
        <v>#REF!</v>
      </c>
      <c r="G1869" s="20" t="str">
        <f t="shared" ref="G1869:I1869" si="5601">#REF!</f>
        <v>#REF!</v>
      </c>
      <c r="H1869" s="20" t="str">
        <f t="shared" si="5601"/>
        <v>#REF!</v>
      </c>
      <c r="I1869" s="20" t="str">
        <f t="shared" si="5601"/>
        <v>#REF!</v>
      </c>
      <c r="J1869" s="20" t="str">
        <f t="shared" si="1272"/>
        <v>#REF!</v>
      </c>
      <c r="K1869" s="20" t="str">
        <f t="shared" ref="K1869:L1869" si="5602">#REF!</f>
        <v>#REF!</v>
      </c>
      <c r="L1869" s="20" t="str">
        <f t="shared" si="5602"/>
        <v>#REF!</v>
      </c>
    </row>
    <row r="1870">
      <c r="A1870" s="20" t="str">
        <f t="shared" si="1267"/>
        <v>#REF!</v>
      </c>
      <c r="B1870" s="20" t="str">
        <f t="shared" si="1268"/>
        <v>#REF!</v>
      </c>
      <c r="C1870" s="20" t="str">
        <f t="shared" ref="C1870:D1870" si="5603">#REF!</f>
        <v>#REF!</v>
      </c>
      <c r="D1870" s="20" t="str">
        <f t="shared" si="5603"/>
        <v>#REF!</v>
      </c>
      <c r="E1870" s="20" t="str">
        <f t="shared" si="1270"/>
        <v>#REF!</v>
      </c>
      <c r="F1870" s="22" t="str">
        <f t="shared" si="2"/>
        <v>#REF!</v>
      </c>
      <c r="G1870" s="20" t="str">
        <f t="shared" ref="G1870:I1870" si="5604">#REF!</f>
        <v>#REF!</v>
      </c>
      <c r="H1870" s="20" t="str">
        <f t="shared" si="5604"/>
        <v>#REF!</v>
      </c>
      <c r="I1870" s="20" t="str">
        <f t="shared" si="5604"/>
        <v>#REF!</v>
      </c>
      <c r="J1870" s="20" t="str">
        <f t="shared" si="1272"/>
        <v>#REF!</v>
      </c>
      <c r="K1870" s="20" t="str">
        <f t="shared" ref="K1870:L1870" si="5605">#REF!</f>
        <v>#REF!</v>
      </c>
      <c r="L1870" s="20" t="str">
        <f t="shared" si="5605"/>
        <v>#REF!</v>
      </c>
    </row>
    <row r="1871">
      <c r="A1871" s="20" t="str">
        <f t="shared" si="1267"/>
        <v>#REF!</v>
      </c>
      <c r="B1871" s="20" t="str">
        <f t="shared" si="1268"/>
        <v>#REF!</v>
      </c>
      <c r="C1871" s="20" t="str">
        <f t="shared" ref="C1871:D1871" si="5606">#REF!</f>
        <v>#REF!</v>
      </c>
      <c r="D1871" s="20" t="str">
        <f t="shared" si="5606"/>
        <v>#REF!</v>
      </c>
      <c r="E1871" s="20" t="str">
        <f t="shared" si="1270"/>
        <v>#REF!</v>
      </c>
      <c r="F1871" s="22" t="str">
        <f t="shared" si="2"/>
        <v>#REF!</v>
      </c>
      <c r="G1871" s="20" t="str">
        <f t="shared" ref="G1871:I1871" si="5607">#REF!</f>
        <v>#REF!</v>
      </c>
      <c r="H1871" s="20" t="str">
        <f t="shared" si="5607"/>
        <v>#REF!</v>
      </c>
      <c r="I1871" s="20" t="str">
        <f t="shared" si="5607"/>
        <v>#REF!</v>
      </c>
      <c r="J1871" s="20" t="str">
        <f t="shared" si="1272"/>
        <v>#REF!</v>
      </c>
      <c r="K1871" s="20" t="str">
        <f t="shared" ref="K1871:L1871" si="5608">#REF!</f>
        <v>#REF!</v>
      </c>
      <c r="L1871" s="20" t="str">
        <f t="shared" si="5608"/>
        <v>#REF!</v>
      </c>
    </row>
    <row r="1872">
      <c r="A1872" s="20" t="str">
        <f t="shared" si="1267"/>
        <v>#REF!</v>
      </c>
      <c r="B1872" s="20" t="str">
        <f t="shared" si="1268"/>
        <v>#REF!</v>
      </c>
      <c r="C1872" s="20" t="str">
        <f t="shared" ref="C1872:D1872" si="5609">#REF!</f>
        <v>#REF!</v>
      </c>
      <c r="D1872" s="20" t="str">
        <f t="shared" si="5609"/>
        <v>#REF!</v>
      </c>
      <c r="E1872" s="20" t="str">
        <f t="shared" si="1270"/>
        <v>#REF!</v>
      </c>
      <c r="F1872" s="22" t="str">
        <f t="shared" si="2"/>
        <v>#REF!</v>
      </c>
      <c r="G1872" s="20" t="str">
        <f t="shared" ref="G1872:I1872" si="5610">#REF!</f>
        <v>#REF!</v>
      </c>
      <c r="H1872" s="20" t="str">
        <f t="shared" si="5610"/>
        <v>#REF!</v>
      </c>
      <c r="I1872" s="20" t="str">
        <f t="shared" si="5610"/>
        <v>#REF!</v>
      </c>
      <c r="J1872" s="20" t="str">
        <f t="shared" si="1272"/>
        <v>#REF!</v>
      </c>
      <c r="K1872" s="20" t="str">
        <f t="shared" ref="K1872:L1872" si="5611">#REF!</f>
        <v>#REF!</v>
      </c>
      <c r="L1872" s="20" t="str">
        <f t="shared" si="5611"/>
        <v>#REF!</v>
      </c>
    </row>
    <row r="1873">
      <c r="A1873" s="20" t="str">
        <f t="shared" si="1267"/>
        <v>#REF!</v>
      </c>
      <c r="B1873" s="20" t="str">
        <f t="shared" si="1268"/>
        <v>#REF!</v>
      </c>
      <c r="C1873" s="20" t="str">
        <f t="shared" ref="C1873:D1873" si="5612">#REF!</f>
        <v>#REF!</v>
      </c>
      <c r="D1873" s="20" t="str">
        <f t="shared" si="5612"/>
        <v>#REF!</v>
      </c>
      <c r="E1873" s="20" t="str">
        <f t="shared" si="1270"/>
        <v>#REF!</v>
      </c>
      <c r="F1873" s="22" t="str">
        <f t="shared" si="2"/>
        <v>#REF!</v>
      </c>
      <c r="G1873" s="20" t="str">
        <f t="shared" ref="G1873:I1873" si="5613">#REF!</f>
        <v>#REF!</v>
      </c>
      <c r="H1873" s="20" t="str">
        <f t="shared" si="5613"/>
        <v>#REF!</v>
      </c>
      <c r="I1873" s="20" t="str">
        <f t="shared" si="5613"/>
        <v>#REF!</v>
      </c>
      <c r="J1873" s="20" t="str">
        <f t="shared" si="1272"/>
        <v>#REF!</v>
      </c>
      <c r="K1873" s="20" t="str">
        <f t="shared" ref="K1873:L1873" si="5614">#REF!</f>
        <v>#REF!</v>
      </c>
      <c r="L1873" s="20" t="str">
        <f t="shared" si="5614"/>
        <v>#REF!</v>
      </c>
    </row>
    <row r="1874">
      <c r="A1874" s="20" t="str">
        <f t="shared" si="1267"/>
        <v>#REF!</v>
      </c>
      <c r="B1874" s="20" t="str">
        <f t="shared" si="1268"/>
        <v>#REF!</v>
      </c>
      <c r="C1874" s="20" t="str">
        <f t="shared" ref="C1874:D1874" si="5615">#REF!</f>
        <v>#REF!</v>
      </c>
      <c r="D1874" s="20" t="str">
        <f t="shared" si="5615"/>
        <v>#REF!</v>
      </c>
      <c r="E1874" s="20" t="str">
        <f t="shared" si="1270"/>
        <v>#REF!</v>
      </c>
      <c r="F1874" s="22" t="str">
        <f t="shared" si="2"/>
        <v>#REF!</v>
      </c>
      <c r="G1874" s="20" t="str">
        <f t="shared" ref="G1874:I1874" si="5616">#REF!</f>
        <v>#REF!</v>
      </c>
      <c r="H1874" s="20" t="str">
        <f t="shared" si="5616"/>
        <v>#REF!</v>
      </c>
      <c r="I1874" s="20" t="str">
        <f t="shared" si="5616"/>
        <v>#REF!</v>
      </c>
      <c r="J1874" s="20" t="str">
        <f t="shared" si="1272"/>
        <v>#REF!</v>
      </c>
      <c r="K1874" s="20" t="str">
        <f t="shared" ref="K1874:L1874" si="5617">#REF!</f>
        <v>#REF!</v>
      </c>
      <c r="L1874" s="20" t="str">
        <f t="shared" si="5617"/>
        <v>#REF!</v>
      </c>
    </row>
    <row r="1875">
      <c r="A1875" s="20" t="str">
        <f t="shared" si="1267"/>
        <v>#REF!</v>
      </c>
      <c r="B1875" s="20" t="str">
        <f t="shared" si="1268"/>
        <v>#REF!</v>
      </c>
      <c r="C1875" s="20" t="str">
        <f t="shared" ref="C1875:D1875" si="5618">#REF!</f>
        <v>#REF!</v>
      </c>
      <c r="D1875" s="20" t="str">
        <f t="shared" si="5618"/>
        <v>#REF!</v>
      </c>
      <c r="E1875" s="20" t="str">
        <f t="shared" si="1270"/>
        <v>#REF!</v>
      </c>
      <c r="F1875" s="22" t="str">
        <f t="shared" si="2"/>
        <v>#REF!</v>
      </c>
      <c r="G1875" s="20" t="str">
        <f t="shared" ref="G1875:I1875" si="5619">#REF!</f>
        <v>#REF!</v>
      </c>
      <c r="H1875" s="20" t="str">
        <f t="shared" si="5619"/>
        <v>#REF!</v>
      </c>
      <c r="I1875" s="20" t="str">
        <f t="shared" si="5619"/>
        <v>#REF!</v>
      </c>
      <c r="J1875" s="20" t="str">
        <f t="shared" si="1272"/>
        <v>#REF!</v>
      </c>
      <c r="K1875" s="20" t="str">
        <f t="shared" ref="K1875:L1875" si="5620">#REF!</f>
        <v>#REF!</v>
      </c>
      <c r="L1875" s="20" t="str">
        <f t="shared" si="5620"/>
        <v>#REF!</v>
      </c>
    </row>
    <row r="1876">
      <c r="A1876" s="20" t="str">
        <f t="shared" si="1267"/>
        <v>#REF!</v>
      </c>
      <c r="B1876" s="20" t="str">
        <f t="shared" si="1268"/>
        <v>#REF!</v>
      </c>
      <c r="C1876" s="20" t="str">
        <f t="shared" ref="C1876:D1876" si="5621">#REF!</f>
        <v>#REF!</v>
      </c>
      <c r="D1876" s="20" t="str">
        <f t="shared" si="5621"/>
        <v>#REF!</v>
      </c>
      <c r="E1876" s="20" t="str">
        <f t="shared" si="1270"/>
        <v>#REF!</v>
      </c>
      <c r="F1876" s="22" t="str">
        <f t="shared" si="2"/>
        <v>#REF!</v>
      </c>
      <c r="G1876" s="20" t="str">
        <f t="shared" ref="G1876:I1876" si="5622">#REF!</f>
        <v>#REF!</v>
      </c>
      <c r="H1876" s="20" t="str">
        <f t="shared" si="5622"/>
        <v>#REF!</v>
      </c>
      <c r="I1876" s="20" t="str">
        <f t="shared" si="5622"/>
        <v>#REF!</v>
      </c>
      <c r="J1876" s="20" t="str">
        <f t="shared" si="1272"/>
        <v>#REF!</v>
      </c>
      <c r="K1876" s="20" t="str">
        <f t="shared" ref="K1876:L1876" si="5623">#REF!</f>
        <v>#REF!</v>
      </c>
      <c r="L1876" s="20" t="str">
        <f t="shared" si="5623"/>
        <v>#REF!</v>
      </c>
    </row>
    <row r="1877">
      <c r="A1877" s="20" t="str">
        <f t="shared" si="1267"/>
        <v>#REF!</v>
      </c>
      <c r="B1877" s="20" t="str">
        <f t="shared" si="1268"/>
        <v>#REF!</v>
      </c>
      <c r="C1877" s="20" t="str">
        <f t="shared" ref="C1877:D1877" si="5624">#REF!</f>
        <v>#REF!</v>
      </c>
      <c r="D1877" s="20" t="str">
        <f t="shared" si="5624"/>
        <v>#REF!</v>
      </c>
      <c r="E1877" s="20" t="str">
        <f t="shared" si="1270"/>
        <v>#REF!</v>
      </c>
      <c r="F1877" s="22" t="str">
        <f t="shared" si="2"/>
        <v>#REF!</v>
      </c>
      <c r="G1877" s="20" t="str">
        <f t="shared" ref="G1877:I1877" si="5625">#REF!</f>
        <v>#REF!</v>
      </c>
      <c r="H1877" s="20" t="str">
        <f t="shared" si="5625"/>
        <v>#REF!</v>
      </c>
      <c r="I1877" s="20" t="str">
        <f t="shared" si="5625"/>
        <v>#REF!</v>
      </c>
      <c r="J1877" s="20" t="str">
        <f t="shared" si="1272"/>
        <v>#REF!</v>
      </c>
      <c r="K1877" s="20" t="str">
        <f t="shared" ref="K1877:L1877" si="5626">#REF!</f>
        <v>#REF!</v>
      </c>
      <c r="L1877" s="20" t="str">
        <f t="shared" si="5626"/>
        <v>#REF!</v>
      </c>
    </row>
    <row r="1878">
      <c r="A1878" s="20" t="str">
        <f t="shared" si="1267"/>
        <v>#REF!</v>
      </c>
      <c r="B1878" s="20" t="str">
        <f t="shared" si="1268"/>
        <v>#REF!</v>
      </c>
      <c r="C1878" s="20" t="str">
        <f t="shared" ref="C1878:D1878" si="5627">#REF!</f>
        <v>#REF!</v>
      </c>
      <c r="D1878" s="20" t="str">
        <f t="shared" si="5627"/>
        <v>#REF!</v>
      </c>
      <c r="E1878" s="20" t="str">
        <f t="shared" si="1270"/>
        <v>#REF!</v>
      </c>
      <c r="F1878" s="22" t="str">
        <f t="shared" si="2"/>
        <v>#REF!</v>
      </c>
      <c r="G1878" s="20" t="str">
        <f t="shared" ref="G1878:I1878" si="5628">#REF!</f>
        <v>#REF!</v>
      </c>
      <c r="H1878" s="20" t="str">
        <f t="shared" si="5628"/>
        <v>#REF!</v>
      </c>
      <c r="I1878" s="20" t="str">
        <f t="shared" si="5628"/>
        <v>#REF!</v>
      </c>
      <c r="J1878" s="20" t="str">
        <f t="shared" si="1272"/>
        <v>#REF!</v>
      </c>
      <c r="K1878" s="20" t="str">
        <f t="shared" ref="K1878:L1878" si="5629">#REF!</f>
        <v>#REF!</v>
      </c>
      <c r="L1878" s="20" t="str">
        <f t="shared" si="5629"/>
        <v>#REF!</v>
      </c>
    </row>
    <row r="1879">
      <c r="A1879" s="20" t="str">
        <f t="shared" si="1267"/>
        <v>#REF!</v>
      </c>
      <c r="B1879" s="20" t="str">
        <f t="shared" si="1268"/>
        <v>#REF!</v>
      </c>
      <c r="C1879" s="20" t="str">
        <f t="shared" ref="C1879:D1879" si="5630">#REF!</f>
        <v>#REF!</v>
      </c>
      <c r="D1879" s="20" t="str">
        <f t="shared" si="5630"/>
        <v>#REF!</v>
      </c>
      <c r="E1879" s="20" t="str">
        <f t="shared" si="1270"/>
        <v>#REF!</v>
      </c>
      <c r="F1879" s="22" t="str">
        <f t="shared" si="2"/>
        <v>#REF!</v>
      </c>
      <c r="G1879" s="20" t="str">
        <f t="shared" ref="G1879:I1879" si="5631">#REF!</f>
        <v>#REF!</v>
      </c>
      <c r="H1879" s="20" t="str">
        <f t="shared" si="5631"/>
        <v>#REF!</v>
      </c>
      <c r="I1879" s="20" t="str">
        <f t="shared" si="5631"/>
        <v>#REF!</v>
      </c>
      <c r="J1879" s="20" t="str">
        <f t="shared" si="1272"/>
        <v>#REF!</v>
      </c>
      <c r="K1879" s="20" t="str">
        <f t="shared" ref="K1879:L1879" si="5632">#REF!</f>
        <v>#REF!</v>
      </c>
      <c r="L1879" s="20" t="str">
        <f t="shared" si="5632"/>
        <v>#REF!</v>
      </c>
    </row>
    <row r="1880">
      <c r="A1880" s="20" t="str">
        <f t="shared" si="1267"/>
        <v>#REF!</v>
      </c>
      <c r="B1880" s="20" t="str">
        <f t="shared" si="1268"/>
        <v>#REF!</v>
      </c>
      <c r="C1880" s="20" t="str">
        <f t="shared" ref="C1880:D1880" si="5633">#REF!</f>
        <v>#REF!</v>
      </c>
      <c r="D1880" s="20" t="str">
        <f t="shared" si="5633"/>
        <v>#REF!</v>
      </c>
      <c r="E1880" s="20" t="str">
        <f t="shared" si="1270"/>
        <v>#REF!</v>
      </c>
      <c r="F1880" s="22" t="str">
        <f t="shared" si="2"/>
        <v>#REF!</v>
      </c>
      <c r="G1880" s="20" t="str">
        <f t="shared" ref="G1880:I1880" si="5634">#REF!</f>
        <v>#REF!</v>
      </c>
      <c r="H1880" s="20" t="str">
        <f t="shared" si="5634"/>
        <v>#REF!</v>
      </c>
      <c r="I1880" s="20" t="str">
        <f t="shared" si="5634"/>
        <v>#REF!</v>
      </c>
      <c r="J1880" s="20" t="str">
        <f t="shared" si="1272"/>
        <v>#REF!</v>
      </c>
      <c r="K1880" s="20" t="str">
        <f t="shared" ref="K1880:L1880" si="5635">#REF!</f>
        <v>#REF!</v>
      </c>
      <c r="L1880" s="20" t="str">
        <f t="shared" si="5635"/>
        <v>#REF!</v>
      </c>
    </row>
    <row r="1881">
      <c r="A1881" s="20" t="str">
        <f t="shared" si="1267"/>
        <v>#REF!</v>
      </c>
      <c r="B1881" s="20" t="str">
        <f t="shared" si="1268"/>
        <v>#REF!</v>
      </c>
      <c r="C1881" s="20" t="str">
        <f t="shared" ref="C1881:D1881" si="5636">#REF!</f>
        <v>#REF!</v>
      </c>
      <c r="D1881" s="20" t="str">
        <f t="shared" si="5636"/>
        <v>#REF!</v>
      </c>
      <c r="E1881" s="20" t="str">
        <f t="shared" si="1270"/>
        <v>#REF!</v>
      </c>
      <c r="F1881" s="22" t="str">
        <f t="shared" si="2"/>
        <v>#REF!</v>
      </c>
      <c r="G1881" s="20" t="str">
        <f t="shared" ref="G1881:I1881" si="5637">#REF!</f>
        <v>#REF!</v>
      </c>
      <c r="H1881" s="20" t="str">
        <f t="shared" si="5637"/>
        <v>#REF!</v>
      </c>
      <c r="I1881" s="20" t="str">
        <f t="shared" si="5637"/>
        <v>#REF!</v>
      </c>
      <c r="J1881" s="20" t="str">
        <f t="shared" si="1272"/>
        <v>#REF!</v>
      </c>
      <c r="K1881" s="20" t="str">
        <f t="shared" ref="K1881:L1881" si="5638">#REF!</f>
        <v>#REF!</v>
      </c>
      <c r="L1881" s="20" t="str">
        <f t="shared" si="5638"/>
        <v>#REF!</v>
      </c>
    </row>
    <row r="1882">
      <c r="A1882" s="20" t="str">
        <f t="shared" si="1267"/>
        <v>#REF!</v>
      </c>
      <c r="B1882" s="20" t="str">
        <f t="shared" si="1268"/>
        <v>#REF!</v>
      </c>
      <c r="C1882" s="20" t="str">
        <f t="shared" ref="C1882:D1882" si="5639">#REF!</f>
        <v>#REF!</v>
      </c>
      <c r="D1882" s="20" t="str">
        <f t="shared" si="5639"/>
        <v>#REF!</v>
      </c>
      <c r="E1882" s="20" t="str">
        <f t="shared" si="1270"/>
        <v>#REF!</v>
      </c>
      <c r="F1882" s="22" t="str">
        <f t="shared" si="2"/>
        <v>#REF!</v>
      </c>
      <c r="G1882" s="20" t="str">
        <f t="shared" ref="G1882:I1882" si="5640">#REF!</f>
        <v>#REF!</v>
      </c>
      <c r="H1882" s="20" t="str">
        <f t="shared" si="5640"/>
        <v>#REF!</v>
      </c>
      <c r="I1882" s="20" t="str">
        <f t="shared" si="5640"/>
        <v>#REF!</v>
      </c>
      <c r="J1882" s="20" t="str">
        <f t="shared" si="1272"/>
        <v>#REF!</v>
      </c>
      <c r="K1882" s="20" t="str">
        <f t="shared" ref="K1882:L1882" si="5641">#REF!</f>
        <v>#REF!</v>
      </c>
      <c r="L1882" s="20" t="str">
        <f t="shared" si="5641"/>
        <v>#REF!</v>
      </c>
    </row>
    <row r="1883">
      <c r="A1883" s="20" t="str">
        <f t="shared" si="1267"/>
        <v>#REF!</v>
      </c>
      <c r="B1883" s="20" t="str">
        <f t="shared" si="1268"/>
        <v>#REF!</v>
      </c>
      <c r="C1883" s="20" t="str">
        <f t="shared" ref="C1883:D1883" si="5642">#REF!</f>
        <v>#REF!</v>
      </c>
      <c r="D1883" s="20" t="str">
        <f t="shared" si="5642"/>
        <v>#REF!</v>
      </c>
      <c r="E1883" s="20" t="str">
        <f t="shared" si="1270"/>
        <v>#REF!</v>
      </c>
      <c r="F1883" s="22" t="str">
        <f t="shared" si="2"/>
        <v>#REF!</v>
      </c>
      <c r="G1883" s="20" t="str">
        <f t="shared" ref="G1883:I1883" si="5643">#REF!</f>
        <v>#REF!</v>
      </c>
      <c r="H1883" s="20" t="str">
        <f t="shared" si="5643"/>
        <v>#REF!</v>
      </c>
      <c r="I1883" s="20" t="str">
        <f t="shared" si="5643"/>
        <v>#REF!</v>
      </c>
      <c r="J1883" s="20" t="str">
        <f t="shared" si="1272"/>
        <v>#REF!</v>
      </c>
      <c r="K1883" s="20" t="str">
        <f t="shared" ref="K1883:L1883" si="5644">#REF!</f>
        <v>#REF!</v>
      </c>
      <c r="L1883" s="20" t="str">
        <f t="shared" si="5644"/>
        <v>#REF!</v>
      </c>
    </row>
    <row r="1884">
      <c r="A1884" s="20" t="str">
        <f t="shared" si="1267"/>
        <v>#REF!</v>
      </c>
      <c r="B1884" s="20" t="str">
        <f t="shared" si="1268"/>
        <v>#REF!</v>
      </c>
      <c r="C1884" s="20" t="str">
        <f t="shared" ref="C1884:D1884" si="5645">#REF!</f>
        <v>#REF!</v>
      </c>
      <c r="D1884" s="20" t="str">
        <f t="shared" si="5645"/>
        <v>#REF!</v>
      </c>
      <c r="E1884" s="20" t="str">
        <f t="shared" si="1270"/>
        <v>#REF!</v>
      </c>
      <c r="F1884" s="22" t="str">
        <f t="shared" si="2"/>
        <v>#REF!</v>
      </c>
      <c r="G1884" s="20" t="str">
        <f t="shared" ref="G1884:I1884" si="5646">#REF!</f>
        <v>#REF!</v>
      </c>
      <c r="H1884" s="20" t="str">
        <f t="shared" si="5646"/>
        <v>#REF!</v>
      </c>
      <c r="I1884" s="20" t="str">
        <f t="shared" si="5646"/>
        <v>#REF!</v>
      </c>
      <c r="J1884" s="20" t="str">
        <f t="shared" si="1272"/>
        <v>#REF!</v>
      </c>
      <c r="K1884" s="20" t="str">
        <f t="shared" ref="K1884:L1884" si="5647">#REF!</f>
        <v>#REF!</v>
      </c>
      <c r="L1884" s="20" t="str">
        <f t="shared" si="5647"/>
        <v>#REF!</v>
      </c>
    </row>
    <row r="1885">
      <c r="A1885" s="20" t="str">
        <f t="shared" si="1267"/>
        <v>#REF!</v>
      </c>
      <c r="B1885" s="20" t="str">
        <f t="shared" si="1268"/>
        <v>#REF!</v>
      </c>
      <c r="C1885" s="20" t="str">
        <f t="shared" ref="C1885:D1885" si="5648">#REF!</f>
        <v>#REF!</v>
      </c>
      <c r="D1885" s="20" t="str">
        <f t="shared" si="5648"/>
        <v>#REF!</v>
      </c>
      <c r="E1885" s="20" t="str">
        <f t="shared" si="1270"/>
        <v>#REF!</v>
      </c>
      <c r="F1885" s="22" t="str">
        <f t="shared" si="2"/>
        <v>#REF!</v>
      </c>
      <c r="G1885" s="20" t="str">
        <f t="shared" ref="G1885:I1885" si="5649">#REF!</f>
        <v>#REF!</v>
      </c>
      <c r="H1885" s="20" t="str">
        <f t="shared" si="5649"/>
        <v>#REF!</v>
      </c>
      <c r="I1885" s="20" t="str">
        <f t="shared" si="5649"/>
        <v>#REF!</v>
      </c>
      <c r="J1885" s="20" t="str">
        <f t="shared" si="1272"/>
        <v>#REF!</v>
      </c>
      <c r="K1885" s="20" t="str">
        <f t="shared" ref="K1885:L1885" si="5650">#REF!</f>
        <v>#REF!</v>
      </c>
      <c r="L1885" s="20" t="str">
        <f t="shared" si="5650"/>
        <v>#REF!</v>
      </c>
    </row>
    <row r="1886">
      <c r="A1886" s="20" t="str">
        <f t="shared" si="1267"/>
        <v>#REF!</v>
      </c>
      <c r="B1886" s="20" t="str">
        <f t="shared" si="1268"/>
        <v>#REF!</v>
      </c>
      <c r="C1886" s="20" t="str">
        <f t="shared" ref="C1886:D1886" si="5651">#REF!</f>
        <v>#REF!</v>
      </c>
      <c r="D1886" s="20" t="str">
        <f t="shared" si="5651"/>
        <v>#REF!</v>
      </c>
      <c r="E1886" s="20" t="str">
        <f t="shared" si="1270"/>
        <v>#REF!</v>
      </c>
      <c r="F1886" s="22" t="str">
        <f t="shared" si="2"/>
        <v>#REF!</v>
      </c>
      <c r="G1886" s="20" t="str">
        <f t="shared" ref="G1886:I1886" si="5652">#REF!</f>
        <v>#REF!</v>
      </c>
      <c r="H1886" s="20" t="str">
        <f t="shared" si="5652"/>
        <v>#REF!</v>
      </c>
      <c r="I1886" s="20" t="str">
        <f t="shared" si="5652"/>
        <v>#REF!</v>
      </c>
      <c r="J1886" s="20" t="str">
        <f t="shared" si="1272"/>
        <v>#REF!</v>
      </c>
      <c r="K1886" s="20" t="str">
        <f t="shared" ref="K1886:L1886" si="5653">#REF!</f>
        <v>#REF!</v>
      </c>
      <c r="L1886" s="20" t="str">
        <f t="shared" si="5653"/>
        <v>#REF!</v>
      </c>
    </row>
    <row r="1887">
      <c r="A1887" s="20" t="str">
        <f t="shared" si="1267"/>
        <v>#REF!</v>
      </c>
      <c r="B1887" s="20" t="str">
        <f t="shared" si="1268"/>
        <v>#REF!</v>
      </c>
      <c r="C1887" s="20" t="str">
        <f t="shared" ref="C1887:D1887" si="5654">#REF!</f>
        <v>#REF!</v>
      </c>
      <c r="D1887" s="20" t="str">
        <f t="shared" si="5654"/>
        <v>#REF!</v>
      </c>
      <c r="E1887" s="20" t="str">
        <f t="shared" si="1270"/>
        <v>#REF!</v>
      </c>
      <c r="F1887" s="22" t="str">
        <f t="shared" si="2"/>
        <v>#REF!</v>
      </c>
      <c r="G1887" s="20" t="str">
        <f t="shared" ref="G1887:I1887" si="5655">#REF!</f>
        <v>#REF!</v>
      </c>
      <c r="H1887" s="20" t="str">
        <f t="shared" si="5655"/>
        <v>#REF!</v>
      </c>
      <c r="I1887" s="20" t="str">
        <f t="shared" si="5655"/>
        <v>#REF!</v>
      </c>
      <c r="J1887" s="20" t="str">
        <f t="shared" si="1272"/>
        <v>#REF!</v>
      </c>
      <c r="K1887" s="20" t="str">
        <f t="shared" ref="K1887:L1887" si="5656">#REF!</f>
        <v>#REF!</v>
      </c>
      <c r="L1887" s="20" t="str">
        <f t="shared" si="5656"/>
        <v>#REF!</v>
      </c>
    </row>
    <row r="1888">
      <c r="A1888" s="20" t="str">
        <f t="shared" si="1267"/>
        <v>#REF!</v>
      </c>
      <c r="B1888" s="20" t="str">
        <f t="shared" si="1268"/>
        <v>#REF!</v>
      </c>
      <c r="C1888" s="20" t="str">
        <f t="shared" ref="C1888:D1888" si="5657">#REF!</f>
        <v>#REF!</v>
      </c>
      <c r="D1888" s="20" t="str">
        <f t="shared" si="5657"/>
        <v>#REF!</v>
      </c>
      <c r="E1888" s="20" t="str">
        <f t="shared" si="1270"/>
        <v>#REF!</v>
      </c>
      <c r="F1888" s="22" t="str">
        <f t="shared" si="2"/>
        <v>#REF!</v>
      </c>
      <c r="G1888" s="20" t="str">
        <f t="shared" ref="G1888:I1888" si="5658">#REF!</f>
        <v>#REF!</v>
      </c>
      <c r="H1888" s="20" t="str">
        <f t="shared" si="5658"/>
        <v>#REF!</v>
      </c>
      <c r="I1888" s="20" t="str">
        <f t="shared" si="5658"/>
        <v>#REF!</v>
      </c>
      <c r="J1888" s="20" t="str">
        <f t="shared" si="1272"/>
        <v>#REF!</v>
      </c>
      <c r="K1888" s="20" t="str">
        <f t="shared" ref="K1888:L1888" si="5659">#REF!</f>
        <v>#REF!</v>
      </c>
      <c r="L1888" s="20" t="str">
        <f t="shared" si="5659"/>
        <v>#REF!</v>
      </c>
    </row>
    <row r="1889">
      <c r="A1889" s="20" t="str">
        <f t="shared" si="1267"/>
        <v>#REF!</v>
      </c>
      <c r="B1889" s="20" t="str">
        <f t="shared" si="1268"/>
        <v>#REF!</v>
      </c>
      <c r="C1889" s="20" t="str">
        <f t="shared" ref="C1889:D1889" si="5660">#REF!</f>
        <v>#REF!</v>
      </c>
      <c r="D1889" s="20" t="str">
        <f t="shared" si="5660"/>
        <v>#REF!</v>
      </c>
      <c r="E1889" s="20" t="str">
        <f t="shared" si="1270"/>
        <v>#REF!</v>
      </c>
      <c r="F1889" s="22" t="str">
        <f t="shared" si="2"/>
        <v>#REF!</v>
      </c>
      <c r="G1889" s="20" t="str">
        <f t="shared" ref="G1889:I1889" si="5661">#REF!</f>
        <v>#REF!</v>
      </c>
      <c r="H1889" s="20" t="str">
        <f t="shared" si="5661"/>
        <v>#REF!</v>
      </c>
      <c r="I1889" s="20" t="str">
        <f t="shared" si="5661"/>
        <v>#REF!</v>
      </c>
      <c r="J1889" s="20" t="str">
        <f t="shared" si="1272"/>
        <v>#REF!</v>
      </c>
      <c r="K1889" s="20" t="str">
        <f t="shared" ref="K1889:L1889" si="5662">#REF!</f>
        <v>#REF!</v>
      </c>
      <c r="L1889" s="20" t="str">
        <f t="shared" si="5662"/>
        <v>#REF!</v>
      </c>
    </row>
    <row r="1890">
      <c r="A1890" s="20" t="str">
        <f t="shared" si="1267"/>
        <v>#REF!</v>
      </c>
      <c r="B1890" s="20" t="str">
        <f t="shared" si="1268"/>
        <v>#REF!</v>
      </c>
      <c r="C1890" s="20" t="str">
        <f t="shared" ref="C1890:D1890" si="5663">#REF!</f>
        <v>#REF!</v>
      </c>
      <c r="D1890" s="20" t="str">
        <f t="shared" si="5663"/>
        <v>#REF!</v>
      </c>
      <c r="E1890" s="20" t="str">
        <f t="shared" si="1270"/>
        <v>#REF!</v>
      </c>
      <c r="F1890" s="22" t="str">
        <f t="shared" si="2"/>
        <v>#REF!</v>
      </c>
      <c r="G1890" s="20" t="str">
        <f t="shared" ref="G1890:I1890" si="5664">#REF!</f>
        <v>#REF!</v>
      </c>
      <c r="H1890" s="20" t="str">
        <f t="shared" si="5664"/>
        <v>#REF!</v>
      </c>
      <c r="I1890" s="20" t="str">
        <f t="shared" si="5664"/>
        <v>#REF!</v>
      </c>
      <c r="J1890" s="20" t="str">
        <f t="shared" si="1272"/>
        <v>#REF!</v>
      </c>
      <c r="K1890" s="20" t="str">
        <f t="shared" ref="K1890:L1890" si="5665">#REF!</f>
        <v>#REF!</v>
      </c>
      <c r="L1890" s="20" t="str">
        <f t="shared" si="5665"/>
        <v>#REF!</v>
      </c>
    </row>
    <row r="1891">
      <c r="A1891" s="20" t="str">
        <f t="shared" si="1267"/>
        <v>#REF!</v>
      </c>
      <c r="B1891" s="20" t="str">
        <f t="shared" si="1268"/>
        <v>#REF!</v>
      </c>
      <c r="C1891" s="20" t="str">
        <f t="shared" ref="C1891:D1891" si="5666">#REF!</f>
        <v>#REF!</v>
      </c>
      <c r="D1891" s="20" t="str">
        <f t="shared" si="5666"/>
        <v>#REF!</v>
      </c>
      <c r="E1891" s="20" t="str">
        <f t="shared" si="1270"/>
        <v>#REF!</v>
      </c>
      <c r="F1891" s="22" t="str">
        <f t="shared" si="2"/>
        <v>#REF!</v>
      </c>
      <c r="G1891" s="20" t="str">
        <f t="shared" ref="G1891:I1891" si="5667">#REF!</f>
        <v>#REF!</v>
      </c>
      <c r="H1891" s="20" t="str">
        <f t="shared" si="5667"/>
        <v>#REF!</v>
      </c>
      <c r="I1891" s="20" t="str">
        <f t="shared" si="5667"/>
        <v>#REF!</v>
      </c>
      <c r="J1891" s="20" t="str">
        <f t="shared" si="1272"/>
        <v>#REF!</v>
      </c>
      <c r="K1891" s="20" t="str">
        <f t="shared" ref="K1891:L1891" si="5668">#REF!</f>
        <v>#REF!</v>
      </c>
      <c r="L1891" s="20" t="str">
        <f t="shared" si="5668"/>
        <v>#REF!</v>
      </c>
    </row>
    <row r="1892">
      <c r="A1892" s="20" t="str">
        <f t="shared" si="1267"/>
        <v>#REF!</v>
      </c>
      <c r="B1892" s="20" t="str">
        <f t="shared" si="1268"/>
        <v>#REF!</v>
      </c>
      <c r="C1892" s="20" t="str">
        <f t="shared" ref="C1892:D1892" si="5669">#REF!</f>
        <v>#REF!</v>
      </c>
      <c r="D1892" s="20" t="str">
        <f t="shared" si="5669"/>
        <v>#REF!</v>
      </c>
      <c r="E1892" s="20" t="str">
        <f t="shared" si="1270"/>
        <v>#REF!</v>
      </c>
      <c r="F1892" s="22" t="str">
        <f t="shared" si="2"/>
        <v>#REF!</v>
      </c>
      <c r="G1892" s="20" t="str">
        <f t="shared" ref="G1892:I1892" si="5670">#REF!</f>
        <v>#REF!</v>
      </c>
      <c r="H1892" s="20" t="str">
        <f t="shared" si="5670"/>
        <v>#REF!</v>
      </c>
      <c r="I1892" s="20" t="str">
        <f t="shared" si="5670"/>
        <v>#REF!</v>
      </c>
      <c r="J1892" s="20" t="str">
        <f t="shared" si="1272"/>
        <v>#REF!</v>
      </c>
      <c r="K1892" s="20" t="str">
        <f t="shared" ref="K1892:L1892" si="5671">#REF!</f>
        <v>#REF!</v>
      </c>
      <c r="L1892" s="20" t="str">
        <f t="shared" si="5671"/>
        <v>#REF!</v>
      </c>
    </row>
    <row r="1893">
      <c r="A1893" s="20" t="str">
        <f t="shared" si="1267"/>
        <v>#REF!</v>
      </c>
      <c r="B1893" s="20" t="str">
        <f t="shared" si="1268"/>
        <v>#REF!</v>
      </c>
      <c r="C1893" s="20" t="str">
        <f t="shared" ref="C1893:D1893" si="5672">#REF!</f>
        <v>#REF!</v>
      </c>
      <c r="D1893" s="20" t="str">
        <f t="shared" si="5672"/>
        <v>#REF!</v>
      </c>
      <c r="E1893" s="20" t="str">
        <f t="shared" si="1270"/>
        <v>#REF!</v>
      </c>
      <c r="F1893" s="22" t="str">
        <f t="shared" si="2"/>
        <v>#REF!</v>
      </c>
      <c r="G1893" s="20" t="str">
        <f t="shared" ref="G1893:I1893" si="5673">#REF!</f>
        <v>#REF!</v>
      </c>
      <c r="H1893" s="20" t="str">
        <f t="shared" si="5673"/>
        <v>#REF!</v>
      </c>
      <c r="I1893" s="20" t="str">
        <f t="shared" si="5673"/>
        <v>#REF!</v>
      </c>
      <c r="J1893" s="20" t="str">
        <f t="shared" si="1272"/>
        <v>#REF!</v>
      </c>
      <c r="K1893" s="20" t="str">
        <f t="shared" ref="K1893:L1893" si="5674">#REF!</f>
        <v>#REF!</v>
      </c>
      <c r="L1893" s="20" t="str">
        <f t="shared" si="5674"/>
        <v>#REF!</v>
      </c>
    </row>
    <row r="1894">
      <c r="A1894" s="20" t="str">
        <f t="shared" si="1267"/>
        <v>#REF!</v>
      </c>
      <c r="B1894" s="20" t="str">
        <f t="shared" si="1268"/>
        <v>#REF!</v>
      </c>
      <c r="C1894" s="20" t="str">
        <f t="shared" ref="C1894:D1894" si="5675">#REF!</f>
        <v>#REF!</v>
      </c>
      <c r="D1894" s="20" t="str">
        <f t="shared" si="5675"/>
        <v>#REF!</v>
      </c>
      <c r="E1894" s="20" t="str">
        <f t="shared" si="1270"/>
        <v>#REF!</v>
      </c>
      <c r="F1894" s="22" t="str">
        <f t="shared" si="2"/>
        <v>#REF!</v>
      </c>
      <c r="G1894" s="20" t="str">
        <f t="shared" ref="G1894:I1894" si="5676">#REF!</f>
        <v>#REF!</v>
      </c>
      <c r="H1894" s="20" t="str">
        <f t="shared" si="5676"/>
        <v>#REF!</v>
      </c>
      <c r="I1894" s="20" t="str">
        <f t="shared" si="5676"/>
        <v>#REF!</v>
      </c>
      <c r="J1894" s="20" t="str">
        <f t="shared" si="1272"/>
        <v>#REF!</v>
      </c>
      <c r="K1894" s="20" t="str">
        <f t="shared" ref="K1894:L1894" si="5677">#REF!</f>
        <v>#REF!</v>
      </c>
      <c r="L1894" s="20" t="str">
        <f t="shared" si="5677"/>
        <v>#REF!</v>
      </c>
    </row>
    <row r="1895">
      <c r="A1895" s="20" t="str">
        <f t="shared" si="1267"/>
        <v>#REF!</v>
      </c>
      <c r="B1895" s="20" t="str">
        <f t="shared" si="1268"/>
        <v>#REF!</v>
      </c>
      <c r="C1895" s="20" t="str">
        <f t="shared" ref="C1895:D1895" si="5678">#REF!</f>
        <v>#REF!</v>
      </c>
      <c r="D1895" s="20" t="str">
        <f t="shared" si="5678"/>
        <v>#REF!</v>
      </c>
      <c r="E1895" s="20" t="str">
        <f t="shared" si="1270"/>
        <v>#REF!</v>
      </c>
      <c r="F1895" s="22" t="str">
        <f t="shared" si="2"/>
        <v>#REF!</v>
      </c>
      <c r="G1895" s="20" t="str">
        <f t="shared" ref="G1895:I1895" si="5679">#REF!</f>
        <v>#REF!</v>
      </c>
      <c r="H1895" s="20" t="str">
        <f t="shared" si="5679"/>
        <v>#REF!</v>
      </c>
      <c r="I1895" s="20" t="str">
        <f t="shared" si="5679"/>
        <v>#REF!</v>
      </c>
      <c r="J1895" s="20" t="str">
        <f t="shared" si="1272"/>
        <v>#REF!</v>
      </c>
      <c r="K1895" s="20" t="str">
        <f t="shared" ref="K1895:L1895" si="5680">#REF!</f>
        <v>#REF!</v>
      </c>
      <c r="L1895" s="20" t="str">
        <f t="shared" si="5680"/>
        <v>#REF!</v>
      </c>
    </row>
    <row r="1896">
      <c r="A1896" s="20" t="str">
        <f t="shared" si="1267"/>
        <v>#REF!</v>
      </c>
      <c r="B1896" s="20" t="str">
        <f t="shared" si="1268"/>
        <v>#REF!</v>
      </c>
      <c r="C1896" s="20" t="str">
        <f t="shared" ref="C1896:D1896" si="5681">#REF!</f>
        <v>#REF!</v>
      </c>
      <c r="D1896" s="20" t="str">
        <f t="shared" si="5681"/>
        <v>#REF!</v>
      </c>
      <c r="E1896" s="20" t="str">
        <f t="shared" si="1270"/>
        <v>#REF!</v>
      </c>
      <c r="F1896" s="22" t="str">
        <f t="shared" si="2"/>
        <v>#REF!</v>
      </c>
      <c r="G1896" s="20" t="str">
        <f t="shared" ref="G1896:I1896" si="5682">#REF!</f>
        <v>#REF!</v>
      </c>
      <c r="H1896" s="20" t="str">
        <f t="shared" si="5682"/>
        <v>#REF!</v>
      </c>
      <c r="I1896" s="20" t="str">
        <f t="shared" si="5682"/>
        <v>#REF!</v>
      </c>
      <c r="J1896" s="20" t="str">
        <f t="shared" si="1272"/>
        <v>#REF!</v>
      </c>
      <c r="K1896" s="20" t="str">
        <f t="shared" ref="K1896:L1896" si="5683">#REF!</f>
        <v>#REF!</v>
      </c>
      <c r="L1896" s="20" t="str">
        <f t="shared" si="5683"/>
        <v>#REF!</v>
      </c>
    </row>
    <row r="1897">
      <c r="A1897" s="20" t="str">
        <f t="shared" si="1267"/>
        <v>#REF!</v>
      </c>
      <c r="B1897" s="20" t="str">
        <f t="shared" si="1268"/>
        <v>#REF!</v>
      </c>
      <c r="C1897" s="20" t="str">
        <f t="shared" ref="C1897:D1897" si="5684">#REF!</f>
        <v>#REF!</v>
      </c>
      <c r="D1897" s="20" t="str">
        <f t="shared" si="5684"/>
        <v>#REF!</v>
      </c>
      <c r="E1897" s="20" t="str">
        <f t="shared" si="1270"/>
        <v>#REF!</v>
      </c>
      <c r="F1897" s="22" t="str">
        <f t="shared" si="2"/>
        <v>#REF!</v>
      </c>
      <c r="G1897" s="20" t="str">
        <f t="shared" ref="G1897:I1897" si="5685">#REF!</f>
        <v>#REF!</v>
      </c>
      <c r="H1897" s="20" t="str">
        <f t="shared" si="5685"/>
        <v>#REF!</v>
      </c>
      <c r="I1897" s="20" t="str">
        <f t="shared" si="5685"/>
        <v>#REF!</v>
      </c>
      <c r="J1897" s="20" t="str">
        <f t="shared" si="1272"/>
        <v>#REF!</v>
      </c>
      <c r="K1897" s="20" t="str">
        <f t="shared" ref="K1897:L1897" si="5686">#REF!</f>
        <v>#REF!</v>
      </c>
      <c r="L1897" s="20" t="str">
        <f t="shared" si="5686"/>
        <v>#REF!</v>
      </c>
    </row>
    <row r="1898">
      <c r="A1898" s="20" t="str">
        <f t="shared" si="1267"/>
        <v>#REF!</v>
      </c>
      <c r="B1898" s="20" t="str">
        <f t="shared" si="1268"/>
        <v>#REF!</v>
      </c>
      <c r="C1898" s="20" t="str">
        <f t="shared" ref="C1898:D1898" si="5687">#REF!</f>
        <v>#REF!</v>
      </c>
      <c r="D1898" s="20" t="str">
        <f t="shared" si="5687"/>
        <v>#REF!</v>
      </c>
      <c r="E1898" s="20" t="str">
        <f t="shared" si="1270"/>
        <v>#REF!</v>
      </c>
      <c r="F1898" s="22" t="str">
        <f t="shared" si="2"/>
        <v>#REF!</v>
      </c>
      <c r="G1898" s="20" t="str">
        <f t="shared" ref="G1898:I1898" si="5688">#REF!</f>
        <v>#REF!</v>
      </c>
      <c r="H1898" s="20" t="str">
        <f t="shared" si="5688"/>
        <v>#REF!</v>
      </c>
      <c r="I1898" s="20" t="str">
        <f t="shared" si="5688"/>
        <v>#REF!</v>
      </c>
      <c r="J1898" s="20" t="str">
        <f t="shared" si="1272"/>
        <v>#REF!</v>
      </c>
      <c r="K1898" s="20" t="str">
        <f t="shared" ref="K1898:L1898" si="5689">#REF!</f>
        <v>#REF!</v>
      </c>
      <c r="L1898" s="20" t="str">
        <f t="shared" si="5689"/>
        <v>#REF!</v>
      </c>
    </row>
    <row r="1899">
      <c r="A1899" s="20" t="str">
        <f t="shared" si="1267"/>
        <v>#REF!</v>
      </c>
      <c r="B1899" s="20" t="str">
        <f t="shared" si="1268"/>
        <v>#REF!</v>
      </c>
      <c r="C1899" s="20" t="str">
        <f t="shared" ref="C1899:D1899" si="5690">#REF!</f>
        <v>#REF!</v>
      </c>
      <c r="D1899" s="20" t="str">
        <f t="shared" si="5690"/>
        <v>#REF!</v>
      </c>
      <c r="E1899" s="20" t="str">
        <f t="shared" si="1270"/>
        <v>#REF!</v>
      </c>
      <c r="F1899" s="22" t="str">
        <f t="shared" si="2"/>
        <v>#REF!</v>
      </c>
      <c r="G1899" s="20" t="str">
        <f t="shared" ref="G1899:I1899" si="5691">#REF!</f>
        <v>#REF!</v>
      </c>
      <c r="H1899" s="20" t="str">
        <f t="shared" si="5691"/>
        <v>#REF!</v>
      </c>
      <c r="I1899" s="20" t="str">
        <f t="shared" si="5691"/>
        <v>#REF!</v>
      </c>
      <c r="J1899" s="20" t="str">
        <f t="shared" si="1272"/>
        <v>#REF!</v>
      </c>
      <c r="K1899" s="20" t="str">
        <f t="shared" ref="K1899:L1899" si="5692">#REF!</f>
        <v>#REF!</v>
      </c>
      <c r="L1899" s="20" t="str">
        <f t="shared" si="5692"/>
        <v>#REF!</v>
      </c>
    </row>
    <row r="1900">
      <c r="A1900" s="20" t="str">
        <f t="shared" si="1267"/>
        <v>#REF!</v>
      </c>
      <c r="B1900" s="20" t="str">
        <f t="shared" si="1268"/>
        <v>#REF!</v>
      </c>
      <c r="C1900" s="20" t="str">
        <f t="shared" ref="C1900:D1900" si="5693">#REF!</f>
        <v>#REF!</v>
      </c>
      <c r="D1900" s="20" t="str">
        <f t="shared" si="5693"/>
        <v>#REF!</v>
      </c>
      <c r="E1900" s="20" t="str">
        <f t="shared" si="1270"/>
        <v>#REF!</v>
      </c>
      <c r="F1900" s="22" t="str">
        <f t="shared" si="2"/>
        <v>#REF!</v>
      </c>
      <c r="G1900" s="20" t="str">
        <f t="shared" ref="G1900:I1900" si="5694">#REF!</f>
        <v>#REF!</v>
      </c>
      <c r="H1900" s="20" t="str">
        <f t="shared" si="5694"/>
        <v>#REF!</v>
      </c>
      <c r="I1900" s="20" t="str">
        <f t="shared" si="5694"/>
        <v>#REF!</v>
      </c>
      <c r="J1900" s="20" t="str">
        <f t="shared" si="1272"/>
        <v>#REF!</v>
      </c>
      <c r="K1900" s="20" t="str">
        <f t="shared" ref="K1900:L1900" si="5695">#REF!</f>
        <v>#REF!</v>
      </c>
      <c r="L1900" s="20" t="str">
        <f t="shared" si="5695"/>
        <v>#REF!</v>
      </c>
    </row>
    <row r="1901">
      <c r="A1901" s="20" t="str">
        <f t="shared" si="1267"/>
        <v>#REF!</v>
      </c>
      <c r="B1901" s="20" t="str">
        <f t="shared" si="1268"/>
        <v>#REF!</v>
      </c>
      <c r="C1901" s="20" t="str">
        <f t="shared" ref="C1901:D1901" si="5696">#REF!</f>
        <v>#REF!</v>
      </c>
      <c r="D1901" s="20" t="str">
        <f t="shared" si="5696"/>
        <v>#REF!</v>
      </c>
      <c r="E1901" s="20" t="str">
        <f t="shared" si="1270"/>
        <v>#REF!</v>
      </c>
      <c r="F1901" s="22" t="str">
        <f t="shared" si="2"/>
        <v>#REF!</v>
      </c>
      <c r="G1901" s="20" t="str">
        <f t="shared" ref="G1901:I1901" si="5697">#REF!</f>
        <v>#REF!</v>
      </c>
      <c r="H1901" s="20" t="str">
        <f t="shared" si="5697"/>
        <v>#REF!</v>
      </c>
      <c r="I1901" s="20" t="str">
        <f t="shared" si="5697"/>
        <v>#REF!</v>
      </c>
      <c r="J1901" s="20" t="str">
        <f t="shared" si="1272"/>
        <v>#REF!</v>
      </c>
      <c r="K1901" s="20" t="str">
        <f t="shared" ref="K1901:L1901" si="5698">#REF!</f>
        <v>#REF!</v>
      </c>
      <c r="L1901" s="20" t="str">
        <f t="shared" si="5698"/>
        <v>#REF!</v>
      </c>
    </row>
    <row r="1902">
      <c r="A1902" s="20" t="str">
        <f t="shared" si="1267"/>
        <v>#REF!</v>
      </c>
      <c r="B1902" s="20" t="str">
        <f t="shared" si="1268"/>
        <v>#REF!</v>
      </c>
      <c r="C1902" s="20" t="str">
        <f t="shared" ref="C1902:D1902" si="5699">#REF!</f>
        <v>#REF!</v>
      </c>
      <c r="D1902" s="20" t="str">
        <f t="shared" si="5699"/>
        <v>#REF!</v>
      </c>
      <c r="E1902" s="20" t="str">
        <f t="shared" si="1270"/>
        <v>#REF!</v>
      </c>
      <c r="F1902" s="22" t="str">
        <f t="shared" si="2"/>
        <v>#REF!</v>
      </c>
      <c r="G1902" s="20" t="str">
        <f t="shared" ref="G1902:I1902" si="5700">#REF!</f>
        <v>#REF!</v>
      </c>
      <c r="H1902" s="20" t="str">
        <f t="shared" si="5700"/>
        <v>#REF!</v>
      </c>
      <c r="I1902" s="20" t="str">
        <f t="shared" si="5700"/>
        <v>#REF!</v>
      </c>
      <c r="J1902" s="20" t="str">
        <f t="shared" si="1272"/>
        <v>#REF!</v>
      </c>
      <c r="K1902" s="20" t="str">
        <f t="shared" ref="K1902:L1902" si="5701">#REF!</f>
        <v>#REF!</v>
      </c>
      <c r="L1902" s="20" t="str">
        <f t="shared" si="5701"/>
        <v>#REF!</v>
      </c>
    </row>
    <row r="1903">
      <c r="A1903" s="20" t="str">
        <f t="shared" si="1267"/>
        <v>#REF!</v>
      </c>
      <c r="B1903" s="20" t="str">
        <f t="shared" si="1268"/>
        <v>#REF!</v>
      </c>
      <c r="C1903" s="20" t="str">
        <f t="shared" ref="C1903:D1903" si="5702">#REF!</f>
        <v>#REF!</v>
      </c>
      <c r="D1903" s="20" t="str">
        <f t="shared" si="5702"/>
        <v>#REF!</v>
      </c>
      <c r="E1903" s="20" t="str">
        <f t="shared" si="1270"/>
        <v>#REF!</v>
      </c>
      <c r="F1903" s="22" t="str">
        <f t="shared" si="2"/>
        <v>#REF!</v>
      </c>
      <c r="G1903" s="20" t="str">
        <f t="shared" ref="G1903:I1903" si="5703">#REF!</f>
        <v>#REF!</v>
      </c>
      <c r="H1903" s="20" t="str">
        <f t="shared" si="5703"/>
        <v>#REF!</v>
      </c>
      <c r="I1903" s="20" t="str">
        <f t="shared" si="5703"/>
        <v>#REF!</v>
      </c>
      <c r="J1903" s="20" t="str">
        <f t="shared" si="1272"/>
        <v>#REF!</v>
      </c>
      <c r="K1903" s="20" t="str">
        <f t="shared" ref="K1903:L1903" si="5704">#REF!</f>
        <v>#REF!</v>
      </c>
      <c r="L1903" s="20" t="str">
        <f t="shared" si="5704"/>
        <v>#REF!</v>
      </c>
    </row>
    <row r="1904">
      <c r="A1904" s="20" t="str">
        <f t="shared" si="1267"/>
        <v>#REF!</v>
      </c>
      <c r="B1904" s="20" t="str">
        <f t="shared" si="1268"/>
        <v>#REF!</v>
      </c>
      <c r="C1904" s="20" t="str">
        <f t="shared" ref="C1904:D1904" si="5705">#REF!</f>
        <v>#REF!</v>
      </c>
      <c r="D1904" s="20" t="str">
        <f t="shared" si="5705"/>
        <v>#REF!</v>
      </c>
      <c r="E1904" s="20" t="str">
        <f t="shared" si="1270"/>
        <v>#REF!</v>
      </c>
      <c r="F1904" s="22" t="str">
        <f t="shared" si="2"/>
        <v>#REF!</v>
      </c>
      <c r="G1904" s="20" t="str">
        <f t="shared" ref="G1904:I1904" si="5706">#REF!</f>
        <v>#REF!</v>
      </c>
      <c r="H1904" s="20" t="str">
        <f t="shared" si="5706"/>
        <v>#REF!</v>
      </c>
      <c r="I1904" s="20" t="str">
        <f t="shared" si="5706"/>
        <v>#REF!</v>
      </c>
      <c r="J1904" s="20" t="str">
        <f t="shared" si="1272"/>
        <v>#REF!</v>
      </c>
      <c r="K1904" s="20" t="str">
        <f t="shared" ref="K1904:L1904" si="5707">#REF!</f>
        <v>#REF!</v>
      </c>
      <c r="L1904" s="20" t="str">
        <f t="shared" si="5707"/>
        <v>#REF!</v>
      </c>
    </row>
    <row r="1905">
      <c r="A1905" s="20" t="str">
        <f t="shared" si="1267"/>
        <v>#REF!</v>
      </c>
      <c r="B1905" s="20" t="str">
        <f t="shared" si="1268"/>
        <v>#REF!</v>
      </c>
      <c r="C1905" s="20" t="str">
        <f t="shared" ref="C1905:D1905" si="5708">#REF!</f>
        <v>#REF!</v>
      </c>
      <c r="D1905" s="20" t="str">
        <f t="shared" si="5708"/>
        <v>#REF!</v>
      </c>
      <c r="E1905" s="20" t="str">
        <f t="shared" si="1270"/>
        <v>#REF!</v>
      </c>
      <c r="F1905" s="22" t="str">
        <f t="shared" si="2"/>
        <v>#REF!</v>
      </c>
      <c r="G1905" s="20" t="str">
        <f t="shared" ref="G1905:I1905" si="5709">#REF!</f>
        <v>#REF!</v>
      </c>
      <c r="H1905" s="20" t="str">
        <f t="shared" si="5709"/>
        <v>#REF!</v>
      </c>
      <c r="I1905" s="20" t="str">
        <f t="shared" si="5709"/>
        <v>#REF!</v>
      </c>
      <c r="J1905" s="20" t="str">
        <f t="shared" si="1272"/>
        <v>#REF!</v>
      </c>
      <c r="K1905" s="20" t="str">
        <f t="shared" ref="K1905:L1905" si="5710">#REF!</f>
        <v>#REF!</v>
      </c>
      <c r="L1905" s="20" t="str">
        <f t="shared" si="5710"/>
        <v>#REF!</v>
      </c>
    </row>
    <row r="1906">
      <c r="A1906" s="20" t="str">
        <f t="shared" si="1267"/>
        <v>#REF!</v>
      </c>
      <c r="B1906" s="20" t="str">
        <f t="shared" si="1268"/>
        <v>#REF!</v>
      </c>
      <c r="C1906" s="20" t="str">
        <f t="shared" ref="C1906:D1906" si="5711">#REF!</f>
        <v>#REF!</v>
      </c>
      <c r="D1906" s="20" t="str">
        <f t="shared" si="5711"/>
        <v>#REF!</v>
      </c>
      <c r="E1906" s="20" t="str">
        <f t="shared" si="1270"/>
        <v>#REF!</v>
      </c>
      <c r="F1906" s="22" t="str">
        <f t="shared" si="2"/>
        <v>#REF!</v>
      </c>
      <c r="G1906" s="20" t="str">
        <f t="shared" ref="G1906:I1906" si="5712">#REF!</f>
        <v>#REF!</v>
      </c>
      <c r="H1906" s="20" t="str">
        <f t="shared" si="5712"/>
        <v>#REF!</v>
      </c>
      <c r="I1906" s="20" t="str">
        <f t="shared" si="5712"/>
        <v>#REF!</v>
      </c>
      <c r="J1906" s="20" t="str">
        <f t="shared" si="1272"/>
        <v>#REF!</v>
      </c>
      <c r="K1906" s="20" t="str">
        <f t="shared" ref="K1906:L1906" si="5713">#REF!</f>
        <v>#REF!</v>
      </c>
      <c r="L1906" s="20" t="str">
        <f t="shared" si="5713"/>
        <v>#REF!</v>
      </c>
    </row>
    <row r="1907">
      <c r="A1907" s="20" t="str">
        <f t="shared" si="1267"/>
        <v>#REF!</v>
      </c>
      <c r="B1907" s="20" t="str">
        <f t="shared" si="1268"/>
        <v>#REF!</v>
      </c>
      <c r="C1907" s="20" t="str">
        <f t="shared" ref="C1907:D1907" si="5714">#REF!</f>
        <v>#REF!</v>
      </c>
      <c r="D1907" s="20" t="str">
        <f t="shared" si="5714"/>
        <v>#REF!</v>
      </c>
      <c r="E1907" s="20" t="str">
        <f t="shared" si="1270"/>
        <v>#REF!</v>
      </c>
      <c r="F1907" s="22" t="str">
        <f t="shared" si="2"/>
        <v>#REF!</v>
      </c>
      <c r="G1907" s="20" t="str">
        <f t="shared" ref="G1907:I1907" si="5715">#REF!</f>
        <v>#REF!</v>
      </c>
      <c r="H1907" s="20" t="str">
        <f t="shared" si="5715"/>
        <v>#REF!</v>
      </c>
      <c r="I1907" s="20" t="str">
        <f t="shared" si="5715"/>
        <v>#REF!</v>
      </c>
      <c r="J1907" s="20" t="str">
        <f t="shared" si="1272"/>
        <v>#REF!</v>
      </c>
      <c r="K1907" s="20" t="str">
        <f t="shared" ref="K1907:L1907" si="5716">#REF!</f>
        <v>#REF!</v>
      </c>
      <c r="L1907" s="20" t="str">
        <f t="shared" si="5716"/>
        <v>#REF!</v>
      </c>
    </row>
    <row r="1908">
      <c r="A1908" s="20" t="str">
        <f t="shared" si="1267"/>
        <v>#REF!</v>
      </c>
      <c r="B1908" s="20" t="str">
        <f t="shared" si="1268"/>
        <v>#REF!</v>
      </c>
      <c r="C1908" s="20" t="str">
        <f t="shared" ref="C1908:D1908" si="5717">#REF!</f>
        <v>#REF!</v>
      </c>
      <c r="D1908" s="20" t="str">
        <f t="shared" si="5717"/>
        <v>#REF!</v>
      </c>
      <c r="E1908" s="20" t="str">
        <f t="shared" si="1270"/>
        <v>#REF!</v>
      </c>
      <c r="F1908" s="22" t="str">
        <f t="shared" si="2"/>
        <v>#REF!</v>
      </c>
      <c r="G1908" s="20" t="str">
        <f t="shared" ref="G1908:I1908" si="5718">#REF!</f>
        <v>#REF!</v>
      </c>
      <c r="H1908" s="20" t="str">
        <f t="shared" si="5718"/>
        <v>#REF!</v>
      </c>
      <c r="I1908" s="20" t="str">
        <f t="shared" si="5718"/>
        <v>#REF!</v>
      </c>
      <c r="J1908" s="20" t="str">
        <f t="shared" si="1272"/>
        <v>#REF!</v>
      </c>
      <c r="K1908" s="20" t="str">
        <f t="shared" ref="K1908:L1908" si="5719">#REF!</f>
        <v>#REF!</v>
      </c>
      <c r="L1908" s="20" t="str">
        <f t="shared" si="5719"/>
        <v>#REF!</v>
      </c>
    </row>
    <row r="1909">
      <c r="A1909" s="20" t="str">
        <f t="shared" si="1267"/>
        <v>#REF!</v>
      </c>
      <c r="B1909" s="20" t="str">
        <f t="shared" si="1268"/>
        <v>#REF!</v>
      </c>
      <c r="C1909" s="20" t="str">
        <f t="shared" ref="C1909:D1909" si="5720">#REF!</f>
        <v>#REF!</v>
      </c>
      <c r="D1909" s="20" t="str">
        <f t="shared" si="5720"/>
        <v>#REF!</v>
      </c>
      <c r="E1909" s="20" t="str">
        <f t="shared" si="1270"/>
        <v>#REF!</v>
      </c>
      <c r="F1909" s="22" t="str">
        <f t="shared" si="2"/>
        <v>#REF!</v>
      </c>
      <c r="G1909" s="20" t="str">
        <f t="shared" ref="G1909:I1909" si="5721">#REF!</f>
        <v>#REF!</v>
      </c>
      <c r="H1909" s="20" t="str">
        <f t="shared" si="5721"/>
        <v>#REF!</v>
      </c>
      <c r="I1909" s="20" t="str">
        <f t="shared" si="5721"/>
        <v>#REF!</v>
      </c>
      <c r="J1909" s="20" t="str">
        <f t="shared" si="1272"/>
        <v>#REF!</v>
      </c>
      <c r="K1909" s="20" t="str">
        <f t="shared" ref="K1909:L1909" si="5722">#REF!</f>
        <v>#REF!</v>
      </c>
      <c r="L1909" s="20" t="str">
        <f t="shared" si="5722"/>
        <v>#REF!</v>
      </c>
    </row>
    <row r="1910">
      <c r="A1910" s="20" t="str">
        <f t="shared" si="1267"/>
        <v>#REF!</v>
      </c>
      <c r="B1910" s="20" t="str">
        <f t="shared" si="1268"/>
        <v>#REF!</v>
      </c>
      <c r="C1910" s="20" t="str">
        <f t="shared" ref="C1910:D1910" si="5723">#REF!</f>
        <v>#REF!</v>
      </c>
      <c r="D1910" s="20" t="str">
        <f t="shared" si="5723"/>
        <v>#REF!</v>
      </c>
      <c r="E1910" s="20" t="str">
        <f t="shared" si="1270"/>
        <v>#REF!</v>
      </c>
      <c r="F1910" s="22" t="str">
        <f t="shared" si="2"/>
        <v>#REF!</v>
      </c>
      <c r="G1910" s="20" t="str">
        <f t="shared" ref="G1910:I1910" si="5724">#REF!</f>
        <v>#REF!</v>
      </c>
      <c r="H1910" s="20" t="str">
        <f t="shared" si="5724"/>
        <v>#REF!</v>
      </c>
      <c r="I1910" s="20" t="str">
        <f t="shared" si="5724"/>
        <v>#REF!</v>
      </c>
      <c r="J1910" s="20" t="str">
        <f t="shared" si="1272"/>
        <v>#REF!</v>
      </c>
      <c r="K1910" s="20" t="str">
        <f t="shared" ref="K1910:L1910" si="5725">#REF!</f>
        <v>#REF!</v>
      </c>
      <c r="L1910" s="20" t="str">
        <f t="shared" si="5725"/>
        <v>#REF!</v>
      </c>
    </row>
    <row r="1911">
      <c r="A1911" s="20" t="str">
        <f t="shared" si="1267"/>
        <v>#REF!</v>
      </c>
      <c r="B1911" s="20" t="str">
        <f t="shared" si="1268"/>
        <v>#REF!</v>
      </c>
      <c r="C1911" s="20" t="str">
        <f t="shared" ref="C1911:D1911" si="5726">#REF!</f>
        <v>#REF!</v>
      </c>
      <c r="D1911" s="20" t="str">
        <f t="shared" si="5726"/>
        <v>#REF!</v>
      </c>
      <c r="E1911" s="20" t="str">
        <f t="shared" si="1270"/>
        <v>#REF!</v>
      </c>
      <c r="F1911" s="22" t="str">
        <f t="shared" si="2"/>
        <v>#REF!</v>
      </c>
      <c r="G1911" s="20" t="str">
        <f t="shared" ref="G1911:I1911" si="5727">#REF!</f>
        <v>#REF!</v>
      </c>
      <c r="H1911" s="20" t="str">
        <f t="shared" si="5727"/>
        <v>#REF!</v>
      </c>
      <c r="I1911" s="20" t="str">
        <f t="shared" si="5727"/>
        <v>#REF!</v>
      </c>
      <c r="J1911" s="20" t="str">
        <f t="shared" si="1272"/>
        <v>#REF!</v>
      </c>
      <c r="K1911" s="20" t="str">
        <f t="shared" ref="K1911:L1911" si="5728">#REF!</f>
        <v>#REF!</v>
      </c>
      <c r="L1911" s="20" t="str">
        <f t="shared" si="5728"/>
        <v>#REF!</v>
      </c>
    </row>
    <row r="1912">
      <c r="A1912" s="20" t="str">
        <f t="shared" si="1267"/>
        <v>#REF!</v>
      </c>
      <c r="B1912" s="20" t="str">
        <f t="shared" si="1268"/>
        <v>#REF!</v>
      </c>
      <c r="C1912" s="20" t="str">
        <f t="shared" ref="C1912:D1912" si="5729">#REF!</f>
        <v>#REF!</v>
      </c>
      <c r="D1912" s="20" t="str">
        <f t="shared" si="5729"/>
        <v>#REF!</v>
      </c>
      <c r="E1912" s="20" t="str">
        <f t="shared" si="1270"/>
        <v>#REF!</v>
      </c>
      <c r="F1912" s="22" t="str">
        <f t="shared" si="2"/>
        <v>#REF!</v>
      </c>
      <c r="G1912" s="20" t="str">
        <f t="shared" ref="G1912:I1912" si="5730">#REF!</f>
        <v>#REF!</v>
      </c>
      <c r="H1912" s="20" t="str">
        <f t="shared" si="5730"/>
        <v>#REF!</v>
      </c>
      <c r="I1912" s="20" t="str">
        <f t="shared" si="5730"/>
        <v>#REF!</v>
      </c>
      <c r="J1912" s="20" t="str">
        <f t="shared" si="1272"/>
        <v>#REF!</v>
      </c>
      <c r="K1912" s="20" t="str">
        <f t="shared" ref="K1912:L1912" si="5731">#REF!</f>
        <v>#REF!</v>
      </c>
      <c r="L1912" s="20" t="str">
        <f t="shared" si="5731"/>
        <v>#REF!</v>
      </c>
    </row>
    <row r="1913">
      <c r="A1913" s="20" t="str">
        <f t="shared" si="1267"/>
        <v>#REF!</v>
      </c>
      <c r="B1913" s="20" t="str">
        <f t="shared" si="1268"/>
        <v>#REF!</v>
      </c>
      <c r="C1913" s="20" t="str">
        <f t="shared" ref="C1913:D1913" si="5732">#REF!</f>
        <v>#REF!</v>
      </c>
      <c r="D1913" s="20" t="str">
        <f t="shared" si="5732"/>
        <v>#REF!</v>
      </c>
      <c r="E1913" s="20" t="str">
        <f t="shared" si="1270"/>
        <v>#REF!</v>
      </c>
      <c r="F1913" s="22" t="str">
        <f t="shared" si="2"/>
        <v>#REF!</v>
      </c>
      <c r="G1913" s="20" t="str">
        <f t="shared" ref="G1913:I1913" si="5733">#REF!</f>
        <v>#REF!</v>
      </c>
      <c r="H1913" s="20" t="str">
        <f t="shared" si="5733"/>
        <v>#REF!</v>
      </c>
      <c r="I1913" s="20" t="str">
        <f t="shared" si="5733"/>
        <v>#REF!</v>
      </c>
      <c r="J1913" s="20" t="str">
        <f t="shared" si="1272"/>
        <v>#REF!</v>
      </c>
      <c r="K1913" s="20" t="str">
        <f t="shared" ref="K1913:L1913" si="5734">#REF!</f>
        <v>#REF!</v>
      </c>
      <c r="L1913" s="20" t="str">
        <f t="shared" si="5734"/>
        <v>#REF!</v>
      </c>
    </row>
    <row r="1914">
      <c r="A1914" s="20" t="str">
        <f t="shared" si="1267"/>
        <v>#REF!</v>
      </c>
      <c r="B1914" s="20" t="str">
        <f t="shared" si="1268"/>
        <v>#REF!</v>
      </c>
      <c r="C1914" s="20" t="str">
        <f t="shared" ref="C1914:D1914" si="5735">#REF!</f>
        <v>#REF!</v>
      </c>
      <c r="D1914" s="20" t="str">
        <f t="shared" si="5735"/>
        <v>#REF!</v>
      </c>
      <c r="E1914" s="20" t="str">
        <f t="shared" si="1270"/>
        <v>#REF!</v>
      </c>
      <c r="F1914" s="22" t="str">
        <f t="shared" si="2"/>
        <v>#REF!</v>
      </c>
      <c r="G1914" s="20" t="str">
        <f t="shared" ref="G1914:I1914" si="5736">#REF!</f>
        <v>#REF!</v>
      </c>
      <c r="H1914" s="20" t="str">
        <f t="shared" si="5736"/>
        <v>#REF!</v>
      </c>
      <c r="I1914" s="20" t="str">
        <f t="shared" si="5736"/>
        <v>#REF!</v>
      </c>
      <c r="J1914" s="20" t="str">
        <f t="shared" si="1272"/>
        <v>#REF!</v>
      </c>
      <c r="K1914" s="20" t="str">
        <f t="shared" ref="K1914:L1914" si="5737">#REF!</f>
        <v>#REF!</v>
      </c>
      <c r="L1914" s="20" t="str">
        <f t="shared" si="5737"/>
        <v>#REF!</v>
      </c>
    </row>
    <row r="1915">
      <c r="A1915" s="20" t="str">
        <f t="shared" si="1267"/>
        <v>#REF!</v>
      </c>
      <c r="B1915" s="20" t="str">
        <f t="shared" si="1268"/>
        <v>#REF!</v>
      </c>
      <c r="C1915" s="20" t="str">
        <f t="shared" ref="C1915:D1915" si="5738">#REF!</f>
        <v>#REF!</v>
      </c>
      <c r="D1915" s="20" t="str">
        <f t="shared" si="5738"/>
        <v>#REF!</v>
      </c>
      <c r="E1915" s="20" t="str">
        <f t="shared" si="1270"/>
        <v>#REF!</v>
      </c>
      <c r="F1915" s="22" t="str">
        <f t="shared" si="2"/>
        <v>#REF!</v>
      </c>
      <c r="G1915" s="20" t="str">
        <f t="shared" ref="G1915:I1915" si="5739">#REF!</f>
        <v>#REF!</v>
      </c>
      <c r="H1915" s="20" t="str">
        <f t="shared" si="5739"/>
        <v>#REF!</v>
      </c>
      <c r="I1915" s="20" t="str">
        <f t="shared" si="5739"/>
        <v>#REF!</v>
      </c>
      <c r="J1915" s="20" t="str">
        <f t="shared" si="1272"/>
        <v>#REF!</v>
      </c>
      <c r="K1915" s="20" t="str">
        <f t="shared" ref="K1915:L1915" si="5740">#REF!</f>
        <v>#REF!</v>
      </c>
      <c r="L1915" s="20" t="str">
        <f t="shared" si="5740"/>
        <v>#REF!</v>
      </c>
    </row>
    <row r="1916">
      <c r="A1916" s="20" t="str">
        <f t="shared" si="1267"/>
        <v>#REF!</v>
      </c>
      <c r="B1916" s="20" t="str">
        <f t="shared" si="1268"/>
        <v>#REF!</v>
      </c>
      <c r="C1916" s="20" t="str">
        <f t="shared" ref="C1916:D1916" si="5741">#REF!</f>
        <v>#REF!</v>
      </c>
      <c r="D1916" s="20" t="str">
        <f t="shared" si="5741"/>
        <v>#REF!</v>
      </c>
      <c r="E1916" s="20" t="str">
        <f t="shared" si="1270"/>
        <v>#REF!</v>
      </c>
      <c r="F1916" s="22" t="str">
        <f t="shared" si="2"/>
        <v>#REF!</v>
      </c>
      <c r="G1916" s="20" t="str">
        <f t="shared" ref="G1916:I1916" si="5742">#REF!</f>
        <v>#REF!</v>
      </c>
      <c r="H1916" s="20" t="str">
        <f t="shared" si="5742"/>
        <v>#REF!</v>
      </c>
      <c r="I1916" s="20" t="str">
        <f t="shared" si="5742"/>
        <v>#REF!</v>
      </c>
      <c r="J1916" s="20" t="str">
        <f t="shared" si="1272"/>
        <v>#REF!</v>
      </c>
      <c r="K1916" s="20" t="str">
        <f t="shared" ref="K1916:L1916" si="5743">#REF!</f>
        <v>#REF!</v>
      </c>
      <c r="L1916" s="20" t="str">
        <f t="shared" si="5743"/>
        <v>#REF!</v>
      </c>
    </row>
    <row r="1917">
      <c r="A1917" s="20" t="str">
        <f t="shared" si="1267"/>
        <v>#REF!</v>
      </c>
      <c r="B1917" s="20" t="str">
        <f t="shared" si="1268"/>
        <v>#REF!</v>
      </c>
      <c r="C1917" s="20" t="str">
        <f t="shared" ref="C1917:D1917" si="5744">#REF!</f>
        <v>#REF!</v>
      </c>
      <c r="D1917" s="20" t="str">
        <f t="shared" si="5744"/>
        <v>#REF!</v>
      </c>
      <c r="E1917" s="20" t="str">
        <f t="shared" si="1270"/>
        <v>#REF!</v>
      </c>
      <c r="F1917" s="22" t="str">
        <f t="shared" si="2"/>
        <v>#REF!</v>
      </c>
      <c r="G1917" s="20" t="str">
        <f t="shared" ref="G1917:I1917" si="5745">#REF!</f>
        <v>#REF!</v>
      </c>
      <c r="H1917" s="20" t="str">
        <f t="shared" si="5745"/>
        <v>#REF!</v>
      </c>
      <c r="I1917" s="20" t="str">
        <f t="shared" si="5745"/>
        <v>#REF!</v>
      </c>
      <c r="J1917" s="20" t="str">
        <f t="shared" si="1272"/>
        <v>#REF!</v>
      </c>
      <c r="K1917" s="20" t="str">
        <f t="shared" ref="K1917:L1917" si="5746">#REF!</f>
        <v>#REF!</v>
      </c>
      <c r="L1917" s="20" t="str">
        <f t="shared" si="5746"/>
        <v>#REF!</v>
      </c>
    </row>
    <row r="1918">
      <c r="A1918" s="20" t="str">
        <f t="shared" si="1267"/>
        <v>#REF!</v>
      </c>
      <c r="B1918" s="20" t="str">
        <f t="shared" si="1268"/>
        <v>#REF!</v>
      </c>
      <c r="C1918" s="20" t="str">
        <f t="shared" ref="C1918:D1918" si="5747">#REF!</f>
        <v>#REF!</v>
      </c>
      <c r="D1918" s="20" t="str">
        <f t="shared" si="5747"/>
        <v>#REF!</v>
      </c>
      <c r="E1918" s="20" t="str">
        <f t="shared" si="1270"/>
        <v>#REF!</v>
      </c>
      <c r="F1918" s="22" t="str">
        <f t="shared" si="2"/>
        <v>#REF!</v>
      </c>
      <c r="G1918" s="20" t="str">
        <f t="shared" ref="G1918:I1918" si="5748">#REF!</f>
        <v>#REF!</v>
      </c>
      <c r="H1918" s="20" t="str">
        <f t="shared" si="5748"/>
        <v>#REF!</v>
      </c>
      <c r="I1918" s="20" t="str">
        <f t="shared" si="5748"/>
        <v>#REF!</v>
      </c>
      <c r="J1918" s="20" t="str">
        <f t="shared" si="1272"/>
        <v>#REF!</v>
      </c>
      <c r="K1918" s="20" t="str">
        <f t="shared" ref="K1918:L1918" si="5749">#REF!</f>
        <v>#REF!</v>
      </c>
      <c r="L1918" s="20" t="str">
        <f t="shared" si="5749"/>
        <v>#REF!</v>
      </c>
    </row>
    <row r="1919">
      <c r="A1919" s="20" t="str">
        <f t="shared" si="1267"/>
        <v>#REF!</v>
      </c>
      <c r="B1919" s="20" t="str">
        <f t="shared" si="1268"/>
        <v>#REF!</v>
      </c>
      <c r="C1919" s="20" t="str">
        <f t="shared" ref="C1919:D1919" si="5750">#REF!</f>
        <v>#REF!</v>
      </c>
      <c r="D1919" s="20" t="str">
        <f t="shared" si="5750"/>
        <v>#REF!</v>
      </c>
      <c r="E1919" s="20" t="str">
        <f t="shared" si="1270"/>
        <v>#REF!</v>
      </c>
      <c r="F1919" s="22" t="str">
        <f t="shared" si="2"/>
        <v>#REF!</v>
      </c>
      <c r="G1919" s="20" t="str">
        <f t="shared" ref="G1919:I1919" si="5751">#REF!</f>
        <v>#REF!</v>
      </c>
      <c r="H1919" s="20" t="str">
        <f t="shared" si="5751"/>
        <v>#REF!</v>
      </c>
      <c r="I1919" s="20" t="str">
        <f t="shared" si="5751"/>
        <v>#REF!</v>
      </c>
      <c r="J1919" s="20" t="str">
        <f t="shared" si="1272"/>
        <v>#REF!</v>
      </c>
      <c r="K1919" s="20" t="str">
        <f t="shared" ref="K1919:L1919" si="5752">#REF!</f>
        <v>#REF!</v>
      </c>
      <c r="L1919" s="20" t="str">
        <f t="shared" si="5752"/>
        <v>#REF!</v>
      </c>
    </row>
    <row r="1920">
      <c r="A1920" s="20" t="str">
        <f t="shared" si="1267"/>
        <v>#REF!</v>
      </c>
      <c r="B1920" s="20" t="str">
        <f t="shared" si="1268"/>
        <v>#REF!</v>
      </c>
      <c r="C1920" s="20" t="str">
        <f t="shared" ref="C1920:D1920" si="5753">#REF!</f>
        <v>#REF!</v>
      </c>
      <c r="D1920" s="20" t="str">
        <f t="shared" si="5753"/>
        <v>#REF!</v>
      </c>
      <c r="E1920" s="20" t="str">
        <f t="shared" si="1270"/>
        <v>#REF!</v>
      </c>
      <c r="F1920" s="22" t="str">
        <f t="shared" si="2"/>
        <v>#REF!</v>
      </c>
      <c r="G1920" s="20" t="str">
        <f t="shared" ref="G1920:I1920" si="5754">#REF!</f>
        <v>#REF!</v>
      </c>
      <c r="H1920" s="20" t="str">
        <f t="shared" si="5754"/>
        <v>#REF!</v>
      </c>
      <c r="I1920" s="20" t="str">
        <f t="shared" si="5754"/>
        <v>#REF!</v>
      </c>
      <c r="J1920" s="20" t="str">
        <f t="shared" si="1272"/>
        <v>#REF!</v>
      </c>
      <c r="K1920" s="20" t="str">
        <f t="shared" ref="K1920:L1920" si="5755">#REF!</f>
        <v>#REF!</v>
      </c>
      <c r="L1920" s="20" t="str">
        <f t="shared" si="5755"/>
        <v>#REF!</v>
      </c>
    </row>
    <row r="1921">
      <c r="A1921" s="20" t="str">
        <f t="shared" si="1267"/>
        <v>#REF!</v>
      </c>
      <c r="B1921" s="20" t="str">
        <f t="shared" si="1268"/>
        <v>#REF!</v>
      </c>
      <c r="C1921" s="20" t="str">
        <f t="shared" ref="C1921:D1921" si="5756">#REF!</f>
        <v>#REF!</v>
      </c>
      <c r="D1921" s="20" t="str">
        <f t="shared" si="5756"/>
        <v>#REF!</v>
      </c>
      <c r="E1921" s="20" t="str">
        <f t="shared" si="1270"/>
        <v>#REF!</v>
      </c>
      <c r="F1921" s="22" t="str">
        <f t="shared" si="2"/>
        <v>#REF!</v>
      </c>
      <c r="G1921" s="20" t="str">
        <f t="shared" ref="G1921:I1921" si="5757">#REF!</f>
        <v>#REF!</v>
      </c>
      <c r="H1921" s="20" t="str">
        <f t="shared" si="5757"/>
        <v>#REF!</v>
      </c>
      <c r="I1921" s="20" t="str">
        <f t="shared" si="5757"/>
        <v>#REF!</v>
      </c>
      <c r="J1921" s="20" t="str">
        <f t="shared" si="1272"/>
        <v>#REF!</v>
      </c>
      <c r="K1921" s="20" t="str">
        <f t="shared" ref="K1921:L1921" si="5758">#REF!</f>
        <v>#REF!</v>
      </c>
      <c r="L1921" s="20" t="str">
        <f t="shared" si="5758"/>
        <v>#REF!</v>
      </c>
    </row>
    <row r="1922">
      <c r="A1922" s="20" t="str">
        <f t="shared" si="1267"/>
        <v>#REF!</v>
      </c>
      <c r="B1922" s="20" t="str">
        <f t="shared" si="1268"/>
        <v>#REF!</v>
      </c>
      <c r="C1922" s="20" t="str">
        <f t="shared" ref="C1922:D1922" si="5759">#REF!</f>
        <v>#REF!</v>
      </c>
      <c r="D1922" s="20" t="str">
        <f t="shared" si="5759"/>
        <v>#REF!</v>
      </c>
      <c r="E1922" s="20" t="str">
        <f t="shared" si="1270"/>
        <v>#REF!</v>
      </c>
      <c r="F1922" s="22" t="str">
        <f t="shared" si="2"/>
        <v>#REF!</v>
      </c>
      <c r="G1922" s="20" t="str">
        <f t="shared" ref="G1922:I1922" si="5760">#REF!</f>
        <v>#REF!</v>
      </c>
      <c r="H1922" s="20" t="str">
        <f t="shared" si="5760"/>
        <v>#REF!</v>
      </c>
      <c r="I1922" s="20" t="str">
        <f t="shared" si="5760"/>
        <v>#REF!</v>
      </c>
      <c r="J1922" s="20" t="str">
        <f t="shared" si="1272"/>
        <v>#REF!</v>
      </c>
      <c r="K1922" s="20" t="str">
        <f t="shared" ref="K1922:L1922" si="5761">#REF!</f>
        <v>#REF!</v>
      </c>
      <c r="L1922" s="20" t="str">
        <f t="shared" si="5761"/>
        <v>#REF!</v>
      </c>
    </row>
    <row r="1923">
      <c r="A1923" s="20" t="str">
        <f t="shared" si="1267"/>
        <v>#REF!</v>
      </c>
      <c r="B1923" s="20" t="str">
        <f t="shared" si="1268"/>
        <v>#REF!</v>
      </c>
      <c r="C1923" s="20" t="str">
        <f t="shared" ref="C1923:D1923" si="5762">#REF!</f>
        <v>#REF!</v>
      </c>
      <c r="D1923" s="20" t="str">
        <f t="shared" si="5762"/>
        <v>#REF!</v>
      </c>
      <c r="E1923" s="20" t="str">
        <f t="shared" si="1270"/>
        <v>#REF!</v>
      </c>
      <c r="F1923" s="22" t="str">
        <f t="shared" si="2"/>
        <v>#REF!</v>
      </c>
      <c r="G1923" s="20" t="str">
        <f t="shared" ref="G1923:I1923" si="5763">#REF!</f>
        <v>#REF!</v>
      </c>
      <c r="H1923" s="20" t="str">
        <f t="shared" si="5763"/>
        <v>#REF!</v>
      </c>
      <c r="I1923" s="20" t="str">
        <f t="shared" si="5763"/>
        <v>#REF!</v>
      </c>
      <c r="J1923" s="20" t="str">
        <f t="shared" si="1272"/>
        <v>#REF!</v>
      </c>
      <c r="K1923" s="20" t="str">
        <f t="shared" ref="K1923:L1923" si="5764">#REF!</f>
        <v>#REF!</v>
      </c>
      <c r="L1923" s="20" t="str">
        <f t="shared" si="5764"/>
        <v>#REF!</v>
      </c>
    </row>
    <row r="1924">
      <c r="A1924" s="20" t="str">
        <f t="shared" si="1267"/>
        <v>#REF!</v>
      </c>
      <c r="B1924" s="20" t="str">
        <f t="shared" si="1268"/>
        <v>#REF!</v>
      </c>
      <c r="C1924" s="20" t="str">
        <f t="shared" ref="C1924:D1924" si="5765">#REF!</f>
        <v>#REF!</v>
      </c>
      <c r="D1924" s="20" t="str">
        <f t="shared" si="5765"/>
        <v>#REF!</v>
      </c>
      <c r="E1924" s="20" t="str">
        <f t="shared" si="1270"/>
        <v>#REF!</v>
      </c>
      <c r="F1924" s="22" t="str">
        <f t="shared" si="2"/>
        <v>#REF!</v>
      </c>
      <c r="G1924" s="20" t="str">
        <f t="shared" ref="G1924:I1924" si="5766">#REF!</f>
        <v>#REF!</v>
      </c>
      <c r="H1924" s="20" t="str">
        <f t="shared" si="5766"/>
        <v>#REF!</v>
      </c>
      <c r="I1924" s="20" t="str">
        <f t="shared" si="5766"/>
        <v>#REF!</v>
      </c>
      <c r="J1924" s="20" t="str">
        <f t="shared" si="1272"/>
        <v>#REF!</v>
      </c>
      <c r="K1924" s="20" t="str">
        <f t="shared" ref="K1924:L1924" si="5767">#REF!</f>
        <v>#REF!</v>
      </c>
      <c r="L1924" s="20" t="str">
        <f t="shared" si="5767"/>
        <v>#REF!</v>
      </c>
    </row>
    <row r="1925">
      <c r="A1925" s="20" t="str">
        <f t="shared" si="1267"/>
        <v>#REF!</v>
      </c>
      <c r="B1925" s="20" t="str">
        <f t="shared" si="1268"/>
        <v>#REF!</v>
      </c>
      <c r="C1925" s="20" t="str">
        <f t="shared" ref="C1925:D1925" si="5768">#REF!</f>
        <v>#REF!</v>
      </c>
      <c r="D1925" s="20" t="str">
        <f t="shared" si="5768"/>
        <v>#REF!</v>
      </c>
      <c r="E1925" s="20" t="str">
        <f t="shared" si="1270"/>
        <v>#REF!</v>
      </c>
      <c r="F1925" s="22" t="str">
        <f t="shared" si="2"/>
        <v>#REF!</v>
      </c>
      <c r="G1925" s="20" t="str">
        <f t="shared" ref="G1925:I1925" si="5769">#REF!</f>
        <v>#REF!</v>
      </c>
      <c r="H1925" s="20" t="str">
        <f t="shared" si="5769"/>
        <v>#REF!</v>
      </c>
      <c r="I1925" s="20" t="str">
        <f t="shared" si="5769"/>
        <v>#REF!</v>
      </c>
      <c r="J1925" s="20" t="str">
        <f t="shared" si="1272"/>
        <v>#REF!</v>
      </c>
      <c r="K1925" s="20" t="str">
        <f t="shared" ref="K1925:L1925" si="5770">#REF!</f>
        <v>#REF!</v>
      </c>
      <c r="L1925" s="20" t="str">
        <f t="shared" si="5770"/>
        <v>#REF!</v>
      </c>
    </row>
    <row r="1926">
      <c r="A1926" s="20" t="str">
        <f t="shared" si="1267"/>
        <v>#REF!</v>
      </c>
      <c r="B1926" s="20" t="str">
        <f t="shared" si="1268"/>
        <v>#REF!</v>
      </c>
      <c r="C1926" s="20" t="str">
        <f t="shared" ref="C1926:D1926" si="5771">#REF!</f>
        <v>#REF!</v>
      </c>
      <c r="D1926" s="20" t="str">
        <f t="shared" si="5771"/>
        <v>#REF!</v>
      </c>
      <c r="E1926" s="20" t="str">
        <f t="shared" si="1270"/>
        <v>#REF!</v>
      </c>
      <c r="F1926" s="22" t="str">
        <f t="shared" si="2"/>
        <v>#REF!</v>
      </c>
      <c r="G1926" s="20" t="str">
        <f t="shared" ref="G1926:I1926" si="5772">#REF!</f>
        <v>#REF!</v>
      </c>
      <c r="H1926" s="20" t="str">
        <f t="shared" si="5772"/>
        <v>#REF!</v>
      </c>
      <c r="I1926" s="20" t="str">
        <f t="shared" si="5772"/>
        <v>#REF!</v>
      </c>
      <c r="J1926" s="20" t="str">
        <f t="shared" si="1272"/>
        <v>#REF!</v>
      </c>
      <c r="K1926" s="20" t="str">
        <f t="shared" ref="K1926:L1926" si="5773">#REF!</f>
        <v>#REF!</v>
      </c>
      <c r="L1926" s="20" t="str">
        <f t="shared" si="5773"/>
        <v>#REF!</v>
      </c>
    </row>
    <row r="1927">
      <c r="A1927" s="20" t="str">
        <f t="shared" si="1267"/>
        <v>#REF!</v>
      </c>
      <c r="B1927" s="20" t="str">
        <f t="shared" si="1268"/>
        <v>#REF!</v>
      </c>
      <c r="C1927" s="20" t="str">
        <f t="shared" ref="C1927:D1927" si="5774">#REF!</f>
        <v>#REF!</v>
      </c>
      <c r="D1927" s="20" t="str">
        <f t="shared" si="5774"/>
        <v>#REF!</v>
      </c>
      <c r="E1927" s="20" t="str">
        <f t="shared" si="1270"/>
        <v>#REF!</v>
      </c>
      <c r="F1927" s="22" t="str">
        <f t="shared" si="2"/>
        <v>#REF!</v>
      </c>
      <c r="G1927" s="20" t="str">
        <f t="shared" ref="G1927:I1927" si="5775">#REF!</f>
        <v>#REF!</v>
      </c>
      <c r="H1927" s="20" t="str">
        <f t="shared" si="5775"/>
        <v>#REF!</v>
      </c>
      <c r="I1927" s="20" t="str">
        <f t="shared" si="5775"/>
        <v>#REF!</v>
      </c>
      <c r="J1927" s="20" t="str">
        <f t="shared" si="1272"/>
        <v>#REF!</v>
      </c>
      <c r="K1927" s="20" t="str">
        <f t="shared" ref="K1927:L1927" si="5776">#REF!</f>
        <v>#REF!</v>
      </c>
      <c r="L1927" s="20" t="str">
        <f t="shared" si="5776"/>
        <v>#REF!</v>
      </c>
    </row>
    <row r="1928">
      <c r="A1928" s="20" t="str">
        <f t="shared" si="1267"/>
        <v>#REF!</v>
      </c>
      <c r="B1928" s="20" t="str">
        <f t="shared" si="1268"/>
        <v>#REF!</v>
      </c>
      <c r="C1928" s="20" t="str">
        <f t="shared" ref="C1928:D1928" si="5777">#REF!</f>
        <v>#REF!</v>
      </c>
      <c r="D1928" s="20" t="str">
        <f t="shared" si="5777"/>
        <v>#REF!</v>
      </c>
      <c r="E1928" s="20" t="str">
        <f t="shared" si="1270"/>
        <v>#REF!</v>
      </c>
      <c r="F1928" s="22" t="str">
        <f t="shared" si="2"/>
        <v>#REF!</v>
      </c>
      <c r="G1928" s="20" t="str">
        <f t="shared" ref="G1928:I1928" si="5778">#REF!</f>
        <v>#REF!</v>
      </c>
      <c r="H1928" s="20" t="str">
        <f t="shared" si="5778"/>
        <v>#REF!</v>
      </c>
      <c r="I1928" s="20" t="str">
        <f t="shared" si="5778"/>
        <v>#REF!</v>
      </c>
      <c r="J1928" s="20" t="str">
        <f t="shared" si="1272"/>
        <v>#REF!</v>
      </c>
      <c r="K1928" s="20" t="str">
        <f t="shared" ref="K1928:L1928" si="5779">#REF!</f>
        <v>#REF!</v>
      </c>
      <c r="L1928" s="20" t="str">
        <f t="shared" si="5779"/>
        <v>#REF!</v>
      </c>
    </row>
    <row r="1929">
      <c r="A1929" s="20" t="str">
        <f t="shared" si="1267"/>
        <v>#REF!</v>
      </c>
      <c r="B1929" s="20" t="str">
        <f t="shared" si="1268"/>
        <v>#REF!</v>
      </c>
      <c r="C1929" s="20" t="str">
        <f t="shared" ref="C1929:D1929" si="5780">#REF!</f>
        <v>#REF!</v>
      </c>
      <c r="D1929" s="20" t="str">
        <f t="shared" si="5780"/>
        <v>#REF!</v>
      </c>
      <c r="E1929" s="20" t="str">
        <f t="shared" si="1270"/>
        <v>#REF!</v>
      </c>
      <c r="F1929" s="22" t="str">
        <f t="shared" si="2"/>
        <v>#REF!</v>
      </c>
      <c r="G1929" s="20" t="str">
        <f t="shared" ref="G1929:I1929" si="5781">#REF!</f>
        <v>#REF!</v>
      </c>
      <c r="H1929" s="20" t="str">
        <f t="shared" si="5781"/>
        <v>#REF!</v>
      </c>
      <c r="I1929" s="20" t="str">
        <f t="shared" si="5781"/>
        <v>#REF!</v>
      </c>
      <c r="J1929" s="20" t="str">
        <f t="shared" si="1272"/>
        <v>#REF!</v>
      </c>
      <c r="K1929" s="20" t="str">
        <f t="shared" ref="K1929:L1929" si="5782">#REF!</f>
        <v>#REF!</v>
      </c>
      <c r="L1929" s="20" t="str">
        <f t="shared" si="5782"/>
        <v>#REF!</v>
      </c>
    </row>
    <row r="1930">
      <c r="A1930" s="20" t="str">
        <f t="shared" si="1267"/>
        <v>#REF!</v>
      </c>
      <c r="B1930" s="20" t="str">
        <f t="shared" si="1268"/>
        <v>#REF!</v>
      </c>
      <c r="C1930" s="20" t="str">
        <f t="shared" ref="C1930:D1930" si="5783">#REF!</f>
        <v>#REF!</v>
      </c>
      <c r="D1930" s="20" t="str">
        <f t="shared" si="5783"/>
        <v>#REF!</v>
      </c>
      <c r="E1930" s="20" t="str">
        <f t="shared" si="1270"/>
        <v>#REF!</v>
      </c>
      <c r="F1930" s="22" t="str">
        <f t="shared" si="2"/>
        <v>#REF!</v>
      </c>
      <c r="G1930" s="20" t="str">
        <f t="shared" ref="G1930:I1930" si="5784">#REF!</f>
        <v>#REF!</v>
      </c>
      <c r="H1930" s="20" t="str">
        <f t="shared" si="5784"/>
        <v>#REF!</v>
      </c>
      <c r="I1930" s="20" t="str">
        <f t="shared" si="5784"/>
        <v>#REF!</v>
      </c>
      <c r="J1930" s="20" t="str">
        <f t="shared" si="1272"/>
        <v>#REF!</v>
      </c>
      <c r="K1930" s="20" t="str">
        <f t="shared" ref="K1930:L1930" si="5785">#REF!</f>
        <v>#REF!</v>
      </c>
      <c r="L1930" s="20" t="str">
        <f t="shared" si="5785"/>
        <v>#REF!</v>
      </c>
    </row>
    <row r="1931">
      <c r="A1931" s="20" t="str">
        <f t="shared" si="1267"/>
        <v>#REF!</v>
      </c>
      <c r="B1931" s="20" t="str">
        <f t="shared" si="1268"/>
        <v>#REF!</v>
      </c>
      <c r="C1931" s="20" t="str">
        <f t="shared" ref="C1931:D1931" si="5786">#REF!</f>
        <v>#REF!</v>
      </c>
      <c r="D1931" s="20" t="str">
        <f t="shared" si="5786"/>
        <v>#REF!</v>
      </c>
      <c r="E1931" s="20" t="str">
        <f t="shared" si="1270"/>
        <v>#REF!</v>
      </c>
      <c r="F1931" s="22" t="str">
        <f t="shared" si="2"/>
        <v>#REF!</v>
      </c>
      <c r="G1931" s="20" t="str">
        <f t="shared" ref="G1931:I1931" si="5787">#REF!</f>
        <v>#REF!</v>
      </c>
      <c r="H1931" s="20" t="str">
        <f t="shared" si="5787"/>
        <v>#REF!</v>
      </c>
      <c r="I1931" s="20" t="str">
        <f t="shared" si="5787"/>
        <v>#REF!</v>
      </c>
      <c r="J1931" s="20" t="str">
        <f t="shared" si="1272"/>
        <v>#REF!</v>
      </c>
      <c r="K1931" s="20" t="str">
        <f t="shared" ref="K1931:L1931" si="5788">#REF!</f>
        <v>#REF!</v>
      </c>
      <c r="L1931" s="20" t="str">
        <f t="shared" si="5788"/>
        <v>#REF!</v>
      </c>
    </row>
    <row r="1932">
      <c r="A1932" s="20" t="str">
        <f t="shared" si="1267"/>
        <v>#REF!</v>
      </c>
      <c r="B1932" s="20" t="str">
        <f t="shared" si="1268"/>
        <v>#REF!</v>
      </c>
      <c r="C1932" s="20" t="str">
        <f t="shared" ref="C1932:D1932" si="5789">#REF!</f>
        <v>#REF!</v>
      </c>
      <c r="D1932" s="20" t="str">
        <f t="shared" si="5789"/>
        <v>#REF!</v>
      </c>
      <c r="E1932" s="20" t="str">
        <f t="shared" si="1270"/>
        <v>#REF!</v>
      </c>
      <c r="F1932" s="22" t="str">
        <f t="shared" si="2"/>
        <v>#REF!</v>
      </c>
      <c r="G1932" s="20" t="str">
        <f t="shared" ref="G1932:I1932" si="5790">#REF!</f>
        <v>#REF!</v>
      </c>
      <c r="H1932" s="20" t="str">
        <f t="shared" si="5790"/>
        <v>#REF!</v>
      </c>
      <c r="I1932" s="20" t="str">
        <f t="shared" si="5790"/>
        <v>#REF!</v>
      </c>
      <c r="J1932" s="20" t="str">
        <f t="shared" si="1272"/>
        <v>#REF!</v>
      </c>
      <c r="K1932" s="20" t="str">
        <f t="shared" ref="K1932:L1932" si="5791">#REF!</f>
        <v>#REF!</v>
      </c>
      <c r="L1932" s="20" t="str">
        <f t="shared" si="5791"/>
        <v>#REF!</v>
      </c>
    </row>
    <row r="1933">
      <c r="A1933" s="20" t="str">
        <f t="shared" si="1267"/>
        <v>#REF!</v>
      </c>
      <c r="B1933" s="20" t="str">
        <f t="shared" si="1268"/>
        <v>#REF!</v>
      </c>
      <c r="C1933" s="20" t="str">
        <f t="shared" ref="C1933:D1933" si="5792">#REF!</f>
        <v>#REF!</v>
      </c>
      <c r="D1933" s="20" t="str">
        <f t="shared" si="5792"/>
        <v>#REF!</v>
      </c>
      <c r="E1933" s="20" t="str">
        <f t="shared" si="1270"/>
        <v>#REF!</v>
      </c>
      <c r="F1933" s="22" t="str">
        <f t="shared" si="2"/>
        <v>#REF!</v>
      </c>
      <c r="G1933" s="20" t="str">
        <f t="shared" ref="G1933:I1933" si="5793">#REF!</f>
        <v>#REF!</v>
      </c>
      <c r="H1933" s="20" t="str">
        <f t="shared" si="5793"/>
        <v>#REF!</v>
      </c>
      <c r="I1933" s="20" t="str">
        <f t="shared" si="5793"/>
        <v>#REF!</v>
      </c>
      <c r="J1933" s="20" t="str">
        <f t="shared" si="1272"/>
        <v>#REF!</v>
      </c>
      <c r="K1933" s="20" t="str">
        <f t="shared" ref="K1933:L1933" si="5794">#REF!</f>
        <v>#REF!</v>
      </c>
      <c r="L1933" s="20" t="str">
        <f t="shared" si="5794"/>
        <v>#REF!</v>
      </c>
    </row>
    <row r="1934">
      <c r="A1934" s="20" t="str">
        <f t="shared" si="1267"/>
        <v>#REF!</v>
      </c>
      <c r="B1934" s="20" t="str">
        <f t="shared" si="1268"/>
        <v>#REF!</v>
      </c>
      <c r="C1934" s="20" t="str">
        <f t="shared" ref="C1934:D1934" si="5795">#REF!</f>
        <v>#REF!</v>
      </c>
      <c r="D1934" s="20" t="str">
        <f t="shared" si="5795"/>
        <v>#REF!</v>
      </c>
      <c r="E1934" s="20" t="str">
        <f t="shared" si="1270"/>
        <v>#REF!</v>
      </c>
      <c r="F1934" s="22" t="str">
        <f t="shared" si="2"/>
        <v>#REF!</v>
      </c>
      <c r="G1934" s="20" t="str">
        <f t="shared" ref="G1934:I1934" si="5796">#REF!</f>
        <v>#REF!</v>
      </c>
      <c r="H1934" s="20" t="str">
        <f t="shared" si="5796"/>
        <v>#REF!</v>
      </c>
      <c r="I1934" s="20" t="str">
        <f t="shared" si="5796"/>
        <v>#REF!</v>
      </c>
      <c r="J1934" s="20" t="str">
        <f t="shared" si="1272"/>
        <v>#REF!</v>
      </c>
      <c r="K1934" s="20" t="str">
        <f t="shared" ref="K1934:L1934" si="5797">#REF!</f>
        <v>#REF!</v>
      </c>
      <c r="L1934" s="20" t="str">
        <f t="shared" si="5797"/>
        <v>#REF!</v>
      </c>
    </row>
    <row r="1935">
      <c r="A1935" s="20" t="str">
        <f t="shared" si="1267"/>
        <v>#REF!</v>
      </c>
      <c r="B1935" s="20" t="str">
        <f t="shared" si="1268"/>
        <v>#REF!</v>
      </c>
      <c r="C1935" s="20" t="str">
        <f t="shared" ref="C1935:D1935" si="5798">#REF!</f>
        <v>#REF!</v>
      </c>
      <c r="D1935" s="20" t="str">
        <f t="shared" si="5798"/>
        <v>#REF!</v>
      </c>
      <c r="E1935" s="20" t="str">
        <f t="shared" si="1270"/>
        <v>#REF!</v>
      </c>
      <c r="F1935" s="22" t="str">
        <f t="shared" si="2"/>
        <v>#REF!</v>
      </c>
      <c r="G1935" s="20" t="str">
        <f t="shared" ref="G1935:I1935" si="5799">#REF!</f>
        <v>#REF!</v>
      </c>
      <c r="H1935" s="20" t="str">
        <f t="shared" si="5799"/>
        <v>#REF!</v>
      </c>
      <c r="I1935" s="20" t="str">
        <f t="shared" si="5799"/>
        <v>#REF!</v>
      </c>
      <c r="J1935" s="20" t="str">
        <f t="shared" si="1272"/>
        <v>#REF!</v>
      </c>
      <c r="K1935" s="20" t="str">
        <f t="shared" ref="K1935:L1935" si="5800">#REF!</f>
        <v>#REF!</v>
      </c>
      <c r="L1935" s="20" t="str">
        <f t="shared" si="5800"/>
        <v>#REF!</v>
      </c>
    </row>
    <row r="1936">
      <c r="A1936" s="20" t="str">
        <f t="shared" si="1267"/>
        <v>#REF!</v>
      </c>
      <c r="B1936" s="20" t="str">
        <f t="shared" si="1268"/>
        <v>#REF!</v>
      </c>
      <c r="C1936" s="20" t="str">
        <f t="shared" ref="C1936:D1936" si="5801">#REF!</f>
        <v>#REF!</v>
      </c>
      <c r="D1936" s="20" t="str">
        <f t="shared" si="5801"/>
        <v>#REF!</v>
      </c>
      <c r="E1936" s="20" t="str">
        <f t="shared" si="1270"/>
        <v>#REF!</v>
      </c>
      <c r="F1936" s="22" t="str">
        <f t="shared" si="2"/>
        <v>#REF!</v>
      </c>
      <c r="G1936" s="20" t="str">
        <f t="shared" ref="G1936:I1936" si="5802">#REF!</f>
        <v>#REF!</v>
      </c>
      <c r="H1936" s="20" t="str">
        <f t="shared" si="5802"/>
        <v>#REF!</v>
      </c>
      <c r="I1936" s="20" t="str">
        <f t="shared" si="5802"/>
        <v>#REF!</v>
      </c>
      <c r="J1936" s="20" t="str">
        <f t="shared" si="1272"/>
        <v>#REF!</v>
      </c>
      <c r="K1936" s="20" t="str">
        <f t="shared" ref="K1936:L1936" si="5803">#REF!</f>
        <v>#REF!</v>
      </c>
      <c r="L1936" s="20" t="str">
        <f t="shared" si="5803"/>
        <v>#REF!</v>
      </c>
    </row>
    <row r="1937">
      <c r="A1937" s="20" t="str">
        <f t="shared" si="1267"/>
        <v>#REF!</v>
      </c>
      <c r="B1937" s="20" t="str">
        <f t="shared" si="1268"/>
        <v>#REF!</v>
      </c>
      <c r="C1937" s="20" t="str">
        <f t="shared" ref="C1937:D1937" si="5804">#REF!</f>
        <v>#REF!</v>
      </c>
      <c r="D1937" s="20" t="str">
        <f t="shared" si="5804"/>
        <v>#REF!</v>
      </c>
      <c r="E1937" s="20" t="str">
        <f t="shared" si="1270"/>
        <v>#REF!</v>
      </c>
      <c r="F1937" s="22" t="str">
        <f t="shared" si="2"/>
        <v>#REF!</v>
      </c>
      <c r="G1937" s="20" t="str">
        <f t="shared" ref="G1937:I1937" si="5805">#REF!</f>
        <v>#REF!</v>
      </c>
      <c r="H1937" s="20" t="str">
        <f t="shared" si="5805"/>
        <v>#REF!</v>
      </c>
      <c r="I1937" s="20" t="str">
        <f t="shared" si="5805"/>
        <v>#REF!</v>
      </c>
      <c r="J1937" s="20" t="str">
        <f t="shared" si="1272"/>
        <v>#REF!</v>
      </c>
      <c r="K1937" s="20" t="str">
        <f t="shared" ref="K1937:L1937" si="5806">#REF!</f>
        <v>#REF!</v>
      </c>
      <c r="L1937" s="20" t="str">
        <f t="shared" si="5806"/>
        <v>#REF!</v>
      </c>
    </row>
    <row r="1938">
      <c r="A1938" s="20" t="str">
        <f t="shared" si="1267"/>
        <v>#REF!</v>
      </c>
      <c r="B1938" s="20" t="str">
        <f t="shared" si="1268"/>
        <v>#REF!</v>
      </c>
      <c r="C1938" s="20" t="str">
        <f t="shared" ref="C1938:D1938" si="5807">#REF!</f>
        <v>#REF!</v>
      </c>
      <c r="D1938" s="20" t="str">
        <f t="shared" si="5807"/>
        <v>#REF!</v>
      </c>
      <c r="E1938" s="20" t="str">
        <f t="shared" si="1270"/>
        <v>#REF!</v>
      </c>
      <c r="F1938" s="22" t="str">
        <f t="shared" si="2"/>
        <v>#REF!</v>
      </c>
      <c r="G1938" s="20" t="str">
        <f t="shared" ref="G1938:I1938" si="5808">#REF!</f>
        <v>#REF!</v>
      </c>
      <c r="H1938" s="20" t="str">
        <f t="shared" si="5808"/>
        <v>#REF!</v>
      </c>
      <c r="I1938" s="20" t="str">
        <f t="shared" si="5808"/>
        <v>#REF!</v>
      </c>
      <c r="J1938" s="20" t="str">
        <f t="shared" si="1272"/>
        <v>#REF!</v>
      </c>
      <c r="K1938" s="20" t="str">
        <f t="shared" ref="K1938:L1938" si="5809">#REF!</f>
        <v>#REF!</v>
      </c>
      <c r="L1938" s="20" t="str">
        <f t="shared" si="5809"/>
        <v>#REF!</v>
      </c>
    </row>
    <row r="1939">
      <c r="A1939" s="20" t="str">
        <f t="shared" si="1267"/>
        <v>#REF!</v>
      </c>
      <c r="B1939" s="20" t="str">
        <f t="shared" si="1268"/>
        <v>#REF!</v>
      </c>
      <c r="C1939" s="20" t="str">
        <f t="shared" ref="C1939:D1939" si="5810">#REF!</f>
        <v>#REF!</v>
      </c>
      <c r="D1939" s="20" t="str">
        <f t="shared" si="5810"/>
        <v>#REF!</v>
      </c>
      <c r="E1939" s="20" t="str">
        <f t="shared" si="1270"/>
        <v>#REF!</v>
      </c>
      <c r="F1939" s="22" t="str">
        <f t="shared" si="2"/>
        <v>#REF!</v>
      </c>
      <c r="G1939" s="20" t="str">
        <f t="shared" ref="G1939:I1939" si="5811">#REF!</f>
        <v>#REF!</v>
      </c>
      <c r="H1939" s="20" t="str">
        <f t="shared" si="5811"/>
        <v>#REF!</v>
      </c>
      <c r="I1939" s="20" t="str">
        <f t="shared" si="5811"/>
        <v>#REF!</v>
      </c>
      <c r="J1939" s="20" t="str">
        <f t="shared" si="1272"/>
        <v>#REF!</v>
      </c>
      <c r="K1939" s="20" t="str">
        <f t="shared" ref="K1939:L1939" si="5812">#REF!</f>
        <v>#REF!</v>
      </c>
      <c r="L1939" s="20" t="str">
        <f t="shared" si="5812"/>
        <v>#REF!</v>
      </c>
    </row>
    <row r="1940">
      <c r="A1940" s="20" t="str">
        <f t="shared" si="1267"/>
        <v>#REF!</v>
      </c>
      <c r="B1940" s="20" t="str">
        <f t="shared" si="1268"/>
        <v>#REF!</v>
      </c>
      <c r="C1940" s="20" t="str">
        <f t="shared" ref="C1940:D1940" si="5813">#REF!</f>
        <v>#REF!</v>
      </c>
      <c r="D1940" s="20" t="str">
        <f t="shared" si="5813"/>
        <v>#REF!</v>
      </c>
      <c r="E1940" s="20" t="str">
        <f t="shared" si="1270"/>
        <v>#REF!</v>
      </c>
      <c r="F1940" s="22" t="str">
        <f t="shared" si="2"/>
        <v>#REF!</v>
      </c>
      <c r="G1940" s="20" t="str">
        <f t="shared" ref="G1940:I1940" si="5814">#REF!</f>
        <v>#REF!</v>
      </c>
      <c r="H1940" s="20" t="str">
        <f t="shared" si="5814"/>
        <v>#REF!</v>
      </c>
      <c r="I1940" s="20" t="str">
        <f t="shared" si="5814"/>
        <v>#REF!</v>
      </c>
      <c r="J1940" s="20" t="str">
        <f t="shared" si="1272"/>
        <v>#REF!</v>
      </c>
      <c r="K1940" s="20" t="str">
        <f t="shared" ref="K1940:L1940" si="5815">#REF!</f>
        <v>#REF!</v>
      </c>
      <c r="L1940" s="20" t="str">
        <f t="shared" si="5815"/>
        <v>#REF!</v>
      </c>
    </row>
    <row r="1941">
      <c r="A1941" s="20" t="str">
        <f t="shared" si="1267"/>
        <v>#REF!</v>
      </c>
      <c r="B1941" s="20" t="str">
        <f t="shared" si="1268"/>
        <v>#REF!</v>
      </c>
      <c r="C1941" s="20" t="str">
        <f t="shared" ref="C1941:D1941" si="5816">#REF!</f>
        <v>#REF!</v>
      </c>
      <c r="D1941" s="20" t="str">
        <f t="shared" si="5816"/>
        <v>#REF!</v>
      </c>
      <c r="E1941" s="20" t="str">
        <f t="shared" si="1270"/>
        <v>#REF!</v>
      </c>
      <c r="F1941" s="22" t="str">
        <f t="shared" si="2"/>
        <v>#REF!</v>
      </c>
      <c r="G1941" s="20" t="str">
        <f t="shared" ref="G1941:I1941" si="5817">#REF!</f>
        <v>#REF!</v>
      </c>
      <c r="H1941" s="20" t="str">
        <f t="shared" si="5817"/>
        <v>#REF!</v>
      </c>
      <c r="I1941" s="20" t="str">
        <f t="shared" si="5817"/>
        <v>#REF!</v>
      </c>
      <c r="J1941" s="20" t="str">
        <f t="shared" si="1272"/>
        <v>#REF!</v>
      </c>
      <c r="K1941" s="20" t="str">
        <f t="shared" ref="K1941:L1941" si="5818">#REF!</f>
        <v>#REF!</v>
      </c>
      <c r="L1941" s="20" t="str">
        <f t="shared" si="5818"/>
        <v>#REF!</v>
      </c>
    </row>
    <row r="1942">
      <c r="A1942" s="20" t="str">
        <f t="shared" si="1267"/>
        <v>#REF!</v>
      </c>
      <c r="B1942" s="20" t="str">
        <f t="shared" si="1268"/>
        <v>#REF!</v>
      </c>
      <c r="C1942" s="20" t="str">
        <f t="shared" ref="C1942:D1942" si="5819">#REF!</f>
        <v>#REF!</v>
      </c>
      <c r="D1942" s="20" t="str">
        <f t="shared" si="5819"/>
        <v>#REF!</v>
      </c>
      <c r="E1942" s="20" t="str">
        <f t="shared" si="1270"/>
        <v>#REF!</v>
      </c>
      <c r="F1942" s="22" t="str">
        <f t="shared" si="2"/>
        <v>#REF!</v>
      </c>
      <c r="G1942" s="20" t="str">
        <f t="shared" ref="G1942:I1942" si="5820">#REF!</f>
        <v>#REF!</v>
      </c>
      <c r="H1942" s="20" t="str">
        <f t="shared" si="5820"/>
        <v>#REF!</v>
      </c>
      <c r="I1942" s="20" t="str">
        <f t="shared" si="5820"/>
        <v>#REF!</v>
      </c>
      <c r="J1942" s="20" t="str">
        <f t="shared" si="1272"/>
        <v>#REF!</v>
      </c>
      <c r="K1942" s="20" t="str">
        <f t="shared" ref="K1942:L1942" si="5821">#REF!</f>
        <v>#REF!</v>
      </c>
      <c r="L1942" s="20" t="str">
        <f t="shared" si="5821"/>
        <v>#REF!</v>
      </c>
    </row>
    <row r="1943">
      <c r="A1943" s="20" t="str">
        <f t="shared" si="1267"/>
        <v>#REF!</v>
      </c>
      <c r="B1943" s="20" t="str">
        <f t="shared" si="1268"/>
        <v>#REF!</v>
      </c>
      <c r="C1943" s="20" t="str">
        <f t="shared" ref="C1943:D1943" si="5822">#REF!</f>
        <v>#REF!</v>
      </c>
      <c r="D1943" s="20" t="str">
        <f t="shared" si="5822"/>
        <v>#REF!</v>
      </c>
      <c r="E1943" s="20" t="str">
        <f t="shared" si="1270"/>
        <v>#REF!</v>
      </c>
      <c r="F1943" s="22" t="str">
        <f t="shared" si="2"/>
        <v>#REF!</v>
      </c>
      <c r="G1943" s="20" t="str">
        <f t="shared" ref="G1943:I1943" si="5823">#REF!</f>
        <v>#REF!</v>
      </c>
      <c r="H1943" s="20" t="str">
        <f t="shared" si="5823"/>
        <v>#REF!</v>
      </c>
      <c r="I1943" s="20" t="str">
        <f t="shared" si="5823"/>
        <v>#REF!</v>
      </c>
      <c r="J1943" s="20" t="str">
        <f t="shared" si="1272"/>
        <v>#REF!</v>
      </c>
      <c r="K1943" s="20" t="str">
        <f t="shared" ref="K1943:L1943" si="5824">#REF!</f>
        <v>#REF!</v>
      </c>
      <c r="L1943" s="20" t="str">
        <f t="shared" si="5824"/>
        <v>#REF!</v>
      </c>
    </row>
    <row r="1944">
      <c r="A1944" s="20" t="str">
        <f t="shared" si="1267"/>
        <v>#REF!</v>
      </c>
      <c r="B1944" s="20" t="str">
        <f t="shared" si="1268"/>
        <v>#REF!</v>
      </c>
      <c r="C1944" s="20" t="str">
        <f t="shared" ref="C1944:D1944" si="5825">#REF!</f>
        <v>#REF!</v>
      </c>
      <c r="D1944" s="20" t="str">
        <f t="shared" si="5825"/>
        <v>#REF!</v>
      </c>
      <c r="E1944" s="20" t="str">
        <f t="shared" si="1270"/>
        <v>#REF!</v>
      </c>
      <c r="F1944" s="22" t="str">
        <f t="shared" si="2"/>
        <v>#REF!</v>
      </c>
      <c r="G1944" s="20" t="str">
        <f t="shared" ref="G1944:I1944" si="5826">#REF!</f>
        <v>#REF!</v>
      </c>
      <c r="H1944" s="20" t="str">
        <f t="shared" si="5826"/>
        <v>#REF!</v>
      </c>
      <c r="I1944" s="20" t="str">
        <f t="shared" si="5826"/>
        <v>#REF!</v>
      </c>
      <c r="J1944" s="20" t="str">
        <f t="shared" si="1272"/>
        <v>#REF!</v>
      </c>
      <c r="K1944" s="20" t="str">
        <f t="shared" ref="K1944:L1944" si="5827">#REF!</f>
        <v>#REF!</v>
      </c>
      <c r="L1944" s="20" t="str">
        <f t="shared" si="5827"/>
        <v>#REF!</v>
      </c>
    </row>
    <row r="1945">
      <c r="A1945" s="20" t="str">
        <f t="shared" si="1267"/>
        <v>#REF!</v>
      </c>
      <c r="B1945" s="20" t="str">
        <f t="shared" si="1268"/>
        <v>#REF!</v>
      </c>
      <c r="C1945" s="20" t="str">
        <f t="shared" ref="C1945:D1945" si="5828">#REF!</f>
        <v>#REF!</v>
      </c>
      <c r="D1945" s="20" t="str">
        <f t="shared" si="5828"/>
        <v>#REF!</v>
      </c>
      <c r="E1945" s="20" t="str">
        <f t="shared" si="1270"/>
        <v>#REF!</v>
      </c>
      <c r="F1945" s="22" t="str">
        <f t="shared" si="2"/>
        <v>#REF!</v>
      </c>
      <c r="G1945" s="20" t="str">
        <f t="shared" ref="G1945:I1945" si="5829">#REF!</f>
        <v>#REF!</v>
      </c>
      <c r="H1945" s="20" t="str">
        <f t="shared" si="5829"/>
        <v>#REF!</v>
      </c>
      <c r="I1945" s="20" t="str">
        <f t="shared" si="5829"/>
        <v>#REF!</v>
      </c>
      <c r="J1945" s="20" t="str">
        <f t="shared" si="1272"/>
        <v>#REF!</v>
      </c>
      <c r="K1945" s="20" t="str">
        <f t="shared" ref="K1945:L1945" si="5830">#REF!</f>
        <v>#REF!</v>
      </c>
      <c r="L1945" s="20" t="str">
        <f t="shared" si="5830"/>
        <v>#REF!</v>
      </c>
    </row>
    <row r="1946">
      <c r="A1946" s="20" t="str">
        <f t="shared" si="1267"/>
        <v>#REF!</v>
      </c>
      <c r="B1946" s="20" t="str">
        <f t="shared" si="1268"/>
        <v>#REF!</v>
      </c>
      <c r="C1946" s="20" t="str">
        <f t="shared" ref="C1946:D1946" si="5831">#REF!</f>
        <v>#REF!</v>
      </c>
      <c r="D1946" s="20" t="str">
        <f t="shared" si="5831"/>
        <v>#REF!</v>
      </c>
      <c r="E1946" s="20" t="str">
        <f t="shared" si="1270"/>
        <v>#REF!</v>
      </c>
      <c r="F1946" s="22" t="str">
        <f t="shared" si="2"/>
        <v>#REF!</v>
      </c>
      <c r="G1946" s="20" t="str">
        <f t="shared" ref="G1946:I1946" si="5832">#REF!</f>
        <v>#REF!</v>
      </c>
      <c r="H1946" s="20" t="str">
        <f t="shared" si="5832"/>
        <v>#REF!</v>
      </c>
      <c r="I1946" s="20" t="str">
        <f t="shared" si="5832"/>
        <v>#REF!</v>
      </c>
      <c r="J1946" s="20" t="str">
        <f t="shared" si="1272"/>
        <v>#REF!</v>
      </c>
      <c r="K1946" s="20" t="str">
        <f t="shared" ref="K1946:L1946" si="5833">#REF!</f>
        <v>#REF!</v>
      </c>
      <c r="L1946" s="20" t="str">
        <f t="shared" si="5833"/>
        <v>#REF!</v>
      </c>
    </row>
    <row r="1947">
      <c r="A1947" s="20" t="str">
        <f t="shared" si="1267"/>
        <v>#REF!</v>
      </c>
      <c r="B1947" s="20" t="str">
        <f t="shared" si="1268"/>
        <v>#REF!</v>
      </c>
      <c r="C1947" s="20" t="str">
        <f t="shared" ref="C1947:D1947" si="5834">#REF!</f>
        <v>#REF!</v>
      </c>
      <c r="D1947" s="20" t="str">
        <f t="shared" si="5834"/>
        <v>#REF!</v>
      </c>
      <c r="E1947" s="20" t="str">
        <f t="shared" si="1270"/>
        <v>#REF!</v>
      </c>
      <c r="F1947" s="22" t="str">
        <f t="shared" si="2"/>
        <v>#REF!</v>
      </c>
      <c r="G1947" s="20" t="str">
        <f t="shared" ref="G1947:I1947" si="5835">#REF!</f>
        <v>#REF!</v>
      </c>
      <c r="H1947" s="20" t="str">
        <f t="shared" si="5835"/>
        <v>#REF!</v>
      </c>
      <c r="I1947" s="20" t="str">
        <f t="shared" si="5835"/>
        <v>#REF!</v>
      </c>
      <c r="J1947" s="20" t="str">
        <f t="shared" si="1272"/>
        <v>#REF!</v>
      </c>
      <c r="K1947" s="20" t="str">
        <f t="shared" ref="K1947:L1947" si="5836">#REF!</f>
        <v>#REF!</v>
      </c>
      <c r="L1947" s="20" t="str">
        <f t="shared" si="5836"/>
        <v>#REF!</v>
      </c>
    </row>
    <row r="1948">
      <c r="A1948" s="20" t="str">
        <f t="shared" si="1267"/>
        <v>#REF!</v>
      </c>
      <c r="B1948" s="20" t="str">
        <f t="shared" si="1268"/>
        <v>#REF!</v>
      </c>
      <c r="C1948" s="20" t="str">
        <f t="shared" ref="C1948:D1948" si="5837">#REF!</f>
        <v>#REF!</v>
      </c>
      <c r="D1948" s="20" t="str">
        <f t="shared" si="5837"/>
        <v>#REF!</v>
      </c>
      <c r="E1948" s="20" t="str">
        <f t="shared" si="1270"/>
        <v>#REF!</v>
      </c>
      <c r="F1948" s="22" t="str">
        <f t="shared" si="2"/>
        <v>#REF!</v>
      </c>
      <c r="G1948" s="20" t="str">
        <f t="shared" ref="G1948:I1948" si="5838">#REF!</f>
        <v>#REF!</v>
      </c>
      <c r="H1948" s="20" t="str">
        <f t="shared" si="5838"/>
        <v>#REF!</v>
      </c>
      <c r="I1948" s="20" t="str">
        <f t="shared" si="5838"/>
        <v>#REF!</v>
      </c>
      <c r="J1948" s="20" t="str">
        <f t="shared" si="1272"/>
        <v>#REF!</v>
      </c>
      <c r="K1948" s="20" t="str">
        <f t="shared" ref="K1948:L1948" si="5839">#REF!</f>
        <v>#REF!</v>
      </c>
      <c r="L1948" s="20" t="str">
        <f t="shared" si="5839"/>
        <v>#REF!</v>
      </c>
    </row>
    <row r="1949">
      <c r="A1949" s="20" t="str">
        <f t="shared" si="1267"/>
        <v>#REF!</v>
      </c>
      <c r="B1949" s="20" t="str">
        <f t="shared" si="1268"/>
        <v>#REF!</v>
      </c>
      <c r="C1949" s="20" t="str">
        <f t="shared" ref="C1949:D1949" si="5840">#REF!</f>
        <v>#REF!</v>
      </c>
      <c r="D1949" s="20" t="str">
        <f t="shared" si="5840"/>
        <v>#REF!</v>
      </c>
      <c r="E1949" s="20" t="str">
        <f t="shared" si="1270"/>
        <v>#REF!</v>
      </c>
      <c r="F1949" s="22" t="str">
        <f t="shared" si="2"/>
        <v>#REF!</v>
      </c>
      <c r="G1949" s="20" t="str">
        <f t="shared" ref="G1949:I1949" si="5841">#REF!</f>
        <v>#REF!</v>
      </c>
      <c r="H1949" s="20" t="str">
        <f t="shared" si="5841"/>
        <v>#REF!</v>
      </c>
      <c r="I1949" s="20" t="str">
        <f t="shared" si="5841"/>
        <v>#REF!</v>
      </c>
      <c r="J1949" s="20" t="str">
        <f t="shared" si="1272"/>
        <v>#REF!</v>
      </c>
      <c r="K1949" s="20" t="str">
        <f t="shared" ref="K1949:L1949" si="5842">#REF!</f>
        <v>#REF!</v>
      </c>
      <c r="L1949" s="20" t="str">
        <f t="shared" si="5842"/>
        <v>#REF!</v>
      </c>
    </row>
    <row r="1950">
      <c r="A1950" s="20" t="str">
        <f t="shared" si="1267"/>
        <v>#REF!</v>
      </c>
      <c r="B1950" s="20" t="str">
        <f t="shared" si="1268"/>
        <v>#REF!</v>
      </c>
      <c r="C1950" s="20" t="str">
        <f t="shared" ref="C1950:D1950" si="5843">#REF!</f>
        <v>#REF!</v>
      </c>
      <c r="D1950" s="20" t="str">
        <f t="shared" si="5843"/>
        <v>#REF!</v>
      </c>
      <c r="E1950" s="20" t="str">
        <f t="shared" si="1270"/>
        <v>#REF!</v>
      </c>
      <c r="F1950" s="22" t="str">
        <f t="shared" si="2"/>
        <v>#REF!</v>
      </c>
      <c r="G1950" s="20" t="str">
        <f t="shared" ref="G1950:I1950" si="5844">#REF!</f>
        <v>#REF!</v>
      </c>
      <c r="H1950" s="20" t="str">
        <f t="shared" si="5844"/>
        <v>#REF!</v>
      </c>
      <c r="I1950" s="20" t="str">
        <f t="shared" si="5844"/>
        <v>#REF!</v>
      </c>
      <c r="J1950" s="20" t="str">
        <f t="shared" si="1272"/>
        <v>#REF!</v>
      </c>
      <c r="K1950" s="20" t="str">
        <f t="shared" ref="K1950:L1950" si="5845">#REF!</f>
        <v>#REF!</v>
      </c>
      <c r="L1950" s="20" t="str">
        <f t="shared" si="5845"/>
        <v>#REF!</v>
      </c>
    </row>
    <row r="1951">
      <c r="A1951" s="20" t="str">
        <f t="shared" si="1267"/>
        <v>#REF!</v>
      </c>
      <c r="B1951" s="20" t="str">
        <f t="shared" si="1268"/>
        <v>#REF!</v>
      </c>
      <c r="C1951" s="20" t="str">
        <f t="shared" ref="C1951:D1951" si="5846">#REF!</f>
        <v>#REF!</v>
      </c>
      <c r="D1951" s="20" t="str">
        <f t="shared" si="5846"/>
        <v>#REF!</v>
      </c>
      <c r="E1951" s="20" t="str">
        <f t="shared" si="1270"/>
        <v>#REF!</v>
      </c>
      <c r="F1951" s="22" t="str">
        <f t="shared" si="2"/>
        <v>#REF!</v>
      </c>
      <c r="G1951" s="20" t="str">
        <f t="shared" ref="G1951:I1951" si="5847">#REF!</f>
        <v>#REF!</v>
      </c>
      <c r="H1951" s="20" t="str">
        <f t="shared" si="5847"/>
        <v>#REF!</v>
      </c>
      <c r="I1951" s="20" t="str">
        <f t="shared" si="5847"/>
        <v>#REF!</v>
      </c>
      <c r="J1951" s="20" t="str">
        <f t="shared" si="1272"/>
        <v>#REF!</v>
      </c>
      <c r="K1951" s="20" t="str">
        <f t="shared" ref="K1951:L1951" si="5848">#REF!</f>
        <v>#REF!</v>
      </c>
      <c r="L1951" s="20" t="str">
        <f t="shared" si="5848"/>
        <v>#REF!</v>
      </c>
    </row>
    <row r="1952">
      <c r="A1952" s="20" t="str">
        <f t="shared" si="1267"/>
        <v>#REF!</v>
      </c>
      <c r="B1952" s="20" t="str">
        <f t="shared" si="1268"/>
        <v>#REF!</v>
      </c>
      <c r="C1952" s="20" t="str">
        <f t="shared" ref="C1952:D1952" si="5849">#REF!</f>
        <v>#REF!</v>
      </c>
      <c r="D1952" s="20" t="str">
        <f t="shared" si="5849"/>
        <v>#REF!</v>
      </c>
      <c r="E1952" s="20" t="str">
        <f t="shared" si="1270"/>
        <v>#REF!</v>
      </c>
      <c r="F1952" s="22" t="str">
        <f t="shared" si="2"/>
        <v>#REF!</v>
      </c>
      <c r="G1952" s="20" t="str">
        <f t="shared" ref="G1952:I1952" si="5850">#REF!</f>
        <v>#REF!</v>
      </c>
      <c r="H1952" s="20" t="str">
        <f t="shared" si="5850"/>
        <v>#REF!</v>
      </c>
      <c r="I1952" s="20" t="str">
        <f t="shared" si="5850"/>
        <v>#REF!</v>
      </c>
      <c r="J1952" s="20" t="str">
        <f t="shared" si="1272"/>
        <v>#REF!</v>
      </c>
      <c r="K1952" s="20" t="str">
        <f t="shared" ref="K1952:L1952" si="5851">#REF!</f>
        <v>#REF!</v>
      </c>
      <c r="L1952" s="20" t="str">
        <f t="shared" si="5851"/>
        <v>#REF!</v>
      </c>
    </row>
    <row r="1953">
      <c r="A1953" s="20" t="str">
        <f t="shared" si="1267"/>
        <v>#REF!</v>
      </c>
      <c r="B1953" s="20" t="str">
        <f t="shared" si="1268"/>
        <v>#REF!</v>
      </c>
      <c r="C1953" s="20" t="str">
        <f t="shared" ref="C1953:D1953" si="5852">#REF!</f>
        <v>#REF!</v>
      </c>
      <c r="D1953" s="20" t="str">
        <f t="shared" si="5852"/>
        <v>#REF!</v>
      </c>
      <c r="E1953" s="20" t="str">
        <f t="shared" si="1270"/>
        <v>#REF!</v>
      </c>
      <c r="F1953" s="22" t="str">
        <f t="shared" si="2"/>
        <v>#REF!</v>
      </c>
      <c r="G1953" s="20" t="str">
        <f t="shared" ref="G1953:I1953" si="5853">#REF!</f>
        <v>#REF!</v>
      </c>
      <c r="H1953" s="20" t="str">
        <f t="shared" si="5853"/>
        <v>#REF!</v>
      </c>
      <c r="I1953" s="20" t="str">
        <f t="shared" si="5853"/>
        <v>#REF!</v>
      </c>
      <c r="J1953" s="20" t="str">
        <f t="shared" si="1272"/>
        <v>#REF!</v>
      </c>
      <c r="K1953" s="20" t="str">
        <f t="shared" ref="K1953:L1953" si="5854">#REF!</f>
        <v>#REF!</v>
      </c>
      <c r="L1953" s="20" t="str">
        <f t="shared" si="5854"/>
        <v>#REF!</v>
      </c>
    </row>
    <row r="1954">
      <c r="A1954" s="20" t="str">
        <f t="shared" si="1267"/>
        <v>#REF!</v>
      </c>
      <c r="B1954" s="20" t="str">
        <f t="shared" si="1268"/>
        <v>#REF!</v>
      </c>
      <c r="C1954" s="20" t="str">
        <f t="shared" ref="C1954:D1954" si="5855">#REF!</f>
        <v>#REF!</v>
      </c>
      <c r="D1954" s="20" t="str">
        <f t="shared" si="5855"/>
        <v>#REF!</v>
      </c>
      <c r="E1954" s="20" t="str">
        <f t="shared" si="1270"/>
        <v>#REF!</v>
      </c>
      <c r="F1954" s="22" t="str">
        <f t="shared" si="2"/>
        <v>#REF!</v>
      </c>
      <c r="G1954" s="20" t="str">
        <f t="shared" ref="G1954:I1954" si="5856">#REF!</f>
        <v>#REF!</v>
      </c>
      <c r="H1954" s="20" t="str">
        <f t="shared" si="5856"/>
        <v>#REF!</v>
      </c>
      <c r="I1954" s="20" t="str">
        <f t="shared" si="5856"/>
        <v>#REF!</v>
      </c>
      <c r="J1954" s="20" t="str">
        <f t="shared" si="1272"/>
        <v>#REF!</v>
      </c>
      <c r="K1954" s="20" t="str">
        <f t="shared" ref="K1954:L1954" si="5857">#REF!</f>
        <v>#REF!</v>
      </c>
      <c r="L1954" s="20" t="str">
        <f t="shared" si="5857"/>
        <v>#REF!</v>
      </c>
    </row>
    <row r="1955">
      <c r="A1955" s="20" t="str">
        <f t="shared" si="1267"/>
        <v>#REF!</v>
      </c>
      <c r="B1955" s="20" t="str">
        <f t="shared" si="1268"/>
        <v>#REF!</v>
      </c>
      <c r="C1955" s="20" t="str">
        <f t="shared" ref="C1955:D1955" si="5858">#REF!</f>
        <v>#REF!</v>
      </c>
      <c r="D1955" s="20" t="str">
        <f t="shared" si="5858"/>
        <v>#REF!</v>
      </c>
      <c r="E1955" s="20" t="str">
        <f t="shared" si="1270"/>
        <v>#REF!</v>
      </c>
      <c r="F1955" s="22" t="str">
        <f t="shared" si="2"/>
        <v>#REF!</v>
      </c>
      <c r="G1955" s="20" t="str">
        <f t="shared" ref="G1955:I1955" si="5859">#REF!</f>
        <v>#REF!</v>
      </c>
      <c r="H1955" s="20" t="str">
        <f t="shared" si="5859"/>
        <v>#REF!</v>
      </c>
      <c r="I1955" s="20" t="str">
        <f t="shared" si="5859"/>
        <v>#REF!</v>
      </c>
      <c r="J1955" s="20" t="str">
        <f t="shared" si="1272"/>
        <v>#REF!</v>
      </c>
      <c r="K1955" s="20" t="str">
        <f t="shared" ref="K1955:L1955" si="5860">#REF!</f>
        <v>#REF!</v>
      </c>
      <c r="L1955" s="20" t="str">
        <f t="shared" si="5860"/>
        <v>#REF!</v>
      </c>
    </row>
    <row r="1956">
      <c r="A1956" s="20" t="str">
        <f t="shared" si="1267"/>
        <v>#REF!</v>
      </c>
      <c r="B1956" s="20" t="str">
        <f t="shared" si="1268"/>
        <v>#REF!</v>
      </c>
      <c r="C1956" s="20" t="str">
        <f t="shared" ref="C1956:D1956" si="5861">#REF!</f>
        <v>#REF!</v>
      </c>
      <c r="D1956" s="20" t="str">
        <f t="shared" si="5861"/>
        <v>#REF!</v>
      </c>
      <c r="E1956" s="20" t="str">
        <f t="shared" si="1270"/>
        <v>#REF!</v>
      </c>
      <c r="F1956" s="22" t="str">
        <f t="shared" si="2"/>
        <v>#REF!</v>
      </c>
      <c r="G1956" s="20" t="str">
        <f t="shared" ref="G1956:I1956" si="5862">#REF!</f>
        <v>#REF!</v>
      </c>
      <c r="H1956" s="20" t="str">
        <f t="shared" si="5862"/>
        <v>#REF!</v>
      </c>
      <c r="I1956" s="20" t="str">
        <f t="shared" si="5862"/>
        <v>#REF!</v>
      </c>
      <c r="J1956" s="20" t="str">
        <f t="shared" si="1272"/>
        <v>#REF!</v>
      </c>
      <c r="K1956" s="20" t="str">
        <f t="shared" ref="K1956:L1956" si="5863">#REF!</f>
        <v>#REF!</v>
      </c>
      <c r="L1956" s="20" t="str">
        <f t="shared" si="5863"/>
        <v>#REF!</v>
      </c>
    </row>
    <row r="1957">
      <c r="A1957" s="20" t="str">
        <f t="shared" si="1267"/>
        <v>#REF!</v>
      </c>
      <c r="B1957" s="20" t="str">
        <f t="shared" si="1268"/>
        <v>#REF!</v>
      </c>
      <c r="C1957" s="20" t="str">
        <f t="shared" ref="C1957:D1957" si="5864">#REF!</f>
        <v>#REF!</v>
      </c>
      <c r="D1957" s="20" t="str">
        <f t="shared" si="5864"/>
        <v>#REF!</v>
      </c>
      <c r="E1957" s="20" t="str">
        <f t="shared" si="1270"/>
        <v>#REF!</v>
      </c>
      <c r="F1957" s="22" t="str">
        <f t="shared" si="2"/>
        <v>#REF!</v>
      </c>
      <c r="G1957" s="20" t="str">
        <f t="shared" ref="G1957:I1957" si="5865">#REF!</f>
        <v>#REF!</v>
      </c>
      <c r="H1957" s="20" t="str">
        <f t="shared" si="5865"/>
        <v>#REF!</v>
      </c>
      <c r="I1957" s="20" t="str">
        <f t="shared" si="5865"/>
        <v>#REF!</v>
      </c>
      <c r="J1957" s="20" t="str">
        <f t="shared" si="1272"/>
        <v>#REF!</v>
      </c>
      <c r="K1957" s="20" t="str">
        <f t="shared" ref="K1957:L1957" si="5866">#REF!</f>
        <v>#REF!</v>
      </c>
      <c r="L1957" s="20" t="str">
        <f t="shared" si="5866"/>
        <v>#REF!</v>
      </c>
    </row>
    <row r="1958">
      <c r="A1958" s="20" t="str">
        <f t="shared" si="1267"/>
        <v>#REF!</v>
      </c>
      <c r="B1958" s="20" t="str">
        <f t="shared" si="1268"/>
        <v>#REF!</v>
      </c>
      <c r="C1958" s="20" t="str">
        <f t="shared" ref="C1958:D1958" si="5867">#REF!</f>
        <v>#REF!</v>
      </c>
      <c r="D1958" s="20" t="str">
        <f t="shared" si="5867"/>
        <v>#REF!</v>
      </c>
      <c r="E1958" s="20" t="str">
        <f t="shared" si="1270"/>
        <v>#REF!</v>
      </c>
      <c r="F1958" s="22" t="str">
        <f t="shared" si="2"/>
        <v>#REF!</v>
      </c>
      <c r="G1958" s="20" t="str">
        <f t="shared" ref="G1958:I1958" si="5868">#REF!</f>
        <v>#REF!</v>
      </c>
      <c r="H1958" s="20" t="str">
        <f t="shared" si="5868"/>
        <v>#REF!</v>
      </c>
      <c r="I1958" s="20" t="str">
        <f t="shared" si="5868"/>
        <v>#REF!</v>
      </c>
      <c r="J1958" s="20" t="str">
        <f t="shared" si="1272"/>
        <v>#REF!</v>
      </c>
      <c r="K1958" s="20" t="str">
        <f t="shared" ref="K1958:L1958" si="5869">#REF!</f>
        <v>#REF!</v>
      </c>
      <c r="L1958" s="20" t="str">
        <f t="shared" si="5869"/>
        <v>#REF!</v>
      </c>
    </row>
    <row r="1959">
      <c r="A1959" s="20" t="str">
        <f t="shared" si="1267"/>
        <v>#REF!</v>
      </c>
      <c r="B1959" s="20" t="str">
        <f t="shared" si="1268"/>
        <v>#REF!</v>
      </c>
      <c r="C1959" s="20" t="str">
        <f t="shared" ref="C1959:D1959" si="5870">#REF!</f>
        <v>#REF!</v>
      </c>
      <c r="D1959" s="20" t="str">
        <f t="shared" si="5870"/>
        <v>#REF!</v>
      </c>
      <c r="E1959" s="20" t="str">
        <f t="shared" si="1270"/>
        <v>#REF!</v>
      </c>
      <c r="F1959" s="22" t="str">
        <f t="shared" si="2"/>
        <v>#REF!</v>
      </c>
      <c r="G1959" s="20" t="str">
        <f t="shared" ref="G1959:I1959" si="5871">#REF!</f>
        <v>#REF!</v>
      </c>
      <c r="H1959" s="20" t="str">
        <f t="shared" si="5871"/>
        <v>#REF!</v>
      </c>
      <c r="I1959" s="20" t="str">
        <f t="shared" si="5871"/>
        <v>#REF!</v>
      </c>
      <c r="J1959" s="20" t="str">
        <f t="shared" si="1272"/>
        <v>#REF!</v>
      </c>
      <c r="K1959" s="20" t="str">
        <f t="shared" ref="K1959:L1959" si="5872">#REF!</f>
        <v>#REF!</v>
      </c>
      <c r="L1959" s="20" t="str">
        <f t="shared" si="5872"/>
        <v>#REF!</v>
      </c>
    </row>
    <row r="1960">
      <c r="A1960" s="20" t="str">
        <f t="shared" si="1267"/>
        <v>#REF!</v>
      </c>
      <c r="B1960" s="20" t="str">
        <f t="shared" si="1268"/>
        <v>#REF!</v>
      </c>
      <c r="C1960" s="20" t="str">
        <f t="shared" ref="C1960:D1960" si="5873">#REF!</f>
        <v>#REF!</v>
      </c>
      <c r="D1960" s="20" t="str">
        <f t="shared" si="5873"/>
        <v>#REF!</v>
      </c>
      <c r="E1960" s="20" t="str">
        <f t="shared" si="1270"/>
        <v>#REF!</v>
      </c>
      <c r="F1960" s="22" t="str">
        <f t="shared" si="2"/>
        <v>#REF!</v>
      </c>
      <c r="G1960" s="20" t="str">
        <f t="shared" ref="G1960:I1960" si="5874">#REF!</f>
        <v>#REF!</v>
      </c>
      <c r="H1960" s="20" t="str">
        <f t="shared" si="5874"/>
        <v>#REF!</v>
      </c>
      <c r="I1960" s="20" t="str">
        <f t="shared" si="5874"/>
        <v>#REF!</v>
      </c>
      <c r="J1960" s="20" t="str">
        <f t="shared" si="1272"/>
        <v>#REF!</v>
      </c>
      <c r="K1960" s="20" t="str">
        <f t="shared" ref="K1960:L1960" si="5875">#REF!</f>
        <v>#REF!</v>
      </c>
      <c r="L1960" s="20" t="str">
        <f t="shared" si="5875"/>
        <v>#REF!</v>
      </c>
    </row>
    <row r="1961">
      <c r="A1961" s="20" t="str">
        <f t="shared" si="1267"/>
        <v>#REF!</v>
      </c>
      <c r="B1961" s="20" t="str">
        <f t="shared" si="1268"/>
        <v>#REF!</v>
      </c>
      <c r="C1961" s="20" t="str">
        <f t="shared" ref="C1961:D1961" si="5876">#REF!</f>
        <v>#REF!</v>
      </c>
      <c r="D1961" s="20" t="str">
        <f t="shared" si="5876"/>
        <v>#REF!</v>
      </c>
      <c r="E1961" s="20" t="str">
        <f t="shared" si="1270"/>
        <v>#REF!</v>
      </c>
      <c r="F1961" s="22" t="str">
        <f t="shared" si="2"/>
        <v>#REF!</v>
      </c>
      <c r="G1961" s="20" t="str">
        <f t="shared" ref="G1961:I1961" si="5877">#REF!</f>
        <v>#REF!</v>
      </c>
      <c r="H1961" s="20" t="str">
        <f t="shared" si="5877"/>
        <v>#REF!</v>
      </c>
      <c r="I1961" s="20" t="str">
        <f t="shared" si="5877"/>
        <v>#REF!</v>
      </c>
      <c r="J1961" s="20" t="str">
        <f t="shared" si="1272"/>
        <v>#REF!</v>
      </c>
      <c r="K1961" s="20" t="str">
        <f t="shared" ref="K1961:L1961" si="5878">#REF!</f>
        <v>#REF!</v>
      </c>
      <c r="L1961" s="20" t="str">
        <f t="shared" si="5878"/>
        <v>#REF!</v>
      </c>
    </row>
    <row r="1962">
      <c r="A1962" s="20" t="str">
        <f t="shared" si="1267"/>
        <v>#REF!</v>
      </c>
      <c r="B1962" s="20" t="str">
        <f t="shared" si="1268"/>
        <v>#REF!</v>
      </c>
      <c r="C1962" s="20" t="str">
        <f t="shared" ref="C1962:D1962" si="5879">#REF!</f>
        <v>#REF!</v>
      </c>
      <c r="D1962" s="20" t="str">
        <f t="shared" si="5879"/>
        <v>#REF!</v>
      </c>
      <c r="E1962" s="20" t="str">
        <f t="shared" si="1270"/>
        <v>#REF!</v>
      </c>
      <c r="F1962" s="22" t="str">
        <f t="shared" si="2"/>
        <v>#REF!</v>
      </c>
      <c r="G1962" s="20" t="str">
        <f t="shared" ref="G1962:I1962" si="5880">#REF!</f>
        <v>#REF!</v>
      </c>
      <c r="H1962" s="20" t="str">
        <f t="shared" si="5880"/>
        <v>#REF!</v>
      </c>
      <c r="I1962" s="20" t="str">
        <f t="shared" si="5880"/>
        <v>#REF!</v>
      </c>
      <c r="J1962" s="20" t="str">
        <f t="shared" si="1272"/>
        <v>#REF!</v>
      </c>
      <c r="K1962" s="20" t="str">
        <f t="shared" ref="K1962:L1962" si="5881">#REF!</f>
        <v>#REF!</v>
      </c>
      <c r="L1962" s="20" t="str">
        <f t="shared" si="5881"/>
        <v>#REF!</v>
      </c>
    </row>
    <row r="1963">
      <c r="A1963" s="20" t="str">
        <f t="shared" si="1267"/>
        <v>#REF!</v>
      </c>
      <c r="B1963" s="20" t="str">
        <f t="shared" si="1268"/>
        <v>#REF!</v>
      </c>
      <c r="C1963" s="20" t="str">
        <f t="shared" ref="C1963:D1963" si="5882">#REF!</f>
        <v>#REF!</v>
      </c>
      <c r="D1963" s="20" t="str">
        <f t="shared" si="5882"/>
        <v>#REF!</v>
      </c>
      <c r="E1963" s="20" t="str">
        <f t="shared" si="1270"/>
        <v>#REF!</v>
      </c>
      <c r="F1963" s="22" t="str">
        <f t="shared" si="2"/>
        <v>#REF!</v>
      </c>
      <c r="G1963" s="20" t="str">
        <f t="shared" ref="G1963:I1963" si="5883">#REF!</f>
        <v>#REF!</v>
      </c>
      <c r="H1963" s="20" t="str">
        <f t="shared" si="5883"/>
        <v>#REF!</v>
      </c>
      <c r="I1963" s="20" t="str">
        <f t="shared" si="5883"/>
        <v>#REF!</v>
      </c>
      <c r="J1963" s="20" t="str">
        <f t="shared" si="1272"/>
        <v>#REF!</v>
      </c>
      <c r="K1963" s="20" t="str">
        <f t="shared" ref="K1963:L1963" si="5884">#REF!</f>
        <v>#REF!</v>
      </c>
      <c r="L1963" s="20" t="str">
        <f t="shared" si="5884"/>
        <v>#REF!</v>
      </c>
    </row>
    <row r="1964">
      <c r="A1964" s="20" t="str">
        <f t="shared" si="1267"/>
        <v>#REF!</v>
      </c>
      <c r="B1964" s="20" t="str">
        <f t="shared" si="1268"/>
        <v>#REF!</v>
      </c>
      <c r="C1964" s="20" t="str">
        <f t="shared" ref="C1964:D1964" si="5885">#REF!</f>
        <v>#REF!</v>
      </c>
      <c r="D1964" s="20" t="str">
        <f t="shared" si="5885"/>
        <v>#REF!</v>
      </c>
      <c r="E1964" s="20" t="str">
        <f t="shared" si="1270"/>
        <v>#REF!</v>
      </c>
      <c r="F1964" s="22" t="str">
        <f t="shared" si="2"/>
        <v>#REF!</v>
      </c>
      <c r="G1964" s="20" t="str">
        <f t="shared" ref="G1964:I1964" si="5886">#REF!</f>
        <v>#REF!</v>
      </c>
      <c r="H1964" s="20" t="str">
        <f t="shared" si="5886"/>
        <v>#REF!</v>
      </c>
      <c r="I1964" s="20" t="str">
        <f t="shared" si="5886"/>
        <v>#REF!</v>
      </c>
      <c r="J1964" s="20" t="str">
        <f t="shared" si="1272"/>
        <v>#REF!</v>
      </c>
      <c r="K1964" s="20" t="str">
        <f t="shared" ref="K1964:L1964" si="5887">#REF!</f>
        <v>#REF!</v>
      </c>
      <c r="L1964" s="20" t="str">
        <f t="shared" si="5887"/>
        <v>#REF!</v>
      </c>
    </row>
    <row r="1965">
      <c r="A1965" s="20" t="str">
        <f t="shared" si="1267"/>
        <v>#REF!</v>
      </c>
      <c r="B1965" s="20" t="str">
        <f t="shared" si="1268"/>
        <v>#REF!</v>
      </c>
      <c r="C1965" s="20" t="str">
        <f t="shared" ref="C1965:D1965" si="5888">#REF!</f>
        <v>#REF!</v>
      </c>
      <c r="D1965" s="20" t="str">
        <f t="shared" si="5888"/>
        <v>#REF!</v>
      </c>
      <c r="E1965" s="20" t="str">
        <f t="shared" si="1270"/>
        <v>#REF!</v>
      </c>
      <c r="F1965" s="22" t="str">
        <f t="shared" si="2"/>
        <v>#REF!</v>
      </c>
      <c r="G1965" s="20" t="str">
        <f t="shared" ref="G1965:I1965" si="5889">#REF!</f>
        <v>#REF!</v>
      </c>
      <c r="H1965" s="20" t="str">
        <f t="shared" si="5889"/>
        <v>#REF!</v>
      </c>
      <c r="I1965" s="20" t="str">
        <f t="shared" si="5889"/>
        <v>#REF!</v>
      </c>
      <c r="J1965" s="20" t="str">
        <f t="shared" si="1272"/>
        <v>#REF!</v>
      </c>
      <c r="K1965" s="20" t="str">
        <f t="shared" ref="K1965:L1965" si="5890">#REF!</f>
        <v>#REF!</v>
      </c>
      <c r="L1965" s="20" t="str">
        <f t="shared" si="5890"/>
        <v>#REF!</v>
      </c>
    </row>
    <row r="1966">
      <c r="A1966" s="20" t="str">
        <f t="shared" si="1267"/>
        <v>#REF!</v>
      </c>
      <c r="B1966" s="20" t="str">
        <f t="shared" si="1268"/>
        <v>#REF!</v>
      </c>
      <c r="C1966" s="20" t="str">
        <f t="shared" ref="C1966:D1966" si="5891">#REF!</f>
        <v>#REF!</v>
      </c>
      <c r="D1966" s="20" t="str">
        <f t="shared" si="5891"/>
        <v>#REF!</v>
      </c>
      <c r="E1966" s="20" t="str">
        <f t="shared" si="1270"/>
        <v>#REF!</v>
      </c>
      <c r="F1966" s="22" t="str">
        <f t="shared" si="2"/>
        <v>#REF!</v>
      </c>
      <c r="G1966" s="20" t="str">
        <f t="shared" ref="G1966:I1966" si="5892">#REF!</f>
        <v>#REF!</v>
      </c>
      <c r="H1966" s="20" t="str">
        <f t="shared" si="5892"/>
        <v>#REF!</v>
      </c>
      <c r="I1966" s="20" t="str">
        <f t="shared" si="5892"/>
        <v>#REF!</v>
      </c>
      <c r="J1966" s="20" t="str">
        <f t="shared" si="1272"/>
        <v>#REF!</v>
      </c>
      <c r="K1966" s="20" t="str">
        <f t="shared" ref="K1966:L1966" si="5893">#REF!</f>
        <v>#REF!</v>
      </c>
      <c r="L1966" s="20" t="str">
        <f t="shared" si="5893"/>
        <v>#REF!</v>
      </c>
    </row>
    <row r="1967">
      <c r="A1967" s="20" t="str">
        <f t="shared" si="1267"/>
        <v>#REF!</v>
      </c>
      <c r="B1967" s="20" t="str">
        <f t="shared" si="1268"/>
        <v>#REF!</v>
      </c>
      <c r="C1967" s="20" t="str">
        <f t="shared" ref="C1967:D1967" si="5894">#REF!</f>
        <v>#REF!</v>
      </c>
      <c r="D1967" s="20" t="str">
        <f t="shared" si="5894"/>
        <v>#REF!</v>
      </c>
      <c r="E1967" s="20" t="str">
        <f t="shared" si="1270"/>
        <v>#REF!</v>
      </c>
      <c r="F1967" s="22" t="str">
        <f t="shared" si="2"/>
        <v>#REF!</v>
      </c>
      <c r="G1967" s="20" t="str">
        <f t="shared" ref="G1967:I1967" si="5895">#REF!</f>
        <v>#REF!</v>
      </c>
      <c r="H1967" s="20" t="str">
        <f t="shared" si="5895"/>
        <v>#REF!</v>
      </c>
      <c r="I1967" s="20" t="str">
        <f t="shared" si="5895"/>
        <v>#REF!</v>
      </c>
      <c r="J1967" s="20" t="str">
        <f t="shared" si="1272"/>
        <v>#REF!</v>
      </c>
      <c r="K1967" s="20" t="str">
        <f t="shared" ref="K1967:L1967" si="5896">#REF!</f>
        <v>#REF!</v>
      </c>
      <c r="L1967" s="20" t="str">
        <f t="shared" si="5896"/>
        <v>#REF!</v>
      </c>
    </row>
    <row r="1968">
      <c r="A1968" s="20" t="str">
        <f t="shared" si="1267"/>
        <v>#REF!</v>
      </c>
      <c r="B1968" s="20" t="str">
        <f t="shared" si="1268"/>
        <v>#REF!</v>
      </c>
      <c r="C1968" s="20" t="str">
        <f t="shared" ref="C1968:D1968" si="5897">#REF!</f>
        <v>#REF!</v>
      </c>
      <c r="D1968" s="20" t="str">
        <f t="shared" si="5897"/>
        <v>#REF!</v>
      </c>
      <c r="E1968" s="20" t="str">
        <f t="shared" si="1270"/>
        <v>#REF!</v>
      </c>
      <c r="F1968" s="22" t="str">
        <f t="shared" si="2"/>
        <v>#REF!</v>
      </c>
      <c r="G1968" s="20" t="str">
        <f t="shared" ref="G1968:I1968" si="5898">#REF!</f>
        <v>#REF!</v>
      </c>
      <c r="H1968" s="20" t="str">
        <f t="shared" si="5898"/>
        <v>#REF!</v>
      </c>
      <c r="I1968" s="20" t="str">
        <f t="shared" si="5898"/>
        <v>#REF!</v>
      </c>
      <c r="J1968" s="20" t="str">
        <f t="shared" si="1272"/>
        <v>#REF!</v>
      </c>
      <c r="K1968" s="20" t="str">
        <f t="shared" ref="K1968:L1968" si="5899">#REF!</f>
        <v>#REF!</v>
      </c>
      <c r="L1968" s="20" t="str">
        <f t="shared" si="5899"/>
        <v>#REF!</v>
      </c>
    </row>
    <row r="1969">
      <c r="A1969" s="20" t="str">
        <f t="shared" si="1267"/>
        <v>#REF!</v>
      </c>
      <c r="B1969" s="20" t="str">
        <f t="shared" si="1268"/>
        <v>#REF!</v>
      </c>
      <c r="C1969" s="20" t="str">
        <f t="shared" ref="C1969:D1969" si="5900">#REF!</f>
        <v>#REF!</v>
      </c>
      <c r="D1969" s="20" t="str">
        <f t="shared" si="5900"/>
        <v>#REF!</v>
      </c>
      <c r="E1969" s="20" t="str">
        <f t="shared" si="1270"/>
        <v>#REF!</v>
      </c>
      <c r="F1969" s="22" t="str">
        <f t="shared" si="2"/>
        <v>#REF!</v>
      </c>
      <c r="G1969" s="20" t="str">
        <f t="shared" ref="G1969:I1969" si="5901">#REF!</f>
        <v>#REF!</v>
      </c>
      <c r="H1969" s="20" t="str">
        <f t="shared" si="5901"/>
        <v>#REF!</v>
      </c>
      <c r="I1969" s="20" t="str">
        <f t="shared" si="5901"/>
        <v>#REF!</v>
      </c>
      <c r="J1969" s="20" t="str">
        <f t="shared" si="1272"/>
        <v>#REF!</v>
      </c>
      <c r="K1969" s="20" t="str">
        <f t="shared" ref="K1969:L1969" si="5902">#REF!</f>
        <v>#REF!</v>
      </c>
      <c r="L1969" s="20" t="str">
        <f t="shared" si="5902"/>
        <v>#REF!</v>
      </c>
    </row>
    <row r="1970">
      <c r="A1970" s="20" t="str">
        <f t="shared" si="1267"/>
        <v>#REF!</v>
      </c>
      <c r="B1970" s="20" t="str">
        <f t="shared" si="1268"/>
        <v>#REF!</v>
      </c>
      <c r="C1970" s="20" t="str">
        <f t="shared" ref="C1970:D1970" si="5903">#REF!</f>
        <v>#REF!</v>
      </c>
      <c r="D1970" s="20" t="str">
        <f t="shared" si="5903"/>
        <v>#REF!</v>
      </c>
      <c r="E1970" s="20" t="str">
        <f t="shared" si="1270"/>
        <v>#REF!</v>
      </c>
      <c r="F1970" s="22" t="str">
        <f t="shared" si="2"/>
        <v>#REF!</v>
      </c>
      <c r="G1970" s="20" t="str">
        <f t="shared" ref="G1970:I1970" si="5904">#REF!</f>
        <v>#REF!</v>
      </c>
      <c r="H1970" s="20" t="str">
        <f t="shared" si="5904"/>
        <v>#REF!</v>
      </c>
      <c r="I1970" s="20" t="str">
        <f t="shared" si="5904"/>
        <v>#REF!</v>
      </c>
      <c r="J1970" s="20" t="str">
        <f t="shared" si="1272"/>
        <v>#REF!</v>
      </c>
      <c r="K1970" s="20" t="str">
        <f t="shared" ref="K1970:L1970" si="5905">#REF!</f>
        <v>#REF!</v>
      </c>
      <c r="L1970" s="20" t="str">
        <f t="shared" si="5905"/>
        <v>#REF!</v>
      </c>
    </row>
    <row r="1971">
      <c r="A1971" s="20" t="str">
        <f t="shared" si="1267"/>
        <v>#REF!</v>
      </c>
      <c r="B1971" s="20" t="str">
        <f t="shared" si="1268"/>
        <v>#REF!</v>
      </c>
      <c r="C1971" s="20" t="str">
        <f t="shared" ref="C1971:D1971" si="5906">#REF!</f>
        <v>#REF!</v>
      </c>
      <c r="D1971" s="20" t="str">
        <f t="shared" si="5906"/>
        <v>#REF!</v>
      </c>
      <c r="E1971" s="20" t="str">
        <f t="shared" si="1270"/>
        <v>#REF!</v>
      </c>
      <c r="F1971" s="22" t="str">
        <f t="shared" si="2"/>
        <v>#REF!</v>
      </c>
      <c r="G1971" s="20" t="str">
        <f t="shared" ref="G1971:I1971" si="5907">#REF!</f>
        <v>#REF!</v>
      </c>
      <c r="H1971" s="20" t="str">
        <f t="shared" si="5907"/>
        <v>#REF!</v>
      </c>
      <c r="I1971" s="20" t="str">
        <f t="shared" si="5907"/>
        <v>#REF!</v>
      </c>
      <c r="J1971" s="20" t="str">
        <f t="shared" si="1272"/>
        <v>#REF!</v>
      </c>
      <c r="K1971" s="20" t="str">
        <f t="shared" ref="K1971:L1971" si="5908">#REF!</f>
        <v>#REF!</v>
      </c>
      <c r="L1971" s="20" t="str">
        <f t="shared" si="5908"/>
        <v>#REF!</v>
      </c>
    </row>
    <row r="1972">
      <c r="A1972" s="20" t="str">
        <f t="shared" si="1267"/>
        <v>#REF!</v>
      </c>
      <c r="B1972" s="20" t="str">
        <f t="shared" si="1268"/>
        <v>#REF!</v>
      </c>
      <c r="C1972" s="20" t="str">
        <f t="shared" ref="C1972:D1972" si="5909">#REF!</f>
        <v>#REF!</v>
      </c>
      <c r="D1972" s="20" t="str">
        <f t="shared" si="5909"/>
        <v>#REF!</v>
      </c>
      <c r="E1972" s="20" t="str">
        <f t="shared" si="1270"/>
        <v>#REF!</v>
      </c>
      <c r="F1972" s="22" t="str">
        <f t="shared" si="2"/>
        <v>#REF!</v>
      </c>
      <c r="G1972" s="20" t="str">
        <f t="shared" ref="G1972:I1972" si="5910">#REF!</f>
        <v>#REF!</v>
      </c>
      <c r="H1972" s="20" t="str">
        <f t="shared" si="5910"/>
        <v>#REF!</v>
      </c>
      <c r="I1972" s="20" t="str">
        <f t="shared" si="5910"/>
        <v>#REF!</v>
      </c>
      <c r="J1972" s="20" t="str">
        <f t="shared" si="1272"/>
        <v>#REF!</v>
      </c>
      <c r="K1972" s="20" t="str">
        <f t="shared" ref="K1972:L1972" si="5911">#REF!</f>
        <v>#REF!</v>
      </c>
      <c r="L1972" s="20" t="str">
        <f t="shared" si="5911"/>
        <v>#REF!</v>
      </c>
    </row>
    <row r="1973">
      <c r="A1973" s="20" t="str">
        <f t="shared" si="1267"/>
        <v>#REF!</v>
      </c>
      <c r="B1973" s="20" t="str">
        <f t="shared" si="1268"/>
        <v>#REF!</v>
      </c>
      <c r="C1973" s="20" t="str">
        <f t="shared" ref="C1973:D1973" si="5912">#REF!</f>
        <v>#REF!</v>
      </c>
      <c r="D1973" s="20" t="str">
        <f t="shared" si="5912"/>
        <v>#REF!</v>
      </c>
      <c r="E1973" s="20" t="str">
        <f t="shared" si="1270"/>
        <v>#REF!</v>
      </c>
      <c r="F1973" s="22" t="str">
        <f t="shared" si="2"/>
        <v>#REF!</v>
      </c>
      <c r="G1973" s="20" t="str">
        <f t="shared" ref="G1973:I1973" si="5913">#REF!</f>
        <v>#REF!</v>
      </c>
      <c r="H1973" s="20" t="str">
        <f t="shared" si="5913"/>
        <v>#REF!</v>
      </c>
      <c r="I1973" s="20" t="str">
        <f t="shared" si="5913"/>
        <v>#REF!</v>
      </c>
      <c r="J1973" s="20" t="str">
        <f t="shared" si="1272"/>
        <v>#REF!</v>
      </c>
      <c r="K1973" s="20" t="str">
        <f t="shared" ref="K1973:L1973" si="5914">#REF!</f>
        <v>#REF!</v>
      </c>
      <c r="L1973" s="20" t="str">
        <f t="shared" si="5914"/>
        <v>#REF!</v>
      </c>
    </row>
    <row r="1974">
      <c r="A1974" s="20" t="str">
        <f t="shared" si="1267"/>
        <v>#REF!</v>
      </c>
      <c r="B1974" s="20" t="str">
        <f t="shared" si="1268"/>
        <v>#REF!</v>
      </c>
      <c r="C1974" s="20" t="str">
        <f t="shared" ref="C1974:D1974" si="5915">#REF!</f>
        <v>#REF!</v>
      </c>
      <c r="D1974" s="20" t="str">
        <f t="shared" si="5915"/>
        <v>#REF!</v>
      </c>
      <c r="E1974" s="20" t="str">
        <f t="shared" si="1270"/>
        <v>#REF!</v>
      </c>
      <c r="F1974" s="22" t="str">
        <f t="shared" si="2"/>
        <v>#REF!</v>
      </c>
      <c r="G1974" s="20" t="str">
        <f t="shared" ref="G1974:I1974" si="5916">#REF!</f>
        <v>#REF!</v>
      </c>
      <c r="H1974" s="20" t="str">
        <f t="shared" si="5916"/>
        <v>#REF!</v>
      </c>
      <c r="I1974" s="20" t="str">
        <f t="shared" si="5916"/>
        <v>#REF!</v>
      </c>
      <c r="J1974" s="20" t="str">
        <f t="shared" si="1272"/>
        <v>#REF!</v>
      </c>
      <c r="K1974" s="20" t="str">
        <f t="shared" ref="K1974:L1974" si="5917">#REF!</f>
        <v>#REF!</v>
      </c>
      <c r="L1974" s="20" t="str">
        <f t="shared" si="5917"/>
        <v>#REF!</v>
      </c>
    </row>
    <row r="1975">
      <c r="A1975" s="20" t="str">
        <f t="shared" si="1267"/>
        <v>#REF!</v>
      </c>
      <c r="B1975" s="20" t="str">
        <f t="shared" si="1268"/>
        <v>#REF!</v>
      </c>
      <c r="C1975" s="20" t="str">
        <f t="shared" ref="C1975:D1975" si="5918">#REF!</f>
        <v>#REF!</v>
      </c>
      <c r="D1975" s="20" t="str">
        <f t="shared" si="5918"/>
        <v>#REF!</v>
      </c>
      <c r="E1975" s="20" t="str">
        <f t="shared" si="1270"/>
        <v>#REF!</v>
      </c>
      <c r="F1975" s="22" t="str">
        <f t="shared" si="2"/>
        <v>#REF!</v>
      </c>
      <c r="G1975" s="20" t="str">
        <f t="shared" ref="G1975:I1975" si="5919">#REF!</f>
        <v>#REF!</v>
      </c>
      <c r="H1975" s="20" t="str">
        <f t="shared" si="5919"/>
        <v>#REF!</v>
      </c>
      <c r="I1975" s="20" t="str">
        <f t="shared" si="5919"/>
        <v>#REF!</v>
      </c>
      <c r="J1975" s="20" t="str">
        <f t="shared" si="1272"/>
        <v>#REF!</v>
      </c>
      <c r="K1975" s="20" t="str">
        <f t="shared" ref="K1975:L1975" si="5920">#REF!</f>
        <v>#REF!</v>
      </c>
      <c r="L1975" s="20" t="str">
        <f t="shared" si="5920"/>
        <v>#REF!</v>
      </c>
    </row>
    <row r="1976">
      <c r="A1976" s="20" t="str">
        <f t="shared" si="1267"/>
        <v>#REF!</v>
      </c>
      <c r="B1976" s="20" t="str">
        <f t="shared" si="1268"/>
        <v>#REF!</v>
      </c>
      <c r="C1976" s="20" t="str">
        <f t="shared" ref="C1976:D1976" si="5921">#REF!</f>
        <v>#REF!</v>
      </c>
      <c r="D1976" s="20" t="str">
        <f t="shared" si="5921"/>
        <v>#REF!</v>
      </c>
      <c r="E1976" s="20" t="str">
        <f t="shared" si="1270"/>
        <v>#REF!</v>
      </c>
      <c r="F1976" s="22" t="str">
        <f t="shared" si="2"/>
        <v>#REF!</v>
      </c>
      <c r="G1976" s="20" t="str">
        <f t="shared" ref="G1976:I1976" si="5922">#REF!</f>
        <v>#REF!</v>
      </c>
      <c r="H1976" s="20" t="str">
        <f t="shared" si="5922"/>
        <v>#REF!</v>
      </c>
      <c r="I1976" s="20" t="str">
        <f t="shared" si="5922"/>
        <v>#REF!</v>
      </c>
      <c r="J1976" s="20" t="str">
        <f t="shared" si="1272"/>
        <v>#REF!</v>
      </c>
      <c r="K1976" s="20" t="str">
        <f t="shared" ref="K1976:L1976" si="5923">#REF!</f>
        <v>#REF!</v>
      </c>
      <c r="L1976" s="20" t="str">
        <f t="shared" si="5923"/>
        <v>#REF!</v>
      </c>
    </row>
    <row r="1977">
      <c r="A1977" s="20" t="str">
        <f t="shared" si="1267"/>
        <v>#REF!</v>
      </c>
      <c r="B1977" s="20" t="str">
        <f t="shared" si="1268"/>
        <v>#REF!</v>
      </c>
      <c r="C1977" s="20" t="str">
        <f t="shared" ref="C1977:D1977" si="5924">#REF!</f>
        <v>#REF!</v>
      </c>
      <c r="D1977" s="20" t="str">
        <f t="shared" si="5924"/>
        <v>#REF!</v>
      </c>
      <c r="E1977" s="20" t="str">
        <f t="shared" si="1270"/>
        <v>#REF!</v>
      </c>
      <c r="F1977" s="22" t="str">
        <f t="shared" si="2"/>
        <v>#REF!</v>
      </c>
      <c r="G1977" s="20" t="str">
        <f t="shared" ref="G1977:I1977" si="5925">#REF!</f>
        <v>#REF!</v>
      </c>
      <c r="H1977" s="20" t="str">
        <f t="shared" si="5925"/>
        <v>#REF!</v>
      </c>
      <c r="I1977" s="20" t="str">
        <f t="shared" si="5925"/>
        <v>#REF!</v>
      </c>
      <c r="J1977" s="20" t="str">
        <f t="shared" si="1272"/>
        <v>#REF!</v>
      </c>
      <c r="K1977" s="20" t="str">
        <f t="shared" ref="K1977:L1977" si="5926">#REF!</f>
        <v>#REF!</v>
      </c>
      <c r="L1977" s="20" t="str">
        <f t="shared" si="5926"/>
        <v>#REF!</v>
      </c>
    </row>
    <row r="1978">
      <c r="A1978" s="20" t="str">
        <f t="shared" si="1267"/>
        <v>#REF!</v>
      </c>
      <c r="B1978" s="20" t="str">
        <f t="shared" si="1268"/>
        <v>#REF!</v>
      </c>
      <c r="C1978" s="20" t="str">
        <f t="shared" ref="C1978:D1978" si="5927">#REF!</f>
        <v>#REF!</v>
      </c>
      <c r="D1978" s="20" t="str">
        <f t="shared" si="5927"/>
        <v>#REF!</v>
      </c>
      <c r="E1978" s="20" t="str">
        <f t="shared" si="1270"/>
        <v>#REF!</v>
      </c>
      <c r="F1978" s="22" t="str">
        <f t="shared" si="2"/>
        <v>#REF!</v>
      </c>
      <c r="G1978" s="20" t="str">
        <f t="shared" ref="G1978:I1978" si="5928">#REF!</f>
        <v>#REF!</v>
      </c>
      <c r="H1978" s="20" t="str">
        <f t="shared" si="5928"/>
        <v>#REF!</v>
      </c>
      <c r="I1978" s="20" t="str">
        <f t="shared" si="5928"/>
        <v>#REF!</v>
      </c>
      <c r="J1978" s="20" t="str">
        <f t="shared" si="1272"/>
        <v>#REF!</v>
      </c>
      <c r="K1978" s="20" t="str">
        <f t="shared" ref="K1978:L1978" si="5929">#REF!</f>
        <v>#REF!</v>
      </c>
      <c r="L1978" s="20" t="str">
        <f t="shared" si="5929"/>
        <v>#REF!</v>
      </c>
    </row>
    <row r="1979">
      <c r="A1979" s="20" t="str">
        <f t="shared" si="1267"/>
        <v>#REF!</v>
      </c>
      <c r="B1979" s="20" t="str">
        <f t="shared" si="1268"/>
        <v>#REF!</v>
      </c>
      <c r="C1979" s="20" t="str">
        <f t="shared" ref="C1979:D1979" si="5930">#REF!</f>
        <v>#REF!</v>
      </c>
      <c r="D1979" s="20" t="str">
        <f t="shared" si="5930"/>
        <v>#REF!</v>
      </c>
      <c r="E1979" s="20" t="str">
        <f t="shared" si="1270"/>
        <v>#REF!</v>
      </c>
      <c r="F1979" s="22" t="str">
        <f t="shared" si="2"/>
        <v>#REF!</v>
      </c>
      <c r="G1979" s="20" t="str">
        <f t="shared" ref="G1979:I1979" si="5931">#REF!</f>
        <v>#REF!</v>
      </c>
      <c r="H1979" s="20" t="str">
        <f t="shared" si="5931"/>
        <v>#REF!</v>
      </c>
      <c r="I1979" s="20" t="str">
        <f t="shared" si="5931"/>
        <v>#REF!</v>
      </c>
      <c r="J1979" s="20" t="str">
        <f t="shared" si="1272"/>
        <v>#REF!</v>
      </c>
      <c r="K1979" s="20" t="str">
        <f t="shared" ref="K1979:L1979" si="5932">#REF!</f>
        <v>#REF!</v>
      </c>
      <c r="L1979" s="20" t="str">
        <f t="shared" si="5932"/>
        <v>#REF!</v>
      </c>
    </row>
    <row r="1980">
      <c r="A1980" s="20" t="str">
        <f t="shared" si="1267"/>
        <v>#REF!</v>
      </c>
      <c r="B1980" s="20" t="str">
        <f t="shared" si="1268"/>
        <v>#REF!</v>
      </c>
      <c r="C1980" s="20" t="str">
        <f t="shared" ref="C1980:D1980" si="5933">#REF!</f>
        <v>#REF!</v>
      </c>
      <c r="D1980" s="20" t="str">
        <f t="shared" si="5933"/>
        <v>#REF!</v>
      </c>
      <c r="E1980" s="20" t="str">
        <f t="shared" si="1270"/>
        <v>#REF!</v>
      </c>
      <c r="F1980" s="22" t="str">
        <f t="shared" si="2"/>
        <v>#REF!</v>
      </c>
      <c r="G1980" s="20" t="str">
        <f t="shared" ref="G1980:I1980" si="5934">#REF!</f>
        <v>#REF!</v>
      </c>
      <c r="H1980" s="20" t="str">
        <f t="shared" si="5934"/>
        <v>#REF!</v>
      </c>
      <c r="I1980" s="20" t="str">
        <f t="shared" si="5934"/>
        <v>#REF!</v>
      </c>
      <c r="J1980" s="20" t="str">
        <f t="shared" si="1272"/>
        <v>#REF!</v>
      </c>
      <c r="K1980" s="20" t="str">
        <f t="shared" ref="K1980:L1980" si="5935">#REF!</f>
        <v>#REF!</v>
      </c>
      <c r="L1980" s="20" t="str">
        <f t="shared" si="5935"/>
        <v>#REF!</v>
      </c>
    </row>
    <row r="1981">
      <c r="A1981" s="20" t="str">
        <f t="shared" si="1267"/>
        <v>#REF!</v>
      </c>
      <c r="B1981" s="20" t="str">
        <f t="shared" si="1268"/>
        <v>#REF!</v>
      </c>
      <c r="C1981" s="20" t="str">
        <f t="shared" ref="C1981:D1981" si="5936">#REF!</f>
        <v>#REF!</v>
      </c>
      <c r="D1981" s="20" t="str">
        <f t="shared" si="5936"/>
        <v>#REF!</v>
      </c>
      <c r="E1981" s="20" t="str">
        <f t="shared" si="1270"/>
        <v>#REF!</v>
      </c>
      <c r="F1981" s="22" t="str">
        <f t="shared" si="2"/>
        <v>#REF!</v>
      </c>
      <c r="G1981" s="20" t="str">
        <f t="shared" ref="G1981:I1981" si="5937">#REF!</f>
        <v>#REF!</v>
      </c>
      <c r="H1981" s="20" t="str">
        <f t="shared" si="5937"/>
        <v>#REF!</v>
      </c>
      <c r="I1981" s="20" t="str">
        <f t="shared" si="5937"/>
        <v>#REF!</v>
      </c>
      <c r="J1981" s="20" t="str">
        <f t="shared" si="1272"/>
        <v>#REF!</v>
      </c>
      <c r="K1981" s="20" t="str">
        <f t="shared" ref="K1981:L1981" si="5938">#REF!</f>
        <v>#REF!</v>
      </c>
      <c r="L1981" s="20" t="str">
        <f t="shared" si="5938"/>
        <v>#REF!</v>
      </c>
    </row>
    <row r="1982">
      <c r="A1982" s="20" t="str">
        <f t="shared" si="1267"/>
        <v>#REF!</v>
      </c>
      <c r="B1982" s="20" t="str">
        <f t="shared" si="1268"/>
        <v>#REF!</v>
      </c>
      <c r="C1982" s="20" t="str">
        <f t="shared" ref="C1982:D1982" si="5939">#REF!</f>
        <v>#REF!</v>
      </c>
      <c r="D1982" s="20" t="str">
        <f t="shared" si="5939"/>
        <v>#REF!</v>
      </c>
      <c r="E1982" s="20" t="str">
        <f t="shared" si="1270"/>
        <v>#REF!</v>
      </c>
      <c r="F1982" s="22" t="str">
        <f t="shared" si="2"/>
        <v>#REF!</v>
      </c>
      <c r="G1982" s="20" t="str">
        <f t="shared" ref="G1982:I1982" si="5940">#REF!</f>
        <v>#REF!</v>
      </c>
      <c r="H1982" s="20" t="str">
        <f t="shared" si="5940"/>
        <v>#REF!</v>
      </c>
      <c r="I1982" s="20" t="str">
        <f t="shared" si="5940"/>
        <v>#REF!</v>
      </c>
      <c r="J1982" s="20" t="str">
        <f t="shared" si="1272"/>
        <v>#REF!</v>
      </c>
      <c r="K1982" s="20" t="str">
        <f t="shared" ref="K1982:L1982" si="5941">#REF!</f>
        <v>#REF!</v>
      </c>
      <c r="L1982" s="20" t="str">
        <f t="shared" si="5941"/>
        <v>#REF!</v>
      </c>
    </row>
    <row r="1983">
      <c r="A1983" s="20" t="str">
        <f t="shared" si="1267"/>
        <v>#REF!</v>
      </c>
      <c r="B1983" s="20" t="str">
        <f t="shared" si="1268"/>
        <v>#REF!</v>
      </c>
      <c r="C1983" s="20" t="str">
        <f t="shared" ref="C1983:D1983" si="5942">#REF!</f>
        <v>#REF!</v>
      </c>
      <c r="D1983" s="20" t="str">
        <f t="shared" si="5942"/>
        <v>#REF!</v>
      </c>
      <c r="E1983" s="20" t="str">
        <f t="shared" si="1270"/>
        <v>#REF!</v>
      </c>
      <c r="F1983" s="22" t="str">
        <f t="shared" si="2"/>
        <v>#REF!</v>
      </c>
      <c r="G1983" s="20" t="str">
        <f t="shared" ref="G1983:I1983" si="5943">#REF!</f>
        <v>#REF!</v>
      </c>
      <c r="H1983" s="20" t="str">
        <f t="shared" si="5943"/>
        <v>#REF!</v>
      </c>
      <c r="I1983" s="20" t="str">
        <f t="shared" si="5943"/>
        <v>#REF!</v>
      </c>
      <c r="J1983" s="20" t="str">
        <f t="shared" si="1272"/>
        <v>#REF!</v>
      </c>
      <c r="K1983" s="20" t="str">
        <f t="shared" ref="K1983:L1983" si="5944">#REF!</f>
        <v>#REF!</v>
      </c>
      <c r="L1983" s="20" t="str">
        <f t="shared" si="5944"/>
        <v>#REF!</v>
      </c>
    </row>
    <row r="1984">
      <c r="A1984" s="20" t="str">
        <f t="shared" si="1267"/>
        <v>#REF!</v>
      </c>
      <c r="B1984" s="20" t="str">
        <f t="shared" si="1268"/>
        <v>#REF!</v>
      </c>
      <c r="C1984" s="20" t="str">
        <f t="shared" ref="C1984:D1984" si="5945">#REF!</f>
        <v>#REF!</v>
      </c>
      <c r="D1984" s="20" t="str">
        <f t="shared" si="5945"/>
        <v>#REF!</v>
      </c>
      <c r="E1984" s="20" t="str">
        <f t="shared" si="1270"/>
        <v>#REF!</v>
      </c>
      <c r="F1984" s="22" t="str">
        <f t="shared" si="2"/>
        <v>#REF!</v>
      </c>
      <c r="G1984" s="20" t="str">
        <f t="shared" ref="G1984:I1984" si="5946">#REF!</f>
        <v>#REF!</v>
      </c>
      <c r="H1984" s="20" t="str">
        <f t="shared" si="5946"/>
        <v>#REF!</v>
      </c>
      <c r="I1984" s="20" t="str">
        <f t="shared" si="5946"/>
        <v>#REF!</v>
      </c>
      <c r="J1984" s="20" t="str">
        <f t="shared" si="1272"/>
        <v>#REF!</v>
      </c>
      <c r="K1984" s="20" t="str">
        <f t="shared" ref="K1984:L1984" si="5947">#REF!</f>
        <v>#REF!</v>
      </c>
      <c r="L1984" s="20" t="str">
        <f t="shared" si="5947"/>
        <v>#REF!</v>
      </c>
    </row>
    <row r="1985">
      <c r="A1985" s="20" t="str">
        <f t="shared" si="1267"/>
        <v>#REF!</v>
      </c>
      <c r="B1985" s="20" t="str">
        <f t="shared" si="1268"/>
        <v>#REF!</v>
      </c>
      <c r="C1985" s="20" t="str">
        <f t="shared" ref="C1985:D1985" si="5948">#REF!</f>
        <v>#REF!</v>
      </c>
      <c r="D1985" s="20" t="str">
        <f t="shared" si="5948"/>
        <v>#REF!</v>
      </c>
      <c r="E1985" s="20" t="str">
        <f t="shared" si="1270"/>
        <v>#REF!</v>
      </c>
      <c r="F1985" s="22" t="str">
        <f t="shared" si="2"/>
        <v>#REF!</v>
      </c>
      <c r="G1985" s="20" t="str">
        <f t="shared" ref="G1985:I1985" si="5949">#REF!</f>
        <v>#REF!</v>
      </c>
      <c r="H1985" s="20" t="str">
        <f t="shared" si="5949"/>
        <v>#REF!</v>
      </c>
      <c r="I1985" s="20" t="str">
        <f t="shared" si="5949"/>
        <v>#REF!</v>
      </c>
      <c r="J1985" s="20" t="str">
        <f t="shared" si="1272"/>
        <v>#REF!</v>
      </c>
      <c r="K1985" s="20" t="str">
        <f t="shared" ref="K1985:L1985" si="5950">#REF!</f>
        <v>#REF!</v>
      </c>
      <c r="L1985" s="20" t="str">
        <f t="shared" si="5950"/>
        <v>#REF!</v>
      </c>
    </row>
    <row r="1986">
      <c r="A1986" s="20" t="str">
        <f t="shared" si="1267"/>
        <v>#REF!</v>
      </c>
      <c r="B1986" s="20" t="str">
        <f t="shared" si="1268"/>
        <v>#REF!</v>
      </c>
      <c r="C1986" s="20" t="str">
        <f t="shared" ref="C1986:D1986" si="5951">#REF!</f>
        <v>#REF!</v>
      </c>
      <c r="D1986" s="20" t="str">
        <f t="shared" si="5951"/>
        <v>#REF!</v>
      </c>
      <c r="E1986" s="20" t="str">
        <f t="shared" si="1270"/>
        <v>#REF!</v>
      </c>
      <c r="F1986" s="22" t="str">
        <f t="shared" si="2"/>
        <v>#REF!</v>
      </c>
      <c r="G1986" s="20" t="str">
        <f t="shared" ref="G1986:I1986" si="5952">#REF!</f>
        <v>#REF!</v>
      </c>
      <c r="H1986" s="20" t="str">
        <f t="shared" si="5952"/>
        <v>#REF!</v>
      </c>
      <c r="I1986" s="20" t="str">
        <f t="shared" si="5952"/>
        <v>#REF!</v>
      </c>
      <c r="J1986" s="20" t="str">
        <f t="shared" si="1272"/>
        <v>#REF!</v>
      </c>
      <c r="K1986" s="20" t="str">
        <f t="shared" ref="K1986:L1986" si="5953">#REF!</f>
        <v>#REF!</v>
      </c>
      <c r="L1986" s="20" t="str">
        <f t="shared" si="5953"/>
        <v>#REF!</v>
      </c>
    </row>
    <row r="1987">
      <c r="A1987" s="20" t="str">
        <f t="shared" si="1267"/>
        <v>#REF!</v>
      </c>
      <c r="B1987" s="20" t="str">
        <f t="shared" si="1268"/>
        <v>#REF!</v>
      </c>
      <c r="C1987" s="20" t="str">
        <f t="shared" ref="C1987:D1987" si="5954">#REF!</f>
        <v>#REF!</v>
      </c>
      <c r="D1987" s="20" t="str">
        <f t="shared" si="5954"/>
        <v>#REF!</v>
      </c>
      <c r="E1987" s="20" t="str">
        <f t="shared" si="1270"/>
        <v>#REF!</v>
      </c>
      <c r="F1987" s="22" t="str">
        <f t="shared" si="2"/>
        <v>#REF!</v>
      </c>
      <c r="G1987" s="20" t="str">
        <f t="shared" ref="G1987:I1987" si="5955">#REF!</f>
        <v>#REF!</v>
      </c>
      <c r="H1987" s="20" t="str">
        <f t="shared" si="5955"/>
        <v>#REF!</v>
      </c>
      <c r="I1987" s="20" t="str">
        <f t="shared" si="5955"/>
        <v>#REF!</v>
      </c>
      <c r="J1987" s="20" t="str">
        <f t="shared" si="1272"/>
        <v>#REF!</v>
      </c>
      <c r="K1987" s="20" t="str">
        <f t="shared" ref="K1987:L1987" si="5956">#REF!</f>
        <v>#REF!</v>
      </c>
      <c r="L1987" s="20" t="str">
        <f t="shared" si="5956"/>
        <v>#REF!</v>
      </c>
    </row>
    <row r="1988">
      <c r="A1988" s="20" t="str">
        <f t="shared" si="1267"/>
        <v>#REF!</v>
      </c>
      <c r="B1988" s="20" t="str">
        <f t="shared" si="1268"/>
        <v>#REF!</v>
      </c>
      <c r="C1988" s="20" t="str">
        <f t="shared" ref="C1988:D1988" si="5957">#REF!</f>
        <v>#REF!</v>
      </c>
      <c r="D1988" s="20" t="str">
        <f t="shared" si="5957"/>
        <v>#REF!</v>
      </c>
      <c r="E1988" s="20" t="str">
        <f t="shared" si="1270"/>
        <v>#REF!</v>
      </c>
      <c r="F1988" s="22" t="str">
        <f t="shared" si="2"/>
        <v>#REF!</v>
      </c>
      <c r="G1988" s="20" t="str">
        <f t="shared" ref="G1988:I1988" si="5958">#REF!</f>
        <v>#REF!</v>
      </c>
      <c r="H1988" s="20" t="str">
        <f t="shared" si="5958"/>
        <v>#REF!</v>
      </c>
      <c r="I1988" s="20" t="str">
        <f t="shared" si="5958"/>
        <v>#REF!</v>
      </c>
      <c r="J1988" s="20" t="str">
        <f t="shared" si="1272"/>
        <v>#REF!</v>
      </c>
      <c r="K1988" s="20" t="str">
        <f t="shared" ref="K1988:L1988" si="5959">#REF!</f>
        <v>#REF!</v>
      </c>
      <c r="L1988" s="20" t="str">
        <f t="shared" si="5959"/>
        <v>#REF!</v>
      </c>
    </row>
    <row r="1989">
      <c r="A1989" s="20" t="str">
        <f t="shared" si="1267"/>
        <v>#REF!</v>
      </c>
      <c r="B1989" s="20" t="str">
        <f t="shared" si="1268"/>
        <v>#REF!</v>
      </c>
      <c r="C1989" s="20" t="str">
        <f t="shared" ref="C1989:D1989" si="5960">#REF!</f>
        <v>#REF!</v>
      </c>
      <c r="D1989" s="20" t="str">
        <f t="shared" si="5960"/>
        <v>#REF!</v>
      </c>
      <c r="E1989" s="20" t="str">
        <f t="shared" si="1270"/>
        <v>#REF!</v>
      </c>
      <c r="F1989" s="22" t="str">
        <f t="shared" si="2"/>
        <v>#REF!</v>
      </c>
      <c r="G1989" s="20" t="str">
        <f t="shared" ref="G1989:I1989" si="5961">#REF!</f>
        <v>#REF!</v>
      </c>
      <c r="H1989" s="20" t="str">
        <f t="shared" si="5961"/>
        <v>#REF!</v>
      </c>
      <c r="I1989" s="20" t="str">
        <f t="shared" si="5961"/>
        <v>#REF!</v>
      </c>
      <c r="J1989" s="20" t="str">
        <f t="shared" si="1272"/>
        <v>#REF!</v>
      </c>
      <c r="K1989" s="20" t="str">
        <f t="shared" ref="K1989:L1989" si="5962">#REF!</f>
        <v>#REF!</v>
      </c>
      <c r="L1989" s="20" t="str">
        <f t="shared" si="5962"/>
        <v>#REF!</v>
      </c>
    </row>
    <row r="1990">
      <c r="A1990" s="20" t="str">
        <f t="shared" si="1267"/>
        <v>#REF!</v>
      </c>
      <c r="B1990" s="20" t="str">
        <f t="shared" si="1268"/>
        <v>#REF!</v>
      </c>
      <c r="C1990" s="20" t="str">
        <f t="shared" ref="C1990:D1990" si="5963">#REF!</f>
        <v>#REF!</v>
      </c>
      <c r="D1990" s="20" t="str">
        <f t="shared" si="5963"/>
        <v>#REF!</v>
      </c>
      <c r="E1990" s="20" t="str">
        <f t="shared" si="1270"/>
        <v>#REF!</v>
      </c>
      <c r="F1990" s="22" t="str">
        <f t="shared" si="2"/>
        <v>#REF!</v>
      </c>
      <c r="G1990" s="20" t="str">
        <f t="shared" ref="G1990:I1990" si="5964">#REF!</f>
        <v>#REF!</v>
      </c>
      <c r="H1990" s="20" t="str">
        <f t="shared" si="5964"/>
        <v>#REF!</v>
      </c>
      <c r="I1990" s="20" t="str">
        <f t="shared" si="5964"/>
        <v>#REF!</v>
      </c>
      <c r="J1990" s="20" t="str">
        <f t="shared" si="1272"/>
        <v>#REF!</v>
      </c>
      <c r="K1990" s="20" t="str">
        <f t="shared" ref="K1990:L1990" si="5965">#REF!</f>
        <v>#REF!</v>
      </c>
      <c r="L1990" s="20" t="str">
        <f t="shared" si="5965"/>
        <v>#REF!</v>
      </c>
    </row>
    <row r="1991">
      <c r="A1991" s="20" t="str">
        <f t="shared" si="1267"/>
        <v>#REF!</v>
      </c>
      <c r="B1991" s="20" t="str">
        <f t="shared" si="1268"/>
        <v>#REF!</v>
      </c>
      <c r="C1991" s="20" t="str">
        <f t="shared" ref="C1991:D1991" si="5966">#REF!</f>
        <v>#REF!</v>
      </c>
      <c r="D1991" s="20" t="str">
        <f t="shared" si="5966"/>
        <v>#REF!</v>
      </c>
      <c r="E1991" s="20" t="str">
        <f t="shared" si="1270"/>
        <v>#REF!</v>
      </c>
      <c r="F1991" s="22" t="str">
        <f t="shared" si="2"/>
        <v>#REF!</v>
      </c>
      <c r="G1991" s="20" t="str">
        <f t="shared" ref="G1991:I1991" si="5967">#REF!</f>
        <v>#REF!</v>
      </c>
      <c r="H1991" s="20" t="str">
        <f t="shared" si="5967"/>
        <v>#REF!</v>
      </c>
      <c r="I1991" s="20" t="str">
        <f t="shared" si="5967"/>
        <v>#REF!</v>
      </c>
      <c r="J1991" s="20" t="str">
        <f t="shared" si="1272"/>
        <v>#REF!</v>
      </c>
      <c r="K1991" s="20" t="str">
        <f t="shared" ref="K1991:L1991" si="5968">#REF!</f>
        <v>#REF!</v>
      </c>
      <c r="L1991" s="20" t="str">
        <f t="shared" si="5968"/>
        <v>#REF!</v>
      </c>
    </row>
    <row r="1992">
      <c r="A1992" s="20" t="str">
        <f t="shared" si="1267"/>
        <v>#REF!</v>
      </c>
      <c r="B1992" s="20" t="str">
        <f t="shared" si="1268"/>
        <v>#REF!</v>
      </c>
      <c r="C1992" s="20" t="str">
        <f t="shared" ref="C1992:D1992" si="5969">#REF!</f>
        <v>#REF!</v>
      </c>
      <c r="D1992" s="20" t="str">
        <f t="shared" si="5969"/>
        <v>#REF!</v>
      </c>
      <c r="E1992" s="20" t="str">
        <f t="shared" si="1270"/>
        <v>#REF!</v>
      </c>
      <c r="F1992" s="22" t="str">
        <f t="shared" si="2"/>
        <v>#REF!</v>
      </c>
      <c r="G1992" s="20" t="str">
        <f t="shared" ref="G1992:I1992" si="5970">#REF!</f>
        <v>#REF!</v>
      </c>
      <c r="H1992" s="20" t="str">
        <f t="shared" si="5970"/>
        <v>#REF!</v>
      </c>
      <c r="I1992" s="20" t="str">
        <f t="shared" si="5970"/>
        <v>#REF!</v>
      </c>
      <c r="J1992" s="20" t="str">
        <f t="shared" si="1272"/>
        <v>#REF!</v>
      </c>
      <c r="K1992" s="20" t="str">
        <f t="shared" ref="K1992:L1992" si="5971">#REF!</f>
        <v>#REF!</v>
      </c>
      <c r="L1992" s="20" t="str">
        <f t="shared" si="5971"/>
        <v>#REF!</v>
      </c>
    </row>
    <row r="1993">
      <c r="A1993" s="20" t="str">
        <f t="shared" si="1267"/>
        <v>#REF!</v>
      </c>
      <c r="B1993" s="20" t="str">
        <f t="shared" si="1268"/>
        <v>#REF!</v>
      </c>
      <c r="C1993" s="20" t="str">
        <f t="shared" ref="C1993:D1993" si="5972">#REF!</f>
        <v>#REF!</v>
      </c>
      <c r="D1993" s="20" t="str">
        <f t="shared" si="5972"/>
        <v>#REF!</v>
      </c>
      <c r="E1993" s="20" t="str">
        <f t="shared" si="1270"/>
        <v>#REF!</v>
      </c>
      <c r="F1993" s="22" t="str">
        <f t="shared" si="2"/>
        <v>#REF!</v>
      </c>
      <c r="G1993" s="20" t="str">
        <f t="shared" ref="G1993:I1993" si="5973">#REF!</f>
        <v>#REF!</v>
      </c>
      <c r="H1993" s="20" t="str">
        <f t="shared" si="5973"/>
        <v>#REF!</v>
      </c>
      <c r="I1993" s="20" t="str">
        <f t="shared" si="5973"/>
        <v>#REF!</v>
      </c>
      <c r="J1993" s="20" t="str">
        <f t="shared" si="1272"/>
        <v>#REF!</v>
      </c>
      <c r="K1993" s="20" t="str">
        <f t="shared" ref="K1993:L1993" si="5974">#REF!</f>
        <v>#REF!</v>
      </c>
      <c r="L1993" s="20" t="str">
        <f t="shared" si="5974"/>
        <v>#REF!</v>
      </c>
    </row>
    <row r="1994">
      <c r="A1994" s="20" t="str">
        <f t="shared" si="1267"/>
        <v>#REF!</v>
      </c>
      <c r="B1994" s="20" t="str">
        <f t="shared" si="1268"/>
        <v>#REF!</v>
      </c>
      <c r="C1994" s="20" t="str">
        <f t="shared" ref="C1994:D1994" si="5975">#REF!</f>
        <v>#REF!</v>
      </c>
      <c r="D1994" s="20" t="str">
        <f t="shared" si="5975"/>
        <v>#REF!</v>
      </c>
      <c r="E1994" s="20" t="str">
        <f t="shared" si="1270"/>
        <v>#REF!</v>
      </c>
      <c r="F1994" s="22" t="str">
        <f t="shared" si="2"/>
        <v>#REF!</v>
      </c>
      <c r="G1994" s="20" t="str">
        <f t="shared" ref="G1994:I1994" si="5976">#REF!</f>
        <v>#REF!</v>
      </c>
      <c r="H1994" s="20" t="str">
        <f t="shared" si="5976"/>
        <v>#REF!</v>
      </c>
      <c r="I1994" s="20" t="str">
        <f t="shared" si="5976"/>
        <v>#REF!</v>
      </c>
      <c r="J1994" s="20" t="str">
        <f t="shared" si="1272"/>
        <v>#REF!</v>
      </c>
      <c r="K1994" s="20" t="str">
        <f t="shared" ref="K1994:L1994" si="5977">#REF!</f>
        <v>#REF!</v>
      </c>
      <c r="L1994" s="20" t="str">
        <f t="shared" si="5977"/>
        <v>#REF!</v>
      </c>
    </row>
    <row r="1995">
      <c r="A1995" s="20" t="str">
        <f t="shared" si="1267"/>
        <v>#REF!</v>
      </c>
      <c r="B1995" s="20" t="str">
        <f t="shared" si="1268"/>
        <v>#REF!</v>
      </c>
      <c r="C1995" s="20" t="str">
        <f t="shared" ref="C1995:D1995" si="5978">#REF!</f>
        <v>#REF!</v>
      </c>
      <c r="D1995" s="20" t="str">
        <f t="shared" si="5978"/>
        <v>#REF!</v>
      </c>
      <c r="E1995" s="20" t="str">
        <f t="shared" si="1270"/>
        <v>#REF!</v>
      </c>
      <c r="F1995" s="22" t="str">
        <f t="shared" si="2"/>
        <v>#REF!</v>
      </c>
      <c r="G1995" s="20" t="str">
        <f t="shared" ref="G1995:I1995" si="5979">#REF!</f>
        <v>#REF!</v>
      </c>
      <c r="H1995" s="20" t="str">
        <f t="shared" si="5979"/>
        <v>#REF!</v>
      </c>
      <c r="I1995" s="20" t="str">
        <f t="shared" si="5979"/>
        <v>#REF!</v>
      </c>
      <c r="J1995" s="20" t="str">
        <f t="shared" si="1272"/>
        <v>#REF!</v>
      </c>
      <c r="K1995" s="20" t="str">
        <f t="shared" ref="K1995:L1995" si="5980">#REF!</f>
        <v>#REF!</v>
      </c>
      <c r="L1995" s="20" t="str">
        <f t="shared" si="5980"/>
        <v>#REF!</v>
      </c>
    </row>
    <row r="1996">
      <c r="A1996" s="20" t="str">
        <f t="shared" si="1267"/>
        <v>#REF!</v>
      </c>
      <c r="B1996" s="20" t="str">
        <f t="shared" si="1268"/>
        <v>#REF!</v>
      </c>
      <c r="C1996" s="20" t="str">
        <f t="shared" ref="C1996:D1996" si="5981">#REF!</f>
        <v>#REF!</v>
      </c>
      <c r="D1996" s="20" t="str">
        <f t="shared" si="5981"/>
        <v>#REF!</v>
      </c>
      <c r="E1996" s="20" t="str">
        <f t="shared" si="1270"/>
        <v>#REF!</v>
      </c>
      <c r="F1996" s="22" t="str">
        <f t="shared" si="2"/>
        <v>#REF!</v>
      </c>
      <c r="G1996" s="20" t="str">
        <f t="shared" ref="G1996:I1996" si="5982">#REF!</f>
        <v>#REF!</v>
      </c>
      <c r="H1996" s="20" t="str">
        <f t="shared" si="5982"/>
        <v>#REF!</v>
      </c>
      <c r="I1996" s="20" t="str">
        <f t="shared" si="5982"/>
        <v>#REF!</v>
      </c>
      <c r="J1996" s="20" t="str">
        <f t="shared" si="1272"/>
        <v>#REF!</v>
      </c>
      <c r="K1996" s="20" t="str">
        <f t="shared" ref="K1996:L1996" si="5983">#REF!</f>
        <v>#REF!</v>
      </c>
      <c r="L1996" s="20" t="str">
        <f t="shared" si="5983"/>
        <v>#REF!</v>
      </c>
    </row>
    <row r="1997">
      <c r="A1997" s="20" t="str">
        <f t="shared" si="1267"/>
        <v>#REF!</v>
      </c>
      <c r="B1997" s="20" t="str">
        <f t="shared" si="1268"/>
        <v>#REF!</v>
      </c>
      <c r="C1997" s="20" t="str">
        <f t="shared" ref="C1997:D1997" si="5984">#REF!</f>
        <v>#REF!</v>
      </c>
      <c r="D1997" s="20" t="str">
        <f t="shared" si="5984"/>
        <v>#REF!</v>
      </c>
      <c r="E1997" s="20" t="str">
        <f t="shared" si="1270"/>
        <v>#REF!</v>
      </c>
      <c r="F1997" s="22" t="str">
        <f t="shared" si="2"/>
        <v>#REF!</v>
      </c>
      <c r="G1997" s="20" t="str">
        <f t="shared" ref="G1997:I1997" si="5985">#REF!</f>
        <v>#REF!</v>
      </c>
      <c r="H1997" s="20" t="str">
        <f t="shared" si="5985"/>
        <v>#REF!</v>
      </c>
      <c r="I1997" s="20" t="str">
        <f t="shared" si="5985"/>
        <v>#REF!</v>
      </c>
      <c r="J1997" s="20" t="str">
        <f t="shared" si="1272"/>
        <v>#REF!</v>
      </c>
      <c r="K1997" s="20" t="str">
        <f t="shared" ref="K1997:L1997" si="5986">#REF!</f>
        <v>#REF!</v>
      </c>
      <c r="L1997" s="20" t="str">
        <f t="shared" si="5986"/>
        <v>#REF!</v>
      </c>
    </row>
    <row r="1998">
      <c r="A1998" s="20" t="str">
        <f t="shared" si="1267"/>
        <v>#REF!</v>
      </c>
      <c r="B1998" s="20" t="str">
        <f t="shared" si="1268"/>
        <v>#REF!</v>
      </c>
      <c r="C1998" s="20" t="str">
        <f t="shared" ref="C1998:D1998" si="5987">#REF!</f>
        <v>#REF!</v>
      </c>
      <c r="D1998" s="20" t="str">
        <f t="shared" si="5987"/>
        <v>#REF!</v>
      </c>
      <c r="E1998" s="20" t="str">
        <f t="shared" si="1270"/>
        <v>#REF!</v>
      </c>
      <c r="F1998" s="22" t="str">
        <f t="shared" si="2"/>
        <v>#REF!</v>
      </c>
      <c r="G1998" s="20" t="str">
        <f t="shared" ref="G1998:I1998" si="5988">#REF!</f>
        <v>#REF!</v>
      </c>
      <c r="H1998" s="20" t="str">
        <f t="shared" si="5988"/>
        <v>#REF!</v>
      </c>
      <c r="I1998" s="20" t="str">
        <f t="shared" si="5988"/>
        <v>#REF!</v>
      </c>
      <c r="J1998" s="20" t="str">
        <f t="shared" si="1272"/>
        <v>#REF!</v>
      </c>
      <c r="K1998" s="20" t="str">
        <f t="shared" ref="K1998:L1998" si="5989">#REF!</f>
        <v>#REF!</v>
      </c>
      <c r="L1998" s="20" t="str">
        <f t="shared" si="5989"/>
        <v>#REF!</v>
      </c>
    </row>
    <row r="1999">
      <c r="A1999" s="20" t="str">
        <f t="shared" si="1267"/>
        <v>#REF!</v>
      </c>
      <c r="B1999" s="20" t="str">
        <f t="shared" si="1268"/>
        <v>#REF!</v>
      </c>
      <c r="C1999" s="20" t="str">
        <f t="shared" ref="C1999:D1999" si="5990">#REF!</f>
        <v>#REF!</v>
      </c>
      <c r="D1999" s="20" t="str">
        <f t="shared" si="5990"/>
        <v>#REF!</v>
      </c>
      <c r="E1999" s="20" t="str">
        <f t="shared" si="1270"/>
        <v>#REF!</v>
      </c>
      <c r="F1999" s="22" t="str">
        <f t="shared" si="2"/>
        <v>#REF!</v>
      </c>
      <c r="G1999" s="20" t="str">
        <f t="shared" ref="G1999:I1999" si="5991">#REF!</f>
        <v>#REF!</v>
      </c>
      <c r="H1999" s="20" t="str">
        <f t="shared" si="5991"/>
        <v>#REF!</v>
      </c>
      <c r="I1999" s="20" t="str">
        <f t="shared" si="5991"/>
        <v>#REF!</v>
      </c>
      <c r="J1999" s="20" t="str">
        <f t="shared" si="1272"/>
        <v>#REF!</v>
      </c>
      <c r="K1999" s="20" t="str">
        <f t="shared" ref="K1999:L1999" si="5992">#REF!</f>
        <v>#REF!</v>
      </c>
      <c r="L1999" s="20" t="str">
        <f t="shared" si="5992"/>
        <v>#REF!</v>
      </c>
    </row>
    <row r="2000">
      <c r="A2000" s="20" t="str">
        <f t="shared" si="1267"/>
        <v>#REF!</v>
      </c>
      <c r="B2000" s="20" t="str">
        <f t="shared" si="1268"/>
        <v>#REF!</v>
      </c>
      <c r="C2000" s="20" t="str">
        <f t="shared" ref="C2000:D2000" si="5993">#REF!</f>
        <v>#REF!</v>
      </c>
      <c r="D2000" s="20" t="str">
        <f t="shared" si="5993"/>
        <v>#REF!</v>
      </c>
      <c r="E2000" s="20" t="str">
        <f t="shared" si="1270"/>
        <v>#REF!</v>
      </c>
      <c r="F2000" s="22" t="str">
        <f t="shared" si="2"/>
        <v>#REF!</v>
      </c>
      <c r="G2000" s="20" t="str">
        <f t="shared" ref="G2000:I2000" si="5994">#REF!</f>
        <v>#REF!</v>
      </c>
      <c r="H2000" s="20" t="str">
        <f t="shared" si="5994"/>
        <v>#REF!</v>
      </c>
      <c r="I2000" s="20" t="str">
        <f t="shared" si="5994"/>
        <v>#REF!</v>
      </c>
      <c r="J2000" s="20" t="str">
        <f t="shared" si="1272"/>
        <v>#REF!</v>
      </c>
      <c r="K2000" s="20" t="str">
        <f t="shared" ref="K2000:L2000" si="5995">#REF!</f>
        <v>#REF!</v>
      </c>
      <c r="L2000" s="20" t="str">
        <f t="shared" si="5995"/>
        <v>#REF!</v>
      </c>
    </row>
    <row r="2001">
      <c r="A2001" s="20" t="str">
        <f t="shared" si="1267"/>
        <v>#REF!</v>
      </c>
      <c r="B2001" s="20" t="str">
        <f t="shared" si="1268"/>
        <v>#REF!</v>
      </c>
      <c r="C2001" s="20" t="str">
        <f t="shared" ref="C2001:D2001" si="5996">#REF!</f>
        <v>#REF!</v>
      </c>
      <c r="D2001" s="20" t="str">
        <f t="shared" si="5996"/>
        <v>#REF!</v>
      </c>
      <c r="E2001" s="20" t="str">
        <f t="shared" si="1270"/>
        <v>#REF!</v>
      </c>
      <c r="F2001" s="22" t="str">
        <f t="shared" si="2"/>
        <v>#REF!</v>
      </c>
      <c r="G2001" s="20" t="str">
        <f t="shared" ref="G2001:I2001" si="5997">#REF!</f>
        <v>#REF!</v>
      </c>
      <c r="H2001" s="20" t="str">
        <f t="shared" si="5997"/>
        <v>#REF!</v>
      </c>
      <c r="I2001" s="20" t="str">
        <f t="shared" si="5997"/>
        <v>#REF!</v>
      </c>
      <c r="J2001" s="20" t="str">
        <f t="shared" si="1272"/>
        <v>#REF!</v>
      </c>
      <c r="K2001" s="20" t="str">
        <f t="shared" ref="K2001:L2001" si="5998">#REF!</f>
        <v>#REF!</v>
      </c>
      <c r="L2001" s="20" t="str">
        <f t="shared" si="5998"/>
        <v>#REF!</v>
      </c>
    </row>
    <row r="2002">
      <c r="A2002" s="20" t="str">
        <f t="shared" si="1267"/>
        <v>#REF!</v>
      </c>
      <c r="B2002" s="20" t="str">
        <f t="shared" si="1268"/>
        <v>#REF!</v>
      </c>
      <c r="C2002" s="20" t="str">
        <f t="shared" ref="C2002:D2002" si="5999">#REF!</f>
        <v>#REF!</v>
      </c>
      <c r="D2002" s="20" t="str">
        <f t="shared" si="5999"/>
        <v>#REF!</v>
      </c>
      <c r="E2002" s="20" t="str">
        <f t="shared" si="1270"/>
        <v>#REF!</v>
      </c>
      <c r="F2002" s="22" t="str">
        <f t="shared" si="2"/>
        <v>#REF!</v>
      </c>
      <c r="G2002" s="20" t="str">
        <f t="shared" ref="G2002:I2002" si="6000">#REF!</f>
        <v>#REF!</v>
      </c>
      <c r="H2002" s="20" t="str">
        <f t="shared" si="6000"/>
        <v>#REF!</v>
      </c>
      <c r="I2002" s="20" t="str">
        <f t="shared" si="6000"/>
        <v>#REF!</v>
      </c>
      <c r="J2002" s="20" t="str">
        <f t="shared" si="1272"/>
        <v>#REF!</v>
      </c>
      <c r="K2002" s="20" t="str">
        <f t="shared" ref="K2002:L2002" si="6001">#REF!</f>
        <v>#REF!</v>
      </c>
      <c r="L2002" s="20" t="str">
        <f t="shared" si="6001"/>
        <v>#REF!</v>
      </c>
    </row>
    <row r="2003">
      <c r="A2003" s="20" t="str">
        <f t="shared" si="1267"/>
        <v>#REF!</v>
      </c>
      <c r="B2003" s="20" t="str">
        <f t="shared" si="1268"/>
        <v>#REF!</v>
      </c>
      <c r="C2003" s="20" t="str">
        <f t="shared" ref="C2003:D2003" si="6002">#REF!</f>
        <v>#REF!</v>
      </c>
      <c r="D2003" s="20" t="str">
        <f t="shared" si="6002"/>
        <v>#REF!</v>
      </c>
      <c r="E2003" s="20" t="str">
        <f t="shared" si="1270"/>
        <v>#REF!</v>
      </c>
      <c r="F2003" s="22" t="str">
        <f t="shared" si="2"/>
        <v>#REF!</v>
      </c>
      <c r="G2003" s="20" t="str">
        <f t="shared" ref="G2003:I2003" si="6003">#REF!</f>
        <v>#REF!</v>
      </c>
      <c r="H2003" s="20" t="str">
        <f t="shared" si="6003"/>
        <v>#REF!</v>
      </c>
      <c r="I2003" s="20" t="str">
        <f t="shared" si="6003"/>
        <v>#REF!</v>
      </c>
      <c r="J2003" s="20" t="str">
        <f t="shared" si="1272"/>
        <v>#REF!</v>
      </c>
      <c r="K2003" s="20" t="str">
        <f t="shared" ref="K2003:L2003" si="6004">#REF!</f>
        <v>#REF!</v>
      </c>
      <c r="L2003" s="20" t="str">
        <f t="shared" si="6004"/>
        <v>#REF!</v>
      </c>
    </row>
    <row r="2004">
      <c r="A2004" s="20" t="str">
        <f t="shared" si="1267"/>
        <v>#REF!</v>
      </c>
      <c r="B2004" s="20" t="str">
        <f t="shared" si="1268"/>
        <v>#REF!</v>
      </c>
      <c r="C2004" s="20" t="str">
        <f t="shared" ref="C2004:D2004" si="6005">#REF!</f>
        <v>#REF!</v>
      </c>
      <c r="D2004" s="20" t="str">
        <f t="shared" si="6005"/>
        <v>#REF!</v>
      </c>
      <c r="E2004" s="20" t="str">
        <f t="shared" si="1270"/>
        <v>#REF!</v>
      </c>
      <c r="F2004" s="22" t="str">
        <f t="shared" si="2"/>
        <v>#REF!</v>
      </c>
      <c r="G2004" s="20" t="str">
        <f t="shared" ref="G2004:I2004" si="6006">#REF!</f>
        <v>#REF!</v>
      </c>
      <c r="H2004" s="20" t="str">
        <f t="shared" si="6006"/>
        <v>#REF!</v>
      </c>
      <c r="I2004" s="20" t="str">
        <f t="shared" si="6006"/>
        <v>#REF!</v>
      </c>
      <c r="J2004" s="20" t="str">
        <f t="shared" si="1272"/>
        <v>#REF!</v>
      </c>
      <c r="K2004" s="20" t="str">
        <f t="shared" ref="K2004:L2004" si="6007">#REF!</f>
        <v>#REF!</v>
      </c>
      <c r="L2004" s="20" t="str">
        <f t="shared" si="6007"/>
        <v>#REF!</v>
      </c>
    </row>
    <row r="2005">
      <c r="A2005" s="20" t="str">
        <f t="shared" si="1267"/>
        <v>#REF!</v>
      </c>
      <c r="B2005" s="20" t="str">
        <f t="shared" si="1268"/>
        <v>#REF!</v>
      </c>
      <c r="C2005" s="20" t="str">
        <f t="shared" ref="C2005:D2005" si="6008">#REF!</f>
        <v>#REF!</v>
      </c>
      <c r="D2005" s="20" t="str">
        <f t="shared" si="6008"/>
        <v>#REF!</v>
      </c>
      <c r="E2005" s="20" t="str">
        <f t="shared" si="1270"/>
        <v>#REF!</v>
      </c>
      <c r="F2005" s="22" t="str">
        <f t="shared" si="2"/>
        <v>#REF!</v>
      </c>
      <c r="G2005" s="20" t="str">
        <f t="shared" ref="G2005:I2005" si="6009">#REF!</f>
        <v>#REF!</v>
      </c>
      <c r="H2005" s="20" t="str">
        <f t="shared" si="6009"/>
        <v>#REF!</v>
      </c>
      <c r="I2005" s="20" t="str">
        <f t="shared" si="6009"/>
        <v>#REF!</v>
      </c>
      <c r="J2005" s="20" t="str">
        <f t="shared" si="1272"/>
        <v>#REF!</v>
      </c>
      <c r="K2005" s="20" t="str">
        <f t="shared" ref="K2005:L2005" si="6010">#REF!</f>
        <v>#REF!</v>
      </c>
      <c r="L2005" s="20" t="str">
        <f t="shared" si="6010"/>
        <v>#REF!</v>
      </c>
    </row>
    <row r="2006">
      <c r="A2006" s="20" t="str">
        <f t="shared" si="1267"/>
        <v>#REF!</v>
      </c>
      <c r="B2006" s="20" t="str">
        <f t="shared" si="1268"/>
        <v>#REF!</v>
      </c>
      <c r="C2006" s="20" t="str">
        <f t="shared" ref="C2006:D2006" si="6011">#REF!</f>
        <v>#REF!</v>
      </c>
      <c r="D2006" s="20" t="str">
        <f t="shared" si="6011"/>
        <v>#REF!</v>
      </c>
      <c r="E2006" s="20" t="str">
        <f t="shared" si="1270"/>
        <v>#REF!</v>
      </c>
      <c r="F2006" s="22" t="str">
        <f t="shared" si="2"/>
        <v>#REF!</v>
      </c>
      <c r="G2006" s="20" t="str">
        <f t="shared" ref="G2006:I2006" si="6012">#REF!</f>
        <v>#REF!</v>
      </c>
      <c r="H2006" s="20" t="str">
        <f t="shared" si="6012"/>
        <v>#REF!</v>
      </c>
      <c r="I2006" s="20" t="str">
        <f t="shared" si="6012"/>
        <v>#REF!</v>
      </c>
      <c r="J2006" s="20" t="str">
        <f t="shared" si="1272"/>
        <v>#REF!</v>
      </c>
      <c r="K2006" s="20" t="str">
        <f t="shared" ref="K2006:L2006" si="6013">#REF!</f>
        <v>#REF!</v>
      </c>
      <c r="L2006" s="20" t="str">
        <f t="shared" si="6013"/>
        <v>#REF!</v>
      </c>
    </row>
    <row r="2007">
      <c r="A2007" s="20" t="str">
        <f t="shared" si="1267"/>
        <v>#REF!</v>
      </c>
      <c r="B2007" s="20" t="str">
        <f t="shared" si="1268"/>
        <v>#REF!</v>
      </c>
      <c r="C2007" s="20" t="str">
        <f t="shared" ref="C2007:D2007" si="6014">#REF!</f>
        <v>#REF!</v>
      </c>
      <c r="D2007" s="20" t="str">
        <f t="shared" si="6014"/>
        <v>#REF!</v>
      </c>
      <c r="E2007" s="20" t="str">
        <f t="shared" si="1270"/>
        <v>#REF!</v>
      </c>
      <c r="F2007" s="22" t="str">
        <f t="shared" si="2"/>
        <v>#REF!</v>
      </c>
      <c r="G2007" s="20" t="str">
        <f t="shared" ref="G2007:I2007" si="6015">#REF!</f>
        <v>#REF!</v>
      </c>
      <c r="H2007" s="20" t="str">
        <f t="shared" si="6015"/>
        <v>#REF!</v>
      </c>
      <c r="I2007" s="20" t="str">
        <f t="shared" si="6015"/>
        <v>#REF!</v>
      </c>
      <c r="J2007" s="20" t="str">
        <f t="shared" si="1272"/>
        <v>#REF!</v>
      </c>
      <c r="K2007" s="20" t="str">
        <f t="shared" ref="K2007:L2007" si="6016">#REF!</f>
        <v>#REF!</v>
      </c>
      <c r="L2007" s="20" t="str">
        <f t="shared" si="6016"/>
        <v>#REF!</v>
      </c>
    </row>
    <row r="2008">
      <c r="A2008" s="20" t="str">
        <f t="shared" si="1267"/>
        <v>#REF!</v>
      </c>
      <c r="B2008" s="20" t="str">
        <f t="shared" si="1268"/>
        <v>#REF!</v>
      </c>
      <c r="C2008" s="20" t="str">
        <f t="shared" ref="C2008:D2008" si="6017">#REF!</f>
        <v>#REF!</v>
      </c>
      <c r="D2008" s="20" t="str">
        <f t="shared" si="6017"/>
        <v>#REF!</v>
      </c>
      <c r="E2008" s="20" t="str">
        <f t="shared" si="1270"/>
        <v>#REF!</v>
      </c>
      <c r="F2008" s="22" t="str">
        <f t="shared" si="2"/>
        <v>#REF!</v>
      </c>
      <c r="G2008" s="20" t="str">
        <f t="shared" ref="G2008:I2008" si="6018">#REF!</f>
        <v>#REF!</v>
      </c>
      <c r="H2008" s="20" t="str">
        <f t="shared" si="6018"/>
        <v>#REF!</v>
      </c>
      <c r="I2008" s="20" t="str">
        <f t="shared" si="6018"/>
        <v>#REF!</v>
      </c>
      <c r="J2008" s="20" t="str">
        <f t="shared" si="1272"/>
        <v>#REF!</v>
      </c>
      <c r="K2008" s="20" t="str">
        <f t="shared" ref="K2008:L2008" si="6019">#REF!</f>
        <v>#REF!</v>
      </c>
      <c r="L2008" s="20" t="str">
        <f t="shared" si="6019"/>
        <v>#REF!</v>
      </c>
    </row>
    <row r="2009">
      <c r="A2009" s="20" t="str">
        <f t="shared" si="1267"/>
        <v>#REF!</v>
      </c>
      <c r="B2009" s="20" t="str">
        <f t="shared" si="1268"/>
        <v>#REF!</v>
      </c>
      <c r="C2009" s="20" t="str">
        <f t="shared" ref="C2009:D2009" si="6020">#REF!</f>
        <v>#REF!</v>
      </c>
      <c r="D2009" s="20" t="str">
        <f t="shared" si="6020"/>
        <v>#REF!</v>
      </c>
      <c r="E2009" s="20" t="str">
        <f t="shared" si="1270"/>
        <v>#REF!</v>
      </c>
      <c r="F2009" s="22" t="str">
        <f t="shared" si="2"/>
        <v>#REF!</v>
      </c>
      <c r="G2009" s="20" t="str">
        <f t="shared" ref="G2009:I2009" si="6021">#REF!</f>
        <v>#REF!</v>
      </c>
      <c r="H2009" s="20" t="str">
        <f t="shared" si="6021"/>
        <v>#REF!</v>
      </c>
      <c r="I2009" s="20" t="str">
        <f t="shared" si="6021"/>
        <v>#REF!</v>
      </c>
      <c r="J2009" s="20" t="str">
        <f t="shared" si="1272"/>
        <v>#REF!</v>
      </c>
      <c r="K2009" s="20" t="str">
        <f t="shared" ref="K2009:L2009" si="6022">#REF!</f>
        <v>#REF!</v>
      </c>
      <c r="L2009" s="20" t="str">
        <f t="shared" si="6022"/>
        <v>#REF!</v>
      </c>
    </row>
    <row r="2010">
      <c r="A2010" s="20" t="str">
        <f t="shared" si="1267"/>
        <v>#REF!</v>
      </c>
      <c r="B2010" s="20" t="str">
        <f t="shared" si="1268"/>
        <v>#REF!</v>
      </c>
      <c r="C2010" s="20" t="str">
        <f t="shared" ref="C2010:D2010" si="6023">#REF!</f>
        <v>#REF!</v>
      </c>
      <c r="D2010" s="20" t="str">
        <f t="shared" si="6023"/>
        <v>#REF!</v>
      </c>
      <c r="E2010" s="20" t="str">
        <f t="shared" si="1270"/>
        <v>#REF!</v>
      </c>
      <c r="F2010" s="22" t="str">
        <f t="shared" si="2"/>
        <v>#REF!</v>
      </c>
      <c r="G2010" s="20" t="str">
        <f t="shared" ref="G2010:I2010" si="6024">#REF!</f>
        <v>#REF!</v>
      </c>
      <c r="H2010" s="20" t="str">
        <f t="shared" si="6024"/>
        <v>#REF!</v>
      </c>
      <c r="I2010" s="20" t="str">
        <f t="shared" si="6024"/>
        <v>#REF!</v>
      </c>
      <c r="J2010" s="20" t="str">
        <f t="shared" si="1272"/>
        <v>#REF!</v>
      </c>
      <c r="K2010" s="20" t="str">
        <f t="shared" ref="K2010:L2010" si="6025">#REF!</f>
        <v>#REF!</v>
      </c>
      <c r="L2010" s="20" t="str">
        <f t="shared" si="6025"/>
        <v>#REF!</v>
      </c>
    </row>
    <row r="2011">
      <c r="A2011" s="20" t="str">
        <f t="shared" si="1267"/>
        <v>#REF!</v>
      </c>
      <c r="B2011" s="20" t="str">
        <f t="shared" si="1268"/>
        <v>#REF!</v>
      </c>
      <c r="C2011" s="20" t="str">
        <f t="shared" ref="C2011:D2011" si="6026">#REF!</f>
        <v>#REF!</v>
      </c>
      <c r="D2011" s="20" t="str">
        <f t="shared" si="6026"/>
        <v>#REF!</v>
      </c>
      <c r="E2011" s="20" t="str">
        <f t="shared" si="1270"/>
        <v>#REF!</v>
      </c>
      <c r="F2011" s="22" t="str">
        <f t="shared" si="2"/>
        <v>#REF!</v>
      </c>
      <c r="G2011" s="20" t="str">
        <f t="shared" ref="G2011:I2011" si="6027">#REF!</f>
        <v>#REF!</v>
      </c>
      <c r="H2011" s="20" t="str">
        <f t="shared" si="6027"/>
        <v>#REF!</v>
      </c>
      <c r="I2011" s="20" t="str">
        <f t="shared" si="6027"/>
        <v>#REF!</v>
      </c>
      <c r="J2011" s="20" t="str">
        <f t="shared" si="1272"/>
        <v>#REF!</v>
      </c>
      <c r="K2011" s="20" t="str">
        <f t="shared" ref="K2011:L2011" si="6028">#REF!</f>
        <v>#REF!</v>
      </c>
      <c r="L2011" s="20" t="str">
        <f t="shared" si="6028"/>
        <v>#REF!</v>
      </c>
    </row>
    <row r="2012">
      <c r="A2012" s="20" t="str">
        <f t="shared" si="1267"/>
        <v>#REF!</v>
      </c>
      <c r="B2012" s="20" t="str">
        <f t="shared" si="1268"/>
        <v>#REF!</v>
      </c>
      <c r="C2012" s="20" t="str">
        <f t="shared" ref="C2012:D2012" si="6029">#REF!</f>
        <v>#REF!</v>
      </c>
      <c r="D2012" s="20" t="str">
        <f t="shared" si="6029"/>
        <v>#REF!</v>
      </c>
      <c r="E2012" s="20" t="str">
        <f t="shared" si="1270"/>
        <v>#REF!</v>
      </c>
      <c r="F2012" s="22" t="str">
        <f t="shared" si="2"/>
        <v>#REF!</v>
      </c>
      <c r="G2012" s="20" t="str">
        <f t="shared" ref="G2012:I2012" si="6030">#REF!</f>
        <v>#REF!</v>
      </c>
      <c r="H2012" s="20" t="str">
        <f t="shared" si="6030"/>
        <v>#REF!</v>
      </c>
      <c r="I2012" s="20" t="str">
        <f t="shared" si="6030"/>
        <v>#REF!</v>
      </c>
      <c r="J2012" s="20" t="str">
        <f t="shared" si="1272"/>
        <v>#REF!</v>
      </c>
      <c r="K2012" s="20" t="str">
        <f t="shared" ref="K2012:L2012" si="6031">#REF!</f>
        <v>#REF!</v>
      </c>
      <c r="L2012" s="20" t="str">
        <f t="shared" si="6031"/>
        <v>#REF!</v>
      </c>
    </row>
    <row r="2013">
      <c r="A2013" s="20" t="str">
        <f t="shared" si="1267"/>
        <v>#REF!</v>
      </c>
      <c r="B2013" s="20" t="str">
        <f t="shared" si="1268"/>
        <v>#REF!</v>
      </c>
      <c r="C2013" s="20" t="str">
        <f t="shared" ref="C2013:D2013" si="6032">#REF!</f>
        <v>#REF!</v>
      </c>
      <c r="D2013" s="20" t="str">
        <f t="shared" si="6032"/>
        <v>#REF!</v>
      </c>
      <c r="E2013" s="20" t="str">
        <f t="shared" si="1270"/>
        <v>#REF!</v>
      </c>
      <c r="F2013" s="22" t="str">
        <f t="shared" si="2"/>
        <v>#REF!</v>
      </c>
      <c r="G2013" s="20" t="str">
        <f t="shared" ref="G2013:I2013" si="6033">#REF!</f>
        <v>#REF!</v>
      </c>
      <c r="H2013" s="20" t="str">
        <f t="shared" si="6033"/>
        <v>#REF!</v>
      </c>
      <c r="I2013" s="20" t="str">
        <f t="shared" si="6033"/>
        <v>#REF!</v>
      </c>
      <c r="J2013" s="20" t="str">
        <f t="shared" si="1272"/>
        <v>#REF!</v>
      </c>
      <c r="K2013" s="20" t="str">
        <f t="shared" ref="K2013:L2013" si="6034">#REF!</f>
        <v>#REF!</v>
      </c>
      <c r="L2013" s="20" t="str">
        <f t="shared" si="6034"/>
        <v>#REF!</v>
      </c>
    </row>
    <row r="2014">
      <c r="A2014" s="20" t="str">
        <f t="shared" si="1267"/>
        <v>#REF!</v>
      </c>
      <c r="B2014" s="20" t="str">
        <f t="shared" si="1268"/>
        <v>#REF!</v>
      </c>
      <c r="C2014" s="20" t="str">
        <f t="shared" ref="C2014:D2014" si="6035">#REF!</f>
        <v>#REF!</v>
      </c>
      <c r="D2014" s="20" t="str">
        <f t="shared" si="6035"/>
        <v>#REF!</v>
      </c>
      <c r="E2014" s="20" t="str">
        <f t="shared" si="1270"/>
        <v>#REF!</v>
      </c>
      <c r="F2014" s="22" t="str">
        <f t="shared" si="2"/>
        <v>#REF!</v>
      </c>
      <c r="G2014" s="20" t="str">
        <f t="shared" ref="G2014:I2014" si="6036">#REF!</f>
        <v>#REF!</v>
      </c>
      <c r="H2014" s="20" t="str">
        <f t="shared" si="6036"/>
        <v>#REF!</v>
      </c>
      <c r="I2014" s="20" t="str">
        <f t="shared" si="6036"/>
        <v>#REF!</v>
      </c>
      <c r="J2014" s="20" t="str">
        <f t="shared" si="1272"/>
        <v>#REF!</v>
      </c>
      <c r="K2014" s="20" t="str">
        <f t="shared" ref="K2014:L2014" si="6037">#REF!</f>
        <v>#REF!</v>
      </c>
      <c r="L2014" s="20" t="str">
        <f t="shared" si="6037"/>
        <v>#REF!</v>
      </c>
    </row>
    <row r="2015">
      <c r="A2015" s="20" t="str">
        <f t="shared" si="1267"/>
        <v>#REF!</v>
      </c>
      <c r="B2015" s="20" t="str">
        <f t="shared" si="1268"/>
        <v>#REF!</v>
      </c>
      <c r="C2015" s="20" t="str">
        <f t="shared" ref="C2015:D2015" si="6038">#REF!</f>
        <v>#REF!</v>
      </c>
      <c r="D2015" s="20" t="str">
        <f t="shared" si="6038"/>
        <v>#REF!</v>
      </c>
      <c r="E2015" s="20" t="str">
        <f t="shared" si="1270"/>
        <v>#REF!</v>
      </c>
      <c r="F2015" s="22" t="str">
        <f t="shared" si="2"/>
        <v>#REF!</v>
      </c>
      <c r="G2015" s="20" t="str">
        <f t="shared" ref="G2015:I2015" si="6039">#REF!</f>
        <v>#REF!</v>
      </c>
      <c r="H2015" s="20" t="str">
        <f t="shared" si="6039"/>
        <v>#REF!</v>
      </c>
      <c r="I2015" s="20" t="str">
        <f t="shared" si="6039"/>
        <v>#REF!</v>
      </c>
      <c r="J2015" s="20" t="str">
        <f t="shared" si="1272"/>
        <v>#REF!</v>
      </c>
      <c r="K2015" s="20" t="str">
        <f t="shared" ref="K2015:L2015" si="6040">#REF!</f>
        <v>#REF!</v>
      </c>
      <c r="L2015" s="20" t="str">
        <f t="shared" si="6040"/>
        <v>#REF!</v>
      </c>
    </row>
    <row r="2016">
      <c r="A2016" s="20" t="str">
        <f t="shared" si="1267"/>
        <v>#REF!</v>
      </c>
      <c r="B2016" s="20" t="str">
        <f t="shared" si="1268"/>
        <v>#REF!</v>
      </c>
      <c r="C2016" s="20" t="str">
        <f t="shared" ref="C2016:D2016" si="6041">#REF!</f>
        <v>#REF!</v>
      </c>
      <c r="D2016" s="20" t="str">
        <f t="shared" si="6041"/>
        <v>#REF!</v>
      </c>
      <c r="E2016" s="20" t="str">
        <f t="shared" si="1270"/>
        <v>#REF!</v>
      </c>
      <c r="F2016" s="22" t="str">
        <f t="shared" si="2"/>
        <v>#REF!</v>
      </c>
      <c r="G2016" s="20" t="str">
        <f t="shared" ref="G2016:I2016" si="6042">#REF!</f>
        <v>#REF!</v>
      </c>
      <c r="H2016" s="20" t="str">
        <f t="shared" si="6042"/>
        <v>#REF!</v>
      </c>
      <c r="I2016" s="20" t="str">
        <f t="shared" si="6042"/>
        <v>#REF!</v>
      </c>
      <c r="J2016" s="20" t="str">
        <f t="shared" si="1272"/>
        <v>#REF!</v>
      </c>
      <c r="K2016" s="20" t="str">
        <f t="shared" ref="K2016:L2016" si="6043">#REF!</f>
        <v>#REF!</v>
      </c>
      <c r="L2016" s="20" t="str">
        <f t="shared" si="6043"/>
        <v>#REF!</v>
      </c>
    </row>
    <row r="2017">
      <c r="A2017" s="20" t="str">
        <f t="shared" si="1267"/>
        <v>#REF!</v>
      </c>
      <c r="B2017" s="20" t="str">
        <f t="shared" si="1268"/>
        <v>#REF!</v>
      </c>
      <c r="C2017" s="20" t="str">
        <f t="shared" ref="C2017:D2017" si="6044">#REF!</f>
        <v>#REF!</v>
      </c>
      <c r="D2017" s="20" t="str">
        <f t="shared" si="6044"/>
        <v>#REF!</v>
      </c>
      <c r="E2017" s="20" t="str">
        <f t="shared" si="1270"/>
        <v>#REF!</v>
      </c>
      <c r="F2017" s="22" t="str">
        <f t="shared" si="2"/>
        <v>#REF!</v>
      </c>
      <c r="G2017" s="20" t="str">
        <f t="shared" ref="G2017:I2017" si="6045">#REF!</f>
        <v>#REF!</v>
      </c>
      <c r="H2017" s="20" t="str">
        <f t="shared" si="6045"/>
        <v>#REF!</v>
      </c>
      <c r="I2017" s="20" t="str">
        <f t="shared" si="6045"/>
        <v>#REF!</v>
      </c>
      <c r="J2017" s="20" t="str">
        <f t="shared" si="1272"/>
        <v>#REF!</v>
      </c>
      <c r="K2017" s="20" t="str">
        <f t="shared" ref="K2017:L2017" si="6046">#REF!</f>
        <v>#REF!</v>
      </c>
      <c r="L2017" s="20" t="str">
        <f t="shared" si="6046"/>
        <v>#REF!</v>
      </c>
    </row>
    <row r="2018">
      <c r="A2018" s="20" t="str">
        <f t="shared" si="1267"/>
        <v>#REF!</v>
      </c>
      <c r="B2018" s="20" t="str">
        <f t="shared" si="1268"/>
        <v>#REF!</v>
      </c>
      <c r="C2018" s="20" t="str">
        <f t="shared" ref="C2018:D2018" si="6047">#REF!</f>
        <v>#REF!</v>
      </c>
      <c r="D2018" s="20" t="str">
        <f t="shared" si="6047"/>
        <v>#REF!</v>
      </c>
      <c r="E2018" s="20" t="str">
        <f t="shared" si="1270"/>
        <v>#REF!</v>
      </c>
      <c r="F2018" s="22" t="str">
        <f t="shared" si="2"/>
        <v>#REF!</v>
      </c>
      <c r="G2018" s="20" t="str">
        <f t="shared" ref="G2018:I2018" si="6048">#REF!</f>
        <v>#REF!</v>
      </c>
      <c r="H2018" s="20" t="str">
        <f t="shared" si="6048"/>
        <v>#REF!</v>
      </c>
      <c r="I2018" s="20" t="str">
        <f t="shared" si="6048"/>
        <v>#REF!</v>
      </c>
      <c r="J2018" s="20" t="str">
        <f t="shared" si="1272"/>
        <v>#REF!</v>
      </c>
      <c r="K2018" s="20" t="str">
        <f t="shared" ref="K2018:L2018" si="6049">#REF!</f>
        <v>#REF!</v>
      </c>
      <c r="L2018" s="20" t="str">
        <f t="shared" si="6049"/>
        <v>#REF!</v>
      </c>
    </row>
    <row r="2019">
      <c r="A2019" s="20" t="str">
        <f t="shared" si="1267"/>
        <v>#REF!</v>
      </c>
      <c r="B2019" s="20" t="str">
        <f t="shared" si="1268"/>
        <v>#REF!</v>
      </c>
      <c r="C2019" s="20" t="str">
        <f t="shared" ref="C2019:D2019" si="6050">#REF!</f>
        <v>#REF!</v>
      </c>
      <c r="D2019" s="20" t="str">
        <f t="shared" si="6050"/>
        <v>#REF!</v>
      </c>
      <c r="E2019" s="20" t="str">
        <f t="shared" si="1270"/>
        <v>#REF!</v>
      </c>
      <c r="F2019" s="22" t="str">
        <f t="shared" si="2"/>
        <v>#REF!</v>
      </c>
      <c r="G2019" s="20" t="str">
        <f t="shared" ref="G2019:I2019" si="6051">#REF!</f>
        <v>#REF!</v>
      </c>
      <c r="H2019" s="20" t="str">
        <f t="shared" si="6051"/>
        <v>#REF!</v>
      </c>
      <c r="I2019" s="20" t="str">
        <f t="shared" si="6051"/>
        <v>#REF!</v>
      </c>
      <c r="J2019" s="20" t="str">
        <f t="shared" si="1272"/>
        <v>#REF!</v>
      </c>
      <c r="K2019" s="20" t="str">
        <f t="shared" ref="K2019:L2019" si="6052">#REF!</f>
        <v>#REF!</v>
      </c>
      <c r="L2019" s="20" t="str">
        <f t="shared" si="6052"/>
        <v>#REF!</v>
      </c>
    </row>
    <row r="2020">
      <c r="A2020" s="20" t="str">
        <f t="shared" si="1267"/>
        <v>#REF!</v>
      </c>
      <c r="B2020" s="20" t="str">
        <f t="shared" si="1268"/>
        <v>#REF!</v>
      </c>
      <c r="C2020" s="20" t="str">
        <f t="shared" ref="C2020:D2020" si="6053">#REF!</f>
        <v>#REF!</v>
      </c>
      <c r="D2020" s="20" t="str">
        <f t="shared" si="6053"/>
        <v>#REF!</v>
      </c>
      <c r="E2020" s="20" t="str">
        <f t="shared" si="1270"/>
        <v>#REF!</v>
      </c>
      <c r="F2020" s="22" t="str">
        <f t="shared" si="2"/>
        <v>#REF!</v>
      </c>
      <c r="G2020" s="20" t="str">
        <f t="shared" ref="G2020:I2020" si="6054">#REF!</f>
        <v>#REF!</v>
      </c>
      <c r="H2020" s="20" t="str">
        <f t="shared" si="6054"/>
        <v>#REF!</v>
      </c>
      <c r="I2020" s="20" t="str">
        <f t="shared" si="6054"/>
        <v>#REF!</v>
      </c>
      <c r="J2020" s="20" t="str">
        <f t="shared" si="1272"/>
        <v>#REF!</v>
      </c>
      <c r="K2020" s="20" t="str">
        <f t="shared" ref="K2020:L2020" si="6055">#REF!</f>
        <v>#REF!</v>
      </c>
      <c r="L2020" s="20" t="str">
        <f t="shared" si="6055"/>
        <v>#REF!</v>
      </c>
    </row>
    <row r="2021">
      <c r="A2021" s="20" t="str">
        <f t="shared" si="1267"/>
        <v>#REF!</v>
      </c>
      <c r="B2021" s="20" t="str">
        <f t="shared" si="1268"/>
        <v>#REF!</v>
      </c>
      <c r="C2021" s="20" t="str">
        <f t="shared" ref="C2021:D2021" si="6056">#REF!</f>
        <v>#REF!</v>
      </c>
      <c r="D2021" s="20" t="str">
        <f t="shared" si="6056"/>
        <v>#REF!</v>
      </c>
      <c r="E2021" s="20" t="str">
        <f t="shared" si="1270"/>
        <v>#REF!</v>
      </c>
      <c r="F2021" s="22" t="str">
        <f t="shared" si="2"/>
        <v>#REF!</v>
      </c>
      <c r="G2021" s="20" t="str">
        <f t="shared" ref="G2021:I2021" si="6057">#REF!</f>
        <v>#REF!</v>
      </c>
      <c r="H2021" s="20" t="str">
        <f t="shared" si="6057"/>
        <v>#REF!</v>
      </c>
      <c r="I2021" s="20" t="str">
        <f t="shared" si="6057"/>
        <v>#REF!</v>
      </c>
      <c r="J2021" s="20" t="str">
        <f t="shared" si="1272"/>
        <v>#REF!</v>
      </c>
      <c r="K2021" s="20" t="str">
        <f t="shared" ref="K2021:L2021" si="6058">#REF!</f>
        <v>#REF!</v>
      </c>
      <c r="L2021" s="20" t="str">
        <f t="shared" si="6058"/>
        <v>#REF!</v>
      </c>
    </row>
    <row r="2022">
      <c r="A2022" s="20" t="str">
        <f t="shared" si="1267"/>
        <v>#REF!</v>
      </c>
      <c r="B2022" s="20" t="str">
        <f t="shared" si="1268"/>
        <v>#REF!</v>
      </c>
      <c r="C2022" s="20" t="str">
        <f t="shared" ref="C2022:D2022" si="6059">#REF!</f>
        <v>#REF!</v>
      </c>
      <c r="D2022" s="20" t="str">
        <f t="shared" si="6059"/>
        <v>#REF!</v>
      </c>
      <c r="E2022" s="20" t="str">
        <f t="shared" si="1270"/>
        <v>#REF!</v>
      </c>
      <c r="F2022" s="22" t="str">
        <f t="shared" si="2"/>
        <v>#REF!</v>
      </c>
      <c r="G2022" s="20" t="str">
        <f t="shared" ref="G2022:I2022" si="6060">#REF!</f>
        <v>#REF!</v>
      </c>
      <c r="H2022" s="20" t="str">
        <f t="shared" si="6060"/>
        <v>#REF!</v>
      </c>
      <c r="I2022" s="20" t="str">
        <f t="shared" si="6060"/>
        <v>#REF!</v>
      </c>
      <c r="J2022" s="20" t="str">
        <f t="shared" si="1272"/>
        <v>#REF!</v>
      </c>
      <c r="K2022" s="20" t="str">
        <f t="shared" ref="K2022:L2022" si="6061">#REF!</f>
        <v>#REF!</v>
      </c>
      <c r="L2022" s="20" t="str">
        <f t="shared" si="6061"/>
        <v>#REF!</v>
      </c>
    </row>
    <row r="2023">
      <c r="A2023" s="20" t="str">
        <f t="shared" si="1267"/>
        <v>#REF!</v>
      </c>
      <c r="B2023" s="20" t="str">
        <f t="shared" si="1268"/>
        <v>#REF!</v>
      </c>
      <c r="C2023" s="20" t="str">
        <f t="shared" ref="C2023:D2023" si="6062">#REF!</f>
        <v>#REF!</v>
      </c>
      <c r="D2023" s="20" t="str">
        <f t="shared" si="6062"/>
        <v>#REF!</v>
      </c>
      <c r="E2023" s="20" t="str">
        <f t="shared" si="1270"/>
        <v>#REF!</v>
      </c>
      <c r="F2023" s="22" t="str">
        <f t="shared" si="2"/>
        <v>#REF!</v>
      </c>
      <c r="G2023" s="20" t="str">
        <f t="shared" ref="G2023:I2023" si="6063">#REF!</f>
        <v>#REF!</v>
      </c>
      <c r="H2023" s="20" t="str">
        <f t="shared" si="6063"/>
        <v>#REF!</v>
      </c>
      <c r="I2023" s="20" t="str">
        <f t="shared" si="6063"/>
        <v>#REF!</v>
      </c>
      <c r="J2023" s="20" t="str">
        <f t="shared" si="1272"/>
        <v>#REF!</v>
      </c>
      <c r="K2023" s="20" t="str">
        <f t="shared" ref="K2023:L2023" si="6064">#REF!</f>
        <v>#REF!</v>
      </c>
      <c r="L2023" s="20" t="str">
        <f t="shared" si="6064"/>
        <v>#REF!</v>
      </c>
    </row>
    <row r="2024">
      <c r="A2024" s="20" t="str">
        <f t="shared" si="1267"/>
        <v>#REF!</v>
      </c>
      <c r="B2024" s="20" t="str">
        <f t="shared" si="1268"/>
        <v>#REF!</v>
      </c>
      <c r="C2024" s="20" t="str">
        <f t="shared" ref="C2024:D2024" si="6065">#REF!</f>
        <v>#REF!</v>
      </c>
      <c r="D2024" s="20" t="str">
        <f t="shared" si="6065"/>
        <v>#REF!</v>
      </c>
      <c r="E2024" s="20" t="str">
        <f t="shared" si="1270"/>
        <v>#REF!</v>
      </c>
      <c r="F2024" s="22" t="str">
        <f t="shared" si="2"/>
        <v>#REF!</v>
      </c>
      <c r="G2024" s="20" t="str">
        <f t="shared" ref="G2024:I2024" si="6066">#REF!</f>
        <v>#REF!</v>
      </c>
      <c r="H2024" s="20" t="str">
        <f t="shared" si="6066"/>
        <v>#REF!</v>
      </c>
      <c r="I2024" s="20" t="str">
        <f t="shared" si="6066"/>
        <v>#REF!</v>
      </c>
      <c r="J2024" s="20" t="str">
        <f t="shared" si="1272"/>
        <v>#REF!</v>
      </c>
      <c r="K2024" s="20" t="str">
        <f t="shared" ref="K2024:L2024" si="6067">#REF!</f>
        <v>#REF!</v>
      </c>
      <c r="L2024" s="20" t="str">
        <f t="shared" si="6067"/>
        <v>#REF!</v>
      </c>
    </row>
    <row r="2025">
      <c r="A2025" s="20" t="str">
        <f t="shared" si="1267"/>
        <v>#REF!</v>
      </c>
      <c r="B2025" s="20" t="str">
        <f t="shared" si="1268"/>
        <v>#REF!</v>
      </c>
      <c r="C2025" s="20" t="str">
        <f t="shared" ref="C2025:D2025" si="6068">#REF!</f>
        <v>#REF!</v>
      </c>
      <c r="D2025" s="20" t="str">
        <f t="shared" si="6068"/>
        <v>#REF!</v>
      </c>
      <c r="E2025" s="20" t="str">
        <f t="shared" si="1270"/>
        <v>#REF!</v>
      </c>
      <c r="F2025" s="22" t="str">
        <f t="shared" si="2"/>
        <v>#REF!</v>
      </c>
      <c r="G2025" s="20" t="str">
        <f t="shared" ref="G2025:I2025" si="6069">#REF!</f>
        <v>#REF!</v>
      </c>
      <c r="H2025" s="20" t="str">
        <f t="shared" si="6069"/>
        <v>#REF!</v>
      </c>
      <c r="I2025" s="20" t="str">
        <f t="shared" si="6069"/>
        <v>#REF!</v>
      </c>
      <c r="J2025" s="20" t="str">
        <f t="shared" si="1272"/>
        <v>#REF!</v>
      </c>
      <c r="K2025" s="20" t="str">
        <f t="shared" ref="K2025:L2025" si="6070">#REF!</f>
        <v>#REF!</v>
      </c>
      <c r="L2025" s="20" t="str">
        <f t="shared" si="6070"/>
        <v>#REF!</v>
      </c>
    </row>
    <row r="2026">
      <c r="A2026" s="20" t="str">
        <f t="shared" si="1267"/>
        <v>#REF!</v>
      </c>
      <c r="B2026" s="20" t="str">
        <f t="shared" si="1268"/>
        <v>#REF!</v>
      </c>
      <c r="C2026" s="20" t="str">
        <f t="shared" ref="C2026:D2026" si="6071">#REF!</f>
        <v>#REF!</v>
      </c>
      <c r="D2026" s="20" t="str">
        <f t="shared" si="6071"/>
        <v>#REF!</v>
      </c>
      <c r="E2026" s="20" t="str">
        <f t="shared" si="1270"/>
        <v>#REF!</v>
      </c>
      <c r="F2026" s="22" t="str">
        <f t="shared" si="2"/>
        <v>#REF!</v>
      </c>
      <c r="G2026" s="20" t="str">
        <f t="shared" ref="G2026:I2026" si="6072">#REF!</f>
        <v>#REF!</v>
      </c>
      <c r="H2026" s="20" t="str">
        <f t="shared" si="6072"/>
        <v>#REF!</v>
      </c>
      <c r="I2026" s="20" t="str">
        <f t="shared" si="6072"/>
        <v>#REF!</v>
      </c>
      <c r="J2026" s="20" t="str">
        <f t="shared" si="1272"/>
        <v>#REF!</v>
      </c>
      <c r="K2026" s="20" t="str">
        <f t="shared" ref="K2026:L2026" si="6073">#REF!</f>
        <v>#REF!</v>
      </c>
      <c r="L2026" s="20" t="str">
        <f t="shared" si="6073"/>
        <v>#REF!</v>
      </c>
    </row>
    <row r="2027">
      <c r="A2027" s="20" t="str">
        <f t="shared" si="1267"/>
        <v>#REF!</v>
      </c>
      <c r="B2027" s="20" t="str">
        <f t="shared" si="1268"/>
        <v>#REF!</v>
      </c>
      <c r="C2027" s="20" t="str">
        <f t="shared" ref="C2027:D2027" si="6074">#REF!</f>
        <v>#REF!</v>
      </c>
      <c r="D2027" s="20" t="str">
        <f t="shared" si="6074"/>
        <v>#REF!</v>
      </c>
      <c r="E2027" s="20" t="str">
        <f t="shared" si="1270"/>
        <v>#REF!</v>
      </c>
      <c r="F2027" s="22" t="str">
        <f t="shared" si="2"/>
        <v>#REF!</v>
      </c>
      <c r="G2027" s="20" t="str">
        <f t="shared" ref="G2027:I2027" si="6075">#REF!</f>
        <v>#REF!</v>
      </c>
      <c r="H2027" s="20" t="str">
        <f t="shared" si="6075"/>
        <v>#REF!</v>
      </c>
      <c r="I2027" s="20" t="str">
        <f t="shared" si="6075"/>
        <v>#REF!</v>
      </c>
      <c r="J2027" s="20" t="str">
        <f t="shared" si="1272"/>
        <v>#REF!</v>
      </c>
      <c r="K2027" s="20" t="str">
        <f t="shared" ref="K2027:L2027" si="6076">#REF!</f>
        <v>#REF!</v>
      </c>
      <c r="L2027" s="20" t="str">
        <f t="shared" si="6076"/>
        <v>#REF!</v>
      </c>
    </row>
    <row r="2028">
      <c r="A2028" s="20" t="str">
        <f t="shared" si="1267"/>
        <v>#REF!</v>
      </c>
      <c r="B2028" s="20" t="str">
        <f t="shared" si="1268"/>
        <v>#REF!</v>
      </c>
      <c r="C2028" s="20" t="str">
        <f t="shared" ref="C2028:D2028" si="6077">#REF!</f>
        <v>#REF!</v>
      </c>
      <c r="D2028" s="20" t="str">
        <f t="shared" si="6077"/>
        <v>#REF!</v>
      </c>
      <c r="E2028" s="20" t="str">
        <f t="shared" si="1270"/>
        <v>#REF!</v>
      </c>
      <c r="F2028" s="22" t="str">
        <f t="shared" si="2"/>
        <v>#REF!</v>
      </c>
      <c r="G2028" s="20" t="str">
        <f t="shared" ref="G2028:I2028" si="6078">#REF!</f>
        <v>#REF!</v>
      </c>
      <c r="H2028" s="20" t="str">
        <f t="shared" si="6078"/>
        <v>#REF!</v>
      </c>
      <c r="I2028" s="20" t="str">
        <f t="shared" si="6078"/>
        <v>#REF!</v>
      </c>
      <c r="J2028" s="20" t="str">
        <f t="shared" si="1272"/>
        <v>#REF!</v>
      </c>
      <c r="K2028" s="20" t="str">
        <f t="shared" ref="K2028:L2028" si="6079">#REF!</f>
        <v>#REF!</v>
      </c>
      <c r="L2028" s="20" t="str">
        <f t="shared" si="6079"/>
        <v>#REF!</v>
      </c>
    </row>
    <row r="2029">
      <c r="A2029" s="20" t="str">
        <f t="shared" si="1267"/>
        <v>#REF!</v>
      </c>
      <c r="B2029" s="20" t="str">
        <f t="shared" si="1268"/>
        <v>#REF!</v>
      </c>
      <c r="C2029" s="20" t="str">
        <f t="shared" ref="C2029:D2029" si="6080">#REF!</f>
        <v>#REF!</v>
      </c>
      <c r="D2029" s="20" t="str">
        <f t="shared" si="6080"/>
        <v>#REF!</v>
      </c>
      <c r="E2029" s="20" t="str">
        <f t="shared" si="1270"/>
        <v>#REF!</v>
      </c>
      <c r="F2029" s="22" t="str">
        <f t="shared" si="2"/>
        <v>#REF!</v>
      </c>
      <c r="G2029" s="20" t="str">
        <f t="shared" ref="G2029:I2029" si="6081">#REF!</f>
        <v>#REF!</v>
      </c>
      <c r="H2029" s="20" t="str">
        <f t="shared" si="6081"/>
        <v>#REF!</v>
      </c>
      <c r="I2029" s="20" t="str">
        <f t="shared" si="6081"/>
        <v>#REF!</v>
      </c>
      <c r="J2029" s="20" t="str">
        <f t="shared" si="1272"/>
        <v>#REF!</v>
      </c>
      <c r="K2029" s="20" t="str">
        <f t="shared" ref="K2029:L2029" si="6082">#REF!</f>
        <v>#REF!</v>
      </c>
      <c r="L2029" s="20" t="str">
        <f t="shared" si="6082"/>
        <v>#REF!</v>
      </c>
    </row>
    <row r="2030">
      <c r="A2030" s="20" t="str">
        <f t="shared" si="1267"/>
        <v>#REF!</v>
      </c>
      <c r="B2030" s="20" t="str">
        <f t="shared" si="1268"/>
        <v>#REF!</v>
      </c>
      <c r="C2030" s="20" t="str">
        <f t="shared" ref="C2030:D2030" si="6083">#REF!</f>
        <v>#REF!</v>
      </c>
      <c r="D2030" s="20" t="str">
        <f t="shared" si="6083"/>
        <v>#REF!</v>
      </c>
      <c r="E2030" s="20" t="str">
        <f t="shared" si="1270"/>
        <v>#REF!</v>
      </c>
      <c r="F2030" s="22" t="str">
        <f t="shared" si="2"/>
        <v>#REF!</v>
      </c>
      <c r="G2030" s="20" t="str">
        <f t="shared" ref="G2030:I2030" si="6084">#REF!</f>
        <v>#REF!</v>
      </c>
      <c r="H2030" s="20" t="str">
        <f t="shared" si="6084"/>
        <v>#REF!</v>
      </c>
      <c r="I2030" s="20" t="str">
        <f t="shared" si="6084"/>
        <v>#REF!</v>
      </c>
      <c r="J2030" s="20" t="str">
        <f t="shared" si="1272"/>
        <v>#REF!</v>
      </c>
      <c r="K2030" s="20" t="str">
        <f t="shared" ref="K2030:L2030" si="6085">#REF!</f>
        <v>#REF!</v>
      </c>
      <c r="L2030" s="20" t="str">
        <f t="shared" si="6085"/>
        <v>#REF!</v>
      </c>
    </row>
    <row r="2031">
      <c r="A2031" s="20" t="str">
        <f t="shared" si="1267"/>
        <v>#REF!</v>
      </c>
      <c r="B2031" s="20" t="str">
        <f t="shared" si="1268"/>
        <v>#REF!</v>
      </c>
      <c r="C2031" s="20" t="str">
        <f t="shared" ref="C2031:D2031" si="6086">#REF!</f>
        <v>#REF!</v>
      </c>
      <c r="D2031" s="20" t="str">
        <f t="shared" si="6086"/>
        <v>#REF!</v>
      </c>
      <c r="E2031" s="20" t="str">
        <f t="shared" si="1270"/>
        <v>#REF!</v>
      </c>
      <c r="F2031" s="22" t="str">
        <f t="shared" si="2"/>
        <v>#REF!</v>
      </c>
      <c r="G2031" s="20" t="str">
        <f t="shared" ref="G2031:I2031" si="6087">#REF!</f>
        <v>#REF!</v>
      </c>
      <c r="H2031" s="20" t="str">
        <f t="shared" si="6087"/>
        <v>#REF!</v>
      </c>
      <c r="I2031" s="20" t="str">
        <f t="shared" si="6087"/>
        <v>#REF!</v>
      </c>
      <c r="J2031" s="20" t="str">
        <f t="shared" si="1272"/>
        <v>#REF!</v>
      </c>
      <c r="K2031" s="20" t="str">
        <f t="shared" ref="K2031:L2031" si="6088">#REF!</f>
        <v>#REF!</v>
      </c>
      <c r="L2031" s="20" t="str">
        <f t="shared" si="6088"/>
        <v>#REF!</v>
      </c>
    </row>
    <row r="2032">
      <c r="A2032" s="20" t="str">
        <f t="shared" si="1267"/>
        <v>#REF!</v>
      </c>
      <c r="B2032" s="20" t="str">
        <f t="shared" si="1268"/>
        <v>#REF!</v>
      </c>
      <c r="C2032" s="20" t="str">
        <f t="shared" ref="C2032:D2032" si="6089">#REF!</f>
        <v>#REF!</v>
      </c>
      <c r="D2032" s="20" t="str">
        <f t="shared" si="6089"/>
        <v>#REF!</v>
      </c>
      <c r="E2032" s="20" t="str">
        <f t="shared" si="1270"/>
        <v>#REF!</v>
      </c>
      <c r="F2032" s="22" t="str">
        <f t="shared" si="2"/>
        <v>#REF!</v>
      </c>
      <c r="G2032" s="20" t="str">
        <f t="shared" ref="G2032:I2032" si="6090">#REF!</f>
        <v>#REF!</v>
      </c>
      <c r="H2032" s="20" t="str">
        <f t="shared" si="6090"/>
        <v>#REF!</v>
      </c>
      <c r="I2032" s="20" t="str">
        <f t="shared" si="6090"/>
        <v>#REF!</v>
      </c>
      <c r="J2032" s="20" t="str">
        <f t="shared" si="1272"/>
        <v>#REF!</v>
      </c>
      <c r="K2032" s="20" t="str">
        <f t="shared" ref="K2032:L2032" si="6091">#REF!</f>
        <v>#REF!</v>
      </c>
      <c r="L2032" s="20" t="str">
        <f t="shared" si="6091"/>
        <v>#REF!</v>
      </c>
    </row>
    <row r="2033">
      <c r="A2033" s="20" t="str">
        <f t="shared" si="1267"/>
        <v>#REF!</v>
      </c>
      <c r="B2033" s="20" t="str">
        <f t="shared" si="1268"/>
        <v>#REF!</v>
      </c>
      <c r="C2033" s="20" t="str">
        <f t="shared" ref="C2033:D2033" si="6092">#REF!</f>
        <v>#REF!</v>
      </c>
      <c r="D2033" s="20" t="str">
        <f t="shared" si="6092"/>
        <v>#REF!</v>
      </c>
      <c r="E2033" s="20" t="str">
        <f t="shared" si="1270"/>
        <v>#REF!</v>
      </c>
      <c r="F2033" s="22" t="str">
        <f t="shared" si="2"/>
        <v>#REF!</v>
      </c>
      <c r="G2033" s="20" t="str">
        <f t="shared" ref="G2033:I2033" si="6093">#REF!</f>
        <v>#REF!</v>
      </c>
      <c r="H2033" s="20" t="str">
        <f t="shared" si="6093"/>
        <v>#REF!</v>
      </c>
      <c r="I2033" s="20" t="str">
        <f t="shared" si="6093"/>
        <v>#REF!</v>
      </c>
      <c r="J2033" s="20" t="str">
        <f t="shared" si="1272"/>
        <v>#REF!</v>
      </c>
      <c r="K2033" s="20" t="str">
        <f t="shared" ref="K2033:L2033" si="6094">#REF!</f>
        <v>#REF!</v>
      </c>
      <c r="L2033" s="20" t="str">
        <f t="shared" si="6094"/>
        <v>#REF!</v>
      </c>
    </row>
    <row r="2034">
      <c r="A2034" s="20" t="str">
        <f t="shared" si="1267"/>
        <v>#REF!</v>
      </c>
      <c r="B2034" s="20" t="str">
        <f t="shared" si="1268"/>
        <v>#REF!</v>
      </c>
      <c r="C2034" s="20" t="str">
        <f t="shared" ref="C2034:D2034" si="6095">#REF!</f>
        <v>#REF!</v>
      </c>
      <c r="D2034" s="20" t="str">
        <f t="shared" si="6095"/>
        <v>#REF!</v>
      </c>
      <c r="E2034" s="20" t="str">
        <f t="shared" si="1270"/>
        <v>#REF!</v>
      </c>
      <c r="F2034" s="22" t="str">
        <f t="shared" si="2"/>
        <v>#REF!</v>
      </c>
      <c r="G2034" s="20" t="str">
        <f t="shared" ref="G2034:I2034" si="6096">#REF!</f>
        <v>#REF!</v>
      </c>
      <c r="H2034" s="20" t="str">
        <f t="shared" si="6096"/>
        <v>#REF!</v>
      </c>
      <c r="I2034" s="20" t="str">
        <f t="shared" si="6096"/>
        <v>#REF!</v>
      </c>
      <c r="J2034" s="20" t="str">
        <f t="shared" si="1272"/>
        <v>#REF!</v>
      </c>
      <c r="K2034" s="20" t="str">
        <f t="shared" ref="K2034:L2034" si="6097">#REF!</f>
        <v>#REF!</v>
      </c>
      <c r="L2034" s="20" t="str">
        <f t="shared" si="6097"/>
        <v>#REF!</v>
      </c>
    </row>
    <row r="2035">
      <c r="A2035" s="20" t="str">
        <f t="shared" si="1267"/>
        <v>#REF!</v>
      </c>
      <c r="B2035" s="20" t="str">
        <f t="shared" si="1268"/>
        <v>#REF!</v>
      </c>
      <c r="C2035" s="20" t="str">
        <f t="shared" ref="C2035:D2035" si="6098">#REF!</f>
        <v>#REF!</v>
      </c>
      <c r="D2035" s="20" t="str">
        <f t="shared" si="6098"/>
        <v>#REF!</v>
      </c>
      <c r="E2035" s="20" t="str">
        <f t="shared" si="1270"/>
        <v>#REF!</v>
      </c>
      <c r="F2035" s="22" t="str">
        <f t="shared" si="2"/>
        <v>#REF!</v>
      </c>
      <c r="G2035" s="20" t="str">
        <f t="shared" ref="G2035:I2035" si="6099">#REF!</f>
        <v>#REF!</v>
      </c>
      <c r="H2035" s="20" t="str">
        <f t="shared" si="6099"/>
        <v>#REF!</v>
      </c>
      <c r="I2035" s="20" t="str">
        <f t="shared" si="6099"/>
        <v>#REF!</v>
      </c>
      <c r="J2035" s="20" t="str">
        <f t="shared" si="1272"/>
        <v>#REF!</v>
      </c>
      <c r="K2035" s="20" t="str">
        <f t="shared" ref="K2035:L2035" si="6100">#REF!</f>
        <v>#REF!</v>
      </c>
      <c r="L2035" s="20" t="str">
        <f t="shared" si="6100"/>
        <v>#REF!</v>
      </c>
    </row>
    <row r="2036">
      <c r="A2036" s="20" t="str">
        <f t="shared" si="1267"/>
        <v>#REF!</v>
      </c>
      <c r="B2036" s="20" t="str">
        <f t="shared" si="1268"/>
        <v>#REF!</v>
      </c>
      <c r="C2036" s="20" t="str">
        <f t="shared" ref="C2036:D2036" si="6101">#REF!</f>
        <v>#REF!</v>
      </c>
      <c r="D2036" s="20" t="str">
        <f t="shared" si="6101"/>
        <v>#REF!</v>
      </c>
      <c r="E2036" s="20" t="str">
        <f t="shared" si="1270"/>
        <v>#REF!</v>
      </c>
      <c r="F2036" s="22" t="str">
        <f t="shared" si="2"/>
        <v>#REF!</v>
      </c>
      <c r="G2036" s="20" t="str">
        <f t="shared" ref="G2036:I2036" si="6102">#REF!</f>
        <v>#REF!</v>
      </c>
      <c r="H2036" s="20" t="str">
        <f t="shared" si="6102"/>
        <v>#REF!</v>
      </c>
      <c r="I2036" s="20" t="str">
        <f t="shared" si="6102"/>
        <v>#REF!</v>
      </c>
      <c r="J2036" s="20" t="str">
        <f t="shared" si="1272"/>
        <v>#REF!</v>
      </c>
      <c r="K2036" s="20" t="str">
        <f t="shared" ref="K2036:L2036" si="6103">#REF!</f>
        <v>#REF!</v>
      </c>
      <c r="L2036" s="20" t="str">
        <f t="shared" si="6103"/>
        <v>#REF!</v>
      </c>
    </row>
    <row r="2037">
      <c r="A2037" s="20" t="str">
        <f t="shared" si="1267"/>
        <v>#REF!</v>
      </c>
      <c r="B2037" s="20" t="str">
        <f t="shared" si="1268"/>
        <v>#REF!</v>
      </c>
      <c r="C2037" s="20" t="str">
        <f t="shared" ref="C2037:D2037" si="6104">#REF!</f>
        <v>#REF!</v>
      </c>
      <c r="D2037" s="20" t="str">
        <f t="shared" si="6104"/>
        <v>#REF!</v>
      </c>
      <c r="E2037" s="20" t="str">
        <f t="shared" si="1270"/>
        <v>#REF!</v>
      </c>
      <c r="F2037" s="22" t="str">
        <f t="shared" si="2"/>
        <v>#REF!</v>
      </c>
      <c r="G2037" s="20" t="str">
        <f t="shared" ref="G2037:I2037" si="6105">#REF!</f>
        <v>#REF!</v>
      </c>
      <c r="H2037" s="20" t="str">
        <f t="shared" si="6105"/>
        <v>#REF!</v>
      </c>
      <c r="I2037" s="20" t="str">
        <f t="shared" si="6105"/>
        <v>#REF!</v>
      </c>
      <c r="J2037" s="20" t="str">
        <f t="shared" si="1272"/>
        <v>#REF!</v>
      </c>
      <c r="K2037" s="20" t="str">
        <f t="shared" ref="K2037:L2037" si="6106">#REF!</f>
        <v>#REF!</v>
      </c>
      <c r="L2037" s="20" t="str">
        <f t="shared" si="6106"/>
        <v>#REF!</v>
      </c>
    </row>
    <row r="2038">
      <c r="A2038" s="20" t="str">
        <f t="shared" si="1267"/>
        <v>#REF!</v>
      </c>
      <c r="B2038" s="20" t="str">
        <f t="shared" si="1268"/>
        <v>#REF!</v>
      </c>
      <c r="C2038" s="20" t="str">
        <f t="shared" ref="C2038:D2038" si="6107">#REF!</f>
        <v>#REF!</v>
      </c>
      <c r="D2038" s="20" t="str">
        <f t="shared" si="6107"/>
        <v>#REF!</v>
      </c>
      <c r="E2038" s="20" t="str">
        <f t="shared" si="1270"/>
        <v>#REF!</v>
      </c>
      <c r="F2038" s="22" t="str">
        <f t="shared" si="2"/>
        <v>#REF!</v>
      </c>
      <c r="G2038" s="20" t="str">
        <f t="shared" ref="G2038:I2038" si="6108">#REF!</f>
        <v>#REF!</v>
      </c>
      <c r="H2038" s="20" t="str">
        <f t="shared" si="6108"/>
        <v>#REF!</v>
      </c>
      <c r="I2038" s="20" t="str">
        <f t="shared" si="6108"/>
        <v>#REF!</v>
      </c>
      <c r="J2038" s="20" t="str">
        <f t="shared" si="1272"/>
        <v>#REF!</v>
      </c>
      <c r="K2038" s="20" t="str">
        <f t="shared" ref="K2038:L2038" si="6109">#REF!</f>
        <v>#REF!</v>
      </c>
      <c r="L2038" s="20" t="str">
        <f t="shared" si="6109"/>
        <v>#REF!</v>
      </c>
    </row>
    <row r="2039">
      <c r="A2039" s="20" t="str">
        <f t="shared" si="1267"/>
        <v>#REF!</v>
      </c>
      <c r="B2039" s="20" t="str">
        <f t="shared" si="1268"/>
        <v>#REF!</v>
      </c>
      <c r="C2039" s="20" t="str">
        <f t="shared" ref="C2039:D2039" si="6110">#REF!</f>
        <v>#REF!</v>
      </c>
      <c r="D2039" s="20" t="str">
        <f t="shared" si="6110"/>
        <v>#REF!</v>
      </c>
      <c r="E2039" s="20" t="str">
        <f t="shared" si="1270"/>
        <v>#REF!</v>
      </c>
      <c r="F2039" s="22" t="str">
        <f t="shared" si="2"/>
        <v>#REF!</v>
      </c>
      <c r="G2039" s="20" t="str">
        <f t="shared" ref="G2039:I2039" si="6111">#REF!</f>
        <v>#REF!</v>
      </c>
      <c r="H2039" s="20" t="str">
        <f t="shared" si="6111"/>
        <v>#REF!</v>
      </c>
      <c r="I2039" s="20" t="str">
        <f t="shared" si="6111"/>
        <v>#REF!</v>
      </c>
      <c r="J2039" s="20" t="str">
        <f t="shared" si="1272"/>
        <v>#REF!</v>
      </c>
      <c r="K2039" s="20" t="str">
        <f t="shared" ref="K2039:L2039" si="6112">#REF!</f>
        <v>#REF!</v>
      </c>
      <c r="L2039" s="20" t="str">
        <f t="shared" si="6112"/>
        <v>#REF!</v>
      </c>
    </row>
    <row r="2040">
      <c r="A2040" s="20" t="str">
        <f t="shared" si="1267"/>
        <v>#REF!</v>
      </c>
      <c r="B2040" s="20" t="str">
        <f t="shared" si="1268"/>
        <v>#REF!</v>
      </c>
      <c r="C2040" s="20" t="str">
        <f t="shared" ref="C2040:D2040" si="6113">#REF!</f>
        <v>#REF!</v>
      </c>
      <c r="D2040" s="20" t="str">
        <f t="shared" si="6113"/>
        <v>#REF!</v>
      </c>
      <c r="E2040" s="20" t="str">
        <f t="shared" si="1270"/>
        <v>#REF!</v>
      </c>
      <c r="F2040" s="22" t="str">
        <f t="shared" si="2"/>
        <v>#REF!</v>
      </c>
      <c r="G2040" s="20" t="str">
        <f t="shared" ref="G2040:I2040" si="6114">#REF!</f>
        <v>#REF!</v>
      </c>
      <c r="H2040" s="20" t="str">
        <f t="shared" si="6114"/>
        <v>#REF!</v>
      </c>
      <c r="I2040" s="20" t="str">
        <f t="shared" si="6114"/>
        <v>#REF!</v>
      </c>
      <c r="J2040" s="20" t="str">
        <f t="shared" si="1272"/>
        <v>#REF!</v>
      </c>
      <c r="K2040" s="20" t="str">
        <f t="shared" ref="K2040:L2040" si="6115">#REF!</f>
        <v>#REF!</v>
      </c>
      <c r="L2040" s="20" t="str">
        <f t="shared" si="6115"/>
        <v>#REF!</v>
      </c>
    </row>
    <row r="2041">
      <c r="A2041" s="20" t="str">
        <f t="shared" si="1267"/>
        <v>#REF!</v>
      </c>
      <c r="B2041" s="20" t="str">
        <f t="shared" si="1268"/>
        <v>#REF!</v>
      </c>
      <c r="C2041" s="20" t="str">
        <f t="shared" ref="C2041:D2041" si="6116">#REF!</f>
        <v>#REF!</v>
      </c>
      <c r="D2041" s="20" t="str">
        <f t="shared" si="6116"/>
        <v>#REF!</v>
      </c>
      <c r="E2041" s="20" t="str">
        <f t="shared" si="1270"/>
        <v>#REF!</v>
      </c>
      <c r="F2041" s="22" t="str">
        <f t="shared" si="2"/>
        <v>#REF!</v>
      </c>
      <c r="G2041" s="20" t="str">
        <f t="shared" ref="G2041:I2041" si="6117">#REF!</f>
        <v>#REF!</v>
      </c>
      <c r="H2041" s="20" t="str">
        <f t="shared" si="6117"/>
        <v>#REF!</v>
      </c>
      <c r="I2041" s="20" t="str">
        <f t="shared" si="6117"/>
        <v>#REF!</v>
      </c>
      <c r="J2041" s="20" t="str">
        <f t="shared" si="1272"/>
        <v>#REF!</v>
      </c>
      <c r="K2041" s="20" t="str">
        <f t="shared" ref="K2041:L2041" si="6118">#REF!</f>
        <v>#REF!</v>
      </c>
      <c r="L2041" s="20" t="str">
        <f t="shared" si="6118"/>
        <v>#REF!</v>
      </c>
    </row>
    <row r="2042">
      <c r="A2042" s="20" t="str">
        <f t="shared" si="1267"/>
        <v>#REF!</v>
      </c>
      <c r="B2042" s="20" t="str">
        <f t="shared" si="1268"/>
        <v>#REF!</v>
      </c>
      <c r="C2042" s="20" t="str">
        <f t="shared" ref="C2042:D2042" si="6119">#REF!</f>
        <v>#REF!</v>
      </c>
      <c r="D2042" s="20" t="str">
        <f t="shared" si="6119"/>
        <v>#REF!</v>
      </c>
      <c r="E2042" s="20" t="str">
        <f t="shared" si="1270"/>
        <v>#REF!</v>
      </c>
      <c r="F2042" s="22" t="str">
        <f t="shared" si="2"/>
        <v>#REF!</v>
      </c>
      <c r="G2042" s="20" t="str">
        <f t="shared" ref="G2042:I2042" si="6120">#REF!</f>
        <v>#REF!</v>
      </c>
      <c r="H2042" s="20" t="str">
        <f t="shared" si="6120"/>
        <v>#REF!</v>
      </c>
      <c r="I2042" s="20" t="str">
        <f t="shared" si="6120"/>
        <v>#REF!</v>
      </c>
      <c r="J2042" s="20" t="str">
        <f t="shared" si="1272"/>
        <v>#REF!</v>
      </c>
      <c r="K2042" s="20" t="str">
        <f t="shared" ref="K2042:L2042" si="6121">#REF!</f>
        <v>#REF!</v>
      </c>
      <c r="L2042" s="20" t="str">
        <f t="shared" si="6121"/>
        <v>#REF!</v>
      </c>
    </row>
    <row r="2043">
      <c r="A2043" s="20" t="str">
        <f t="shared" si="1267"/>
        <v>#REF!</v>
      </c>
      <c r="B2043" s="20" t="str">
        <f t="shared" si="1268"/>
        <v>#REF!</v>
      </c>
      <c r="C2043" s="20" t="str">
        <f t="shared" ref="C2043:D2043" si="6122">#REF!</f>
        <v>#REF!</v>
      </c>
      <c r="D2043" s="20" t="str">
        <f t="shared" si="6122"/>
        <v>#REF!</v>
      </c>
      <c r="E2043" s="20" t="str">
        <f t="shared" si="1270"/>
        <v>#REF!</v>
      </c>
      <c r="F2043" s="22" t="str">
        <f t="shared" si="2"/>
        <v>#REF!</v>
      </c>
      <c r="G2043" s="20" t="str">
        <f t="shared" ref="G2043:I2043" si="6123">#REF!</f>
        <v>#REF!</v>
      </c>
      <c r="H2043" s="20" t="str">
        <f t="shared" si="6123"/>
        <v>#REF!</v>
      </c>
      <c r="I2043" s="20" t="str">
        <f t="shared" si="6123"/>
        <v>#REF!</v>
      </c>
      <c r="J2043" s="20" t="str">
        <f t="shared" si="1272"/>
        <v>#REF!</v>
      </c>
      <c r="K2043" s="20" t="str">
        <f t="shared" ref="K2043:L2043" si="6124">#REF!</f>
        <v>#REF!</v>
      </c>
      <c r="L2043" s="20" t="str">
        <f t="shared" si="6124"/>
        <v>#REF!</v>
      </c>
    </row>
    <row r="2044">
      <c r="A2044" s="20" t="str">
        <f t="shared" si="1267"/>
        <v>#REF!</v>
      </c>
      <c r="B2044" s="20" t="str">
        <f t="shared" si="1268"/>
        <v>#REF!</v>
      </c>
      <c r="C2044" s="20" t="str">
        <f t="shared" ref="C2044:D2044" si="6125">#REF!</f>
        <v>#REF!</v>
      </c>
      <c r="D2044" s="20" t="str">
        <f t="shared" si="6125"/>
        <v>#REF!</v>
      </c>
      <c r="E2044" s="20" t="str">
        <f t="shared" si="1270"/>
        <v>#REF!</v>
      </c>
      <c r="F2044" s="22" t="str">
        <f t="shared" si="2"/>
        <v>#REF!</v>
      </c>
      <c r="G2044" s="20" t="str">
        <f t="shared" ref="G2044:I2044" si="6126">#REF!</f>
        <v>#REF!</v>
      </c>
      <c r="H2044" s="20" t="str">
        <f t="shared" si="6126"/>
        <v>#REF!</v>
      </c>
      <c r="I2044" s="20" t="str">
        <f t="shared" si="6126"/>
        <v>#REF!</v>
      </c>
      <c r="J2044" s="20" t="str">
        <f t="shared" si="1272"/>
        <v>#REF!</v>
      </c>
      <c r="K2044" s="20" t="str">
        <f t="shared" ref="K2044:L2044" si="6127">#REF!</f>
        <v>#REF!</v>
      </c>
      <c r="L2044" s="20" t="str">
        <f t="shared" si="6127"/>
        <v>#REF!</v>
      </c>
    </row>
    <row r="2045">
      <c r="A2045" s="20" t="str">
        <f t="shared" si="1267"/>
        <v>#REF!</v>
      </c>
      <c r="B2045" s="20" t="str">
        <f t="shared" si="1268"/>
        <v>#REF!</v>
      </c>
      <c r="C2045" s="20" t="str">
        <f t="shared" ref="C2045:D2045" si="6128">#REF!</f>
        <v>#REF!</v>
      </c>
      <c r="D2045" s="20" t="str">
        <f t="shared" si="6128"/>
        <v>#REF!</v>
      </c>
      <c r="E2045" s="20" t="str">
        <f t="shared" si="1270"/>
        <v>#REF!</v>
      </c>
      <c r="F2045" s="22" t="str">
        <f t="shared" si="2"/>
        <v>#REF!</v>
      </c>
      <c r="G2045" s="20" t="str">
        <f t="shared" ref="G2045:I2045" si="6129">#REF!</f>
        <v>#REF!</v>
      </c>
      <c r="H2045" s="20" t="str">
        <f t="shared" si="6129"/>
        <v>#REF!</v>
      </c>
      <c r="I2045" s="20" t="str">
        <f t="shared" si="6129"/>
        <v>#REF!</v>
      </c>
      <c r="J2045" s="20" t="str">
        <f t="shared" si="1272"/>
        <v>#REF!</v>
      </c>
      <c r="K2045" s="20" t="str">
        <f t="shared" ref="K2045:L2045" si="6130">#REF!</f>
        <v>#REF!</v>
      </c>
      <c r="L2045" s="20" t="str">
        <f t="shared" si="6130"/>
        <v>#REF!</v>
      </c>
    </row>
    <row r="2046">
      <c r="A2046" s="20" t="str">
        <f t="shared" si="1267"/>
        <v>#REF!</v>
      </c>
      <c r="B2046" s="20" t="str">
        <f t="shared" si="1268"/>
        <v>#REF!</v>
      </c>
      <c r="C2046" s="20" t="str">
        <f t="shared" ref="C2046:D2046" si="6131">#REF!</f>
        <v>#REF!</v>
      </c>
      <c r="D2046" s="20" t="str">
        <f t="shared" si="6131"/>
        <v>#REF!</v>
      </c>
      <c r="E2046" s="20" t="str">
        <f t="shared" si="1270"/>
        <v>#REF!</v>
      </c>
      <c r="F2046" s="22" t="str">
        <f t="shared" si="2"/>
        <v>#REF!</v>
      </c>
      <c r="G2046" s="20" t="str">
        <f t="shared" ref="G2046:I2046" si="6132">#REF!</f>
        <v>#REF!</v>
      </c>
      <c r="H2046" s="20" t="str">
        <f t="shared" si="6132"/>
        <v>#REF!</v>
      </c>
      <c r="I2046" s="20" t="str">
        <f t="shared" si="6132"/>
        <v>#REF!</v>
      </c>
      <c r="J2046" s="20" t="str">
        <f t="shared" si="1272"/>
        <v>#REF!</v>
      </c>
      <c r="K2046" s="20" t="str">
        <f t="shared" ref="K2046:L2046" si="6133">#REF!</f>
        <v>#REF!</v>
      </c>
      <c r="L2046" s="20" t="str">
        <f t="shared" si="6133"/>
        <v>#REF!</v>
      </c>
    </row>
    <row r="2047">
      <c r="A2047" s="20" t="str">
        <f t="shared" si="1267"/>
        <v>#REF!</v>
      </c>
      <c r="B2047" s="20" t="str">
        <f t="shared" si="1268"/>
        <v>#REF!</v>
      </c>
      <c r="C2047" s="20" t="str">
        <f t="shared" ref="C2047:D2047" si="6134">#REF!</f>
        <v>#REF!</v>
      </c>
      <c r="D2047" s="20" t="str">
        <f t="shared" si="6134"/>
        <v>#REF!</v>
      </c>
      <c r="E2047" s="20" t="str">
        <f t="shared" si="1270"/>
        <v>#REF!</v>
      </c>
      <c r="F2047" s="22" t="str">
        <f t="shared" si="2"/>
        <v>#REF!</v>
      </c>
      <c r="G2047" s="20" t="str">
        <f t="shared" ref="G2047:I2047" si="6135">#REF!</f>
        <v>#REF!</v>
      </c>
      <c r="H2047" s="20" t="str">
        <f t="shared" si="6135"/>
        <v>#REF!</v>
      </c>
      <c r="I2047" s="20" t="str">
        <f t="shared" si="6135"/>
        <v>#REF!</v>
      </c>
      <c r="J2047" s="20" t="str">
        <f t="shared" si="1272"/>
        <v>#REF!</v>
      </c>
      <c r="K2047" s="20" t="str">
        <f t="shared" ref="K2047:L2047" si="6136">#REF!</f>
        <v>#REF!</v>
      </c>
      <c r="L2047" s="20" t="str">
        <f t="shared" si="6136"/>
        <v>#REF!</v>
      </c>
    </row>
    <row r="2048">
      <c r="A2048" s="20" t="str">
        <f t="shared" si="1267"/>
        <v>#REF!</v>
      </c>
      <c r="B2048" s="20" t="str">
        <f t="shared" si="1268"/>
        <v>#REF!</v>
      </c>
      <c r="C2048" s="20" t="str">
        <f t="shared" ref="C2048:D2048" si="6137">#REF!</f>
        <v>#REF!</v>
      </c>
      <c r="D2048" s="20" t="str">
        <f t="shared" si="6137"/>
        <v>#REF!</v>
      </c>
      <c r="E2048" s="20" t="str">
        <f t="shared" si="1270"/>
        <v>#REF!</v>
      </c>
      <c r="F2048" s="22" t="str">
        <f t="shared" si="2"/>
        <v>#REF!</v>
      </c>
      <c r="G2048" s="20" t="str">
        <f t="shared" ref="G2048:I2048" si="6138">#REF!</f>
        <v>#REF!</v>
      </c>
      <c r="H2048" s="20" t="str">
        <f t="shared" si="6138"/>
        <v>#REF!</v>
      </c>
      <c r="I2048" s="20" t="str">
        <f t="shared" si="6138"/>
        <v>#REF!</v>
      </c>
      <c r="J2048" s="20" t="str">
        <f t="shared" si="1272"/>
        <v>#REF!</v>
      </c>
      <c r="K2048" s="20" t="str">
        <f t="shared" ref="K2048:L2048" si="6139">#REF!</f>
        <v>#REF!</v>
      </c>
      <c r="L2048" s="20" t="str">
        <f t="shared" si="6139"/>
        <v>#REF!</v>
      </c>
    </row>
    <row r="2049">
      <c r="A2049" s="20" t="str">
        <f t="shared" si="1267"/>
        <v>#REF!</v>
      </c>
      <c r="B2049" s="20" t="str">
        <f t="shared" si="1268"/>
        <v>#REF!</v>
      </c>
      <c r="C2049" s="20" t="str">
        <f t="shared" ref="C2049:D2049" si="6140">#REF!</f>
        <v>#REF!</v>
      </c>
      <c r="D2049" s="20" t="str">
        <f t="shared" si="6140"/>
        <v>#REF!</v>
      </c>
      <c r="E2049" s="20" t="str">
        <f t="shared" si="1270"/>
        <v>#REF!</v>
      </c>
      <c r="F2049" s="22" t="str">
        <f t="shared" si="2"/>
        <v>#REF!</v>
      </c>
      <c r="G2049" s="20" t="str">
        <f t="shared" ref="G2049:I2049" si="6141">#REF!</f>
        <v>#REF!</v>
      </c>
      <c r="H2049" s="20" t="str">
        <f t="shared" si="6141"/>
        <v>#REF!</v>
      </c>
      <c r="I2049" s="20" t="str">
        <f t="shared" si="6141"/>
        <v>#REF!</v>
      </c>
      <c r="J2049" s="20" t="str">
        <f t="shared" si="1272"/>
        <v>#REF!</v>
      </c>
      <c r="K2049" s="20" t="str">
        <f t="shared" ref="K2049:L2049" si="6142">#REF!</f>
        <v>#REF!</v>
      </c>
      <c r="L2049" s="20" t="str">
        <f t="shared" si="6142"/>
        <v>#REF!</v>
      </c>
    </row>
    <row r="2050">
      <c r="A2050" s="20" t="str">
        <f t="shared" si="1267"/>
        <v>#REF!</v>
      </c>
      <c r="B2050" s="20" t="str">
        <f t="shared" si="1268"/>
        <v>#REF!</v>
      </c>
      <c r="C2050" s="20" t="str">
        <f t="shared" ref="C2050:D2050" si="6143">#REF!</f>
        <v>#REF!</v>
      </c>
      <c r="D2050" s="20" t="str">
        <f t="shared" si="6143"/>
        <v>#REF!</v>
      </c>
      <c r="E2050" s="20" t="str">
        <f t="shared" si="1270"/>
        <v>#REF!</v>
      </c>
      <c r="F2050" s="22" t="str">
        <f t="shared" si="2"/>
        <v>#REF!</v>
      </c>
      <c r="G2050" s="20" t="str">
        <f t="shared" ref="G2050:I2050" si="6144">#REF!</f>
        <v>#REF!</v>
      </c>
      <c r="H2050" s="20" t="str">
        <f t="shared" si="6144"/>
        <v>#REF!</v>
      </c>
      <c r="I2050" s="20" t="str">
        <f t="shared" si="6144"/>
        <v>#REF!</v>
      </c>
      <c r="J2050" s="20" t="str">
        <f t="shared" si="1272"/>
        <v>#REF!</v>
      </c>
      <c r="K2050" s="20" t="str">
        <f t="shared" ref="K2050:L2050" si="6145">#REF!</f>
        <v>#REF!</v>
      </c>
      <c r="L2050" s="20" t="str">
        <f t="shared" si="6145"/>
        <v>#REF!</v>
      </c>
    </row>
    <row r="2051">
      <c r="A2051" s="20" t="str">
        <f t="shared" si="1267"/>
        <v>#REF!</v>
      </c>
      <c r="B2051" s="20" t="str">
        <f t="shared" si="1268"/>
        <v>#REF!</v>
      </c>
      <c r="C2051" s="20" t="str">
        <f t="shared" ref="C2051:D2051" si="6146">#REF!</f>
        <v>#REF!</v>
      </c>
      <c r="D2051" s="20" t="str">
        <f t="shared" si="6146"/>
        <v>#REF!</v>
      </c>
      <c r="E2051" s="20" t="str">
        <f t="shared" si="1270"/>
        <v>#REF!</v>
      </c>
      <c r="F2051" s="22" t="str">
        <f t="shared" si="2"/>
        <v>#REF!</v>
      </c>
      <c r="G2051" s="20" t="str">
        <f t="shared" ref="G2051:I2051" si="6147">#REF!</f>
        <v>#REF!</v>
      </c>
      <c r="H2051" s="20" t="str">
        <f t="shared" si="6147"/>
        <v>#REF!</v>
      </c>
      <c r="I2051" s="20" t="str">
        <f t="shared" si="6147"/>
        <v>#REF!</v>
      </c>
      <c r="J2051" s="20" t="str">
        <f t="shared" si="1272"/>
        <v>#REF!</v>
      </c>
      <c r="K2051" s="20" t="str">
        <f t="shared" ref="K2051:L2051" si="6148">#REF!</f>
        <v>#REF!</v>
      </c>
      <c r="L2051" s="20" t="str">
        <f t="shared" si="6148"/>
        <v>#REF!</v>
      </c>
    </row>
    <row r="2052">
      <c r="A2052" s="20" t="str">
        <f t="shared" si="1267"/>
        <v>#REF!</v>
      </c>
      <c r="B2052" s="20" t="str">
        <f t="shared" si="1268"/>
        <v>#REF!</v>
      </c>
      <c r="C2052" s="20" t="str">
        <f t="shared" ref="C2052:D2052" si="6149">#REF!</f>
        <v>#REF!</v>
      </c>
      <c r="D2052" s="20" t="str">
        <f t="shared" si="6149"/>
        <v>#REF!</v>
      </c>
      <c r="E2052" s="20" t="str">
        <f t="shared" si="1270"/>
        <v>#REF!</v>
      </c>
      <c r="F2052" s="22" t="str">
        <f t="shared" si="2"/>
        <v>#REF!</v>
      </c>
      <c r="G2052" s="20" t="str">
        <f t="shared" ref="G2052:I2052" si="6150">#REF!</f>
        <v>#REF!</v>
      </c>
      <c r="H2052" s="20" t="str">
        <f t="shared" si="6150"/>
        <v>#REF!</v>
      </c>
      <c r="I2052" s="20" t="str">
        <f t="shared" si="6150"/>
        <v>#REF!</v>
      </c>
      <c r="J2052" s="20" t="str">
        <f t="shared" si="1272"/>
        <v>#REF!</v>
      </c>
      <c r="K2052" s="20" t="str">
        <f t="shared" ref="K2052:L2052" si="6151">#REF!</f>
        <v>#REF!</v>
      </c>
      <c r="L2052" s="20" t="str">
        <f t="shared" si="6151"/>
        <v>#REF!</v>
      </c>
    </row>
    <row r="2053">
      <c r="A2053" s="20" t="str">
        <f t="shared" si="1267"/>
        <v>#REF!</v>
      </c>
      <c r="B2053" s="20" t="str">
        <f t="shared" si="1268"/>
        <v>#REF!</v>
      </c>
      <c r="C2053" s="20" t="str">
        <f t="shared" ref="C2053:D2053" si="6152">#REF!</f>
        <v>#REF!</v>
      </c>
      <c r="D2053" s="20" t="str">
        <f t="shared" si="6152"/>
        <v>#REF!</v>
      </c>
      <c r="E2053" s="20" t="str">
        <f t="shared" si="1270"/>
        <v>#REF!</v>
      </c>
      <c r="F2053" s="22" t="str">
        <f t="shared" si="2"/>
        <v>#REF!</v>
      </c>
      <c r="G2053" s="20" t="str">
        <f t="shared" ref="G2053:I2053" si="6153">#REF!</f>
        <v>#REF!</v>
      </c>
      <c r="H2053" s="20" t="str">
        <f t="shared" si="6153"/>
        <v>#REF!</v>
      </c>
      <c r="I2053" s="20" t="str">
        <f t="shared" si="6153"/>
        <v>#REF!</v>
      </c>
      <c r="J2053" s="20" t="str">
        <f t="shared" si="1272"/>
        <v>#REF!</v>
      </c>
      <c r="K2053" s="20" t="str">
        <f t="shared" ref="K2053:L2053" si="6154">#REF!</f>
        <v>#REF!</v>
      </c>
      <c r="L2053" s="20" t="str">
        <f t="shared" si="6154"/>
        <v>#REF!</v>
      </c>
    </row>
    <row r="2054">
      <c r="A2054" s="20" t="str">
        <f t="shared" si="1267"/>
        <v>#REF!</v>
      </c>
      <c r="B2054" s="20" t="str">
        <f t="shared" si="1268"/>
        <v>#REF!</v>
      </c>
      <c r="C2054" s="20" t="str">
        <f t="shared" ref="C2054:D2054" si="6155">#REF!</f>
        <v>#REF!</v>
      </c>
      <c r="D2054" s="20" t="str">
        <f t="shared" si="6155"/>
        <v>#REF!</v>
      </c>
      <c r="E2054" s="20" t="str">
        <f t="shared" si="1270"/>
        <v>#REF!</v>
      </c>
      <c r="F2054" s="22" t="str">
        <f t="shared" si="2"/>
        <v>#REF!</v>
      </c>
      <c r="G2054" s="20" t="str">
        <f t="shared" ref="G2054:I2054" si="6156">#REF!</f>
        <v>#REF!</v>
      </c>
      <c r="H2054" s="20" t="str">
        <f t="shared" si="6156"/>
        <v>#REF!</v>
      </c>
      <c r="I2054" s="20" t="str">
        <f t="shared" si="6156"/>
        <v>#REF!</v>
      </c>
      <c r="J2054" s="20" t="str">
        <f t="shared" si="1272"/>
        <v>#REF!</v>
      </c>
      <c r="K2054" s="20" t="str">
        <f t="shared" ref="K2054:L2054" si="6157">#REF!</f>
        <v>#REF!</v>
      </c>
      <c r="L2054" s="20" t="str">
        <f t="shared" si="6157"/>
        <v>#REF!</v>
      </c>
    </row>
    <row r="2055">
      <c r="A2055" s="20" t="str">
        <f t="shared" si="1267"/>
        <v>#REF!</v>
      </c>
      <c r="B2055" s="20" t="str">
        <f t="shared" si="1268"/>
        <v>#REF!</v>
      </c>
      <c r="C2055" s="20" t="str">
        <f t="shared" ref="C2055:D2055" si="6158">#REF!</f>
        <v>#REF!</v>
      </c>
      <c r="D2055" s="20" t="str">
        <f t="shared" si="6158"/>
        <v>#REF!</v>
      </c>
      <c r="E2055" s="20" t="str">
        <f t="shared" si="1270"/>
        <v>#REF!</v>
      </c>
      <c r="F2055" s="22" t="str">
        <f t="shared" si="2"/>
        <v>#REF!</v>
      </c>
      <c r="G2055" s="20" t="str">
        <f t="shared" ref="G2055:I2055" si="6159">#REF!</f>
        <v>#REF!</v>
      </c>
      <c r="H2055" s="20" t="str">
        <f t="shared" si="6159"/>
        <v>#REF!</v>
      </c>
      <c r="I2055" s="20" t="str">
        <f t="shared" si="6159"/>
        <v>#REF!</v>
      </c>
      <c r="J2055" s="20" t="str">
        <f t="shared" si="1272"/>
        <v>#REF!</v>
      </c>
      <c r="K2055" s="20" t="str">
        <f t="shared" ref="K2055:L2055" si="6160">#REF!</f>
        <v>#REF!</v>
      </c>
      <c r="L2055" s="20" t="str">
        <f t="shared" si="6160"/>
        <v>#REF!</v>
      </c>
    </row>
    <row r="2056">
      <c r="A2056" s="20" t="str">
        <f t="shared" si="1267"/>
        <v>#REF!</v>
      </c>
      <c r="B2056" s="20" t="str">
        <f t="shared" si="1268"/>
        <v>#REF!</v>
      </c>
      <c r="C2056" s="20" t="str">
        <f t="shared" ref="C2056:D2056" si="6161">#REF!</f>
        <v>#REF!</v>
      </c>
      <c r="D2056" s="20" t="str">
        <f t="shared" si="6161"/>
        <v>#REF!</v>
      </c>
      <c r="E2056" s="20" t="str">
        <f t="shared" si="1270"/>
        <v>#REF!</v>
      </c>
      <c r="F2056" s="22" t="str">
        <f t="shared" si="2"/>
        <v>#REF!</v>
      </c>
      <c r="G2056" s="20" t="str">
        <f t="shared" ref="G2056:I2056" si="6162">#REF!</f>
        <v>#REF!</v>
      </c>
      <c r="H2056" s="20" t="str">
        <f t="shared" si="6162"/>
        <v>#REF!</v>
      </c>
      <c r="I2056" s="20" t="str">
        <f t="shared" si="6162"/>
        <v>#REF!</v>
      </c>
      <c r="J2056" s="20" t="str">
        <f t="shared" si="1272"/>
        <v>#REF!</v>
      </c>
      <c r="K2056" s="20" t="str">
        <f t="shared" ref="K2056:L2056" si="6163">#REF!</f>
        <v>#REF!</v>
      </c>
      <c r="L2056" s="20" t="str">
        <f t="shared" si="6163"/>
        <v>#REF!</v>
      </c>
    </row>
    <row r="2057">
      <c r="A2057" s="20" t="str">
        <f t="shared" si="1267"/>
        <v>#REF!</v>
      </c>
      <c r="B2057" s="20" t="str">
        <f t="shared" si="1268"/>
        <v>#REF!</v>
      </c>
      <c r="C2057" s="20" t="str">
        <f t="shared" ref="C2057:D2057" si="6164">#REF!</f>
        <v>#REF!</v>
      </c>
      <c r="D2057" s="20" t="str">
        <f t="shared" si="6164"/>
        <v>#REF!</v>
      </c>
      <c r="E2057" s="20" t="str">
        <f t="shared" si="1270"/>
        <v>#REF!</v>
      </c>
      <c r="F2057" s="22" t="str">
        <f t="shared" si="2"/>
        <v>#REF!</v>
      </c>
      <c r="G2057" s="20" t="str">
        <f t="shared" ref="G2057:I2057" si="6165">#REF!</f>
        <v>#REF!</v>
      </c>
      <c r="H2057" s="20" t="str">
        <f t="shared" si="6165"/>
        <v>#REF!</v>
      </c>
      <c r="I2057" s="20" t="str">
        <f t="shared" si="6165"/>
        <v>#REF!</v>
      </c>
      <c r="J2057" s="20" t="str">
        <f t="shared" si="1272"/>
        <v>#REF!</v>
      </c>
      <c r="K2057" s="20" t="str">
        <f t="shared" ref="K2057:L2057" si="6166">#REF!</f>
        <v>#REF!</v>
      </c>
      <c r="L2057" s="20" t="str">
        <f t="shared" si="6166"/>
        <v>#REF!</v>
      </c>
    </row>
    <row r="2058">
      <c r="A2058" s="20" t="str">
        <f t="shared" si="1267"/>
        <v>#REF!</v>
      </c>
      <c r="B2058" s="20" t="str">
        <f t="shared" si="1268"/>
        <v>#REF!</v>
      </c>
      <c r="C2058" s="20" t="str">
        <f t="shared" ref="C2058:D2058" si="6167">#REF!</f>
        <v>#REF!</v>
      </c>
      <c r="D2058" s="20" t="str">
        <f t="shared" si="6167"/>
        <v>#REF!</v>
      </c>
      <c r="E2058" s="20" t="str">
        <f t="shared" si="1270"/>
        <v>#REF!</v>
      </c>
      <c r="F2058" s="22" t="str">
        <f t="shared" si="2"/>
        <v>#REF!</v>
      </c>
      <c r="G2058" s="20" t="str">
        <f t="shared" ref="G2058:I2058" si="6168">#REF!</f>
        <v>#REF!</v>
      </c>
      <c r="H2058" s="20" t="str">
        <f t="shared" si="6168"/>
        <v>#REF!</v>
      </c>
      <c r="I2058" s="20" t="str">
        <f t="shared" si="6168"/>
        <v>#REF!</v>
      </c>
      <c r="J2058" s="20" t="str">
        <f t="shared" si="1272"/>
        <v>#REF!</v>
      </c>
      <c r="K2058" s="20" t="str">
        <f t="shared" ref="K2058:L2058" si="6169">#REF!</f>
        <v>#REF!</v>
      </c>
      <c r="L2058" s="20" t="str">
        <f t="shared" si="6169"/>
        <v>#REF!</v>
      </c>
    </row>
    <row r="2059">
      <c r="A2059" s="20" t="str">
        <f t="shared" si="1267"/>
        <v>#REF!</v>
      </c>
      <c r="B2059" s="20" t="str">
        <f t="shared" si="1268"/>
        <v>#REF!</v>
      </c>
      <c r="C2059" s="20" t="str">
        <f t="shared" ref="C2059:D2059" si="6170">#REF!</f>
        <v>#REF!</v>
      </c>
      <c r="D2059" s="20" t="str">
        <f t="shared" si="6170"/>
        <v>#REF!</v>
      </c>
      <c r="E2059" s="20" t="str">
        <f t="shared" si="1270"/>
        <v>#REF!</v>
      </c>
      <c r="F2059" s="22" t="str">
        <f t="shared" si="2"/>
        <v>#REF!</v>
      </c>
      <c r="G2059" s="20" t="str">
        <f t="shared" ref="G2059:I2059" si="6171">#REF!</f>
        <v>#REF!</v>
      </c>
      <c r="H2059" s="20" t="str">
        <f t="shared" si="6171"/>
        <v>#REF!</v>
      </c>
      <c r="I2059" s="20" t="str">
        <f t="shared" si="6171"/>
        <v>#REF!</v>
      </c>
      <c r="J2059" s="20" t="str">
        <f t="shared" si="1272"/>
        <v>#REF!</v>
      </c>
      <c r="K2059" s="20" t="str">
        <f t="shared" ref="K2059:L2059" si="6172">#REF!</f>
        <v>#REF!</v>
      </c>
      <c r="L2059" s="20" t="str">
        <f t="shared" si="6172"/>
        <v>#REF!</v>
      </c>
    </row>
    <row r="2060">
      <c r="A2060" s="20" t="str">
        <f t="shared" si="1267"/>
        <v>#REF!</v>
      </c>
      <c r="B2060" s="20" t="str">
        <f t="shared" si="1268"/>
        <v>#REF!</v>
      </c>
      <c r="C2060" s="20" t="str">
        <f t="shared" ref="C2060:D2060" si="6173">#REF!</f>
        <v>#REF!</v>
      </c>
      <c r="D2060" s="20" t="str">
        <f t="shared" si="6173"/>
        <v>#REF!</v>
      </c>
      <c r="E2060" s="20" t="str">
        <f t="shared" si="1270"/>
        <v>#REF!</v>
      </c>
      <c r="F2060" s="22" t="str">
        <f t="shared" si="2"/>
        <v>#REF!</v>
      </c>
      <c r="G2060" s="20" t="str">
        <f t="shared" ref="G2060:I2060" si="6174">#REF!</f>
        <v>#REF!</v>
      </c>
      <c r="H2060" s="20" t="str">
        <f t="shared" si="6174"/>
        <v>#REF!</v>
      </c>
      <c r="I2060" s="20" t="str">
        <f t="shared" si="6174"/>
        <v>#REF!</v>
      </c>
      <c r="J2060" s="20" t="str">
        <f t="shared" si="1272"/>
        <v>#REF!</v>
      </c>
      <c r="K2060" s="20" t="str">
        <f t="shared" ref="K2060:L2060" si="6175">#REF!</f>
        <v>#REF!</v>
      </c>
      <c r="L2060" s="20" t="str">
        <f t="shared" si="6175"/>
        <v>#REF!</v>
      </c>
    </row>
    <row r="2061">
      <c r="A2061" s="20" t="str">
        <f t="shared" si="1267"/>
        <v>#REF!</v>
      </c>
      <c r="B2061" s="20" t="str">
        <f t="shared" si="1268"/>
        <v>#REF!</v>
      </c>
      <c r="C2061" s="20" t="str">
        <f t="shared" ref="C2061:D2061" si="6176">#REF!</f>
        <v>#REF!</v>
      </c>
      <c r="D2061" s="20" t="str">
        <f t="shared" si="6176"/>
        <v>#REF!</v>
      </c>
      <c r="E2061" s="20" t="str">
        <f t="shared" si="1270"/>
        <v>#REF!</v>
      </c>
      <c r="F2061" s="22" t="str">
        <f t="shared" si="2"/>
        <v>#REF!</v>
      </c>
      <c r="G2061" s="20" t="str">
        <f t="shared" ref="G2061:I2061" si="6177">#REF!</f>
        <v>#REF!</v>
      </c>
      <c r="H2061" s="20" t="str">
        <f t="shared" si="6177"/>
        <v>#REF!</v>
      </c>
      <c r="I2061" s="20" t="str">
        <f t="shared" si="6177"/>
        <v>#REF!</v>
      </c>
      <c r="J2061" s="20" t="str">
        <f t="shared" si="1272"/>
        <v>#REF!</v>
      </c>
      <c r="K2061" s="20" t="str">
        <f t="shared" ref="K2061:L2061" si="6178">#REF!</f>
        <v>#REF!</v>
      </c>
      <c r="L2061" s="20" t="str">
        <f t="shared" si="6178"/>
        <v>#REF!</v>
      </c>
    </row>
    <row r="2062">
      <c r="A2062" s="20" t="str">
        <f t="shared" si="1267"/>
        <v>#REF!</v>
      </c>
      <c r="B2062" s="20" t="str">
        <f t="shared" si="1268"/>
        <v>#REF!</v>
      </c>
      <c r="C2062" s="20" t="str">
        <f t="shared" ref="C2062:D2062" si="6179">#REF!</f>
        <v>#REF!</v>
      </c>
      <c r="D2062" s="20" t="str">
        <f t="shared" si="6179"/>
        <v>#REF!</v>
      </c>
      <c r="E2062" s="20" t="str">
        <f t="shared" si="1270"/>
        <v>#REF!</v>
      </c>
      <c r="F2062" s="22" t="str">
        <f t="shared" si="2"/>
        <v>#REF!</v>
      </c>
      <c r="G2062" s="20" t="str">
        <f t="shared" ref="G2062:I2062" si="6180">#REF!</f>
        <v>#REF!</v>
      </c>
      <c r="H2062" s="20" t="str">
        <f t="shared" si="6180"/>
        <v>#REF!</v>
      </c>
      <c r="I2062" s="20" t="str">
        <f t="shared" si="6180"/>
        <v>#REF!</v>
      </c>
      <c r="J2062" s="20" t="str">
        <f t="shared" si="1272"/>
        <v>#REF!</v>
      </c>
      <c r="K2062" s="20" t="str">
        <f t="shared" ref="K2062:L2062" si="6181">#REF!</f>
        <v>#REF!</v>
      </c>
      <c r="L2062" s="20" t="str">
        <f t="shared" si="6181"/>
        <v>#REF!</v>
      </c>
    </row>
    <row r="2063">
      <c r="A2063" s="20" t="str">
        <f t="shared" si="1267"/>
        <v>#REF!</v>
      </c>
      <c r="B2063" s="20" t="str">
        <f t="shared" si="1268"/>
        <v>#REF!</v>
      </c>
      <c r="C2063" s="20" t="str">
        <f t="shared" ref="C2063:D2063" si="6182">#REF!</f>
        <v>#REF!</v>
      </c>
      <c r="D2063" s="20" t="str">
        <f t="shared" si="6182"/>
        <v>#REF!</v>
      </c>
      <c r="E2063" s="20" t="str">
        <f t="shared" si="1270"/>
        <v>#REF!</v>
      </c>
      <c r="F2063" s="22" t="str">
        <f t="shared" si="2"/>
        <v>#REF!</v>
      </c>
      <c r="G2063" s="20" t="str">
        <f t="shared" ref="G2063:I2063" si="6183">#REF!</f>
        <v>#REF!</v>
      </c>
      <c r="H2063" s="20" t="str">
        <f t="shared" si="6183"/>
        <v>#REF!</v>
      </c>
      <c r="I2063" s="20" t="str">
        <f t="shared" si="6183"/>
        <v>#REF!</v>
      </c>
      <c r="J2063" s="20" t="str">
        <f t="shared" si="1272"/>
        <v>#REF!</v>
      </c>
      <c r="K2063" s="20" t="str">
        <f t="shared" ref="K2063:L2063" si="6184">#REF!</f>
        <v>#REF!</v>
      </c>
      <c r="L2063" s="20" t="str">
        <f t="shared" si="6184"/>
        <v>#REF!</v>
      </c>
    </row>
    <row r="2064">
      <c r="A2064" s="20" t="str">
        <f t="shared" si="1267"/>
        <v>#REF!</v>
      </c>
      <c r="B2064" s="20" t="str">
        <f t="shared" si="1268"/>
        <v>#REF!</v>
      </c>
      <c r="C2064" s="20" t="str">
        <f t="shared" ref="C2064:D2064" si="6185">#REF!</f>
        <v>#REF!</v>
      </c>
      <c r="D2064" s="20" t="str">
        <f t="shared" si="6185"/>
        <v>#REF!</v>
      </c>
      <c r="E2064" s="20" t="str">
        <f t="shared" si="1270"/>
        <v>#REF!</v>
      </c>
      <c r="F2064" s="22" t="str">
        <f t="shared" si="2"/>
        <v>#REF!</v>
      </c>
      <c r="G2064" s="20" t="str">
        <f t="shared" ref="G2064:I2064" si="6186">#REF!</f>
        <v>#REF!</v>
      </c>
      <c r="H2064" s="20" t="str">
        <f t="shared" si="6186"/>
        <v>#REF!</v>
      </c>
      <c r="I2064" s="20" t="str">
        <f t="shared" si="6186"/>
        <v>#REF!</v>
      </c>
      <c r="J2064" s="20" t="str">
        <f t="shared" si="1272"/>
        <v>#REF!</v>
      </c>
      <c r="K2064" s="20" t="str">
        <f t="shared" ref="K2064:L2064" si="6187">#REF!</f>
        <v>#REF!</v>
      </c>
      <c r="L2064" s="20" t="str">
        <f t="shared" si="6187"/>
        <v>#REF!</v>
      </c>
    </row>
    <row r="2065">
      <c r="A2065" s="20" t="str">
        <f t="shared" si="1267"/>
        <v>#REF!</v>
      </c>
      <c r="B2065" s="20" t="str">
        <f t="shared" si="1268"/>
        <v>#REF!</v>
      </c>
      <c r="C2065" s="20" t="str">
        <f t="shared" ref="C2065:D2065" si="6188">#REF!</f>
        <v>#REF!</v>
      </c>
      <c r="D2065" s="20" t="str">
        <f t="shared" si="6188"/>
        <v>#REF!</v>
      </c>
      <c r="E2065" s="20" t="str">
        <f t="shared" si="1270"/>
        <v>#REF!</v>
      </c>
      <c r="F2065" s="22" t="str">
        <f t="shared" si="2"/>
        <v>#REF!</v>
      </c>
      <c r="G2065" s="20" t="str">
        <f t="shared" ref="G2065:I2065" si="6189">#REF!</f>
        <v>#REF!</v>
      </c>
      <c r="H2065" s="20" t="str">
        <f t="shared" si="6189"/>
        <v>#REF!</v>
      </c>
      <c r="I2065" s="20" t="str">
        <f t="shared" si="6189"/>
        <v>#REF!</v>
      </c>
      <c r="J2065" s="20" t="str">
        <f t="shared" si="1272"/>
        <v>#REF!</v>
      </c>
      <c r="K2065" s="20" t="str">
        <f t="shared" ref="K2065:L2065" si="6190">#REF!</f>
        <v>#REF!</v>
      </c>
      <c r="L2065" s="20" t="str">
        <f t="shared" si="6190"/>
        <v>#REF!</v>
      </c>
    </row>
    <row r="2066">
      <c r="A2066" s="20" t="str">
        <f t="shared" si="1267"/>
        <v>#REF!</v>
      </c>
      <c r="B2066" s="20" t="str">
        <f t="shared" si="1268"/>
        <v>#REF!</v>
      </c>
      <c r="C2066" s="20" t="str">
        <f t="shared" ref="C2066:D2066" si="6191">#REF!</f>
        <v>#REF!</v>
      </c>
      <c r="D2066" s="20" t="str">
        <f t="shared" si="6191"/>
        <v>#REF!</v>
      </c>
      <c r="E2066" s="20" t="str">
        <f t="shared" si="1270"/>
        <v>#REF!</v>
      </c>
      <c r="F2066" s="22" t="str">
        <f t="shared" si="2"/>
        <v>#REF!</v>
      </c>
      <c r="G2066" s="20" t="str">
        <f t="shared" ref="G2066:I2066" si="6192">#REF!</f>
        <v>#REF!</v>
      </c>
      <c r="H2066" s="20" t="str">
        <f t="shared" si="6192"/>
        <v>#REF!</v>
      </c>
      <c r="I2066" s="20" t="str">
        <f t="shared" si="6192"/>
        <v>#REF!</v>
      </c>
      <c r="J2066" s="20" t="str">
        <f t="shared" si="1272"/>
        <v>#REF!</v>
      </c>
      <c r="K2066" s="20" t="str">
        <f t="shared" ref="K2066:L2066" si="6193">#REF!</f>
        <v>#REF!</v>
      </c>
      <c r="L2066" s="20" t="str">
        <f t="shared" si="6193"/>
        <v>#REF!</v>
      </c>
    </row>
    <row r="2067">
      <c r="A2067" s="20" t="str">
        <f t="shared" si="1267"/>
        <v>#REF!</v>
      </c>
      <c r="B2067" s="20" t="str">
        <f t="shared" si="1268"/>
        <v>#REF!</v>
      </c>
      <c r="C2067" s="20" t="str">
        <f t="shared" ref="C2067:D2067" si="6194">#REF!</f>
        <v>#REF!</v>
      </c>
      <c r="D2067" s="20" t="str">
        <f t="shared" si="6194"/>
        <v>#REF!</v>
      </c>
      <c r="E2067" s="20" t="str">
        <f t="shared" si="1270"/>
        <v>#REF!</v>
      </c>
      <c r="F2067" s="22" t="str">
        <f t="shared" si="2"/>
        <v>#REF!</v>
      </c>
      <c r="G2067" s="20" t="str">
        <f t="shared" ref="G2067:I2067" si="6195">#REF!</f>
        <v>#REF!</v>
      </c>
      <c r="H2067" s="20" t="str">
        <f t="shared" si="6195"/>
        <v>#REF!</v>
      </c>
      <c r="I2067" s="20" t="str">
        <f t="shared" si="6195"/>
        <v>#REF!</v>
      </c>
      <c r="J2067" s="20" t="str">
        <f t="shared" si="1272"/>
        <v>#REF!</v>
      </c>
      <c r="K2067" s="20" t="str">
        <f t="shared" ref="K2067:L2067" si="6196">#REF!</f>
        <v>#REF!</v>
      </c>
      <c r="L2067" s="20" t="str">
        <f t="shared" si="6196"/>
        <v>#REF!</v>
      </c>
    </row>
    <row r="2068">
      <c r="A2068" s="20" t="str">
        <f t="shared" si="1267"/>
        <v>#REF!</v>
      </c>
      <c r="B2068" s="20" t="str">
        <f t="shared" si="1268"/>
        <v>#REF!</v>
      </c>
      <c r="C2068" s="20" t="str">
        <f t="shared" ref="C2068:D2068" si="6197">#REF!</f>
        <v>#REF!</v>
      </c>
      <c r="D2068" s="20" t="str">
        <f t="shared" si="6197"/>
        <v>#REF!</v>
      </c>
      <c r="E2068" s="20" t="str">
        <f t="shared" si="1270"/>
        <v>#REF!</v>
      </c>
      <c r="F2068" s="22" t="str">
        <f t="shared" si="2"/>
        <v>#REF!</v>
      </c>
      <c r="G2068" s="20" t="str">
        <f t="shared" ref="G2068:I2068" si="6198">#REF!</f>
        <v>#REF!</v>
      </c>
      <c r="H2068" s="20" t="str">
        <f t="shared" si="6198"/>
        <v>#REF!</v>
      </c>
      <c r="I2068" s="20" t="str">
        <f t="shared" si="6198"/>
        <v>#REF!</v>
      </c>
      <c r="J2068" s="20" t="str">
        <f t="shared" si="1272"/>
        <v>#REF!</v>
      </c>
      <c r="K2068" s="20" t="str">
        <f t="shared" ref="K2068:L2068" si="6199">#REF!</f>
        <v>#REF!</v>
      </c>
      <c r="L2068" s="20" t="str">
        <f t="shared" si="6199"/>
        <v>#REF!</v>
      </c>
    </row>
    <row r="2069">
      <c r="A2069" s="20" t="str">
        <f t="shared" si="1267"/>
        <v>#REF!</v>
      </c>
      <c r="B2069" s="20" t="str">
        <f t="shared" si="1268"/>
        <v>#REF!</v>
      </c>
      <c r="C2069" s="20" t="str">
        <f t="shared" ref="C2069:D2069" si="6200">#REF!</f>
        <v>#REF!</v>
      </c>
      <c r="D2069" s="20" t="str">
        <f t="shared" si="6200"/>
        <v>#REF!</v>
      </c>
      <c r="E2069" s="20" t="str">
        <f t="shared" si="1270"/>
        <v>#REF!</v>
      </c>
      <c r="F2069" s="22" t="str">
        <f t="shared" si="2"/>
        <v>#REF!</v>
      </c>
      <c r="G2069" s="20" t="str">
        <f t="shared" ref="G2069:I2069" si="6201">#REF!</f>
        <v>#REF!</v>
      </c>
      <c r="H2069" s="20" t="str">
        <f t="shared" si="6201"/>
        <v>#REF!</v>
      </c>
      <c r="I2069" s="20" t="str">
        <f t="shared" si="6201"/>
        <v>#REF!</v>
      </c>
      <c r="J2069" s="20" t="str">
        <f t="shared" si="1272"/>
        <v>#REF!</v>
      </c>
      <c r="K2069" s="20" t="str">
        <f t="shared" ref="K2069:L2069" si="6202">#REF!</f>
        <v>#REF!</v>
      </c>
      <c r="L2069" s="20" t="str">
        <f t="shared" si="6202"/>
        <v>#REF!</v>
      </c>
    </row>
    <row r="2070">
      <c r="A2070" s="20" t="str">
        <f t="shared" si="1267"/>
        <v>#REF!</v>
      </c>
      <c r="B2070" s="20" t="str">
        <f t="shared" si="1268"/>
        <v>#REF!</v>
      </c>
      <c r="C2070" s="20" t="str">
        <f t="shared" ref="C2070:D2070" si="6203">#REF!</f>
        <v>#REF!</v>
      </c>
      <c r="D2070" s="20" t="str">
        <f t="shared" si="6203"/>
        <v>#REF!</v>
      </c>
      <c r="E2070" s="20" t="str">
        <f t="shared" si="1270"/>
        <v>#REF!</v>
      </c>
      <c r="F2070" s="22" t="str">
        <f t="shared" si="2"/>
        <v>#REF!</v>
      </c>
      <c r="G2070" s="20" t="str">
        <f t="shared" ref="G2070:I2070" si="6204">#REF!</f>
        <v>#REF!</v>
      </c>
      <c r="H2070" s="20" t="str">
        <f t="shared" si="6204"/>
        <v>#REF!</v>
      </c>
      <c r="I2070" s="20" t="str">
        <f t="shared" si="6204"/>
        <v>#REF!</v>
      </c>
      <c r="J2070" s="20" t="str">
        <f t="shared" si="1272"/>
        <v>#REF!</v>
      </c>
      <c r="K2070" s="20" t="str">
        <f t="shared" ref="K2070:L2070" si="6205">#REF!</f>
        <v>#REF!</v>
      </c>
      <c r="L2070" s="20" t="str">
        <f t="shared" si="6205"/>
        <v>#REF!</v>
      </c>
    </row>
    <row r="2071">
      <c r="A2071" s="20" t="str">
        <f t="shared" si="1267"/>
        <v>#REF!</v>
      </c>
      <c r="B2071" s="20" t="str">
        <f t="shared" si="1268"/>
        <v>#REF!</v>
      </c>
      <c r="C2071" s="20" t="str">
        <f t="shared" ref="C2071:D2071" si="6206">#REF!</f>
        <v>#REF!</v>
      </c>
      <c r="D2071" s="20" t="str">
        <f t="shared" si="6206"/>
        <v>#REF!</v>
      </c>
      <c r="E2071" s="20" t="str">
        <f t="shared" si="1270"/>
        <v>#REF!</v>
      </c>
      <c r="F2071" s="22" t="str">
        <f t="shared" si="2"/>
        <v>#REF!</v>
      </c>
      <c r="G2071" s="20" t="str">
        <f t="shared" ref="G2071:I2071" si="6207">#REF!</f>
        <v>#REF!</v>
      </c>
      <c r="H2071" s="20" t="str">
        <f t="shared" si="6207"/>
        <v>#REF!</v>
      </c>
      <c r="I2071" s="20" t="str">
        <f t="shared" si="6207"/>
        <v>#REF!</v>
      </c>
      <c r="J2071" s="20" t="str">
        <f t="shared" si="1272"/>
        <v>#REF!</v>
      </c>
      <c r="K2071" s="20" t="str">
        <f t="shared" ref="K2071:L2071" si="6208">#REF!</f>
        <v>#REF!</v>
      </c>
      <c r="L2071" s="20" t="str">
        <f t="shared" si="6208"/>
        <v>#REF!</v>
      </c>
    </row>
    <row r="2072">
      <c r="A2072" s="20" t="str">
        <f t="shared" si="1267"/>
        <v>#REF!</v>
      </c>
      <c r="B2072" s="20" t="str">
        <f t="shared" si="1268"/>
        <v>#REF!</v>
      </c>
      <c r="C2072" s="20" t="str">
        <f t="shared" ref="C2072:D2072" si="6209">#REF!</f>
        <v>#REF!</v>
      </c>
      <c r="D2072" s="20" t="str">
        <f t="shared" si="6209"/>
        <v>#REF!</v>
      </c>
      <c r="E2072" s="20" t="str">
        <f t="shared" si="1270"/>
        <v>#REF!</v>
      </c>
      <c r="F2072" s="22" t="str">
        <f t="shared" si="2"/>
        <v>#REF!</v>
      </c>
      <c r="G2072" s="20" t="str">
        <f t="shared" ref="G2072:I2072" si="6210">#REF!</f>
        <v>#REF!</v>
      </c>
      <c r="H2072" s="20" t="str">
        <f t="shared" si="6210"/>
        <v>#REF!</v>
      </c>
      <c r="I2072" s="20" t="str">
        <f t="shared" si="6210"/>
        <v>#REF!</v>
      </c>
      <c r="J2072" s="20" t="str">
        <f t="shared" si="1272"/>
        <v>#REF!</v>
      </c>
      <c r="K2072" s="20" t="str">
        <f t="shared" ref="K2072:L2072" si="6211">#REF!</f>
        <v>#REF!</v>
      </c>
      <c r="L2072" s="20" t="str">
        <f t="shared" si="6211"/>
        <v>#REF!</v>
      </c>
    </row>
    <row r="2073">
      <c r="A2073" s="20" t="str">
        <f t="shared" si="1267"/>
        <v>#REF!</v>
      </c>
      <c r="B2073" s="20" t="str">
        <f t="shared" si="1268"/>
        <v>#REF!</v>
      </c>
      <c r="C2073" s="20" t="str">
        <f t="shared" ref="C2073:D2073" si="6212">#REF!</f>
        <v>#REF!</v>
      </c>
      <c r="D2073" s="20" t="str">
        <f t="shared" si="6212"/>
        <v>#REF!</v>
      </c>
      <c r="E2073" s="20" t="str">
        <f t="shared" si="1270"/>
        <v>#REF!</v>
      </c>
      <c r="F2073" s="22" t="str">
        <f t="shared" si="2"/>
        <v>#REF!</v>
      </c>
      <c r="G2073" s="20" t="str">
        <f t="shared" ref="G2073:I2073" si="6213">#REF!</f>
        <v>#REF!</v>
      </c>
      <c r="H2073" s="20" t="str">
        <f t="shared" si="6213"/>
        <v>#REF!</v>
      </c>
      <c r="I2073" s="20" t="str">
        <f t="shared" si="6213"/>
        <v>#REF!</v>
      </c>
      <c r="J2073" s="20" t="str">
        <f t="shared" si="1272"/>
        <v>#REF!</v>
      </c>
      <c r="K2073" s="20" t="str">
        <f t="shared" ref="K2073:L2073" si="6214">#REF!</f>
        <v>#REF!</v>
      </c>
      <c r="L2073" s="20" t="str">
        <f t="shared" si="6214"/>
        <v>#REF!</v>
      </c>
    </row>
    <row r="2074">
      <c r="A2074" s="20" t="str">
        <f t="shared" si="1267"/>
        <v>#REF!</v>
      </c>
      <c r="B2074" s="20" t="str">
        <f t="shared" si="1268"/>
        <v>#REF!</v>
      </c>
      <c r="C2074" s="20" t="str">
        <f t="shared" ref="C2074:D2074" si="6215">#REF!</f>
        <v>#REF!</v>
      </c>
      <c r="D2074" s="20" t="str">
        <f t="shared" si="6215"/>
        <v>#REF!</v>
      </c>
      <c r="E2074" s="20" t="str">
        <f t="shared" si="1270"/>
        <v>#REF!</v>
      </c>
      <c r="F2074" s="22" t="str">
        <f t="shared" si="2"/>
        <v>#REF!</v>
      </c>
      <c r="G2074" s="20" t="str">
        <f t="shared" ref="G2074:I2074" si="6216">#REF!</f>
        <v>#REF!</v>
      </c>
      <c r="H2074" s="20" t="str">
        <f t="shared" si="6216"/>
        <v>#REF!</v>
      </c>
      <c r="I2074" s="20" t="str">
        <f t="shared" si="6216"/>
        <v>#REF!</v>
      </c>
      <c r="J2074" s="20" t="str">
        <f t="shared" si="1272"/>
        <v>#REF!</v>
      </c>
      <c r="K2074" s="20" t="str">
        <f t="shared" ref="K2074:L2074" si="6217">#REF!</f>
        <v>#REF!</v>
      </c>
      <c r="L2074" s="20" t="str">
        <f t="shared" si="6217"/>
        <v>#REF!</v>
      </c>
    </row>
    <row r="2075">
      <c r="A2075" s="20" t="str">
        <f t="shared" si="1267"/>
        <v>#REF!</v>
      </c>
      <c r="B2075" s="20" t="str">
        <f t="shared" si="1268"/>
        <v>#REF!</v>
      </c>
      <c r="C2075" s="20" t="str">
        <f t="shared" ref="C2075:D2075" si="6218">#REF!</f>
        <v>#REF!</v>
      </c>
      <c r="D2075" s="20" t="str">
        <f t="shared" si="6218"/>
        <v>#REF!</v>
      </c>
      <c r="E2075" s="20" t="str">
        <f t="shared" si="1270"/>
        <v>#REF!</v>
      </c>
      <c r="F2075" s="22" t="str">
        <f t="shared" si="2"/>
        <v>#REF!</v>
      </c>
      <c r="G2075" s="20" t="str">
        <f t="shared" ref="G2075:I2075" si="6219">#REF!</f>
        <v>#REF!</v>
      </c>
      <c r="H2075" s="20" t="str">
        <f t="shared" si="6219"/>
        <v>#REF!</v>
      </c>
      <c r="I2075" s="20" t="str">
        <f t="shared" si="6219"/>
        <v>#REF!</v>
      </c>
      <c r="J2075" s="20" t="str">
        <f t="shared" si="1272"/>
        <v>#REF!</v>
      </c>
      <c r="K2075" s="20" t="str">
        <f t="shared" ref="K2075:L2075" si="6220">#REF!</f>
        <v>#REF!</v>
      </c>
      <c r="L2075" s="20" t="str">
        <f t="shared" si="6220"/>
        <v>#REF!</v>
      </c>
    </row>
    <row r="2076">
      <c r="A2076" s="20" t="str">
        <f t="shared" si="1267"/>
        <v>#REF!</v>
      </c>
      <c r="B2076" s="20" t="str">
        <f t="shared" si="1268"/>
        <v>#REF!</v>
      </c>
      <c r="C2076" s="20" t="str">
        <f t="shared" ref="C2076:D2076" si="6221">#REF!</f>
        <v>#REF!</v>
      </c>
      <c r="D2076" s="20" t="str">
        <f t="shared" si="6221"/>
        <v>#REF!</v>
      </c>
      <c r="E2076" s="20" t="str">
        <f t="shared" si="1270"/>
        <v>#REF!</v>
      </c>
      <c r="F2076" s="22" t="str">
        <f t="shared" si="2"/>
        <v>#REF!</v>
      </c>
      <c r="G2076" s="20" t="str">
        <f t="shared" ref="G2076:I2076" si="6222">#REF!</f>
        <v>#REF!</v>
      </c>
      <c r="H2076" s="20" t="str">
        <f t="shared" si="6222"/>
        <v>#REF!</v>
      </c>
      <c r="I2076" s="20" t="str">
        <f t="shared" si="6222"/>
        <v>#REF!</v>
      </c>
      <c r="J2076" s="20" t="str">
        <f t="shared" si="1272"/>
        <v>#REF!</v>
      </c>
      <c r="K2076" s="20" t="str">
        <f t="shared" ref="K2076:L2076" si="6223">#REF!</f>
        <v>#REF!</v>
      </c>
      <c r="L2076" s="20" t="str">
        <f t="shared" si="6223"/>
        <v>#REF!</v>
      </c>
    </row>
    <row r="2077">
      <c r="A2077" s="20" t="str">
        <f t="shared" si="1267"/>
        <v>#REF!</v>
      </c>
      <c r="B2077" s="20" t="str">
        <f t="shared" si="1268"/>
        <v>#REF!</v>
      </c>
      <c r="C2077" s="20" t="str">
        <f t="shared" ref="C2077:D2077" si="6224">#REF!</f>
        <v>#REF!</v>
      </c>
      <c r="D2077" s="20" t="str">
        <f t="shared" si="6224"/>
        <v>#REF!</v>
      </c>
      <c r="E2077" s="20" t="str">
        <f t="shared" si="1270"/>
        <v>#REF!</v>
      </c>
      <c r="F2077" s="22" t="str">
        <f t="shared" si="2"/>
        <v>#REF!</v>
      </c>
      <c r="G2077" s="20" t="str">
        <f t="shared" ref="G2077:I2077" si="6225">#REF!</f>
        <v>#REF!</v>
      </c>
      <c r="H2077" s="20" t="str">
        <f t="shared" si="6225"/>
        <v>#REF!</v>
      </c>
      <c r="I2077" s="20" t="str">
        <f t="shared" si="6225"/>
        <v>#REF!</v>
      </c>
      <c r="J2077" s="20" t="str">
        <f t="shared" si="1272"/>
        <v>#REF!</v>
      </c>
      <c r="K2077" s="20" t="str">
        <f t="shared" ref="K2077:L2077" si="6226">#REF!</f>
        <v>#REF!</v>
      </c>
      <c r="L2077" s="20" t="str">
        <f t="shared" si="6226"/>
        <v>#REF!</v>
      </c>
    </row>
    <row r="2078">
      <c r="A2078" s="20" t="str">
        <f t="shared" si="1267"/>
        <v>#REF!</v>
      </c>
      <c r="B2078" s="20" t="str">
        <f t="shared" si="1268"/>
        <v>#REF!</v>
      </c>
      <c r="C2078" s="20" t="str">
        <f t="shared" ref="C2078:D2078" si="6227">#REF!</f>
        <v>#REF!</v>
      </c>
      <c r="D2078" s="20" t="str">
        <f t="shared" si="6227"/>
        <v>#REF!</v>
      </c>
      <c r="E2078" s="20" t="str">
        <f t="shared" si="1270"/>
        <v>#REF!</v>
      </c>
      <c r="F2078" s="22" t="str">
        <f t="shared" si="2"/>
        <v>#REF!</v>
      </c>
      <c r="G2078" s="20" t="str">
        <f t="shared" ref="G2078:I2078" si="6228">#REF!</f>
        <v>#REF!</v>
      </c>
      <c r="H2078" s="20" t="str">
        <f t="shared" si="6228"/>
        <v>#REF!</v>
      </c>
      <c r="I2078" s="20" t="str">
        <f t="shared" si="6228"/>
        <v>#REF!</v>
      </c>
      <c r="J2078" s="20" t="str">
        <f t="shared" si="1272"/>
        <v>#REF!</v>
      </c>
      <c r="K2078" s="20" t="str">
        <f t="shared" ref="K2078:L2078" si="6229">#REF!</f>
        <v>#REF!</v>
      </c>
      <c r="L2078" s="20" t="str">
        <f t="shared" si="6229"/>
        <v>#REF!</v>
      </c>
    </row>
    <row r="2079">
      <c r="A2079" s="20" t="str">
        <f t="shared" si="1267"/>
        <v>#REF!</v>
      </c>
      <c r="B2079" s="20" t="str">
        <f t="shared" si="1268"/>
        <v>#REF!</v>
      </c>
      <c r="C2079" s="20" t="str">
        <f t="shared" ref="C2079:D2079" si="6230">#REF!</f>
        <v>#REF!</v>
      </c>
      <c r="D2079" s="20" t="str">
        <f t="shared" si="6230"/>
        <v>#REF!</v>
      </c>
      <c r="E2079" s="20" t="str">
        <f t="shared" si="1270"/>
        <v>#REF!</v>
      </c>
      <c r="F2079" s="22" t="str">
        <f t="shared" si="2"/>
        <v>#REF!</v>
      </c>
      <c r="G2079" s="20" t="str">
        <f t="shared" ref="G2079:I2079" si="6231">#REF!</f>
        <v>#REF!</v>
      </c>
      <c r="H2079" s="20" t="str">
        <f t="shared" si="6231"/>
        <v>#REF!</v>
      </c>
      <c r="I2079" s="20" t="str">
        <f t="shared" si="6231"/>
        <v>#REF!</v>
      </c>
      <c r="J2079" s="20" t="str">
        <f t="shared" si="1272"/>
        <v>#REF!</v>
      </c>
      <c r="K2079" s="20" t="str">
        <f t="shared" ref="K2079:L2079" si="6232">#REF!</f>
        <v>#REF!</v>
      </c>
      <c r="L2079" s="20" t="str">
        <f t="shared" si="6232"/>
        <v>#REF!</v>
      </c>
    </row>
    <row r="2080">
      <c r="A2080" s="20" t="str">
        <f t="shared" si="1267"/>
        <v>#REF!</v>
      </c>
      <c r="B2080" s="20" t="str">
        <f t="shared" si="1268"/>
        <v>#REF!</v>
      </c>
      <c r="C2080" s="20" t="str">
        <f t="shared" ref="C2080:D2080" si="6233">#REF!</f>
        <v>#REF!</v>
      </c>
      <c r="D2080" s="20" t="str">
        <f t="shared" si="6233"/>
        <v>#REF!</v>
      </c>
      <c r="E2080" s="20" t="str">
        <f t="shared" si="1270"/>
        <v>#REF!</v>
      </c>
      <c r="F2080" s="22" t="str">
        <f t="shared" si="2"/>
        <v>#REF!</v>
      </c>
      <c r="G2080" s="20" t="str">
        <f t="shared" ref="G2080:I2080" si="6234">#REF!</f>
        <v>#REF!</v>
      </c>
      <c r="H2080" s="20" t="str">
        <f t="shared" si="6234"/>
        <v>#REF!</v>
      </c>
      <c r="I2080" s="20" t="str">
        <f t="shared" si="6234"/>
        <v>#REF!</v>
      </c>
      <c r="J2080" s="20" t="str">
        <f t="shared" si="1272"/>
        <v>#REF!</v>
      </c>
      <c r="K2080" s="20" t="str">
        <f t="shared" ref="K2080:L2080" si="6235">#REF!</f>
        <v>#REF!</v>
      </c>
      <c r="L2080" s="20" t="str">
        <f t="shared" si="6235"/>
        <v>#REF!</v>
      </c>
    </row>
    <row r="2081">
      <c r="A2081" s="20" t="str">
        <f t="shared" si="1267"/>
        <v>#REF!</v>
      </c>
      <c r="B2081" s="20" t="str">
        <f t="shared" si="1268"/>
        <v>#REF!</v>
      </c>
      <c r="C2081" s="20" t="str">
        <f t="shared" ref="C2081:D2081" si="6236">#REF!</f>
        <v>#REF!</v>
      </c>
      <c r="D2081" s="20" t="str">
        <f t="shared" si="6236"/>
        <v>#REF!</v>
      </c>
      <c r="E2081" s="20" t="str">
        <f t="shared" si="1270"/>
        <v>#REF!</v>
      </c>
      <c r="F2081" s="22" t="str">
        <f t="shared" si="2"/>
        <v>#REF!</v>
      </c>
      <c r="G2081" s="20" t="str">
        <f t="shared" ref="G2081:I2081" si="6237">#REF!</f>
        <v>#REF!</v>
      </c>
      <c r="H2081" s="20" t="str">
        <f t="shared" si="6237"/>
        <v>#REF!</v>
      </c>
      <c r="I2081" s="20" t="str">
        <f t="shared" si="6237"/>
        <v>#REF!</v>
      </c>
      <c r="J2081" s="20" t="str">
        <f t="shared" si="1272"/>
        <v>#REF!</v>
      </c>
      <c r="K2081" s="20" t="str">
        <f t="shared" ref="K2081:L2081" si="6238">#REF!</f>
        <v>#REF!</v>
      </c>
      <c r="L2081" s="20" t="str">
        <f t="shared" si="6238"/>
        <v>#REF!</v>
      </c>
    </row>
    <row r="2082">
      <c r="A2082" s="20" t="str">
        <f t="shared" si="1267"/>
        <v>#REF!</v>
      </c>
      <c r="B2082" s="20" t="str">
        <f t="shared" si="1268"/>
        <v>#REF!</v>
      </c>
      <c r="C2082" s="20" t="str">
        <f t="shared" ref="C2082:D2082" si="6239">#REF!</f>
        <v>#REF!</v>
      </c>
      <c r="D2082" s="20" t="str">
        <f t="shared" si="6239"/>
        <v>#REF!</v>
      </c>
      <c r="E2082" s="20" t="str">
        <f t="shared" si="1270"/>
        <v>#REF!</v>
      </c>
      <c r="F2082" s="22" t="str">
        <f t="shared" si="2"/>
        <v>#REF!</v>
      </c>
      <c r="G2082" s="20" t="str">
        <f t="shared" ref="G2082:I2082" si="6240">#REF!</f>
        <v>#REF!</v>
      </c>
      <c r="H2082" s="20" t="str">
        <f t="shared" si="6240"/>
        <v>#REF!</v>
      </c>
      <c r="I2082" s="20" t="str">
        <f t="shared" si="6240"/>
        <v>#REF!</v>
      </c>
      <c r="J2082" s="20" t="str">
        <f t="shared" si="1272"/>
        <v>#REF!</v>
      </c>
      <c r="K2082" s="20" t="str">
        <f t="shared" ref="K2082:L2082" si="6241">#REF!</f>
        <v>#REF!</v>
      </c>
      <c r="L2082" s="20" t="str">
        <f t="shared" si="6241"/>
        <v>#REF!</v>
      </c>
    </row>
    <row r="2083">
      <c r="A2083" s="20" t="str">
        <f t="shared" si="1267"/>
        <v>#REF!</v>
      </c>
      <c r="B2083" s="20" t="str">
        <f t="shared" si="1268"/>
        <v>#REF!</v>
      </c>
      <c r="C2083" s="20" t="str">
        <f t="shared" ref="C2083:D2083" si="6242">#REF!</f>
        <v>#REF!</v>
      </c>
      <c r="D2083" s="20" t="str">
        <f t="shared" si="6242"/>
        <v>#REF!</v>
      </c>
      <c r="E2083" s="20" t="str">
        <f t="shared" si="1270"/>
        <v>#REF!</v>
      </c>
      <c r="F2083" s="22" t="str">
        <f t="shared" si="2"/>
        <v>#REF!</v>
      </c>
      <c r="G2083" s="20" t="str">
        <f t="shared" ref="G2083:I2083" si="6243">#REF!</f>
        <v>#REF!</v>
      </c>
      <c r="H2083" s="20" t="str">
        <f t="shared" si="6243"/>
        <v>#REF!</v>
      </c>
      <c r="I2083" s="20" t="str">
        <f t="shared" si="6243"/>
        <v>#REF!</v>
      </c>
      <c r="J2083" s="20" t="str">
        <f t="shared" si="1272"/>
        <v>#REF!</v>
      </c>
      <c r="K2083" s="20" t="str">
        <f t="shared" ref="K2083:L2083" si="6244">#REF!</f>
        <v>#REF!</v>
      </c>
      <c r="L2083" s="20" t="str">
        <f t="shared" si="6244"/>
        <v>#REF!</v>
      </c>
    </row>
    <row r="2084">
      <c r="A2084" s="20" t="str">
        <f t="shared" si="1267"/>
        <v>#REF!</v>
      </c>
      <c r="B2084" s="20" t="str">
        <f t="shared" si="1268"/>
        <v>#REF!</v>
      </c>
      <c r="C2084" s="20" t="str">
        <f t="shared" ref="C2084:D2084" si="6245">#REF!</f>
        <v>#REF!</v>
      </c>
      <c r="D2084" s="20" t="str">
        <f t="shared" si="6245"/>
        <v>#REF!</v>
      </c>
      <c r="E2084" s="20" t="str">
        <f t="shared" si="1270"/>
        <v>#REF!</v>
      </c>
      <c r="F2084" s="22" t="str">
        <f t="shared" si="2"/>
        <v>#REF!</v>
      </c>
      <c r="G2084" s="20" t="str">
        <f t="shared" ref="G2084:I2084" si="6246">#REF!</f>
        <v>#REF!</v>
      </c>
      <c r="H2084" s="20" t="str">
        <f t="shared" si="6246"/>
        <v>#REF!</v>
      </c>
      <c r="I2084" s="20" t="str">
        <f t="shared" si="6246"/>
        <v>#REF!</v>
      </c>
      <c r="J2084" s="20" t="str">
        <f t="shared" si="1272"/>
        <v>#REF!</v>
      </c>
      <c r="K2084" s="20" t="str">
        <f t="shared" ref="K2084:L2084" si="6247">#REF!</f>
        <v>#REF!</v>
      </c>
      <c r="L2084" s="20" t="str">
        <f t="shared" si="6247"/>
        <v>#REF!</v>
      </c>
    </row>
    <row r="2085">
      <c r="A2085" s="20" t="str">
        <f t="shared" si="1267"/>
        <v>#REF!</v>
      </c>
      <c r="B2085" s="20" t="str">
        <f t="shared" si="1268"/>
        <v>#REF!</v>
      </c>
      <c r="C2085" s="20" t="str">
        <f t="shared" ref="C2085:D2085" si="6248">#REF!</f>
        <v>#REF!</v>
      </c>
      <c r="D2085" s="20" t="str">
        <f t="shared" si="6248"/>
        <v>#REF!</v>
      </c>
      <c r="E2085" s="20" t="str">
        <f t="shared" si="1270"/>
        <v>#REF!</v>
      </c>
      <c r="F2085" s="22" t="str">
        <f t="shared" si="2"/>
        <v>#REF!</v>
      </c>
      <c r="G2085" s="20" t="str">
        <f t="shared" ref="G2085:I2085" si="6249">#REF!</f>
        <v>#REF!</v>
      </c>
      <c r="H2085" s="20" t="str">
        <f t="shared" si="6249"/>
        <v>#REF!</v>
      </c>
      <c r="I2085" s="20" t="str">
        <f t="shared" si="6249"/>
        <v>#REF!</v>
      </c>
      <c r="J2085" s="20" t="str">
        <f t="shared" si="1272"/>
        <v>#REF!</v>
      </c>
      <c r="K2085" s="20" t="str">
        <f t="shared" ref="K2085:L2085" si="6250">#REF!</f>
        <v>#REF!</v>
      </c>
      <c r="L2085" s="20" t="str">
        <f t="shared" si="6250"/>
        <v>#REF!</v>
      </c>
    </row>
    <row r="2086">
      <c r="A2086" s="20" t="str">
        <f t="shared" si="1267"/>
        <v>#REF!</v>
      </c>
      <c r="B2086" s="20" t="str">
        <f t="shared" si="1268"/>
        <v>#REF!</v>
      </c>
      <c r="C2086" s="20" t="str">
        <f t="shared" ref="C2086:D2086" si="6251">#REF!</f>
        <v>#REF!</v>
      </c>
      <c r="D2086" s="20" t="str">
        <f t="shared" si="6251"/>
        <v>#REF!</v>
      </c>
      <c r="E2086" s="20" t="str">
        <f t="shared" si="1270"/>
        <v>#REF!</v>
      </c>
      <c r="F2086" s="22" t="str">
        <f t="shared" si="2"/>
        <v>#REF!</v>
      </c>
      <c r="G2086" s="20" t="str">
        <f t="shared" ref="G2086:I2086" si="6252">#REF!</f>
        <v>#REF!</v>
      </c>
      <c r="H2086" s="20" t="str">
        <f t="shared" si="6252"/>
        <v>#REF!</v>
      </c>
      <c r="I2086" s="20" t="str">
        <f t="shared" si="6252"/>
        <v>#REF!</v>
      </c>
      <c r="J2086" s="20" t="str">
        <f t="shared" si="1272"/>
        <v>#REF!</v>
      </c>
      <c r="K2086" s="20" t="str">
        <f t="shared" ref="K2086:L2086" si="6253">#REF!</f>
        <v>#REF!</v>
      </c>
      <c r="L2086" s="20" t="str">
        <f t="shared" si="6253"/>
        <v>#REF!</v>
      </c>
    </row>
    <row r="2087">
      <c r="A2087" s="20" t="str">
        <f t="shared" si="1267"/>
        <v>#REF!</v>
      </c>
      <c r="B2087" s="20" t="str">
        <f t="shared" si="1268"/>
        <v>#REF!</v>
      </c>
      <c r="C2087" s="20" t="str">
        <f t="shared" ref="C2087:D2087" si="6254">#REF!</f>
        <v>#REF!</v>
      </c>
      <c r="D2087" s="20" t="str">
        <f t="shared" si="6254"/>
        <v>#REF!</v>
      </c>
      <c r="E2087" s="20" t="str">
        <f t="shared" si="1270"/>
        <v>#REF!</v>
      </c>
      <c r="F2087" s="22" t="str">
        <f t="shared" si="2"/>
        <v>#REF!</v>
      </c>
      <c r="G2087" s="20" t="str">
        <f t="shared" ref="G2087:I2087" si="6255">#REF!</f>
        <v>#REF!</v>
      </c>
      <c r="H2087" s="20" t="str">
        <f t="shared" si="6255"/>
        <v>#REF!</v>
      </c>
      <c r="I2087" s="20" t="str">
        <f t="shared" si="6255"/>
        <v>#REF!</v>
      </c>
      <c r="J2087" s="20" t="str">
        <f t="shared" si="1272"/>
        <v>#REF!</v>
      </c>
      <c r="K2087" s="20" t="str">
        <f t="shared" ref="K2087:L2087" si="6256">#REF!</f>
        <v>#REF!</v>
      </c>
      <c r="L2087" s="20" t="str">
        <f t="shared" si="6256"/>
        <v>#REF!</v>
      </c>
    </row>
    <row r="2088">
      <c r="A2088" s="20" t="str">
        <f t="shared" si="1267"/>
        <v>#REF!</v>
      </c>
      <c r="B2088" s="20" t="str">
        <f t="shared" si="1268"/>
        <v>#REF!</v>
      </c>
      <c r="C2088" s="20" t="str">
        <f t="shared" ref="C2088:D2088" si="6257">#REF!</f>
        <v>#REF!</v>
      </c>
      <c r="D2088" s="20" t="str">
        <f t="shared" si="6257"/>
        <v>#REF!</v>
      </c>
      <c r="E2088" s="20" t="str">
        <f t="shared" si="1270"/>
        <v>#REF!</v>
      </c>
      <c r="F2088" s="22" t="str">
        <f t="shared" si="2"/>
        <v>#REF!</v>
      </c>
      <c r="G2088" s="20" t="str">
        <f t="shared" ref="G2088:I2088" si="6258">#REF!</f>
        <v>#REF!</v>
      </c>
      <c r="H2088" s="20" t="str">
        <f t="shared" si="6258"/>
        <v>#REF!</v>
      </c>
      <c r="I2088" s="20" t="str">
        <f t="shared" si="6258"/>
        <v>#REF!</v>
      </c>
      <c r="J2088" s="20" t="str">
        <f t="shared" si="1272"/>
        <v>#REF!</v>
      </c>
      <c r="K2088" s="20" t="str">
        <f t="shared" ref="K2088:L2088" si="6259">#REF!</f>
        <v>#REF!</v>
      </c>
      <c r="L2088" s="20" t="str">
        <f t="shared" si="6259"/>
        <v>#REF!</v>
      </c>
    </row>
    <row r="2089">
      <c r="A2089" s="20" t="str">
        <f t="shared" si="1267"/>
        <v>#REF!</v>
      </c>
      <c r="B2089" s="20" t="str">
        <f t="shared" si="1268"/>
        <v>#REF!</v>
      </c>
      <c r="C2089" s="20" t="str">
        <f t="shared" ref="C2089:D2089" si="6260">#REF!</f>
        <v>#REF!</v>
      </c>
      <c r="D2089" s="20" t="str">
        <f t="shared" si="6260"/>
        <v>#REF!</v>
      </c>
      <c r="E2089" s="20" t="str">
        <f t="shared" si="1270"/>
        <v>#REF!</v>
      </c>
      <c r="F2089" s="22" t="str">
        <f t="shared" si="2"/>
        <v>#REF!</v>
      </c>
      <c r="G2089" s="20" t="str">
        <f t="shared" ref="G2089:I2089" si="6261">#REF!</f>
        <v>#REF!</v>
      </c>
      <c r="H2089" s="20" t="str">
        <f t="shared" si="6261"/>
        <v>#REF!</v>
      </c>
      <c r="I2089" s="20" t="str">
        <f t="shared" si="6261"/>
        <v>#REF!</v>
      </c>
      <c r="J2089" s="20" t="str">
        <f t="shared" si="1272"/>
        <v>#REF!</v>
      </c>
      <c r="K2089" s="20" t="str">
        <f t="shared" ref="K2089:L2089" si="6262">#REF!</f>
        <v>#REF!</v>
      </c>
      <c r="L2089" s="20" t="str">
        <f t="shared" si="6262"/>
        <v>#REF!</v>
      </c>
    </row>
    <row r="2090">
      <c r="A2090" s="20" t="str">
        <f t="shared" si="1267"/>
        <v>#REF!</v>
      </c>
      <c r="B2090" s="20" t="str">
        <f t="shared" si="1268"/>
        <v>#REF!</v>
      </c>
      <c r="C2090" s="20" t="str">
        <f t="shared" ref="C2090:D2090" si="6263">#REF!</f>
        <v>#REF!</v>
      </c>
      <c r="D2090" s="20" t="str">
        <f t="shared" si="6263"/>
        <v>#REF!</v>
      </c>
      <c r="E2090" s="20" t="str">
        <f t="shared" si="1270"/>
        <v>#REF!</v>
      </c>
      <c r="F2090" s="22" t="str">
        <f t="shared" si="2"/>
        <v>#REF!</v>
      </c>
      <c r="G2090" s="20" t="str">
        <f t="shared" ref="G2090:I2090" si="6264">#REF!</f>
        <v>#REF!</v>
      </c>
      <c r="H2090" s="20" t="str">
        <f t="shared" si="6264"/>
        <v>#REF!</v>
      </c>
      <c r="I2090" s="20" t="str">
        <f t="shared" si="6264"/>
        <v>#REF!</v>
      </c>
      <c r="J2090" s="20" t="str">
        <f t="shared" si="1272"/>
        <v>#REF!</v>
      </c>
      <c r="K2090" s="20" t="str">
        <f t="shared" ref="K2090:L2090" si="6265">#REF!</f>
        <v>#REF!</v>
      </c>
      <c r="L2090" s="20" t="str">
        <f t="shared" si="6265"/>
        <v>#REF!</v>
      </c>
    </row>
    <row r="2091">
      <c r="A2091" s="20" t="str">
        <f t="shared" si="1267"/>
        <v>#REF!</v>
      </c>
      <c r="B2091" s="20" t="str">
        <f t="shared" si="1268"/>
        <v>#REF!</v>
      </c>
      <c r="C2091" s="20" t="str">
        <f t="shared" ref="C2091:D2091" si="6266">#REF!</f>
        <v>#REF!</v>
      </c>
      <c r="D2091" s="20" t="str">
        <f t="shared" si="6266"/>
        <v>#REF!</v>
      </c>
      <c r="E2091" s="20" t="str">
        <f t="shared" si="1270"/>
        <v>#REF!</v>
      </c>
      <c r="F2091" s="22" t="str">
        <f t="shared" si="2"/>
        <v>#REF!</v>
      </c>
      <c r="G2091" s="20" t="str">
        <f t="shared" ref="G2091:I2091" si="6267">#REF!</f>
        <v>#REF!</v>
      </c>
      <c r="H2091" s="20" t="str">
        <f t="shared" si="6267"/>
        <v>#REF!</v>
      </c>
      <c r="I2091" s="20" t="str">
        <f t="shared" si="6267"/>
        <v>#REF!</v>
      </c>
      <c r="J2091" s="20" t="str">
        <f t="shared" si="1272"/>
        <v>#REF!</v>
      </c>
      <c r="K2091" s="20" t="str">
        <f t="shared" ref="K2091:L2091" si="6268">#REF!</f>
        <v>#REF!</v>
      </c>
      <c r="L2091" s="20" t="str">
        <f t="shared" si="6268"/>
        <v>#REF!</v>
      </c>
    </row>
    <row r="2092">
      <c r="A2092" s="20" t="str">
        <f t="shared" si="1267"/>
        <v>#REF!</v>
      </c>
      <c r="B2092" s="20" t="str">
        <f t="shared" si="1268"/>
        <v>#REF!</v>
      </c>
      <c r="C2092" s="20" t="str">
        <f t="shared" ref="C2092:D2092" si="6269">#REF!</f>
        <v>#REF!</v>
      </c>
      <c r="D2092" s="20" t="str">
        <f t="shared" si="6269"/>
        <v>#REF!</v>
      </c>
      <c r="E2092" s="20" t="str">
        <f t="shared" si="1270"/>
        <v>#REF!</v>
      </c>
      <c r="F2092" s="22" t="str">
        <f t="shared" si="2"/>
        <v>#REF!</v>
      </c>
      <c r="G2092" s="20" t="str">
        <f t="shared" ref="G2092:I2092" si="6270">#REF!</f>
        <v>#REF!</v>
      </c>
      <c r="H2092" s="20" t="str">
        <f t="shared" si="6270"/>
        <v>#REF!</v>
      </c>
      <c r="I2092" s="20" t="str">
        <f t="shared" si="6270"/>
        <v>#REF!</v>
      </c>
      <c r="J2092" s="20" t="str">
        <f t="shared" si="1272"/>
        <v>#REF!</v>
      </c>
      <c r="K2092" s="20" t="str">
        <f t="shared" ref="K2092:L2092" si="6271">#REF!</f>
        <v>#REF!</v>
      </c>
      <c r="L2092" s="20" t="str">
        <f t="shared" si="6271"/>
        <v>#REF!</v>
      </c>
    </row>
    <row r="2093">
      <c r="A2093" s="20" t="str">
        <f t="shared" si="1267"/>
        <v>#REF!</v>
      </c>
      <c r="B2093" s="20" t="str">
        <f t="shared" si="1268"/>
        <v>#REF!</v>
      </c>
      <c r="C2093" s="20" t="str">
        <f t="shared" ref="C2093:D2093" si="6272">#REF!</f>
        <v>#REF!</v>
      </c>
      <c r="D2093" s="20" t="str">
        <f t="shared" si="6272"/>
        <v>#REF!</v>
      </c>
      <c r="E2093" s="20" t="str">
        <f t="shared" si="1270"/>
        <v>#REF!</v>
      </c>
      <c r="F2093" s="22" t="str">
        <f t="shared" si="2"/>
        <v>#REF!</v>
      </c>
      <c r="G2093" s="20" t="str">
        <f t="shared" ref="G2093:I2093" si="6273">#REF!</f>
        <v>#REF!</v>
      </c>
      <c r="H2093" s="20" t="str">
        <f t="shared" si="6273"/>
        <v>#REF!</v>
      </c>
      <c r="I2093" s="20" t="str">
        <f t="shared" si="6273"/>
        <v>#REF!</v>
      </c>
      <c r="J2093" s="20" t="str">
        <f t="shared" si="1272"/>
        <v>#REF!</v>
      </c>
      <c r="K2093" s="20" t="str">
        <f t="shared" ref="K2093:L2093" si="6274">#REF!</f>
        <v>#REF!</v>
      </c>
      <c r="L2093" s="20" t="str">
        <f t="shared" si="6274"/>
        <v>#REF!</v>
      </c>
    </row>
    <row r="2094">
      <c r="A2094" s="20" t="str">
        <f t="shared" si="1267"/>
        <v>#REF!</v>
      </c>
      <c r="B2094" s="20" t="str">
        <f t="shared" si="1268"/>
        <v>#REF!</v>
      </c>
      <c r="C2094" s="20" t="str">
        <f t="shared" ref="C2094:D2094" si="6275">#REF!</f>
        <v>#REF!</v>
      </c>
      <c r="D2094" s="20" t="str">
        <f t="shared" si="6275"/>
        <v>#REF!</v>
      </c>
      <c r="E2094" s="20" t="str">
        <f t="shared" si="1270"/>
        <v>#REF!</v>
      </c>
      <c r="F2094" s="22" t="str">
        <f t="shared" si="2"/>
        <v>#REF!</v>
      </c>
      <c r="G2094" s="20" t="str">
        <f t="shared" ref="G2094:I2094" si="6276">#REF!</f>
        <v>#REF!</v>
      </c>
      <c r="H2094" s="20" t="str">
        <f t="shared" si="6276"/>
        <v>#REF!</v>
      </c>
      <c r="I2094" s="20" t="str">
        <f t="shared" si="6276"/>
        <v>#REF!</v>
      </c>
      <c r="J2094" s="20" t="str">
        <f t="shared" si="1272"/>
        <v>#REF!</v>
      </c>
      <c r="K2094" s="20" t="str">
        <f t="shared" ref="K2094:L2094" si="6277">#REF!</f>
        <v>#REF!</v>
      </c>
      <c r="L2094" s="20" t="str">
        <f t="shared" si="6277"/>
        <v>#REF!</v>
      </c>
    </row>
    <row r="2095">
      <c r="A2095" s="20" t="str">
        <f t="shared" si="1267"/>
        <v>#REF!</v>
      </c>
      <c r="B2095" s="20" t="str">
        <f t="shared" si="1268"/>
        <v>#REF!</v>
      </c>
      <c r="C2095" s="20" t="str">
        <f t="shared" ref="C2095:D2095" si="6278">#REF!</f>
        <v>#REF!</v>
      </c>
      <c r="D2095" s="20" t="str">
        <f t="shared" si="6278"/>
        <v>#REF!</v>
      </c>
      <c r="E2095" s="20" t="str">
        <f t="shared" si="1270"/>
        <v>#REF!</v>
      </c>
      <c r="F2095" s="22" t="str">
        <f t="shared" si="2"/>
        <v>#REF!</v>
      </c>
      <c r="G2095" s="20" t="str">
        <f t="shared" ref="G2095:I2095" si="6279">#REF!</f>
        <v>#REF!</v>
      </c>
      <c r="H2095" s="20" t="str">
        <f t="shared" si="6279"/>
        <v>#REF!</v>
      </c>
      <c r="I2095" s="20" t="str">
        <f t="shared" si="6279"/>
        <v>#REF!</v>
      </c>
      <c r="J2095" s="20" t="str">
        <f t="shared" si="1272"/>
        <v>#REF!</v>
      </c>
      <c r="K2095" s="20" t="str">
        <f t="shared" ref="K2095:L2095" si="6280">#REF!</f>
        <v>#REF!</v>
      </c>
      <c r="L2095" s="20" t="str">
        <f t="shared" si="6280"/>
        <v>#REF!</v>
      </c>
    </row>
    <row r="2096">
      <c r="A2096" s="20" t="str">
        <f t="shared" si="1267"/>
        <v>#REF!</v>
      </c>
      <c r="B2096" s="20" t="str">
        <f t="shared" si="1268"/>
        <v>#REF!</v>
      </c>
      <c r="C2096" s="20" t="str">
        <f t="shared" ref="C2096:D2096" si="6281">#REF!</f>
        <v>#REF!</v>
      </c>
      <c r="D2096" s="20" t="str">
        <f t="shared" si="6281"/>
        <v>#REF!</v>
      </c>
      <c r="E2096" s="20" t="str">
        <f t="shared" si="1270"/>
        <v>#REF!</v>
      </c>
      <c r="F2096" s="22" t="str">
        <f t="shared" si="2"/>
        <v>#REF!</v>
      </c>
      <c r="G2096" s="20" t="str">
        <f t="shared" ref="G2096:I2096" si="6282">#REF!</f>
        <v>#REF!</v>
      </c>
      <c r="H2096" s="20" t="str">
        <f t="shared" si="6282"/>
        <v>#REF!</v>
      </c>
      <c r="I2096" s="20" t="str">
        <f t="shared" si="6282"/>
        <v>#REF!</v>
      </c>
      <c r="J2096" s="20" t="str">
        <f t="shared" si="1272"/>
        <v>#REF!</v>
      </c>
      <c r="K2096" s="20" t="str">
        <f t="shared" ref="K2096:L2096" si="6283">#REF!</f>
        <v>#REF!</v>
      </c>
      <c r="L2096" s="20" t="str">
        <f t="shared" si="6283"/>
        <v>#REF!</v>
      </c>
    </row>
    <row r="2097">
      <c r="A2097" s="20" t="str">
        <f t="shared" si="1267"/>
        <v>#REF!</v>
      </c>
      <c r="B2097" s="20" t="str">
        <f t="shared" si="1268"/>
        <v>#REF!</v>
      </c>
      <c r="C2097" s="20" t="str">
        <f t="shared" ref="C2097:D2097" si="6284">#REF!</f>
        <v>#REF!</v>
      </c>
      <c r="D2097" s="20" t="str">
        <f t="shared" si="6284"/>
        <v>#REF!</v>
      </c>
      <c r="E2097" s="20" t="str">
        <f t="shared" si="1270"/>
        <v>#REF!</v>
      </c>
      <c r="F2097" s="22" t="str">
        <f t="shared" si="2"/>
        <v>#REF!</v>
      </c>
      <c r="G2097" s="20" t="str">
        <f t="shared" ref="G2097:I2097" si="6285">#REF!</f>
        <v>#REF!</v>
      </c>
      <c r="H2097" s="20" t="str">
        <f t="shared" si="6285"/>
        <v>#REF!</v>
      </c>
      <c r="I2097" s="20" t="str">
        <f t="shared" si="6285"/>
        <v>#REF!</v>
      </c>
      <c r="J2097" s="20" t="str">
        <f t="shared" si="1272"/>
        <v>#REF!</v>
      </c>
      <c r="K2097" s="20" t="str">
        <f t="shared" ref="K2097:L2097" si="6286">#REF!</f>
        <v>#REF!</v>
      </c>
      <c r="L2097" s="20" t="str">
        <f t="shared" si="6286"/>
        <v>#REF!</v>
      </c>
    </row>
    <row r="2098">
      <c r="A2098" s="20" t="str">
        <f t="shared" si="1267"/>
        <v>#REF!</v>
      </c>
      <c r="B2098" s="20" t="str">
        <f t="shared" si="1268"/>
        <v>#REF!</v>
      </c>
      <c r="C2098" s="20" t="str">
        <f t="shared" ref="C2098:D2098" si="6287">#REF!</f>
        <v>#REF!</v>
      </c>
      <c r="D2098" s="20" t="str">
        <f t="shared" si="6287"/>
        <v>#REF!</v>
      </c>
      <c r="E2098" s="20" t="str">
        <f t="shared" si="1270"/>
        <v>#REF!</v>
      </c>
      <c r="F2098" s="22" t="str">
        <f t="shared" si="2"/>
        <v>#REF!</v>
      </c>
      <c r="G2098" s="20" t="str">
        <f t="shared" ref="G2098:I2098" si="6288">#REF!</f>
        <v>#REF!</v>
      </c>
      <c r="H2098" s="20" t="str">
        <f t="shared" si="6288"/>
        <v>#REF!</v>
      </c>
      <c r="I2098" s="20" t="str">
        <f t="shared" si="6288"/>
        <v>#REF!</v>
      </c>
      <c r="J2098" s="20" t="str">
        <f t="shared" si="1272"/>
        <v>#REF!</v>
      </c>
      <c r="K2098" s="20" t="str">
        <f t="shared" ref="K2098:L2098" si="6289">#REF!</f>
        <v>#REF!</v>
      </c>
      <c r="L2098" s="20" t="str">
        <f t="shared" si="6289"/>
        <v>#REF!</v>
      </c>
    </row>
    <row r="2099">
      <c r="A2099" s="20" t="str">
        <f t="shared" si="1267"/>
        <v>#REF!</v>
      </c>
      <c r="B2099" s="20" t="str">
        <f t="shared" si="1268"/>
        <v>#REF!</v>
      </c>
      <c r="C2099" s="20" t="str">
        <f t="shared" ref="C2099:D2099" si="6290">#REF!</f>
        <v>#REF!</v>
      </c>
      <c r="D2099" s="20" t="str">
        <f t="shared" si="6290"/>
        <v>#REF!</v>
      </c>
      <c r="E2099" s="20" t="str">
        <f t="shared" si="1270"/>
        <v>#REF!</v>
      </c>
      <c r="F2099" s="22" t="str">
        <f t="shared" si="2"/>
        <v>#REF!</v>
      </c>
      <c r="G2099" s="20" t="str">
        <f t="shared" ref="G2099:I2099" si="6291">#REF!</f>
        <v>#REF!</v>
      </c>
      <c r="H2099" s="20" t="str">
        <f t="shared" si="6291"/>
        <v>#REF!</v>
      </c>
      <c r="I2099" s="20" t="str">
        <f t="shared" si="6291"/>
        <v>#REF!</v>
      </c>
      <c r="J2099" s="20" t="str">
        <f t="shared" si="1272"/>
        <v>#REF!</v>
      </c>
      <c r="K2099" s="20" t="str">
        <f t="shared" ref="K2099:L2099" si="6292">#REF!</f>
        <v>#REF!</v>
      </c>
      <c r="L2099" s="20" t="str">
        <f t="shared" si="6292"/>
        <v>#REF!</v>
      </c>
    </row>
    <row r="2100">
      <c r="A2100" s="20" t="str">
        <f t="shared" si="1267"/>
        <v>#REF!</v>
      </c>
      <c r="B2100" s="20" t="str">
        <f t="shared" si="1268"/>
        <v>#REF!</v>
      </c>
      <c r="C2100" s="20" t="str">
        <f t="shared" ref="C2100:D2100" si="6293">#REF!</f>
        <v>#REF!</v>
      </c>
      <c r="D2100" s="20" t="str">
        <f t="shared" si="6293"/>
        <v>#REF!</v>
      </c>
      <c r="E2100" s="20" t="str">
        <f t="shared" si="1270"/>
        <v>#REF!</v>
      </c>
      <c r="F2100" s="22" t="str">
        <f t="shared" si="2"/>
        <v>#REF!</v>
      </c>
      <c r="G2100" s="20" t="str">
        <f t="shared" ref="G2100:I2100" si="6294">#REF!</f>
        <v>#REF!</v>
      </c>
      <c r="H2100" s="20" t="str">
        <f t="shared" si="6294"/>
        <v>#REF!</v>
      </c>
      <c r="I2100" s="20" t="str">
        <f t="shared" si="6294"/>
        <v>#REF!</v>
      </c>
      <c r="J2100" s="20" t="str">
        <f t="shared" si="1272"/>
        <v>#REF!</v>
      </c>
      <c r="K2100" s="20" t="str">
        <f t="shared" ref="K2100:L2100" si="6295">#REF!</f>
        <v>#REF!</v>
      </c>
      <c r="L2100" s="20" t="str">
        <f t="shared" si="6295"/>
        <v>#REF!</v>
      </c>
    </row>
    <row r="2101">
      <c r="A2101" s="20" t="str">
        <f t="shared" si="1267"/>
        <v>#REF!</v>
      </c>
      <c r="B2101" s="20" t="str">
        <f t="shared" si="1268"/>
        <v>#REF!</v>
      </c>
      <c r="C2101" s="20" t="str">
        <f t="shared" ref="C2101:D2101" si="6296">#REF!</f>
        <v>#REF!</v>
      </c>
      <c r="D2101" s="20" t="str">
        <f t="shared" si="6296"/>
        <v>#REF!</v>
      </c>
      <c r="E2101" s="20" t="str">
        <f t="shared" si="1270"/>
        <v>#REF!</v>
      </c>
      <c r="F2101" s="22" t="str">
        <f t="shared" si="2"/>
        <v>#REF!</v>
      </c>
      <c r="G2101" s="20" t="str">
        <f t="shared" ref="G2101:I2101" si="6297">#REF!</f>
        <v>#REF!</v>
      </c>
      <c r="H2101" s="20" t="str">
        <f t="shared" si="6297"/>
        <v>#REF!</v>
      </c>
      <c r="I2101" s="20" t="str">
        <f t="shared" si="6297"/>
        <v>#REF!</v>
      </c>
      <c r="J2101" s="20" t="str">
        <f t="shared" si="1272"/>
        <v>#REF!</v>
      </c>
      <c r="K2101" s="20" t="str">
        <f t="shared" ref="K2101:L2101" si="6298">#REF!</f>
        <v>#REF!</v>
      </c>
      <c r="L2101" s="20" t="str">
        <f t="shared" si="6298"/>
        <v>#REF!</v>
      </c>
    </row>
    <row r="2102">
      <c r="A2102" s="20" t="str">
        <f t="shared" si="1267"/>
        <v>#REF!</v>
      </c>
      <c r="B2102" s="20" t="str">
        <f t="shared" si="1268"/>
        <v>#REF!</v>
      </c>
      <c r="C2102" s="20" t="str">
        <f t="shared" ref="C2102:D2102" si="6299">#REF!</f>
        <v>#REF!</v>
      </c>
      <c r="D2102" s="20" t="str">
        <f t="shared" si="6299"/>
        <v>#REF!</v>
      </c>
      <c r="E2102" s="20" t="str">
        <f t="shared" si="1270"/>
        <v>#REF!</v>
      </c>
      <c r="F2102" s="22" t="str">
        <f t="shared" si="2"/>
        <v>#REF!</v>
      </c>
      <c r="G2102" s="20" t="str">
        <f t="shared" ref="G2102:I2102" si="6300">#REF!</f>
        <v>#REF!</v>
      </c>
      <c r="H2102" s="20" t="str">
        <f t="shared" si="6300"/>
        <v>#REF!</v>
      </c>
      <c r="I2102" s="20" t="str">
        <f t="shared" si="6300"/>
        <v>#REF!</v>
      </c>
      <c r="J2102" s="20" t="str">
        <f t="shared" si="1272"/>
        <v>#REF!</v>
      </c>
      <c r="K2102" s="20" t="str">
        <f t="shared" ref="K2102:L2102" si="6301">#REF!</f>
        <v>#REF!</v>
      </c>
      <c r="L2102" s="20" t="str">
        <f t="shared" si="6301"/>
        <v>#REF!</v>
      </c>
    </row>
    <row r="2103">
      <c r="A2103" s="20" t="str">
        <f t="shared" si="1267"/>
        <v>#REF!</v>
      </c>
      <c r="B2103" s="20" t="str">
        <f t="shared" si="1268"/>
        <v>#REF!</v>
      </c>
      <c r="C2103" s="20" t="str">
        <f t="shared" ref="C2103:D2103" si="6302">#REF!</f>
        <v>#REF!</v>
      </c>
      <c r="D2103" s="20" t="str">
        <f t="shared" si="6302"/>
        <v>#REF!</v>
      </c>
      <c r="E2103" s="20" t="str">
        <f t="shared" si="1270"/>
        <v>#REF!</v>
      </c>
      <c r="F2103" s="22" t="str">
        <f t="shared" si="2"/>
        <v>#REF!</v>
      </c>
      <c r="G2103" s="20" t="str">
        <f t="shared" ref="G2103:I2103" si="6303">#REF!</f>
        <v>#REF!</v>
      </c>
      <c r="H2103" s="20" t="str">
        <f t="shared" si="6303"/>
        <v>#REF!</v>
      </c>
      <c r="I2103" s="20" t="str">
        <f t="shared" si="6303"/>
        <v>#REF!</v>
      </c>
      <c r="J2103" s="20" t="str">
        <f t="shared" si="1272"/>
        <v>#REF!</v>
      </c>
      <c r="K2103" s="20" t="str">
        <f t="shared" ref="K2103:L2103" si="6304">#REF!</f>
        <v>#REF!</v>
      </c>
      <c r="L2103" s="20" t="str">
        <f t="shared" si="6304"/>
        <v>#REF!</v>
      </c>
    </row>
    <row r="2104">
      <c r="A2104" s="20" t="str">
        <f t="shared" si="1267"/>
        <v>#REF!</v>
      </c>
      <c r="B2104" s="20" t="str">
        <f t="shared" si="1268"/>
        <v>#REF!</v>
      </c>
      <c r="C2104" s="20" t="str">
        <f t="shared" ref="C2104:D2104" si="6305">#REF!</f>
        <v>#REF!</v>
      </c>
      <c r="D2104" s="20" t="str">
        <f t="shared" si="6305"/>
        <v>#REF!</v>
      </c>
      <c r="E2104" s="20" t="str">
        <f t="shared" si="1270"/>
        <v>#REF!</v>
      </c>
      <c r="F2104" s="22" t="str">
        <f t="shared" si="2"/>
        <v>#REF!</v>
      </c>
      <c r="G2104" s="20" t="str">
        <f t="shared" ref="G2104:I2104" si="6306">#REF!</f>
        <v>#REF!</v>
      </c>
      <c r="H2104" s="20" t="str">
        <f t="shared" si="6306"/>
        <v>#REF!</v>
      </c>
      <c r="I2104" s="20" t="str">
        <f t="shared" si="6306"/>
        <v>#REF!</v>
      </c>
      <c r="J2104" s="20" t="str">
        <f t="shared" si="1272"/>
        <v>#REF!</v>
      </c>
      <c r="K2104" s="20" t="str">
        <f t="shared" ref="K2104:L2104" si="6307">#REF!</f>
        <v>#REF!</v>
      </c>
      <c r="L2104" s="20" t="str">
        <f t="shared" si="6307"/>
        <v>#REF!</v>
      </c>
    </row>
    <row r="2105">
      <c r="A2105" s="20" t="str">
        <f t="shared" si="1267"/>
        <v>#REF!</v>
      </c>
      <c r="B2105" s="20" t="str">
        <f t="shared" si="1268"/>
        <v>#REF!</v>
      </c>
      <c r="C2105" s="20" t="str">
        <f t="shared" ref="C2105:D2105" si="6308">#REF!</f>
        <v>#REF!</v>
      </c>
      <c r="D2105" s="20" t="str">
        <f t="shared" si="6308"/>
        <v>#REF!</v>
      </c>
      <c r="E2105" s="20" t="str">
        <f t="shared" si="1270"/>
        <v>#REF!</v>
      </c>
      <c r="F2105" s="22" t="str">
        <f t="shared" si="2"/>
        <v>#REF!</v>
      </c>
      <c r="G2105" s="20" t="str">
        <f t="shared" ref="G2105:I2105" si="6309">#REF!</f>
        <v>#REF!</v>
      </c>
      <c r="H2105" s="20" t="str">
        <f t="shared" si="6309"/>
        <v>#REF!</v>
      </c>
      <c r="I2105" s="20" t="str">
        <f t="shared" si="6309"/>
        <v>#REF!</v>
      </c>
      <c r="J2105" s="20" t="str">
        <f t="shared" si="1272"/>
        <v>#REF!</v>
      </c>
      <c r="K2105" s="20" t="str">
        <f t="shared" ref="K2105:L2105" si="6310">#REF!</f>
        <v>#REF!</v>
      </c>
      <c r="L2105" s="20" t="str">
        <f t="shared" si="6310"/>
        <v>#REF!</v>
      </c>
    </row>
    <row r="2106">
      <c r="A2106" s="20" t="str">
        <f t="shared" si="1267"/>
        <v>#REF!</v>
      </c>
      <c r="B2106" s="20" t="str">
        <f t="shared" si="1268"/>
        <v>#REF!</v>
      </c>
      <c r="C2106" s="20" t="str">
        <f t="shared" ref="C2106:D2106" si="6311">#REF!</f>
        <v>#REF!</v>
      </c>
      <c r="D2106" s="20" t="str">
        <f t="shared" si="6311"/>
        <v>#REF!</v>
      </c>
      <c r="E2106" s="20" t="str">
        <f t="shared" si="1270"/>
        <v>#REF!</v>
      </c>
      <c r="F2106" s="22" t="str">
        <f t="shared" si="2"/>
        <v>#REF!</v>
      </c>
      <c r="G2106" s="20" t="str">
        <f t="shared" ref="G2106:I2106" si="6312">#REF!</f>
        <v>#REF!</v>
      </c>
      <c r="H2106" s="20" t="str">
        <f t="shared" si="6312"/>
        <v>#REF!</v>
      </c>
      <c r="I2106" s="20" t="str">
        <f t="shared" si="6312"/>
        <v>#REF!</v>
      </c>
      <c r="J2106" s="20" t="str">
        <f t="shared" si="1272"/>
        <v>#REF!</v>
      </c>
      <c r="K2106" s="20" t="str">
        <f t="shared" ref="K2106:L2106" si="6313">#REF!</f>
        <v>#REF!</v>
      </c>
      <c r="L2106" s="20" t="str">
        <f t="shared" si="6313"/>
        <v>#REF!</v>
      </c>
    </row>
    <row r="2107">
      <c r="A2107" s="20" t="str">
        <f t="shared" si="1267"/>
        <v>#REF!</v>
      </c>
      <c r="B2107" s="20" t="str">
        <f t="shared" si="1268"/>
        <v>#REF!</v>
      </c>
      <c r="C2107" s="20" t="str">
        <f t="shared" ref="C2107:D2107" si="6314">#REF!</f>
        <v>#REF!</v>
      </c>
      <c r="D2107" s="20" t="str">
        <f t="shared" si="6314"/>
        <v>#REF!</v>
      </c>
      <c r="E2107" s="20" t="str">
        <f t="shared" si="1270"/>
        <v>#REF!</v>
      </c>
      <c r="F2107" s="22" t="str">
        <f t="shared" si="2"/>
        <v>#REF!</v>
      </c>
      <c r="G2107" s="20" t="str">
        <f t="shared" ref="G2107:I2107" si="6315">#REF!</f>
        <v>#REF!</v>
      </c>
      <c r="H2107" s="20" t="str">
        <f t="shared" si="6315"/>
        <v>#REF!</v>
      </c>
      <c r="I2107" s="20" t="str">
        <f t="shared" si="6315"/>
        <v>#REF!</v>
      </c>
      <c r="J2107" s="20" t="str">
        <f t="shared" si="1272"/>
        <v>#REF!</v>
      </c>
      <c r="K2107" s="20" t="str">
        <f t="shared" ref="K2107:L2107" si="6316">#REF!</f>
        <v>#REF!</v>
      </c>
      <c r="L2107" s="20" t="str">
        <f t="shared" si="6316"/>
        <v>#REF!</v>
      </c>
    </row>
    <row r="2108">
      <c r="A2108" s="20" t="str">
        <f t="shared" si="1267"/>
        <v>#REF!</v>
      </c>
      <c r="B2108" s="20" t="str">
        <f t="shared" si="1268"/>
        <v>#REF!</v>
      </c>
      <c r="C2108" s="20" t="str">
        <f t="shared" ref="C2108:D2108" si="6317">#REF!</f>
        <v>#REF!</v>
      </c>
      <c r="D2108" s="20" t="str">
        <f t="shared" si="6317"/>
        <v>#REF!</v>
      </c>
      <c r="E2108" s="20" t="str">
        <f t="shared" si="1270"/>
        <v>#REF!</v>
      </c>
      <c r="F2108" s="22" t="str">
        <f t="shared" si="2"/>
        <v>#REF!</v>
      </c>
      <c r="G2108" s="20" t="str">
        <f t="shared" ref="G2108:I2108" si="6318">#REF!</f>
        <v>#REF!</v>
      </c>
      <c r="H2108" s="20" t="str">
        <f t="shared" si="6318"/>
        <v>#REF!</v>
      </c>
      <c r="I2108" s="20" t="str">
        <f t="shared" si="6318"/>
        <v>#REF!</v>
      </c>
      <c r="J2108" s="20" t="str">
        <f t="shared" si="1272"/>
        <v>#REF!</v>
      </c>
      <c r="K2108" s="20" t="str">
        <f t="shared" ref="K2108:L2108" si="6319">#REF!</f>
        <v>#REF!</v>
      </c>
      <c r="L2108" s="20" t="str">
        <f t="shared" si="6319"/>
        <v>#REF!</v>
      </c>
    </row>
    <row r="2109">
      <c r="A2109" s="20" t="str">
        <f t="shared" si="1267"/>
        <v>#REF!</v>
      </c>
      <c r="B2109" s="20" t="str">
        <f t="shared" si="1268"/>
        <v>#REF!</v>
      </c>
      <c r="C2109" s="20" t="str">
        <f t="shared" ref="C2109:D2109" si="6320">#REF!</f>
        <v>#REF!</v>
      </c>
      <c r="D2109" s="20" t="str">
        <f t="shared" si="6320"/>
        <v>#REF!</v>
      </c>
      <c r="E2109" s="20" t="str">
        <f t="shared" si="1270"/>
        <v>#REF!</v>
      </c>
      <c r="F2109" s="22" t="str">
        <f t="shared" si="2"/>
        <v>#REF!</v>
      </c>
      <c r="G2109" s="20" t="str">
        <f t="shared" ref="G2109:I2109" si="6321">#REF!</f>
        <v>#REF!</v>
      </c>
      <c r="H2109" s="20" t="str">
        <f t="shared" si="6321"/>
        <v>#REF!</v>
      </c>
      <c r="I2109" s="20" t="str">
        <f t="shared" si="6321"/>
        <v>#REF!</v>
      </c>
      <c r="J2109" s="20" t="str">
        <f t="shared" si="1272"/>
        <v>#REF!</v>
      </c>
      <c r="K2109" s="20" t="str">
        <f t="shared" ref="K2109:L2109" si="6322">#REF!</f>
        <v>#REF!</v>
      </c>
      <c r="L2109" s="20" t="str">
        <f t="shared" si="6322"/>
        <v>#REF!</v>
      </c>
    </row>
    <row r="2110">
      <c r="A2110" s="20" t="str">
        <f t="shared" si="1267"/>
        <v>#REF!</v>
      </c>
      <c r="B2110" s="20" t="str">
        <f t="shared" si="1268"/>
        <v>#REF!</v>
      </c>
      <c r="C2110" s="20" t="str">
        <f t="shared" ref="C2110:D2110" si="6323">#REF!</f>
        <v>#REF!</v>
      </c>
      <c r="D2110" s="20" t="str">
        <f t="shared" si="6323"/>
        <v>#REF!</v>
      </c>
      <c r="E2110" s="20" t="str">
        <f t="shared" si="1270"/>
        <v>#REF!</v>
      </c>
      <c r="F2110" s="22" t="str">
        <f t="shared" si="2"/>
        <v>#REF!</v>
      </c>
      <c r="G2110" s="20" t="str">
        <f t="shared" ref="G2110:I2110" si="6324">#REF!</f>
        <v>#REF!</v>
      </c>
      <c r="H2110" s="20" t="str">
        <f t="shared" si="6324"/>
        <v>#REF!</v>
      </c>
      <c r="I2110" s="20" t="str">
        <f t="shared" si="6324"/>
        <v>#REF!</v>
      </c>
      <c r="J2110" s="20" t="str">
        <f t="shared" si="1272"/>
        <v>#REF!</v>
      </c>
      <c r="K2110" s="20" t="str">
        <f t="shared" ref="K2110:L2110" si="6325">#REF!</f>
        <v>#REF!</v>
      </c>
      <c r="L2110" s="20" t="str">
        <f t="shared" si="6325"/>
        <v>#REF!</v>
      </c>
    </row>
    <row r="2111">
      <c r="A2111" s="20" t="str">
        <f t="shared" si="1267"/>
        <v>#REF!</v>
      </c>
      <c r="B2111" s="20" t="str">
        <f t="shared" si="1268"/>
        <v>#REF!</v>
      </c>
      <c r="C2111" s="20" t="str">
        <f t="shared" ref="C2111:D2111" si="6326">#REF!</f>
        <v>#REF!</v>
      </c>
      <c r="D2111" s="20" t="str">
        <f t="shared" si="6326"/>
        <v>#REF!</v>
      </c>
      <c r="E2111" s="20" t="str">
        <f t="shared" si="1270"/>
        <v>#REF!</v>
      </c>
      <c r="F2111" s="22" t="str">
        <f t="shared" si="2"/>
        <v>#REF!</v>
      </c>
      <c r="G2111" s="20" t="str">
        <f t="shared" ref="G2111:I2111" si="6327">#REF!</f>
        <v>#REF!</v>
      </c>
      <c r="H2111" s="20" t="str">
        <f t="shared" si="6327"/>
        <v>#REF!</v>
      </c>
      <c r="I2111" s="20" t="str">
        <f t="shared" si="6327"/>
        <v>#REF!</v>
      </c>
      <c r="J2111" s="20" t="str">
        <f t="shared" si="1272"/>
        <v>#REF!</v>
      </c>
      <c r="K2111" s="20" t="str">
        <f t="shared" ref="K2111:L2111" si="6328">#REF!</f>
        <v>#REF!</v>
      </c>
      <c r="L2111" s="20" t="str">
        <f t="shared" si="6328"/>
        <v>#REF!</v>
      </c>
    </row>
    <row r="2112">
      <c r="A2112" s="20" t="str">
        <f t="shared" si="1267"/>
        <v>#REF!</v>
      </c>
      <c r="B2112" s="20" t="str">
        <f t="shared" si="1268"/>
        <v>#REF!</v>
      </c>
      <c r="C2112" s="20" t="str">
        <f t="shared" ref="C2112:D2112" si="6329">#REF!</f>
        <v>#REF!</v>
      </c>
      <c r="D2112" s="20" t="str">
        <f t="shared" si="6329"/>
        <v>#REF!</v>
      </c>
      <c r="E2112" s="20" t="str">
        <f t="shared" si="1270"/>
        <v>#REF!</v>
      </c>
      <c r="F2112" s="22" t="str">
        <f t="shared" si="2"/>
        <v>#REF!</v>
      </c>
      <c r="G2112" s="20" t="str">
        <f t="shared" ref="G2112:I2112" si="6330">#REF!</f>
        <v>#REF!</v>
      </c>
      <c r="H2112" s="20" t="str">
        <f t="shared" si="6330"/>
        <v>#REF!</v>
      </c>
      <c r="I2112" s="20" t="str">
        <f t="shared" si="6330"/>
        <v>#REF!</v>
      </c>
      <c r="J2112" s="20" t="str">
        <f t="shared" si="1272"/>
        <v>#REF!</v>
      </c>
      <c r="K2112" s="20" t="str">
        <f t="shared" ref="K2112:L2112" si="6331">#REF!</f>
        <v>#REF!</v>
      </c>
      <c r="L2112" s="20" t="str">
        <f t="shared" si="6331"/>
        <v>#REF!</v>
      </c>
    </row>
    <row r="2113">
      <c r="A2113" s="20" t="str">
        <f t="shared" si="1267"/>
        <v>#REF!</v>
      </c>
      <c r="B2113" s="20" t="str">
        <f t="shared" si="1268"/>
        <v>#REF!</v>
      </c>
      <c r="C2113" s="20" t="str">
        <f t="shared" ref="C2113:D2113" si="6332">#REF!</f>
        <v>#REF!</v>
      </c>
      <c r="D2113" s="20" t="str">
        <f t="shared" si="6332"/>
        <v>#REF!</v>
      </c>
      <c r="E2113" s="20" t="str">
        <f t="shared" si="1270"/>
        <v>#REF!</v>
      </c>
      <c r="F2113" s="22" t="str">
        <f t="shared" si="2"/>
        <v>#REF!</v>
      </c>
      <c r="G2113" s="20" t="str">
        <f t="shared" ref="G2113:I2113" si="6333">#REF!</f>
        <v>#REF!</v>
      </c>
      <c r="H2113" s="20" t="str">
        <f t="shared" si="6333"/>
        <v>#REF!</v>
      </c>
      <c r="I2113" s="20" t="str">
        <f t="shared" si="6333"/>
        <v>#REF!</v>
      </c>
      <c r="J2113" s="20" t="str">
        <f t="shared" si="1272"/>
        <v>#REF!</v>
      </c>
      <c r="K2113" s="20" t="str">
        <f t="shared" ref="K2113:L2113" si="6334">#REF!</f>
        <v>#REF!</v>
      </c>
      <c r="L2113" s="20" t="str">
        <f t="shared" si="6334"/>
        <v>#REF!</v>
      </c>
    </row>
    <row r="2114">
      <c r="A2114" s="20" t="str">
        <f t="shared" si="1267"/>
        <v>#REF!</v>
      </c>
      <c r="B2114" s="20" t="str">
        <f t="shared" si="1268"/>
        <v>#REF!</v>
      </c>
      <c r="C2114" s="20" t="str">
        <f t="shared" ref="C2114:D2114" si="6335">#REF!</f>
        <v>#REF!</v>
      </c>
      <c r="D2114" s="20" t="str">
        <f t="shared" si="6335"/>
        <v>#REF!</v>
      </c>
      <c r="E2114" s="20" t="str">
        <f t="shared" si="1270"/>
        <v>#REF!</v>
      </c>
      <c r="F2114" s="22" t="str">
        <f t="shared" si="2"/>
        <v>#REF!</v>
      </c>
      <c r="G2114" s="20" t="str">
        <f t="shared" ref="G2114:I2114" si="6336">#REF!</f>
        <v>#REF!</v>
      </c>
      <c r="H2114" s="20" t="str">
        <f t="shared" si="6336"/>
        <v>#REF!</v>
      </c>
      <c r="I2114" s="20" t="str">
        <f t="shared" si="6336"/>
        <v>#REF!</v>
      </c>
      <c r="J2114" s="20" t="str">
        <f t="shared" si="1272"/>
        <v>#REF!</v>
      </c>
      <c r="K2114" s="20" t="str">
        <f t="shared" ref="K2114:L2114" si="6337">#REF!</f>
        <v>#REF!</v>
      </c>
      <c r="L2114" s="20" t="str">
        <f t="shared" si="6337"/>
        <v>#REF!</v>
      </c>
    </row>
    <row r="2115">
      <c r="A2115" s="20" t="str">
        <f t="shared" si="1267"/>
        <v>#REF!</v>
      </c>
      <c r="B2115" s="20" t="str">
        <f t="shared" si="1268"/>
        <v>#REF!</v>
      </c>
      <c r="C2115" s="20" t="str">
        <f t="shared" ref="C2115:D2115" si="6338">#REF!</f>
        <v>#REF!</v>
      </c>
      <c r="D2115" s="20" t="str">
        <f t="shared" si="6338"/>
        <v>#REF!</v>
      </c>
      <c r="E2115" s="20" t="str">
        <f t="shared" si="1270"/>
        <v>#REF!</v>
      </c>
      <c r="F2115" s="22" t="str">
        <f t="shared" si="2"/>
        <v>#REF!</v>
      </c>
      <c r="G2115" s="20" t="str">
        <f t="shared" ref="G2115:I2115" si="6339">#REF!</f>
        <v>#REF!</v>
      </c>
      <c r="H2115" s="20" t="str">
        <f t="shared" si="6339"/>
        <v>#REF!</v>
      </c>
      <c r="I2115" s="20" t="str">
        <f t="shared" si="6339"/>
        <v>#REF!</v>
      </c>
      <c r="J2115" s="20" t="str">
        <f t="shared" si="1272"/>
        <v>#REF!</v>
      </c>
      <c r="K2115" s="20" t="str">
        <f t="shared" ref="K2115:L2115" si="6340">#REF!</f>
        <v>#REF!</v>
      </c>
      <c r="L2115" s="20" t="str">
        <f t="shared" si="6340"/>
        <v>#REF!</v>
      </c>
    </row>
    <row r="2116">
      <c r="A2116" s="20" t="str">
        <f t="shared" si="1267"/>
        <v>#REF!</v>
      </c>
      <c r="B2116" s="20" t="str">
        <f t="shared" si="1268"/>
        <v>#REF!</v>
      </c>
      <c r="C2116" s="20" t="str">
        <f t="shared" ref="C2116:D2116" si="6341">#REF!</f>
        <v>#REF!</v>
      </c>
      <c r="D2116" s="20" t="str">
        <f t="shared" si="6341"/>
        <v>#REF!</v>
      </c>
      <c r="E2116" s="20" t="str">
        <f t="shared" si="1270"/>
        <v>#REF!</v>
      </c>
      <c r="F2116" s="22" t="str">
        <f t="shared" si="2"/>
        <v>#REF!</v>
      </c>
      <c r="G2116" s="20" t="str">
        <f t="shared" ref="G2116:I2116" si="6342">#REF!</f>
        <v>#REF!</v>
      </c>
      <c r="H2116" s="20" t="str">
        <f t="shared" si="6342"/>
        <v>#REF!</v>
      </c>
      <c r="I2116" s="20" t="str">
        <f t="shared" si="6342"/>
        <v>#REF!</v>
      </c>
      <c r="J2116" s="20" t="str">
        <f t="shared" si="1272"/>
        <v>#REF!</v>
      </c>
      <c r="K2116" s="20" t="str">
        <f t="shared" ref="K2116:L2116" si="6343">#REF!</f>
        <v>#REF!</v>
      </c>
      <c r="L2116" s="20" t="str">
        <f t="shared" si="6343"/>
        <v>#REF!</v>
      </c>
    </row>
    <row r="2117">
      <c r="A2117" s="20" t="str">
        <f t="shared" si="1267"/>
        <v>#REF!</v>
      </c>
      <c r="B2117" s="20" t="str">
        <f t="shared" si="1268"/>
        <v>#REF!</v>
      </c>
      <c r="C2117" s="20" t="str">
        <f t="shared" ref="C2117:D2117" si="6344">#REF!</f>
        <v>#REF!</v>
      </c>
      <c r="D2117" s="20" t="str">
        <f t="shared" si="6344"/>
        <v>#REF!</v>
      </c>
      <c r="E2117" s="20" t="str">
        <f t="shared" si="1270"/>
        <v>#REF!</v>
      </c>
      <c r="F2117" s="22" t="str">
        <f t="shared" si="2"/>
        <v>#REF!</v>
      </c>
      <c r="G2117" s="20" t="str">
        <f t="shared" ref="G2117:I2117" si="6345">#REF!</f>
        <v>#REF!</v>
      </c>
      <c r="H2117" s="20" t="str">
        <f t="shared" si="6345"/>
        <v>#REF!</v>
      </c>
      <c r="I2117" s="20" t="str">
        <f t="shared" si="6345"/>
        <v>#REF!</v>
      </c>
      <c r="J2117" s="20" t="str">
        <f t="shared" si="1272"/>
        <v>#REF!</v>
      </c>
      <c r="K2117" s="20" t="str">
        <f t="shared" ref="K2117:L2117" si="6346">#REF!</f>
        <v>#REF!</v>
      </c>
      <c r="L2117" s="20" t="str">
        <f t="shared" si="6346"/>
        <v>#REF!</v>
      </c>
    </row>
    <row r="2118">
      <c r="A2118" s="20" t="str">
        <f t="shared" si="1267"/>
        <v>#REF!</v>
      </c>
      <c r="B2118" s="20" t="str">
        <f t="shared" si="1268"/>
        <v>#REF!</v>
      </c>
      <c r="C2118" s="20" t="str">
        <f t="shared" ref="C2118:D2118" si="6347">#REF!</f>
        <v>#REF!</v>
      </c>
      <c r="D2118" s="20" t="str">
        <f t="shared" si="6347"/>
        <v>#REF!</v>
      </c>
      <c r="E2118" s="20" t="str">
        <f t="shared" si="1270"/>
        <v>#REF!</v>
      </c>
      <c r="F2118" s="22" t="str">
        <f t="shared" si="2"/>
        <v>#REF!</v>
      </c>
      <c r="G2118" s="20" t="str">
        <f t="shared" ref="G2118:I2118" si="6348">#REF!</f>
        <v>#REF!</v>
      </c>
      <c r="H2118" s="20" t="str">
        <f t="shared" si="6348"/>
        <v>#REF!</v>
      </c>
      <c r="I2118" s="20" t="str">
        <f t="shared" si="6348"/>
        <v>#REF!</v>
      </c>
      <c r="J2118" s="20" t="str">
        <f t="shared" si="1272"/>
        <v>#REF!</v>
      </c>
      <c r="K2118" s="20" t="str">
        <f t="shared" ref="K2118:L2118" si="6349">#REF!</f>
        <v>#REF!</v>
      </c>
      <c r="L2118" s="20" t="str">
        <f t="shared" si="6349"/>
        <v>#REF!</v>
      </c>
    </row>
    <row r="2119">
      <c r="A2119" s="20" t="str">
        <f t="shared" si="1267"/>
        <v>#REF!</v>
      </c>
      <c r="B2119" s="20" t="str">
        <f t="shared" si="1268"/>
        <v>#REF!</v>
      </c>
      <c r="C2119" s="20" t="str">
        <f t="shared" ref="C2119:D2119" si="6350">#REF!</f>
        <v>#REF!</v>
      </c>
      <c r="D2119" s="20" t="str">
        <f t="shared" si="6350"/>
        <v>#REF!</v>
      </c>
      <c r="E2119" s="20" t="str">
        <f t="shared" si="1270"/>
        <v>#REF!</v>
      </c>
      <c r="F2119" s="22" t="str">
        <f t="shared" si="2"/>
        <v>#REF!</v>
      </c>
      <c r="G2119" s="20" t="str">
        <f t="shared" ref="G2119:I2119" si="6351">#REF!</f>
        <v>#REF!</v>
      </c>
      <c r="H2119" s="20" t="str">
        <f t="shared" si="6351"/>
        <v>#REF!</v>
      </c>
      <c r="I2119" s="20" t="str">
        <f t="shared" si="6351"/>
        <v>#REF!</v>
      </c>
      <c r="J2119" s="20" t="str">
        <f t="shared" si="1272"/>
        <v>#REF!</v>
      </c>
      <c r="K2119" s="20" t="str">
        <f t="shared" ref="K2119:L2119" si="6352">#REF!</f>
        <v>#REF!</v>
      </c>
      <c r="L2119" s="20" t="str">
        <f t="shared" si="6352"/>
        <v>#REF!</v>
      </c>
    </row>
    <row r="2120">
      <c r="A2120" s="20" t="str">
        <f t="shared" si="1267"/>
        <v>#REF!</v>
      </c>
      <c r="B2120" s="20" t="str">
        <f t="shared" si="1268"/>
        <v>#REF!</v>
      </c>
      <c r="C2120" s="20" t="str">
        <f t="shared" ref="C2120:D2120" si="6353">#REF!</f>
        <v>#REF!</v>
      </c>
      <c r="D2120" s="20" t="str">
        <f t="shared" si="6353"/>
        <v>#REF!</v>
      </c>
      <c r="E2120" s="20" t="str">
        <f t="shared" si="1270"/>
        <v>#REF!</v>
      </c>
      <c r="F2120" s="22" t="str">
        <f t="shared" si="2"/>
        <v>#REF!</v>
      </c>
      <c r="G2120" s="20" t="str">
        <f t="shared" ref="G2120:I2120" si="6354">#REF!</f>
        <v>#REF!</v>
      </c>
      <c r="H2120" s="20" t="str">
        <f t="shared" si="6354"/>
        <v>#REF!</v>
      </c>
      <c r="I2120" s="20" t="str">
        <f t="shared" si="6354"/>
        <v>#REF!</v>
      </c>
      <c r="J2120" s="20" t="str">
        <f t="shared" si="1272"/>
        <v>#REF!</v>
      </c>
      <c r="K2120" s="20" t="str">
        <f t="shared" ref="K2120:L2120" si="6355">#REF!</f>
        <v>#REF!</v>
      </c>
      <c r="L2120" s="20" t="str">
        <f t="shared" si="6355"/>
        <v>#REF!</v>
      </c>
    </row>
    <row r="2121">
      <c r="A2121" s="20" t="str">
        <f t="shared" si="1267"/>
        <v>#REF!</v>
      </c>
      <c r="B2121" s="20" t="str">
        <f t="shared" si="1268"/>
        <v>#REF!</v>
      </c>
      <c r="C2121" s="20" t="str">
        <f t="shared" ref="C2121:D2121" si="6356">#REF!</f>
        <v>#REF!</v>
      </c>
      <c r="D2121" s="20" t="str">
        <f t="shared" si="6356"/>
        <v>#REF!</v>
      </c>
      <c r="E2121" s="20" t="str">
        <f t="shared" si="1270"/>
        <v>#REF!</v>
      </c>
      <c r="F2121" s="22" t="str">
        <f t="shared" si="2"/>
        <v>#REF!</v>
      </c>
      <c r="G2121" s="20" t="str">
        <f t="shared" ref="G2121:I2121" si="6357">#REF!</f>
        <v>#REF!</v>
      </c>
      <c r="H2121" s="20" t="str">
        <f t="shared" si="6357"/>
        <v>#REF!</v>
      </c>
      <c r="I2121" s="20" t="str">
        <f t="shared" si="6357"/>
        <v>#REF!</v>
      </c>
      <c r="J2121" s="20" t="str">
        <f t="shared" si="1272"/>
        <v>#REF!</v>
      </c>
      <c r="K2121" s="20" t="str">
        <f t="shared" ref="K2121:L2121" si="6358">#REF!</f>
        <v>#REF!</v>
      </c>
      <c r="L2121" s="20" t="str">
        <f t="shared" si="6358"/>
        <v>#REF!</v>
      </c>
    </row>
    <row r="2122">
      <c r="A2122" s="20" t="str">
        <f t="shared" si="1267"/>
        <v>#REF!</v>
      </c>
      <c r="B2122" s="20" t="str">
        <f t="shared" si="1268"/>
        <v>#REF!</v>
      </c>
      <c r="C2122" s="20" t="str">
        <f t="shared" ref="C2122:D2122" si="6359">#REF!</f>
        <v>#REF!</v>
      </c>
      <c r="D2122" s="20" t="str">
        <f t="shared" si="6359"/>
        <v>#REF!</v>
      </c>
      <c r="E2122" s="20" t="str">
        <f t="shared" si="1270"/>
        <v>#REF!</v>
      </c>
      <c r="F2122" s="22" t="str">
        <f t="shared" si="2"/>
        <v>#REF!</v>
      </c>
      <c r="G2122" s="20" t="str">
        <f t="shared" ref="G2122:I2122" si="6360">#REF!</f>
        <v>#REF!</v>
      </c>
      <c r="H2122" s="20" t="str">
        <f t="shared" si="6360"/>
        <v>#REF!</v>
      </c>
      <c r="I2122" s="20" t="str">
        <f t="shared" si="6360"/>
        <v>#REF!</v>
      </c>
      <c r="J2122" s="20" t="str">
        <f t="shared" si="1272"/>
        <v>#REF!</v>
      </c>
      <c r="K2122" s="20" t="str">
        <f t="shared" ref="K2122:L2122" si="6361">#REF!</f>
        <v>#REF!</v>
      </c>
      <c r="L2122" s="20" t="str">
        <f t="shared" si="6361"/>
        <v>#REF!</v>
      </c>
    </row>
    <row r="2123">
      <c r="A2123" s="20" t="str">
        <f t="shared" si="1267"/>
        <v>#REF!</v>
      </c>
      <c r="B2123" s="20" t="str">
        <f t="shared" si="1268"/>
        <v>#REF!</v>
      </c>
      <c r="C2123" s="20" t="str">
        <f t="shared" ref="C2123:D2123" si="6362">#REF!</f>
        <v>#REF!</v>
      </c>
      <c r="D2123" s="20" t="str">
        <f t="shared" si="6362"/>
        <v>#REF!</v>
      </c>
      <c r="E2123" s="20" t="str">
        <f t="shared" si="1270"/>
        <v>#REF!</v>
      </c>
      <c r="F2123" s="22" t="str">
        <f t="shared" si="2"/>
        <v>#REF!</v>
      </c>
      <c r="G2123" s="20" t="str">
        <f t="shared" ref="G2123:I2123" si="6363">#REF!</f>
        <v>#REF!</v>
      </c>
      <c r="H2123" s="20" t="str">
        <f t="shared" si="6363"/>
        <v>#REF!</v>
      </c>
      <c r="I2123" s="20" t="str">
        <f t="shared" si="6363"/>
        <v>#REF!</v>
      </c>
      <c r="J2123" s="20" t="str">
        <f t="shared" si="1272"/>
        <v>#REF!</v>
      </c>
      <c r="K2123" s="20" t="str">
        <f t="shared" ref="K2123:L2123" si="6364">#REF!</f>
        <v>#REF!</v>
      </c>
      <c r="L2123" s="20" t="str">
        <f t="shared" si="6364"/>
        <v>#REF!</v>
      </c>
    </row>
    <row r="2124">
      <c r="A2124" s="20" t="str">
        <f t="shared" si="1267"/>
        <v>#REF!</v>
      </c>
      <c r="B2124" s="20" t="str">
        <f t="shared" si="1268"/>
        <v>#REF!</v>
      </c>
      <c r="C2124" s="20" t="str">
        <f t="shared" ref="C2124:D2124" si="6365">#REF!</f>
        <v>#REF!</v>
      </c>
      <c r="D2124" s="20" t="str">
        <f t="shared" si="6365"/>
        <v>#REF!</v>
      </c>
      <c r="E2124" s="20" t="str">
        <f t="shared" si="1270"/>
        <v>#REF!</v>
      </c>
      <c r="F2124" s="22" t="str">
        <f t="shared" si="2"/>
        <v>#REF!</v>
      </c>
      <c r="G2124" s="20" t="str">
        <f t="shared" ref="G2124:I2124" si="6366">#REF!</f>
        <v>#REF!</v>
      </c>
      <c r="H2124" s="20" t="str">
        <f t="shared" si="6366"/>
        <v>#REF!</v>
      </c>
      <c r="I2124" s="20" t="str">
        <f t="shared" si="6366"/>
        <v>#REF!</v>
      </c>
      <c r="J2124" s="20" t="str">
        <f t="shared" si="1272"/>
        <v>#REF!</v>
      </c>
      <c r="K2124" s="20" t="str">
        <f t="shared" ref="K2124:L2124" si="6367">#REF!</f>
        <v>#REF!</v>
      </c>
      <c r="L2124" s="20" t="str">
        <f t="shared" si="6367"/>
        <v>#REF!</v>
      </c>
    </row>
    <row r="2125">
      <c r="A2125" s="20" t="str">
        <f t="shared" si="1267"/>
        <v>#REF!</v>
      </c>
      <c r="B2125" s="20" t="str">
        <f t="shared" si="1268"/>
        <v>#REF!</v>
      </c>
      <c r="C2125" s="20" t="str">
        <f t="shared" ref="C2125:D2125" si="6368">#REF!</f>
        <v>#REF!</v>
      </c>
      <c r="D2125" s="20" t="str">
        <f t="shared" si="6368"/>
        <v>#REF!</v>
      </c>
      <c r="E2125" s="20" t="str">
        <f t="shared" si="1270"/>
        <v>#REF!</v>
      </c>
      <c r="F2125" s="22" t="str">
        <f t="shared" si="2"/>
        <v>#REF!</v>
      </c>
      <c r="G2125" s="20" t="str">
        <f t="shared" ref="G2125:I2125" si="6369">#REF!</f>
        <v>#REF!</v>
      </c>
      <c r="H2125" s="20" t="str">
        <f t="shared" si="6369"/>
        <v>#REF!</v>
      </c>
      <c r="I2125" s="20" t="str">
        <f t="shared" si="6369"/>
        <v>#REF!</v>
      </c>
      <c r="J2125" s="20" t="str">
        <f t="shared" si="1272"/>
        <v>#REF!</v>
      </c>
      <c r="K2125" s="20" t="str">
        <f t="shared" ref="K2125:L2125" si="6370">#REF!</f>
        <v>#REF!</v>
      </c>
      <c r="L2125" s="20" t="str">
        <f t="shared" si="6370"/>
        <v>#REF!</v>
      </c>
    </row>
    <row r="2126">
      <c r="A2126" s="20" t="str">
        <f t="shared" si="1267"/>
        <v>#REF!</v>
      </c>
      <c r="B2126" s="20" t="str">
        <f t="shared" si="1268"/>
        <v>#REF!</v>
      </c>
      <c r="C2126" s="20" t="str">
        <f t="shared" ref="C2126:D2126" si="6371">#REF!</f>
        <v>#REF!</v>
      </c>
      <c r="D2126" s="20" t="str">
        <f t="shared" si="6371"/>
        <v>#REF!</v>
      </c>
      <c r="E2126" s="20" t="str">
        <f t="shared" si="1270"/>
        <v>#REF!</v>
      </c>
      <c r="F2126" s="22" t="str">
        <f t="shared" si="2"/>
        <v>#REF!</v>
      </c>
      <c r="G2126" s="20" t="str">
        <f t="shared" ref="G2126:I2126" si="6372">#REF!</f>
        <v>#REF!</v>
      </c>
      <c r="H2126" s="20" t="str">
        <f t="shared" si="6372"/>
        <v>#REF!</v>
      </c>
      <c r="I2126" s="20" t="str">
        <f t="shared" si="6372"/>
        <v>#REF!</v>
      </c>
      <c r="J2126" s="20" t="str">
        <f t="shared" si="1272"/>
        <v>#REF!</v>
      </c>
      <c r="K2126" s="20" t="str">
        <f t="shared" ref="K2126:L2126" si="6373">#REF!</f>
        <v>#REF!</v>
      </c>
      <c r="L2126" s="20" t="str">
        <f t="shared" si="6373"/>
        <v>#REF!</v>
      </c>
    </row>
    <row r="2127">
      <c r="A2127" s="20" t="str">
        <f t="shared" si="1267"/>
        <v>#REF!</v>
      </c>
      <c r="B2127" s="20" t="str">
        <f t="shared" si="1268"/>
        <v>#REF!</v>
      </c>
      <c r="C2127" s="20" t="str">
        <f t="shared" ref="C2127:D2127" si="6374">#REF!</f>
        <v>#REF!</v>
      </c>
      <c r="D2127" s="20" t="str">
        <f t="shared" si="6374"/>
        <v>#REF!</v>
      </c>
      <c r="E2127" s="20" t="str">
        <f t="shared" si="1270"/>
        <v>#REF!</v>
      </c>
      <c r="F2127" s="22" t="str">
        <f t="shared" si="2"/>
        <v>#REF!</v>
      </c>
      <c r="G2127" s="20" t="str">
        <f t="shared" ref="G2127:I2127" si="6375">#REF!</f>
        <v>#REF!</v>
      </c>
      <c r="H2127" s="20" t="str">
        <f t="shared" si="6375"/>
        <v>#REF!</v>
      </c>
      <c r="I2127" s="20" t="str">
        <f t="shared" si="6375"/>
        <v>#REF!</v>
      </c>
      <c r="J2127" s="20" t="str">
        <f t="shared" si="1272"/>
        <v>#REF!</v>
      </c>
      <c r="K2127" s="20" t="str">
        <f t="shared" ref="K2127:L2127" si="6376">#REF!</f>
        <v>#REF!</v>
      </c>
      <c r="L2127" s="20" t="str">
        <f t="shared" si="6376"/>
        <v>#REF!</v>
      </c>
    </row>
    <row r="2128">
      <c r="A2128" s="20" t="str">
        <f t="shared" si="1267"/>
        <v>#REF!</v>
      </c>
      <c r="B2128" s="20" t="str">
        <f t="shared" si="1268"/>
        <v>#REF!</v>
      </c>
      <c r="C2128" s="20" t="str">
        <f t="shared" ref="C2128:D2128" si="6377">#REF!</f>
        <v>#REF!</v>
      </c>
      <c r="D2128" s="20" t="str">
        <f t="shared" si="6377"/>
        <v>#REF!</v>
      </c>
      <c r="E2128" s="20" t="str">
        <f t="shared" si="1270"/>
        <v>#REF!</v>
      </c>
      <c r="F2128" s="22" t="str">
        <f t="shared" si="2"/>
        <v>#REF!</v>
      </c>
      <c r="G2128" s="20" t="str">
        <f t="shared" ref="G2128:I2128" si="6378">#REF!</f>
        <v>#REF!</v>
      </c>
      <c r="H2128" s="20" t="str">
        <f t="shared" si="6378"/>
        <v>#REF!</v>
      </c>
      <c r="I2128" s="20" t="str">
        <f t="shared" si="6378"/>
        <v>#REF!</v>
      </c>
      <c r="J2128" s="20" t="str">
        <f t="shared" si="1272"/>
        <v>#REF!</v>
      </c>
      <c r="K2128" s="20" t="str">
        <f t="shared" ref="K2128:L2128" si="6379">#REF!</f>
        <v>#REF!</v>
      </c>
      <c r="L2128" s="20" t="str">
        <f t="shared" si="6379"/>
        <v>#REF!</v>
      </c>
    </row>
    <row r="2129">
      <c r="A2129" s="20" t="str">
        <f t="shared" si="1267"/>
        <v>#REF!</v>
      </c>
      <c r="B2129" s="20" t="str">
        <f t="shared" si="1268"/>
        <v>#REF!</v>
      </c>
      <c r="C2129" s="20" t="str">
        <f t="shared" ref="C2129:D2129" si="6380">#REF!</f>
        <v>#REF!</v>
      </c>
      <c r="D2129" s="20" t="str">
        <f t="shared" si="6380"/>
        <v>#REF!</v>
      </c>
      <c r="E2129" s="20" t="str">
        <f t="shared" si="1270"/>
        <v>#REF!</v>
      </c>
      <c r="F2129" s="22" t="str">
        <f t="shared" si="2"/>
        <v>#REF!</v>
      </c>
      <c r="G2129" s="20" t="str">
        <f t="shared" ref="G2129:I2129" si="6381">#REF!</f>
        <v>#REF!</v>
      </c>
      <c r="H2129" s="20" t="str">
        <f t="shared" si="6381"/>
        <v>#REF!</v>
      </c>
      <c r="I2129" s="20" t="str">
        <f t="shared" si="6381"/>
        <v>#REF!</v>
      </c>
      <c r="J2129" s="20" t="str">
        <f t="shared" si="1272"/>
        <v>#REF!</v>
      </c>
      <c r="K2129" s="20" t="str">
        <f t="shared" ref="K2129:L2129" si="6382">#REF!</f>
        <v>#REF!</v>
      </c>
      <c r="L2129" s="20" t="str">
        <f t="shared" si="6382"/>
        <v>#REF!</v>
      </c>
    </row>
    <row r="2130">
      <c r="A2130" s="20" t="str">
        <f t="shared" si="1267"/>
        <v>#REF!</v>
      </c>
      <c r="B2130" s="20" t="str">
        <f t="shared" si="1268"/>
        <v>#REF!</v>
      </c>
      <c r="C2130" s="20" t="str">
        <f t="shared" ref="C2130:D2130" si="6383">#REF!</f>
        <v>#REF!</v>
      </c>
      <c r="D2130" s="20" t="str">
        <f t="shared" si="6383"/>
        <v>#REF!</v>
      </c>
      <c r="E2130" s="20" t="str">
        <f t="shared" si="1270"/>
        <v>#REF!</v>
      </c>
      <c r="F2130" s="22" t="str">
        <f t="shared" si="2"/>
        <v>#REF!</v>
      </c>
      <c r="G2130" s="20" t="str">
        <f t="shared" ref="G2130:I2130" si="6384">#REF!</f>
        <v>#REF!</v>
      </c>
      <c r="H2130" s="20" t="str">
        <f t="shared" si="6384"/>
        <v>#REF!</v>
      </c>
      <c r="I2130" s="20" t="str">
        <f t="shared" si="6384"/>
        <v>#REF!</v>
      </c>
      <c r="J2130" s="20" t="str">
        <f t="shared" si="1272"/>
        <v>#REF!</v>
      </c>
      <c r="K2130" s="20" t="str">
        <f t="shared" ref="K2130:L2130" si="6385">#REF!</f>
        <v>#REF!</v>
      </c>
      <c r="L2130" s="20" t="str">
        <f t="shared" si="6385"/>
        <v>#REF!</v>
      </c>
    </row>
    <row r="2131">
      <c r="A2131" s="20" t="str">
        <f t="shared" si="1267"/>
        <v>#REF!</v>
      </c>
      <c r="B2131" s="20" t="str">
        <f t="shared" si="1268"/>
        <v>#REF!</v>
      </c>
      <c r="C2131" s="20" t="str">
        <f t="shared" ref="C2131:D2131" si="6386">#REF!</f>
        <v>#REF!</v>
      </c>
      <c r="D2131" s="20" t="str">
        <f t="shared" si="6386"/>
        <v>#REF!</v>
      </c>
      <c r="E2131" s="20" t="str">
        <f t="shared" si="1270"/>
        <v>#REF!</v>
      </c>
      <c r="F2131" s="22" t="str">
        <f t="shared" si="2"/>
        <v>#REF!</v>
      </c>
      <c r="G2131" s="20" t="str">
        <f t="shared" ref="G2131:I2131" si="6387">#REF!</f>
        <v>#REF!</v>
      </c>
      <c r="H2131" s="20" t="str">
        <f t="shared" si="6387"/>
        <v>#REF!</v>
      </c>
      <c r="I2131" s="20" t="str">
        <f t="shared" si="6387"/>
        <v>#REF!</v>
      </c>
      <c r="J2131" s="20" t="str">
        <f t="shared" si="1272"/>
        <v>#REF!</v>
      </c>
      <c r="K2131" s="20" t="str">
        <f t="shared" ref="K2131:L2131" si="6388">#REF!</f>
        <v>#REF!</v>
      </c>
      <c r="L2131" s="20" t="str">
        <f t="shared" si="6388"/>
        <v>#REF!</v>
      </c>
    </row>
    <row r="2132">
      <c r="A2132" s="20" t="str">
        <f t="shared" si="1267"/>
        <v>#REF!</v>
      </c>
      <c r="B2132" s="20" t="str">
        <f t="shared" si="1268"/>
        <v>#REF!</v>
      </c>
      <c r="C2132" s="20" t="str">
        <f t="shared" ref="C2132:D2132" si="6389">#REF!</f>
        <v>#REF!</v>
      </c>
      <c r="D2132" s="20" t="str">
        <f t="shared" si="6389"/>
        <v>#REF!</v>
      </c>
      <c r="E2132" s="20" t="str">
        <f t="shared" si="1270"/>
        <v>#REF!</v>
      </c>
      <c r="F2132" s="22" t="str">
        <f t="shared" si="2"/>
        <v>#REF!</v>
      </c>
      <c r="G2132" s="20" t="str">
        <f t="shared" ref="G2132:I2132" si="6390">#REF!</f>
        <v>#REF!</v>
      </c>
      <c r="H2132" s="20" t="str">
        <f t="shared" si="6390"/>
        <v>#REF!</v>
      </c>
      <c r="I2132" s="20" t="str">
        <f t="shared" si="6390"/>
        <v>#REF!</v>
      </c>
      <c r="J2132" s="20" t="str">
        <f t="shared" si="1272"/>
        <v>#REF!</v>
      </c>
      <c r="K2132" s="20" t="str">
        <f t="shared" ref="K2132:L2132" si="6391">#REF!</f>
        <v>#REF!</v>
      </c>
      <c r="L2132" s="20" t="str">
        <f t="shared" si="6391"/>
        <v>#REF!</v>
      </c>
    </row>
    <row r="2133">
      <c r="A2133" s="20" t="str">
        <f t="shared" si="1267"/>
        <v>#REF!</v>
      </c>
      <c r="B2133" s="20" t="str">
        <f t="shared" si="1268"/>
        <v>#REF!</v>
      </c>
      <c r="C2133" s="20" t="str">
        <f t="shared" ref="C2133:D2133" si="6392">#REF!</f>
        <v>#REF!</v>
      </c>
      <c r="D2133" s="20" t="str">
        <f t="shared" si="6392"/>
        <v>#REF!</v>
      </c>
      <c r="E2133" s="20" t="str">
        <f t="shared" si="1270"/>
        <v>#REF!</v>
      </c>
      <c r="F2133" s="22" t="str">
        <f t="shared" si="2"/>
        <v>#REF!</v>
      </c>
      <c r="G2133" s="20" t="str">
        <f t="shared" ref="G2133:I2133" si="6393">#REF!</f>
        <v>#REF!</v>
      </c>
      <c r="H2133" s="20" t="str">
        <f t="shared" si="6393"/>
        <v>#REF!</v>
      </c>
      <c r="I2133" s="20" t="str">
        <f t="shared" si="6393"/>
        <v>#REF!</v>
      </c>
      <c r="J2133" s="20" t="str">
        <f t="shared" si="1272"/>
        <v>#REF!</v>
      </c>
      <c r="K2133" s="20" t="str">
        <f t="shared" ref="K2133:L2133" si="6394">#REF!</f>
        <v>#REF!</v>
      </c>
      <c r="L2133" s="20" t="str">
        <f t="shared" si="6394"/>
        <v>#REF!</v>
      </c>
    </row>
    <row r="2134">
      <c r="A2134" s="20" t="str">
        <f t="shared" si="1267"/>
        <v>#REF!</v>
      </c>
      <c r="B2134" s="20" t="str">
        <f t="shared" si="1268"/>
        <v>#REF!</v>
      </c>
      <c r="C2134" s="20" t="str">
        <f t="shared" ref="C2134:D2134" si="6395">#REF!</f>
        <v>#REF!</v>
      </c>
      <c r="D2134" s="20" t="str">
        <f t="shared" si="6395"/>
        <v>#REF!</v>
      </c>
      <c r="E2134" s="20" t="str">
        <f t="shared" si="1270"/>
        <v>#REF!</v>
      </c>
      <c r="F2134" s="22" t="str">
        <f t="shared" si="2"/>
        <v>#REF!</v>
      </c>
      <c r="G2134" s="20" t="str">
        <f t="shared" ref="G2134:I2134" si="6396">#REF!</f>
        <v>#REF!</v>
      </c>
      <c r="H2134" s="20" t="str">
        <f t="shared" si="6396"/>
        <v>#REF!</v>
      </c>
      <c r="I2134" s="20" t="str">
        <f t="shared" si="6396"/>
        <v>#REF!</v>
      </c>
      <c r="J2134" s="20" t="str">
        <f t="shared" si="1272"/>
        <v>#REF!</v>
      </c>
      <c r="K2134" s="20" t="str">
        <f t="shared" ref="K2134:L2134" si="6397">#REF!</f>
        <v>#REF!</v>
      </c>
      <c r="L2134" s="20" t="str">
        <f t="shared" si="6397"/>
        <v>#REF!</v>
      </c>
    </row>
    <row r="2135">
      <c r="A2135" s="20" t="str">
        <f t="shared" si="1267"/>
        <v>#REF!</v>
      </c>
      <c r="B2135" s="20" t="str">
        <f t="shared" si="1268"/>
        <v>#REF!</v>
      </c>
      <c r="C2135" s="20" t="str">
        <f t="shared" ref="C2135:D2135" si="6398">#REF!</f>
        <v>#REF!</v>
      </c>
      <c r="D2135" s="20" t="str">
        <f t="shared" si="6398"/>
        <v>#REF!</v>
      </c>
      <c r="E2135" s="20" t="str">
        <f t="shared" si="1270"/>
        <v>#REF!</v>
      </c>
      <c r="F2135" s="22" t="str">
        <f t="shared" si="2"/>
        <v>#REF!</v>
      </c>
      <c r="G2135" s="20" t="str">
        <f t="shared" ref="G2135:I2135" si="6399">#REF!</f>
        <v>#REF!</v>
      </c>
      <c r="H2135" s="20" t="str">
        <f t="shared" si="6399"/>
        <v>#REF!</v>
      </c>
      <c r="I2135" s="20" t="str">
        <f t="shared" si="6399"/>
        <v>#REF!</v>
      </c>
      <c r="J2135" s="20" t="str">
        <f t="shared" si="1272"/>
        <v>#REF!</v>
      </c>
      <c r="K2135" s="20" t="str">
        <f t="shared" ref="K2135:L2135" si="6400">#REF!</f>
        <v>#REF!</v>
      </c>
      <c r="L2135" s="20" t="str">
        <f t="shared" si="6400"/>
        <v>#REF!</v>
      </c>
    </row>
    <row r="2136">
      <c r="A2136" s="20" t="str">
        <f t="shared" si="1267"/>
        <v>#REF!</v>
      </c>
      <c r="B2136" s="20" t="str">
        <f t="shared" si="1268"/>
        <v>#REF!</v>
      </c>
      <c r="C2136" s="20" t="str">
        <f t="shared" ref="C2136:D2136" si="6401">#REF!</f>
        <v>#REF!</v>
      </c>
      <c r="D2136" s="20" t="str">
        <f t="shared" si="6401"/>
        <v>#REF!</v>
      </c>
      <c r="E2136" s="20" t="str">
        <f t="shared" si="1270"/>
        <v>#REF!</v>
      </c>
      <c r="F2136" s="22" t="str">
        <f t="shared" si="2"/>
        <v>#REF!</v>
      </c>
      <c r="G2136" s="20" t="str">
        <f t="shared" ref="G2136:I2136" si="6402">#REF!</f>
        <v>#REF!</v>
      </c>
      <c r="H2136" s="20" t="str">
        <f t="shared" si="6402"/>
        <v>#REF!</v>
      </c>
      <c r="I2136" s="20" t="str">
        <f t="shared" si="6402"/>
        <v>#REF!</v>
      </c>
      <c r="J2136" s="20" t="str">
        <f t="shared" si="1272"/>
        <v>#REF!</v>
      </c>
      <c r="K2136" s="20" t="str">
        <f t="shared" ref="K2136:L2136" si="6403">#REF!</f>
        <v>#REF!</v>
      </c>
      <c r="L2136" s="20" t="str">
        <f t="shared" si="6403"/>
        <v>#REF!</v>
      </c>
    </row>
    <row r="2137">
      <c r="A2137" s="20" t="str">
        <f t="shared" si="1267"/>
        <v>#REF!</v>
      </c>
      <c r="B2137" s="20" t="str">
        <f t="shared" si="1268"/>
        <v>#REF!</v>
      </c>
      <c r="C2137" s="20" t="str">
        <f t="shared" ref="C2137:D2137" si="6404">#REF!</f>
        <v>#REF!</v>
      </c>
      <c r="D2137" s="20" t="str">
        <f t="shared" si="6404"/>
        <v>#REF!</v>
      </c>
      <c r="E2137" s="20" t="str">
        <f t="shared" si="1270"/>
        <v>#REF!</v>
      </c>
      <c r="F2137" s="22" t="str">
        <f t="shared" si="2"/>
        <v>#REF!</v>
      </c>
      <c r="G2137" s="20" t="str">
        <f t="shared" ref="G2137:I2137" si="6405">#REF!</f>
        <v>#REF!</v>
      </c>
      <c r="H2137" s="20" t="str">
        <f t="shared" si="6405"/>
        <v>#REF!</v>
      </c>
      <c r="I2137" s="20" t="str">
        <f t="shared" si="6405"/>
        <v>#REF!</v>
      </c>
      <c r="J2137" s="20" t="str">
        <f t="shared" si="1272"/>
        <v>#REF!</v>
      </c>
      <c r="K2137" s="20" t="str">
        <f t="shared" ref="K2137:L2137" si="6406">#REF!</f>
        <v>#REF!</v>
      </c>
      <c r="L2137" s="20" t="str">
        <f t="shared" si="6406"/>
        <v>#REF!</v>
      </c>
    </row>
    <row r="2138">
      <c r="A2138" s="20" t="str">
        <f t="shared" si="1267"/>
        <v>#REF!</v>
      </c>
      <c r="B2138" s="20" t="str">
        <f t="shared" si="1268"/>
        <v>#REF!</v>
      </c>
      <c r="C2138" s="20" t="str">
        <f t="shared" ref="C2138:D2138" si="6407">#REF!</f>
        <v>#REF!</v>
      </c>
      <c r="D2138" s="20" t="str">
        <f t="shared" si="6407"/>
        <v>#REF!</v>
      </c>
      <c r="E2138" s="20" t="str">
        <f t="shared" si="1270"/>
        <v>#REF!</v>
      </c>
      <c r="F2138" s="22" t="str">
        <f t="shared" si="2"/>
        <v>#REF!</v>
      </c>
      <c r="G2138" s="20" t="str">
        <f t="shared" ref="G2138:I2138" si="6408">#REF!</f>
        <v>#REF!</v>
      </c>
      <c r="H2138" s="20" t="str">
        <f t="shared" si="6408"/>
        <v>#REF!</v>
      </c>
      <c r="I2138" s="20" t="str">
        <f t="shared" si="6408"/>
        <v>#REF!</v>
      </c>
      <c r="J2138" s="20" t="str">
        <f t="shared" si="1272"/>
        <v>#REF!</v>
      </c>
      <c r="K2138" s="20" t="str">
        <f t="shared" ref="K2138:L2138" si="6409">#REF!</f>
        <v>#REF!</v>
      </c>
      <c r="L2138" s="20" t="str">
        <f t="shared" si="6409"/>
        <v>#REF!</v>
      </c>
    </row>
    <row r="2139">
      <c r="A2139" s="20" t="str">
        <f t="shared" si="1267"/>
        <v>#REF!</v>
      </c>
      <c r="B2139" s="20" t="str">
        <f t="shared" si="1268"/>
        <v>#REF!</v>
      </c>
      <c r="C2139" s="20" t="str">
        <f t="shared" ref="C2139:D2139" si="6410">#REF!</f>
        <v>#REF!</v>
      </c>
      <c r="D2139" s="20" t="str">
        <f t="shared" si="6410"/>
        <v>#REF!</v>
      </c>
      <c r="E2139" s="20" t="str">
        <f t="shared" si="1270"/>
        <v>#REF!</v>
      </c>
      <c r="F2139" s="22" t="str">
        <f t="shared" si="2"/>
        <v>#REF!</v>
      </c>
      <c r="G2139" s="20" t="str">
        <f t="shared" ref="G2139:I2139" si="6411">#REF!</f>
        <v>#REF!</v>
      </c>
      <c r="H2139" s="20" t="str">
        <f t="shared" si="6411"/>
        <v>#REF!</v>
      </c>
      <c r="I2139" s="20" t="str">
        <f t="shared" si="6411"/>
        <v>#REF!</v>
      </c>
      <c r="J2139" s="20" t="str">
        <f t="shared" si="1272"/>
        <v>#REF!</v>
      </c>
      <c r="K2139" s="20" t="str">
        <f t="shared" ref="K2139:L2139" si="6412">#REF!</f>
        <v>#REF!</v>
      </c>
      <c r="L2139" s="20" t="str">
        <f t="shared" si="6412"/>
        <v>#REF!</v>
      </c>
    </row>
    <row r="2140">
      <c r="A2140" s="20" t="str">
        <f t="shared" si="1267"/>
        <v>#REF!</v>
      </c>
      <c r="B2140" s="20" t="str">
        <f t="shared" si="1268"/>
        <v>#REF!</v>
      </c>
      <c r="C2140" s="20" t="str">
        <f t="shared" ref="C2140:D2140" si="6413">#REF!</f>
        <v>#REF!</v>
      </c>
      <c r="D2140" s="20" t="str">
        <f t="shared" si="6413"/>
        <v>#REF!</v>
      </c>
      <c r="E2140" s="20" t="str">
        <f t="shared" si="1270"/>
        <v>#REF!</v>
      </c>
      <c r="F2140" s="22" t="str">
        <f t="shared" si="2"/>
        <v>#REF!</v>
      </c>
      <c r="G2140" s="20" t="str">
        <f t="shared" ref="G2140:I2140" si="6414">#REF!</f>
        <v>#REF!</v>
      </c>
      <c r="H2140" s="20" t="str">
        <f t="shared" si="6414"/>
        <v>#REF!</v>
      </c>
      <c r="I2140" s="20" t="str">
        <f t="shared" si="6414"/>
        <v>#REF!</v>
      </c>
      <c r="J2140" s="20" t="str">
        <f t="shared" si="1272"/>
        <v>#REF!</v>
      </c>
      <c r="K2140" s="20" t="str">
        <f t="shared" ref="K2140:L2140" si="6415">#REF!</f>
        <v>#REF!</v>
      </c>
      <c r="L2140" s="20" t="str">
        <f t="shared" si="6415"/>
        <v>#REF!</v>
      </c>
    </row>
    <row r="2141">
      <c r="A2141" s="20" t="str">
        <f t="shared" si="1267"/>
        <v>#REF!</v>
      </c>
      <c r="B2141" s="20" t="str">
        <f t="shared" si="1268"/>
        <v>#REF!</v>
      </c>
      <c r="C2141" s="20" t="str">
        <f t="shared" ref="C2141:D2141" si="6416">#REF!</f>
        <v>#REF!</v>
      </c>
      <c r="D2141" s="20" t="str">
        <f t="shared" si="6416"/>
        <v>#REF!</v>
      </c>
      <c r="E2141" s="20" t="str">
        <f t="shared" si="1270"/>
        <v>#REF!</v>
      </c>
      <c r="F2141" s="22" t="str">
        <f t="shared" si="2"/>
        <v>#REF!</v>
      </c>
      <c r="G2141" s="20" t="str">
        <f t="shared" ref="G2141:I2141" si="6417">#REF!</f>
        <v>#REF!</v>
      </c>
      <c r="H2141" s="20" t="str">
        <f t="shared" si="6417"/>
        <v>#REF!</v>
      </c>
      <c r="I2141" s="20" t="str">
        <f t="shared" si="6417"/>
        <v>#REF!</v>
      </c>
      <c r="J2141" s="20" t="str">
        <f t="shared" si="1272"/>
        <v>#REF!</v>
      </c>
      <c r="K2141" s="20" t="str">
        <f t="shared" ref="K2141:L2141" si="6418">#REF!</f>
        <v>#REF!</v>
      </c>
      <c r="L2141" s="20" t="str">
        <f t="shared" si="6418"/>
        <v>#REF!</v>
      </c>
    </row>
    <row r="2142">
      <c r="A2142" s="20" t="str">
        <f t="shared" si="1267"/>
        <v>#REF!</v>
      </c>
      <c r="B2142" s="20" t="str">
        <f t="shared" si="1268"/>
        <v>#REF!</v>
      </c>
      <c r="C2142" s="20" t="str">
        <f t="shared" ref="C2142:D2142" si="6419">#REF!</f>
        <v>#REF!</v>
      </c>
      <c r="D2142" s="20" t="str">
        <f t="shared" si="6419"/>
        <v>#REF!</v>
      </c>
      <c r="E2142" s="20" t="str">
        <f t="shared" si="1270"/>
        <v>#REF!</v>
      </c>
      <c r="F2142" s="22" t="str">
        <f t="shared" si="2"/>
        <v>#REF!</v>
      </c>
      <c r="G2142" s="20" t="str">
        <f t="shared" ref="G2142:I2142" si="6420">#REF!</f>
        <v>#REF!</v>
      </c>
      <c r="H2142" s="20" t="str">
        <f t="shared" si="6420"/>
        <v>#REF!</v>
      </c>
      <c r="I2142" s="20" t="str">
        <f t="shared" si="6420"/>
        <v>#REF!</v>
      </c>
      <c r="J2142" s="20" t="str">
        <f t="shared" si="1272"/>
        <v>#REF!</v>
      </c>
      <c r="K2142" s="20" t="str">
        <f t="shared" ref="K2142:L2142" si="6421">#REF!</f>
        <v>#REF!</v>
      </c>
      <c r="L2142" s="20" t="str">
        <f t="shared" si="6421"/>
        <v>#REF!</v>
      </c>
    </row>
    <row r="2143">
      <c r="A2143" s="20" t="str">
        <f t="shared" si="1267"/>
        <v>#REF!</v>
      </c>
      <c r="B2143" s="20" t="str">
        <f t="shared" si="1268"/>
        <v>#REF!</v>
      </c>
      <c r="C2143" s="20" t="str">
        <f t="shared" ref="C2143:D2143" si="6422">#REF!</f>
        <v>#REF!</v>
      </c>
      <c r="D2143" s="20" t="str">
        <f t="shared" si="6422"/>
        <v>#REF!</v>
      </c>
      <c r="E2143" s="20" t="str">
        <f t="shared" si="1270"/>
        <v>#REF!</v>
      </c>
      <c r="F2143" s="22" t="str">
        <f t="shared" si="2"/>
        <v>#REF!</v>
      </c>
      <c r="G2143" s="20" t="str">
        <f t="shared" ref="G2143:I2143" si="6423">#REF!</f>
        <v>#REF!</v>
      </c>
      <c r="H2143" s="20" t="str">
        <f t="shared" si="6423"/>
        <v>#REF!</v>
      </c>
      <c r="I2143" s="20" t="str">
        <f t="shared" si="6423"/>
        <v>#REF!</v>
      </c>
      <c r="J2143" s="20" t="str">
        <f t="shared" si="1272"/>
        <v>#REF!</v>
      </c>
      <c r="K2143" s="20" t="str">
        <f t="shared" ref="K2143:L2143" si="6424">#REF!</f>
        <v>#REF!</v>
      </c>
      <c r="L2143" s="20" t="str">
        <f t="shared" si="6424"/>
        <v>#REF!</v>
      </c>
    </row>
    <row r="2144">
      <c r="A2144" s="20" t="str">
        <f t="shared" si="1267"/>
        <v>#REF!</v>
      </c>
      <c r="B2144" s="20" t="str">
        <f t="shared" si="1268"/>
        <v>#REF!</v>
      </c>
      <c r="C2144" s="20" t="str">
        <f t="shared" ref="C2144:D2144" si="6425">#REF!</f>
        <v>#REF!</v>
      </c>
      <c r="D2144" s="20" t="str">
        <f t="shared" si="6425"/>
        <v>#REF!</v>
      </c>
      <c r="E2144" s="20" t="str">
        <f t="shared" si="1270"/>
        <v>#REF!</v>
      </c>
      <c r="F2144" s="22" t="str">
        <f t="shared" si="2"/>
        <v>#REF!</v>
      </c>
      <c r="G2144" s="20" t="str">
        <f t="shared" ref="G2144:I2144" si="6426">#REF!</f>
        <v>#REF!</v>
      </c>
      <c r="H2144" s="20" t="str">
        <f t="shared" si="6426"/>
        <v>#REF!</v>
      </c>
      <c r="I2144" s="20" t="str">
        <f t="shared" si="6426"/>
        <v>#REF!</v>
      </c>
      <c r="J2144" s="20" t="str">
        <f t="shared" si="1272"/>
        <v>#REF!</v>
      </c>
      <c r="K2144" s="20" t="str">
        <f t="shared" ref="K2144:L2144" si="6427">#REF!</f>
        <v>#REF!</v>
      </c>
      <c r="L2144" s="20" t="str">
        <f t="shared" si="6427"/>
        <v>#REF!</v>
      </c>
    </row>
    <row r="2145">
      <c r="A2145" s="20" t="str">
        <f t="shared" si="1267"/>
        <v>#REF!</v>
      </c>
      <c r="B2145" s="20" t="str">
        <f t="shared" si="1268"/>
        <v>#REF!</v>
      </c>
      <c r="C2145" s="20" t="str">
        <f t="shared" ref="C2145:D2145" si="6428">#REF!</f>
        <v>#REF!</v>
      </c>
      <c r="D2145" s="20" t="str">
        <f t="shared" si="6428"/>
        <v>#REF!</v>
      </c>
      <c r="E2145" s="20" t="str">
        <f t="shared" si="1270"/>
        <v>#REF!</v>
      </c>
      <c r="F2145" s="22" t="str">
        <f t="shared" si="2"/>
        <v>#REF!</v>
      </c>
      <c r="G2145" s="20" t="str">
        <f t="shared" ref="G2145:I2145" si="6429">#REF!</f>
        <v>#REF!</v>
      </c>
      <c r="H2145" s="20" t="str">
        <f t="shared" si="6429"/>
        <v>#REF!</v>
      </c>
      <c r="I2145" s="20" t="str">
        <f t="shared" si="6429"/>
        <v>#REF!</v>
      </c>
      <c r="J2145" s="20" t="str">
        <f t="shared" si="1272"/>
        <v>#REF!</v>
      </c>
      <c r="K2145" s="20" t="str">
        <f t="shared" ref="K2145:L2145" si="6430">#REF!</f>
        <v>#REF!</v>
      </c>
      <c r="L2145" s="20" t="str">
        <f t="shared" si="6430"/>
        <v>#REF!</v>
      </c>
    </row>
    <row r="2146">
      <c r="A2146" s="20" t="str">
        <f t="shared" si="1267"/>
        <v>#REF!</v>
      </c>
      <c r="B2146" s="20" t="str">
        <f t="shared" si="1268"/>
        <v>#REF!</v>
      </c>
      <c r="C2146" s="20" t="str">
        <f t="shared" ref="C2146:D2146" si="6431">#REF!</f>
        <v>#REF!</v>
      </c>
      <c r="D2146" s="20" t="str">
        <f t="shared" si="6431"/>
        <v>#REF!</v>
      </c>
      <c r="E2146" s="20" t="str">
        <f t="shared" si="1270"/>
        <v>#REF!</v>
      </c>
      <c r="F2146" s="22" t="str">
        <f t="shared" si="2"/>
        <v>#REF!</v>
      </c>
      <c r="G2146" s="20" t="str">
        <f t="shared" ref="G2146:I2146" si="6432">#REF!</f>
        <v>#REF!</v>
      </c>
      <c r="H2146" s="20" t="str">
        <f t="shared" si="6432"/>
        <v>#REF!</v>
      </c>
      <c r="I2146" s="20" t="str">
        <f t="shared" si="6432"/>
        <v>#REF!</v>
      </c>
      <c r="J2146" s="20" t="str">
        <f t="shared" si="1272"/>
        <v>#REF!</v>
      </c>
      <c r="K2146" s="20" t="str">
        <f t="shared" ref="K2146:L2146" si="6433">#REF!</f>
        <v>#REF!</v>
      </c>
      <c r="L2146" s="20" t="str">
        <f t="shared" si="6433"/>
        <v>#REF!</v>
      </c>
    </row>
    <row r="2147">
      <c r="A2147" s="20" t="str">
        <f t="shared" si="1267"/>
        <v>#REF!</v>
      </c>
      <c r="B2147" s="20" t="str">
        <f t="shared" si="1268"/>
        <v>#REF!</v>
      </c>
      <c r="C2147" s="20" t="str">
        <f t="shared" ref="C2147:D2147" si="6434">#REF!</f>
        <v>#REF!</v>
      </c>
      <c r="D2147" s="20" t="str">
        <f t="shared" si="6434"/>
        <v>#REF!</v>
      </c>
      <c r="E2147" s="20" t="str">
        <f t="shared" si="1270"/>
        <v>#REF!</v>
      </c>
      <c r="F2147" s="22" t="str">
        <f t="shared" si="2"/>
        <v>#REF!</v>
      </c>
      <c r="G2147" s="20" t="str">
        <f t="shared" ref="G2147:I2147" si="6435">#REF!</f>
        <v>#REF!</v>
      </c>
      <c r="H2147" s="20" t="str">
        <f t="shared" si="6435"/>
        <v>#REF!</v>
      </c>
      <c r="I2147" s="20" t="str">
        <f t="shared" si="6435"/>
        <v>#REF!</v>
      </c>
      <c r="J2147" s="20" t="str">
        <f t="shared" si="1272"/>
        <v>#REF!</v>
      </c>
      <c r="K2147" s="20" t="str">
        <f t="shared" ref="K2147:L2147" si="6436">#REF!</f>
        <v>#REF!</v>
      </c>
      <c r="L2147" s="20" t="str">
        <f t="shared" si="6436"/>
        <v>#REF!</v>
      </c>
    </row>
    <row r="2148">
      <c r="A2148" s="20" t="str">
        <f t="shared" si="1267"/>
        <v>#REF!</v>
      </c>
      <c r="B2148" s="20" t="str">
        <f t="shared" si="1268"/>
        <v>#REF!</v>
      </c>
      <c r="C2148" s="20" t="str">
        <f t="shared" ref="C2148:D2148" si="6437">#REF!</f>
        <v>#REF!</v>
      </c>
      <c r="D2148" s="20" t="str">
        <f t="shared" si="6437"/>
        <v>#REF!</v>
      </c>
      <c r="E2148" s="20" t="str">
        <f t="shared" si="1270"/>
        <v>#REF!</v>
      </c>
      <c r="F2148" s="22" t="str">
        <f t="shared" si="2"/>
        <v>#REF!</v>
      </c>
      <c r="G2148" s="20" t="str">
        <f t="shared" ref="G2148:I2148" si="6438">#REF!</f>
        <v>#REF!</v>
      </c>
      <c r="H2148" s="20" t="str">
        <f t="shared" si="6438"/>
        <v>#REF!</v>
      </c>
      <c r="I2148" s="20" t="str">
        <f t="shared" si="6438"/>
        <v>#REF!</v>
      </c>
      <c r="J2148" s="20" t="str">
        <f t="shared" si="1272"/>
        <v>#REF!</v>
      </c>
      <c r="K2148" s="20" t="str">
        <f t="shared" ref="K2148:L2148" si="6439">#REF!</f>
        <v>#REF!</v>
      </c>
      <c r="L2148" s="20" t="str">
        <f t="shared" si="6439"/>
        <v>#REF!</v>
      </c>
    </row>
    <row r="2149">
      <c r="A2149" s="20" t="str">
        <f t="shared" si="1267"/>
        <v>#REF!</v>
      </c>
      <c r="B2149" s="20" t="str">
        <f t="shared" si="1268"/>
        <v>#REF!</v>
      </c>
      <c r="C2149" s="20" t="str">
        <f t="shared" ref="C2149:D2149" si="6440">#REF!</f>
        <v>#REF!</v>
      </c>
      <c r="D2149" s="20" t="str">
        <f t="shared" si="6440"/>
        <v>#REF!</v>
      </c>
      <c r="E2149" s="20" t="str">
        <f t="shared" si="1270"/>
        <v>#REF!</v>
      </c>
      <c r="F2149" s="22" t="str">
        <f t="shared" si="2"/>
        <v>#REF!</v>
      </c>
      <c r="G2149" s="20" t="str">
        <f t="shared" ref="G2149:I2149" si="6441">#REF!</f>
        <v>#REF!</v>
      </c>
      <c r="H2149" s="20" t="str">
        <f t="shared" si="6441"/>
        <v>#REF!</v>
      </c>
      <c r="I2149" s="20" t="str">
        <f t="shared" si="6441"/>
        <v>#REF!</v>
      </c>
      <c r="J2149" s="20" t="str">
        <f t="shared" si="1272"/>
        <v>#REF!</v>
      </c>
      <c r="K2149" s="20" t="str">
        <f t="shared" ref="K2149:L2149" si="6442">#REF!</f>
        <v>#REF!</v>
      </c>
      <c r="L2149" s="20" t="str">
        <f t="shared" si="6442"/>
        <v>#REF!</v>
      </c>
    </row>
    <row r="2150">
      <c r="A2150" s="20" t="str">
        <f t="shared" si="1267"/>
        <v>#REF!</v>
      </c>
      <c r="B2150" s="20" t="str">
        <f t="shared" si="1268"/>
        <v>#REF!</v>
      </c>
      <c r="C2150" s="20" t="str">
        <f t="shared" ref="C2150:D2150" si="6443">#REF!</f>
        <v>#REF!</v>
      </c>
      <c r="D2150" s="20" t="str">
        <f t="shared" si="6443"/>
        <v>#REF!</v>
      </c>
      <c r="E2150" s="20" t="str">
        <f t="shared" si="1270"/>
        <v>#REF!</v>
      </c>
      <c r="F2150" s="22" t="str">
        <f t="shared" si="2"/>
        <v>#REF!</v>
      </c>
      <c r="G2150" s="20" t="str">
        <f t="shared" ref="G2150:I2150" si="6444">#REF!</f>
        <v>#REF!</v>
      </c>
      <c r="H2150" s="20" t="str">
        <f t="shared" si="6444"/>
        <v>#REF!</v>
      </c>
      <c r="I2150" s="20" t="str">
        <f t="shared" si="6444"/>
        <v>#REF!</v>
      </c>
      <c r="J2150" s="20" t="str">
        <f t="shared" si="1272"/>
        <v>#REF!</v>
      </c>
      <c r="K2150" s="20" t="str">
        <f t="shared" ref="K2150:L2150" si="6445">#REF!</f>
        <v>#REF!</v>
      </c>
      <c r="L2150" s="20" t="str">
        <f t="shared" si="6445"/>
        <v>#REF!</v>
      </c>
    </row>
    <row r="2151">
      <c r="A2151" s="20" t="str">
        <f t="shared" si="1267"/>
        <v>#REF!</v>
      </c>
      <c r="B2151" s="20" t="str">
        <f t="shared" si="1268"/>
        <v>#REF!</v>
      </c>
      <c r="C2151" s="20" t="str">
        <f t="shared" ref="C2151:D2151" si="6446">#REF!</f>
        <v>#REF!</v>
      </c>
      <c r="D2151" s="20" t="str">
        <f t="shared" si="6446"/>
        <v>#REF!</v>
      </c>
      <c r="E2151" s="20" t="str">
        <f t="shared" si="1270"/>
        <v>#REF!</v>
      </c>
      <c r="F2151" s="22" t="str">
        <f t="shared" si="2"/>
        <v>#REF!</v>
      </c>
      <c r="G2151" s="20" t="str">
        <f t="shared" ref="G2151:I2151" si="6447">#REF!</f>
        <v>#REF!</v>
      </c>
      <c r="H2151" s="20" t="str">
        <f t="shared" si="6447"/>
        <v>#REF!</v>
      </c>
      <c r="I2151" s="20" t="str">
        <f t="shared" si="6447"/>
        <v>#REF!</v>
      </c>
      <c r="J2151" s="20" t="str">
        <f t="shared" si="1272"/>
        <v>#REF!</v>
      </c>
      <c r="K2151" s="20" t="str">
        <f t="shared" ref="K2151:L2151" si="6448">#REF!</f>
        <v>#REF!</v>
      </c>
      <c r="L2151" s="20" t="str">
        <f t="shared" si="6448"/>
        <v>#REF!</v>
      </c>
    </row>
    <row r="2152">
      <c r="A2152" s="20" t="str">
        <f t="shared" si="1267"/>
        <v>#REF!</v>
      </c>
      <c r="B2152" s="20" t="str">
        <f t="shared" si="1268"/>
        <v>#REF!</v>
      </c>
      <c r="C2152" s="20" t="str">
        <f t="shared" ref="C2152:D2152" si="6449">#REF!</f>
        <v>#REF!</v>
      </c>
      <c r="D2152" s="20" t="str">
        <f t="shared" si="6449"/>
        <v>#REF!</v>
      </c>
      <c r="E2152" s="20" t="str">
        <f t="shared" si="1270"/>
        <v>#REF!</v>
      </c>
      <c r="F2152" s="22" t="str">
        <f t="shared" si="2"/>
        <v>#REF!</v>
      </c>
      <c r="G2152" s="20" t="str">
        <f t="shared" ref="G2152:I2152" si="6450">#REF!</f>
        <v>#REF!</v>
      </c>
      <c r="H2152" s="20" t="str">
        <f t="shared" si="6450"/>
        <v>#REF!</v>
      </c>
      <c r="I2152" s="20" t="str">
        <f t="shared" si="6450"/>
        <v>#REF!</v>
      </c>
      <c r="J2152" s="20" t="str">
        <f t="shared" si="1272"/>
        <v>#REF!</v>
      </c>
      <c r="K2152" s="20" t="str">
        <f t="shared" ref="K2152:L2152" si="6451">#REF!</f>
        <v>#REF!</v>
      </c>
      <c r="L2152" s="20" t="str">
        <f t="shared" si="6451"/>
        <v>#REF!</v>
      </c>
    </row>
    <row r="2153">
      <c r="A2153" s="20" t="str">
        <f t="shared" si="1267"/>
        <v>#REF!</v>
      </c>
      <c r="B2153" s="20" t="str">
        <f t="shared" si="1268"/>
        <v>#REF!</v>
      </c>
      <c r="C2153" s="20" t="str">
        <f t="shared" ref="C2153:D2153" si="6452">#REF!</f>
        <v>#REF!</v>
      </c>
      <c r="D2153" s="20" t="str">
        <f t="shared" si="6452"/>
        <v>#REF!</v>
      </c>
      <c r="E2153" s="20" t="str">
        <f t="shared" si="1270"/>
        <v>#REF!</v>
      </c>
      <c r="F2153" s="22" t="str">
        <f t="shared" si="2"/>
        <v>#REF!</v>
      </c>
      <c r="G2153" s="20" t="str">
        <f t="shared" ref="G2153:I2153" si="6453">#REF!</f>
        <v>#REF!</v>
      </c>
      <c r="H2153" s="20" t="str">
        <f t="shared" si="6453"/>
        <v>#REF!</v>
      </c>
      <c r="I2153" s="20" t="str">
        <f t="shared" si="6453"/>
        <v>#REF!</v>
      </c>
      <c r="J2153" s="20" t="str">
        <f t="shared" si="1272"/>
        <v>#REF!</v>
      </c>
      <c r="K2153" s="20" t="str">
        <f t="shared" ref="K2153:L2153" si="6454">#REF!</f>
        <v>#REF!</v>
      </c>
      <c r="L2153" s="20" t="str">
        <f t="shared" si="6454"/>
        <v>#REF!</v>
      </c>
    </row>
    <row r="2154">
      <c r="A2154" s="20" t="str">
        <f t="shared" si="1267"/>
        <v>#REF!</v>
      </c>
      <c r="B2154" s="20" t="str">
        <f t="shared" si="1268"/>
        <v>#REF!</v>
      </c>
      <c r="C2154" s="20" t="str">
        <f t="shared" ref="C2154:D2154" si="6455">#REF!</f>
        <v>#REF!</v>
      </c>
      <c r="D2154" s="20" t="str">
        <f t="shared" si="6455"/>
        <v>#REF!</v>
      </c>
      <c r="E2154" s="20" t="str">
        <f t="shared" si="1270"/>
        <v>#REF!</v>
      </c>
      <c r="F2154" s="22" t="str">
        <f t="shared" si="2"/>
        <v>#REF!</v>
      </c>
      <c r="G2154" s="20" t="str">
        <f t="shared" ref="G2154:I2154" si="6456">#REF!</f>
        <v>#REF!</v>
      </c>
      <c r="H2154" s="20" t="str">
        <f t="shared" si="6456"/>
        <v>#REF!</v>
      </c>
      <c r="I2154" s="20" t="str">
        <f t="shared" si="6456"/>
        <v>#REF!</v>
      </c>
      <c r="J2154" s="20" t="str">
        <f t="shared" si="1272"/>
        <v>#REF!</v>
      </c>
      <c r="K2154" s="20" t="str">
        <f t="shared" ref="K2154:L2154" si="6457">#REF!</f>
        <v>#REF!</v>
      </c>
      <c r="L2154" s="20" t="str">
        <f t="shared" si="6457"/>
        <v>#REF!</v>
      </c>
    </row>
    <row r="2155">
      <c r="A2155" s="20" t="str">
        <f t="shared" si="1267"/>
        <v>#REF!</v>
      </c>
      <c r="B2155" s="20" t="str">
        <f t="shared" si="1268"/>
        <v>#REF!</v>
      </c>
      <c r="C2155" s="20" t="str">
        <f t="shared" ref="C2155:D2155" si="6458">#REF!</f>
        <v>#REF!</v>
      </c>
      <c r="D2155" s="20" t="str">
        <f t="shared" si="6458"/>
        <v>#REF!</v>
      </c>
      <c r="E2155" s="20" t="str">
        <f t="shared" si="1270"/>
        <v>#REF!</v>
      </c>
      <c r="F2155" s="22" t="str">
        <f t="shared" si="2"/>
        <v>#REF!</v>
      </c>
      <c r="G2155" s="20" t="str">
        <f t="shared" ref="G2155:I2155" si="6459">#REF!</f>
        <v>#REF!</v>
      </c>
      <c r="H2155" s="20" t="str">
        <f t="shared" si="6459"/>
        <v>#REF!</v>
      </c>
      <c r="I2155" s="20" t="str">
        <f t="shared" si="6459"/>
        <v>#REF!</v>
      </c>
      <c r="J2155" s="20" t="str">
        <f t="shared" si="1272"/>
        <v>#REF!</v>
      </c>
      <c r="K2155" s="20" t="str">
        <f t="shared" ref="K2155:L2155" si="6460">#REF!</f>
        <v>#REF!</v>
      </c>
      <c r="L2155" s="20" t="str">
        <f t="shared" si="6460"/>
        <v>#REF!</v>
      </c>
    </row>
    <row r="2156">
      <c r="A2156" s="20" t="str">
        <f t="shared" si="1267"/>
        <v>#REF!</v>
      </c>
      <c r="B2156" s="20" t="str">
        <f t="shared" si="1268"/>
        <v>#REF!</v>
      </c>
      <c r="C2156" s="20" t="str">
        <f t="shared" ref="C2156:D2156" si="6461">#REF!</f>
        <v>#REF!</v>
      </c>
      <c r="D2156" s="20" t="str">
        <f t="shared" si="6461"/>
        <v>#REF!</v>
      </c>
      <c r="E2156" s="20" t="str">
        <f t="shared" si="1270"/>
        <v>#REF!</v>
      </c>
      <c r="F2156" s="22" t="str">
        <f t="shared" si="2"/>
        <v>#REF!</v>
      </c>
      <c r="G2156" s="20" t="str">
        <f t="shared" ref="G2156:I2156" si="6462">#REF!</f>
        <v>#REF!</v>
      </c>
      <c r="H2156" s="20" t="str">
        <f t="shared" si="6462"/>
        <v>#REF!</v>
      </c>
      <c r="I2156" s="20" t="str">
        <f t="shared" si="6462"/>
        <v>#REF!</v>
      </c>
      <c r="J2156" s="20" t="str">
        <f t="shared" si="1272"/>
        <v>#REF!</v>
      </c>
      <c r="K2156" s="20" t="str">
        <f t="shared" ref="K2156:L2156" si="6463">#REF!</f>
        <v>#REF!</v>
      </c>
      <c r="L2156" s="20" t="str">
        <f t="shared" si="6463"/>
        <v>#REF!</v>
      </c>
    </row>
    <row r="2157">
      <c r="A2157" s="20" t="str">
        <f t="shared" si="1267"/>
        <v>#REF!</v>
      </c>
      <c r="B2157" s="20" t="str">
        <f t="shared" si="1268"/>
        <v>#REF!</v>
      </c>
      <c r="C2157" s="20" t="str">
        <f t="shared" ref="C2157:D2157" si="6464">#REF!</f>
        <v>#REF!</v>
      </c>
      <c r="D2157" s="20" t="str">
        <f t="shared" si="6464"/>
        <v>#REF!</v>
      </c>
      <c r="E2157" s="20" t="str">
        <f t="shared" si="1270"/>
        <v>#REF!</v>
      </c>
      <c r="F2157" s="22" t="str">
        <f t="shared" si="2"/>
        <v>#REF!</v>
      </c>
      <c r="G2157" s="20" t="str">
        <f t="shared" ref="G2157:I2157" si="6465">#REF!</f>
        <v>#REF!</v>
      </c>
      <c r="H2157" s="20" t="str">
        <f t="shared" si="6465"/>
        <v>#REF!</v>
      </c>
      <c r="I2157" s="20" t="str">
        <f t="shared" si="6465"/>
        <v>#REF!</v>
      </c>
      <c r="J2157" s="20" t="str">
        <f t="shared" si="1272"/>
        <v>#REF!</v>
      </c>
      <c r="K2157" s="20" t="str">
        <f t="shared" ref="K2157:L2157" si="6466">#REF!</f>
        <v>#REF!</v>
      </c>
      <c r="L2157" s="20" t="str">
        <f t="shared" si="6466"/>
        <v>#REF!</v>
      </c>
    </row>
    <row r="2158">
      <c r="A2158" s="20" t="str">
        <f t="shared" si="1267"/>
        <v>#REF!</v>
      </c>
      <c r="B2158" s="20" t="str">
        <f t="shared" si="1268"/>
        <v>#REF!</v>
      </c>
      <c r="C2158" s="20" t="str">
        <f t="shared" ref="C2158:D2158" si="6467">#REF!</f>
        <v>#REF!</v>
      </c>
      <c r="D2158" s="20" t="str">
        <f t="shared" si="6467"/>
        <v>#REF!</v>
      </c>
      <c r="E2158" s="20" t="str">
        <f t="shared" si="1270"/>
        <v>#REF!</v>
      </c>
      <c r="F2158" s="22" t="str">
        <f t="shared" si="2"/>
        <v>#REF!</v>
      </c>
      <c r="G2158" s="20" t="str">
        <f t="shared" ref="G2158:I2158" si="6468">#REF!</f>
        <v>#REF!</v>
      </c>
      <c r="H2158" s="20" t="str">
        <f t="shared" si="6468"/>
        <v>#REF!</v>
      </c>
      <c r="I2158" s="20" t="str">
        <f t="shared" si="6468"/>
        <v>#REF!</v>
      </c>
      <c r="J2158" s="20" t="str">
        <f t="shared" si="1272"/>
        <v>#REF!</v>
      </c>
      <c r="K2158" s="20" t="str">
        <f t="shared" ref="K2158:L2158" si="6469">#REF!</f>
        <v>#REF!</v>
      </c>
      <c r="L2158" s="20" t="str">
        <f t="shared" si="6469"/>
        <v>#REF!</v>
      </c>
    </row>
    <row r="2159">
      <c r="A2159" s="20" t="str">
        <f t="shared" si="1267"/>
        <v>#REF!</v>
      </c>
      <c r="B2159" s="20" t="str">
        <f t="shared" si="1268"/>
        <v>#REF!</v>
      </c>
      <c r="C2159" s="20" t="str">
        <f t="shared" ref="C2159:D2159" si="6470">#REF!</f>
        <v>#REF!</v>
      </c>
      <c r="D2159" s="20" t="str">
        <f t="shared" si="6470"/>
        <v>#REF!</v>
      </c>
      <c r="E2159" s="20" t="str">
        <f t="shared" si="1270"/>
        <v>#REF!</v>
      </c>
      <c r="F2159" s="22" t="str">
        <f t="shared" si="2"/>
        <v>#REF!</v>
      </c>
      <c r="G2159" s="20" t="str">
        <f t="shared" ref="G2159:I2159" si="6471">#REF!</f>
        <v>#REF!</v>
      </c>
      <c r="H2159" s="20" t="str">
        <f t="shared" si="6471"/>
        <v>#REF!</v>
      </c>
      <c r="I2159" s="20" t="str">
        <f t="shared" si="6471"/>
        <v>#REF!</v>
      </c>
      <c r="J2159" s="20" t="str">
        <f t="shared" si="1272"/>
        <v>#REF!</v>
      </c>
      <c r="K2159" s="20" t="str">
        <f t="shared" ref="K2159:L2159" si="6472">#REF!</f>
        <v>#REF!</v>
      </c>
      <c r="L2159" s="20" t="str">
        <f t="shared" si="6472"/>
        <v>#REF!</v>
      </c>
    </row>
    <row r="2160">
      <c r="A2160" s="20" t="str">
        <f t="shared" si="1267"/>
        <v>#REF!</v>
      </c>
      <c r="B2160" s="20" t="str">
        <f t="shared" si="1268"/>
        <v>#REF!</v>
      </c>
      <c r="C2160" s="20" t="str">
        <f t="shared" ref="C2160:D2160" si="6473">#REF!</f>
        <v>#REF!</v>
      </c>
      <c r="D2160" s="20" t="str">
        <f t="shared" si="6473"/>
        <v>#REF!</v>
      </c>
      <c r="E2160" s="20" t="str">
        <f t="shared" si="1270"/>
        <v>#REF!</v>
      </c>
      <c r="F2160" s="22" t="str">
        <f t="shared" si="2"/>
        <v>#REF!</v>
      </c>
      <c r="G2160" s="20" t="str">
        <f t="shared" ref="G2160:I2160" si="6474">#REF!</f>
        <v>#REF!</v>
      </c>
      <c r="H2160" s="20" t="str">
        <f t="shared" si="6474"/>
        <v>#REF!</v>
      </c>
      <c r="I2160" s="20" t="str">
        <f t="shared" si="6474"/>
        <v>#REF!</v>
      </c>
      <c r="J2160" s="20" t="str">
        <f t="shared" si="1272"/>
        <v>#REF!</v>
      </c>
      <c r="K2160" s="20" t="str">
        <f t="shared" ref="K2160:L2160" si="6475">#REF!</f>
        <v>#REF!</v>
      </c>
      <c r="L2160" s="20" t="str">
        <f t="shared" si="6475"/>
        <v>#REF!</v>
      </c>
    </row>
    <row r="2161">
      <c r="A2161" s="20" t="str">
        <f t="shared" si="1267"/>
        <v>#REF!</v>
      </c>
      <c r="B2161" s="20" t="str">
        <f t="shared" si="1268"/>
        <v>#REF!</v>
      </c>
      <c r="C2161" s="20" t="str">
        <f t="shared" ref="C2161:D2161" si="6476">#REF!</f>
        <v>#REF!</v>
      </c>
      <c r="D2161" s="20" t="str">
        <f t="shared" si="6476"/>
        <v>#REF!</v>
      </c>
      <c r="E2161" s="20" t="str">
        <f t="shared" si="1270"/>
        <v>#REF!</v>
      </c>
      <c r="F2161" s="22" t="str">
        <f t="shared" si="2"/>
        <v>#REF!</v>
      </c>
      <c r="G2161" s="20" t="str">
        <f t="shared" ref="G2161:I2161" si="6477">#REF!</f>
        <v>#REF!</v>
      </c>
      <c r="H2161" s="20" t="str">
        <f t="shared" si="6477"/>
        <v>#REF!</v>
      </c>
      <c r="I2161" s="20" t="str">
        <f t="shared" si="6477"/>
        <v>#REF!</v>
      </c>
      <c r="J2161" s="20" t="str">
        <f t="shared" si="1272"/>
        <v>#REF!</v>
      </c>
      <c r="K2161" s="20" t="str">
        <f t="shared" ref="K2161:L2161" si="6478">#REF!</f>
        <v>#REF!</v>
      </c>
      <c r="L2161" s="20" t="str">
        <f t="shared" si="6478"/>
        <v>#REF!</v>
      </c>
    </row>
    <row r="2162">
      <c r="A2162" s="20" t="str">
        <f t="shared" si="1267"/>
        <v>#REF!</v>
      </c>
      <c r="B2162" s="20" t="str">
        <f t="shared" si="1268"/>
        <v>#REF!</v>
      </c>
      <c r="C2162" s="20" t="str">
        <f t="shared" ref="C2162:D2162" si="6479">#REF!</f>
        <v>#REF!</v>
      </c>
      <c r="D2162" s="20" t="str">
        <f t="shared" si="6479"/>
        <v>#REF!</v>
      </c>
      <c r="E2162" s="20" t="str">
        <f t="shared" si="1270"/>
        <v>#REF!</v>
      </c>
      <c r="F2162" s="22" t="str">
        <f t="shared" si="2"/>
        <v>#REF!</v>
      </c>
      <c r="G2162" s="20" t="str">
        <f t="shared" ref="G2162:I2162" si="6480">#REF!</f>
        <v>#REF!</v>
      </c>
      <c r="H2162" s="20" t="str">
        <f t="shared" si="6480"/>
        <v>#REF!</v>
      </c>
      <c r="I2162" s="20" t="str">
        <f t="shared" si="6480"/>
        <v>#REF!</v>
      </c>
      <c r="J2162" s="20" t="str">
        <f t="shared" si="1272"/>
        <v>#REF!</v>
      </c>
      <c r="K2162" s="20" t="str">
        <f t="shared" ref="K2162:L2162" si="6481">#REF!</f>
        <v>#REF!</v>
      </c>
      <c r="L2162" s="20" t="str">
        <f t="shared" si="6481"/>
        <v>#REF!</v>
      </c>
    </row>
    <row r="2163">
      <c r="A2163" s="20" t="str">
        <f t="shared" si="1267"/>
        <v>#REF!</v>
      </c>
      <c r="B2163" s="20" t="str">
        <f t="shared" si="1268"/>
        <v>#REF!</v>
      </c>
      <c r="C2163" s="20" t="str">
        <f t="shared" ref="C2163:D2163" si="6482">#REF!</f>
        <v>#REF!</v>
      </c>
      <c r="D2163" s="20" t="str">
        <f t="shared" si="6482"/>
        <v>#REF!</v>
      </c>
      <c r="E2163" s="20" t="str">
        <f t="shared" si="1270"/>
        <v>#REF!</v>
      </c>
      <c r="F2163" s="22" t="str">
        <f t="shared" si="2"/>
        <v>#REF!</v>
      </c>
      <c r="G2163" s="20" t="str">
        <f t="shared" ref="G2163:I2163" si="6483">#REF!</f>
        <v>#REF!</v>
      </c>
      <c r="H2163" s="20" t="str">
        <f t="shared" si="6483"/>
        <v>#REF!</v>
      </c>
      <c r="I2163" s="20" t="str">
        <f t="shared" si="6483"/>
        <v>#REF!</v>
      </c>
      <c r="J2163" s="20" t="str">
        <f t="shared" si="1272"/>
        <v>#REF!</v>
      </c>
      <c r="K2163" s="20" t="str">
        <f t="shared" ref="K2163:L2163" si="6484">#REF!</f>
        <v>#REF!</v>
      </c>
      <c r="L2163" s="20" t="str">
        <f t="shared" si="6484"/>
        <v>#REF!</v>
      </c>
    </row>
    <row r="2164">
      <c r="A2164" s="20" t="str">
        <f t="shared" si="1267"/>
        <v>#REF!</v>
      </c>
      <c r="B2164" s="20" t="str">
        <f t="shared" si="1268"/>
        <v>#REF!</v>
      </c>
      <c r="C2164" s="20" t="str">
        <f t="shared" ref="C2164:D2164" si="6485">#REF!</f>
        <v>#REF!</v>
      </c>
      <c r="D2164" s="20" t="str">
        <f t="shared" si="6485"/>
        <v>#REF!</v>
      </c>
      <c r="E2164" s="20" t="str">
        <f t="shared" si="1270"/>
        <v>#REF!</v>
      </c>
      <c r="F2164" s="22" t="str">
        <f t="shared" si="2"/>
        <v>#REF!</v>
      </c>
      <c r="G2164" s="20" t="str">
        <f t="shared" ref="G2164:I2164" si="6486">#REF!</f>
        <v>#REF!</v>
      </c>
      <c r="H2164" s="20" t="str">
        <f t="shared" si="6486"/>
        <v>#REF!</v>
      </c>
      <c r="I2164" s="20" t="str">
        <f t="shared" si="6486"/>
        <v>#REF!</v>
      </c>
      <c r="J2164" s="20" t="str">
        <f t="shared" si="1272"/>
        <v>#REF!</v>
      </c>
      <c r="K2164" s="20" t="str">
        <f t="shared" ref="K2164:L2164" si="6487">#REF!</f>
        <v>#REF!</v>
      </c>
      <c r="L2164" s="20" t="str">
        <f t="shared" si="6487"/>
        <v>#REF!</v>
      </c>
    </row>
    <row r="2165">
      <c r="A2165" s="20" t="str">
        <f t="shared" si="1267"/>
        <v>#REF!</v>
      </c>
      <c r="B2165" s="20" t="str">
        <f t="shared" si="1268"/>
        <v>#REF!</v>
      </c>
      <c r="C2165" s="20" t="str">
        <f t="shared" ref="C2165:D2165" si="6488">#REF!</f>
        <v>#REF!</v>
      </c>
      <c r="D2165" s="20" t="str">
        <f t="shared" si="6488"/>
        <v>#REF!</v>
      </c>
      <c r="E2165" s="20" t="str">
        <f t="shared" si="1270"/>
        <v>#REF!</v>
      </c>
      <c r="F2165" s="22" t="str">
        <f t="shared" si="2"/>
        <v>#REF!</v>
      </c>
      <c r="G2165" s="20" t="str">
        <f t="shared" ref="G2165:I2165" si="6489">#REF!</f>
        <v>#REF!</v>
      </c>
      <c r="H2165" s="20" t="str">
        <f t="shared" si="6489"/>
        <v>#REF!</v>
      </c>
      <c r="I2165" s="20" t="str">
        <f t="shared" si="6489"/>
        <v>#REF!</v>
      </c>
      <c r="J2165" s="20" t="str">
        <f t="shared" si="1272"/>
        <v>#REF!</v>
      </c>
      <c r="K2165" s="20" t="str">
        <f t="shared" ref="K2165:L2165" si="6490">#REF!</f>
        <v>#REF!</v>
      </c>
      <c r="L2165" s="20" t="str">
        <f t="shared" si="6490"/>
        <v>#REF!</v>
      </c>
    </row>
    <row r="2166">
      <c r="A2166" s="20" t="str">
        <f t="shared" si="1267"/>
        <v>#REF!</v>
      </c>
      <c r="B2166" s="20" t="str">
        <f t="shared" si="1268"/>
        <v>#REF!</v>
      </c>
      <c r="C2166" s="20" t="str">
        <f t="shared" ref="C2166:D2166" si="6491">#REF!</f>
        <v>#REF!</v>
      </c>
      <c r="D2166" s="20" t="str">
        <f t="shared" si="6491"/>
        <v>#REF!</v>
      </c>
      <c r="E2166" s="20" t="str">
        <f t="shared" si="1270"/>
        <v>#REF!</v>
      </c>
      <c r="F2166" s="22" t="str">
        <f t="shared" si="2"/>
        <v>#REF!</v>
      </c>
      <c r="G2166" s="20" t="str">
        <f t="shared" ref="G2166:I2166" si="6492">#REF!</f>
        <v>#REF!</v>
      </c>
      <c r="H2166" s="20" t="str">
        <f t="shared" si="6492"/>
        <v>#REF!</v>
      </c>
      <c r="I2166" s="20" t="str">
        <f t="shared" si="6492"/>
        <v>#REF!</v>
      </c>
      <c r="J2166" s="20" t="str">
        <f t="shared" si="1272"/>
        <v>#REF!</v>
      </c>
      <c r="K2166" s="20" t="str">
        <f t="shared" ref="K2166:L2166" si="6493">#REF!</f>
        <v>#REF!</v>
      </c>
      <c r="L2166" s="20" t="str">
        <f t="shared" si="6493"/>
        <v>#REF!</v>
      </c>
    </row>
    <row r="2167">
      <c r="A2167" s="20" t="str">
        <f t="shared" si="1267"/>
        <v>#REF!</v>
      </c>
      <c r="B2167" s="20" t="str">
        <f t="shared" si="1268"/>
        <v>#REF!</v>
      </c>
      <c r="C2167" s="20" t="str">
        <f t="shared" ref="C2167:D2167" si="6494">#REF!</f>
        <v>#REF!</v>
      </c>
      <c r="D2167" s="20" t="str">
        <f t="shared" si="6494"/>
        <v>#REF!</v>
      </c>
      <c r="E2167" s="20" t="str">
        <f t="shared" si="1270"/>
        <v>#REF!</v>
      </c>
      <c r="F2167" s="22" t="str">
        <f t="shared" si="2"/>
        <v>#REF!</v>
      </c>
      <c r="G2167" s="20" t="str">
        <f t="shared" ref="G2167:I2167" si="6495">#REF!</f>
        <v>#REF!</v>
      </c>
      <c r="H2167" s="20" t="str">
        <f t="shared" si="6495"/>
        <v>#REF!</v>
      </c>
      <c r="I2167" s="20" t="str">
        <f t="shared" si="6495"/>
        <v>#REF!</v>
      </c>
      <c r="J2167" s="20" t="str">
        <f t="shared" si="1272"/>
        <v>#REF!</v>
      </c>
      <c r="K2167" s="20" t="str">
        <f t="shared" ref="K2167:L2167" si="6496">#REF!</f>
        <v>#REF!</v>
      </c>
      <c r="L2167" s="20" t="str">
        <f t="shared" si="6496"/>
        <v>#REF!</v>
      </c>
    </row>
    <row r="2168">
      <c r="A2168" s="20" t="str">
        <f t="shared" si="1267"/>
        <v>#REF!</v>
      </c>
      <c r="B2168" s="20" t="str">
        <f t="shared" si="1268"/>
        <v>#REF!</v>
      </c>
      <c r="C2168" s="20" t="str">
        <f t="shared" ref="C2168:D2168" si="6497">#REF!</f>
        <v>#REF!</v>
      </c>
      <c r="D2168" s="20" t="str">
        <f t="shared" si="6497"/>
        <v>#REF!</v>
      </c>
      <c r="E2168" s="20" t="str">
        <f t="shared" si="1270"/>
        <v>#REF!</v>
      </c>
      <c r="F2168" s="22" t="str">
        <f t="shared" si="2"/>
        <v>#REF!</v>
      </c>
      <c r="G2168" s="20" t="str">
        <f t="shared" ref="G2168:I2168" si="6498">#REF!</f>
        <v>#REF!</v>
      </c>
      <c r="H2168" s="20" t="str">
        <f t="shared" si="6498"/>
        <v>#REF!</v>
      </c>
      <c r="I2168" s="20" t="str">
        <f t="shared" si="6498"/>
        <v>#REF!</v>
      </c>
      <c r="J2168" s="20" t="str">
        <f t="shared" si="1272"/>
        <v>#REF!</v>
      </c>
      <c r="K2168" s="20" t="str">
        <f t="shared" ref="K2168:L2168" si="6499">#REF!</f>
        <v>#REF!</v>
      </c>
      <c r="L2168" s="20" t="str">
        <f t="shared" si="6499"/>
        <v>#REF!</v>
      </c>
    </row>
    <row r="2169">
      <c r="A2169" s="20" t="str">
        <f t="shared" si="1267"/>
        <v>#REF!</v>
      </c>
      <c r="B2169" s="20" t="str">
        <f t="shared" si="1268"/>
        <v>#REF!</v>
      </c>
      <c r="C2169" s="20" t="str">
        <f t="shared" ref="C2169:D2169" si="6500">#REF!</f>
        <v>#REF!</v>
      </c>
      <c r="D2169" s="20" t="str">
        <f t="shared" si="6500"/>
        <v>#REF!</v>
      </c>
      <c r="E2169" s="20" t="str">
        <f t="shared" si="1270"/>
        <v>#REF!</v>
      </c>
      <c r="F2169" s="22" t="str">
        <f t="shared" si="2"/>
        <v>#REF!</v>
      </c>
      <c r="G2169" s="20" t="str">
        <f t="shared" ref="G2169:I2169" si="6501">#REF!</f>
        <v>#REF!</v>
      </c>
      <c r="H2169" s="20" t="str">
        <f t="shared" si="6501"/>
        <v>#REF!</v>
      </c>
      <c r="I2169" s="20" t="str">
        <f t="shared" si="6501"/>
        <v>#REF!</v>
      </c>
      <c r="J2169" s="20" t="str">
        <f t="shared" si="1272"/>
        <v>#REF!</v>
      </c>
      <c r="K2169" s="20" t="str">
        <f t="shared" ref="K2169:L2169" si="6502">#REF!</f>
        <v>#REF!</v>
      </c>
      <c r="L2169" s="20" t="str">
        <f t="shared" si="6502"/>
        <v>#REF!</v>
      </c>
    </row>
    <row r="2170">
      <c r="A2170" s="20" t="str">
        <f t="shared" si="1267"/>
        <v>#REF!</v>
      </c>
      <c r="B2170" s="20" t="str">
        <f t="shared" si="1268"/>
        <v>#REF!</v>
      </c>
      <c r="C2170" s="20" t="str">
        <f t="shared" ref="C2170:D2170" si="6503">#REF!</f>
        <v>#REF!</v>
      </c>
      <c r="D2170" s="20" t="str">
        <f t="shared" si="6503"/>
        <v>#REF!</v>
      </c>
      <c r="E2170" s="20" t="str">
        <f t="shared" si="1270"/>
        <v>#REF!</v>
      </c>
      <c r="F2170" s="22" t="str">
        <f t="shared" si="2"/>
        <v>#REF!</v>
      </c>
      <c r="G2170" s="20" t="str">
        <f t="shared" ref="G2170:I2170" si="6504">#REF!</f>
        <v>#REF!</v>
      </c>
      <c r="H2170" s="20" t="str">
        <f t="shared" si="6504"/>
        <v>#REF!</v>
      </c>
      <c r="I2170" s="20" t="str">
        <f t="shared" si="6504"/>
        <v>#REF!</v>
      </c>
      <c r="J2170" s="20" t="str">
        <f t="shared" si="1272"/>
        <v>#REF!</v>
      </c>
      <c r="K2170" s="20" t="str">
        <f t="shared" ref="K2170:L2170" si="6505">#REF!</f>
        <v>#REF!</v>
      </c>
      <c r="L2170" s="20" t="str">
        <f t="shared" si="6505"/>
        <v>#REF!</v>
      </c>
    </row>
    <row r="2171">
      <c r="A2171" s="20" t="str">
        <f t="shared" si="1267"/>
        <v>#REF!</v>
      </c>
      <c r="B2171" s="20" t="str">
        <f t="shared" si="1268"/>
        <v>#REF!</v>
      </c>
      <c r="C2171" s="20" t="str">
        <f t="shared" ref="C2171:D2171" si="6506">#REF!</f>
        <v>#REF!</v>
      </c>
      <c r="D2171" s="20" t="str">
        <f t="shared" si="6506"/>
        <v>#REF!</v>
      </c>
      <c r="E2171" s="20" t="str">
        <f t="shared" si="1270"/>
        <v>#REF!</v>
      </c>
      <c r="F2171" s="22" t="str">
        <f t="shared" si="2"/>
        <v>#REF!</v>
      </c>
      <c r="G2171" s="20" t="str">
        <f t="shared" ref="G2171:I2171" si="6507">#REF!</f>
        <v>#REF!</v>
      </c>
      <c r="H2171" s="20" t="str">
        <f t="shared" si="6507"/>
        <v>#REF!</v>
      </c>
      <c r="I2171" s="20" t="str">
        <f t="shared" si="6507"/>
        <v>#REF!</v>
      </c>
      <c r="J2171" s="20" t="str">
        <f t="shared" si="1272"/>
        <v>#REF!</v>
      </c>
      <c r="K2171" s="20" t="str">
        <f t="shared" ref="K2171:L2171" si="6508">#REF!</f>
        <v>#REF!</v>
      </c>
      <c r="L2171" s="20" t="str">
        <f t="shared" si="6508"/>
        <v>#REF!</v>
      </c>
    </row>
    <row r="2172">
      <c r="A2172" s="20" t="str">
        <f t="shared" si="1267"/>
        <v>#REF!</v>
      </c>
      <c r="B2172" s="20" t="str">
        <f t="shared" si="1268"/>
        <v>#REF!</v>
      </c>
      <c r="C2172" s="20" t="str">
        <f t="shared" ref="C2172:D2172" si="6509">#REF!</f>
        <v>#REF!</v>
      </c>
      <c r="D2172" s="20" t="str">
        <f t="shared" si="6509"/>
        <v>#REF!</v>
      </c>
      <c r="E2172" s="20" t="str">
        <f t="shared" si="1270"/>
        <v>#REF!</v>
      </c>
      <c r="F2172" s="22" t="str">
        <f t="shared" si="2"/>
        <v>#REF!</v>
      </c>
      <c r="G2172" s="20" t="str">
        <f t="shared" ref="G2172:I2172" si="6510">#REF!</f>
        <v>#REF!</v>
      </c>
      <c r="H2172" s="20" t="str">
        <f t="shared" si="6510"/>
        <v>#REF!</v>
      </c>
      <c r="I2172" s="20" t="str">
        <f t="shared" si="6510"/>
        <v>#REF!</v>
      </c>
      <c r="J2172" s="20" t="str">
        <f t="shared" si="1272"/>
        <v>#REF!</v>
      </c>
      <c r="K2172" s="20" t="str">
        <f t="shared" ref="K2172:L2172" si="6511">#REF!</f>
        <v>#REF!</v>
      </c>
      <c r="L2172" s="20" t="str">
        <f t="shared" si="6511"/>
        <v>#REF!</v>
      </c>
    </row>
    <row r="2173">
      <c r="A2173" s="20" t="str">
        <f t="shared" si="1267"/>
        <v>#REF!</v>
      </c>
      <c r="B2173" s="20" t="str">
        <f t="shared" si="1268"/>
        <v>#REF!</v>
      </c>
      <c r="C2173" s="20" t="str">
        <f t="shared" ref="C2173:D2173" si="6512">#REF!</f>
        <v>#REF!</v>
      </c>
      <c r="D2173" s="20" t="str">
        <f t="shared" si="6512"/>
        <v>#REF!</v>
      </c>
      <c r="E2173" s="20" t="str">
        <f t="shared" si="1270"/>
        <v>#REF!</v>
      </c>
      <c r="F2173" s="22" t="str">
        <f t="shared" si="2"/>
        <v>#REF!</v>
      </c>
      <c r="G2173" s="20" t="str">
        <f t="shared" ref="G2173:I2173" si="6513">#REF!</f>
        <v>#REF!</v>
      </c>
      <c r="H2173" s="20" t="str">
        <f t="shared" si="6513"/>
        <v>#REF!</v>
      </c>
      <c r="I2173" s="20" t="str">
        <f t="shared" si="6513"/>
        <v>#REF!</v>
      </c>
      <c r="J2173" s="20" t="str">
        <f t="shared" si="1272"/>
        <v>#REF!</v>
      </c>
      <c r="K2173" s="20" t="str">
        <f t="shared" ref="K2173:L2173" si="6514">#REF!</f>
        <v>#REF!</v>
      </c>
      <c r="L2173" s="20" t="str">
        <f t="shared" si="6514"/>
        <v>#REF!</v>
      </c>
    </row>
    <row r="2174">
      <c r="A2174" s="20" t="str">
        <f t="shared" si="1267"/>
        <v>#REF!</v>
      </c>
      <c r="B2174" s="20" t="str">
        <f t="shared" si="1268"/>
        <v>#REF!</v>
      </c>
      <c r="C2174" s="20" t="str">
        <f t="shared" ref="C2174:D2174" si="6515">#REF!</f>
        <v>#REF!</v>
      </c>
      <c r="D2174" s="20" t="str">
        <f t="shared" si="6515"/>
        <v>#REF!</v>
      </c>
      <c r="E2174" s="20" t="str">
        <f t="shared" si="1270"/>
        <v>#REF!</v>
      </c>
      <c r="F2174" s="22" t="str">
        <f t="shared" si="2"/>
        <v>#REF!</v>
      </c>
      <c r="G2174" s="20" t="str">
        <f t="shared" ref="G2174:I2174" si="6516">#REF!</f>
        <v>#REF!</v>
      </c>
      <c r="H2174" s="20" t="str">
        <f t="shared" si="6516"/>
        <v>#REF!</v>
      </c>
      <c r="I2174" s="20" t="str">
        <f t="shared" si="6516"/>
        <v>#REF!</v>
      </c>
      <c r="J2174" s="20" t="str">
        <f t="shared" si="1272"/>
        <v>#REF!</v>
      </c>
      <c r="K2174" s="20" t="str">
        <f t="shared" ref="K2174:L2174" si="6517">#REF!</f>
        <v>#REF!</v>
      </c>
      <c r="L2174" s="20" t="str">
        <f t="shared" si="6517"/>
        <v>#REF!</v>
      </c>
    </row>
    <row r="2175">
      <c r="A2175" s="20" t="str">
        <f t="shared" si="1267"/>
        <v>#REF!</v>
      </c>
      <c r="B2175" s="20" t="str">
        <f t="shared" si="1268"/>
        <v>#REF!</v>
      </c>
      <c r="C2175" s="20" t="str">
        <f t="shared" ref="C2175:D2175" si="6518">#REF!</f>
        <v>#REF!</v>
      </c>
      <c r="D2175" s="20" t="str">
        <f t="shared" si="6518"/>
        <v>#REF!</v>
      </c>
      <c r="E2175" s="20" t="str">
        <f t="shared" si="1270"/>
        <v>#REF!</v>
      </c>
      <c r="F2175" s="22" t="str">
        <f t="shared" si="2"/>
        <v>#REF!</v>
      </c>
      <c r="G2175" s="20" t="str">
        <f t="shared" ref="G2175:I2175" si="6519">#REF!</f>
        <v>#REF!</v>
      </c>
      <c r="H2175" s="20" t="str">
        <f t="shared" si="6519"/>
        <v>#REF!</v>
      </c>
      <c r="I2175" s="20" t="str">
        <f t="shared" si="6519"/>
        <v>#REF!</v>
      </c>
      <c r="J2175" s="20" t="str">
        <f t="shared" si="1272"/>
        <v>#REF!</v>
      </c>
      <c r="K2175" s="20" t="str">
        <f t="shared" ref="K2175:L2175" si="6520">#REF!</f>
        <v>#REF!</v>
      </c>
      <c r="L2175" s="20" t="str">
        <f t="shared" si="6520"/>
        <v>#REF!</v>
      </c>
    </row>
    <row r="2176">
      <c r="A2176" s="20" t="str">
        <f t="shared" si="1267"/>
        <v>#REF!</v>
      </c>
      <c r="B2176" s="20" t="str">
        <f t="shared" si="1268"/>
        <v>#REF!</v>
      </c>
      <c r="C2176" s="20" t="str">
        <f t="shared" ref="C2176:D2176" si="6521">#REF!</f>
        <v>#REF!</v>
      </c>
      <c r="D2176" s="20" t="str">
        <f t="shared" si="6521"/>
        <v>#REF!</v>
      </c>
      <c r="E2176" s="20" t="str">
        <f t="shared" si="1270"/>
        <v>#REF!</v>
      </c>
      <c r="F2176" s="22" t="str">
        <f t="shared" si="2"/>
        <v>#REF!</v>
      </c>
      <c r="G2176" s="20" t="str">
        <f t="shared" ref="G2176:I2176" si="6522">#REF!</f>
        <v>#REF!</v>
      </c>
      <c r="H2176" s="20" t="str">
        <f t="shared" si="6522"/>
        <v>#REF!</v>
      </c>
      <c r="I2176" s="20" t="str">
        <f t="shared" si="6522"/>
        <v>#REF!</v>
      </c>
      <c r="J2176" s="20" t="str">
        <f t="shared" si="1272"/>
        <v>#REF!</v>
      </c>
      <c r="K2176" s="20" t="str">
        <f t="shared" ref="K2176:L2176" si="6523">#REF!</f>
        <v>#REF!</v>
      </c>
      <c r="L2176" s="20" t="str">
        <f t="shared" si="6523"/>
        <v>#REF!</v>
      </c>
    </row>
    <row r="2177">
      <c r="A2177" s="20" t="str">
        <f t="shared" si="1267"/>
        <v>#REF!</v>
      </c>
      <c r="B2177" s="20" t="str">
        <f t="shared" si="1268"/>
        <v>#REF!</v>
      </c>
      <c r="C2177" s="20" t="str">
        <f t="shared" ref="C2177:D2177" si="6524">#REF!</f>
        <v>#REF!</v>
      </c>
      <c r="D2177" s="20" t="str">
        <f t="shared" si="6524"/>
        <v>#REF!</v>
      </c>
      <c r="E2177" s="20" t="str">
        <f t="shared" si="1270"/>
        <v>#REF!</v>
      </c>
      <c r="F2177" s="22" t="str">
        <f t="shared" si="2"/>
        <v>#REF!</v>
      </c>
      <c r="G2177" s="20" t="str">
        <f t="shared" ref="G2177:I2177" si="6525">#REF!</f>
        <v>#REF!</v>
      </c>
      <c r="H2177" s="20" t="str">
        <f t="shared" si="6525"/>
        <v>#REF!</v>
      </c>
      <c r="I2177" s="20" t="str">
        <f t="shared" si="6525"/>
        <v>#REF!</v>
      </c>
      <c r="J2177" s="20" t="str">
        <f t="shared" si="1272"/>
        <v>#REF!</v>
      </c>
      <c r="K2177" s="20" t="str">
        <f t="shared" ref="K2177:L2177" si="6526">#REF!</f>
        <v>#REF!</v>
      </c>
      <c r="L2177" s="20" t="str">
        <f t="shared" si="6526"/>
        <v>#REF!</v>
      </c>
    </row>
    <row r="2178">
      <c r="A2178" s="20" t="str">
        <f t="shared" si="1267"/>
        <v>#REF!</v>
      </c>
      <c r="B2178" s="20" t="str">
        <f t="shared" si="1268"/>
        <v>#REF!</v>
      </c>
      <c r="C2178" s="20" t="str">
        <f t="shared" ref="C2178:D2178" si="6527">#REF!</f>
        <v>#REF!</v>
      </c>
      <c r="D2178" s="20" t="str">
        <f t="shared" si="6527"/>
        <v>#REF!</v>
      </c>
      <c r="E2178" s="20" t="str">
        <f t="shared" si="1270"/>
        <v>#REF!</v>
      </c>
      <c r="F2178" s="22" t="str">
        <f t="shared" si="2"/>
        <v>#REF!</v>
      </c>
      <c r="G2178" s="20" t="str">
        <f t="shared" ref="G2178:I2178" si="6528">#REF!</f>
        <v>#REF!</v>
      </c>
      <c r="H2178" s="20" t="str">
        <f t="shared" si="6528"/>
        <v>#REF!</v>
      </c>
      <c r="I2178" s="20" t="str">
        <f t="shared" si="6528"/>
        <v>#REF!</v>
      </c>
      <c r="J2178" s="20" t="str">
        <f t="shared" si="1272"/>
        <v>#REF!</v>
      </c>
      <c r="K2178" s="20" t="str">
        <f t="shared" ref="K2178:L2178" si="6529">#REF!</f>
        <v>#REF!</v>
      </c>
      <c r="L2178" s="20" t="str">
        <f t="shared" si="6529"/>
        <v>#REF!</v>
      </c>
    </row>
    <row r="2179">
      <c r="A2179" s="20" t="str">
        <f t="shared" si="1267"/>
        <v>#REF!</v>
      </c>
      <c r="B2179" s="20" t="str">
        <f t="shared" si="1268"/>
        <v>#REF!</v>
      </c>
      <c r="C2179" s="20" t="str">
        <f t="shared" ref="C2179:D2179" si="6530">#REF!</f>
        <v>#REF!</v>
      </c>
      <c r="D2179" s="20" t="str">
        <f t="shared" si="6530"/>
        <v>#REF!</v>
      </c>
      <c r="E2179" s="20" t="str">
        <f t="shared" si="1270"/>
        <v>#REF!</v>
      </c>
      <c r="F2179" s="22" t="str">
        <f t="shared" si="2"/>
        <v>#REF!</v>
      </c>
      <c r="G2179" s="20" t="str">
        <f t="shared" ref="G2179:I2179" si="6531">#REF!</f>
        <v>#REF!</v>
      </c>
      <c r="H2179" s="20" t="str">
        <f t="shared" si="6531"/>
        <v>#REF!</v>
      </c>
      <c r="I2179" s="20" t="str">
        <f t="shared" si="6531"/>
        <v>#REF!</v>
      </c>
      <c r="J2179" s="20" t="str">
        <f t="shared" si="1272"/>
        <v>#REF!</v>
      </c>
      <c r="K2179" s="20" t="str">
        <f t="shared" ref="K2179:L2179" si="6532">#REF!</f>
        <v>#REF!</v>
      </c>
      <c r="L2179" s="20" t="str">
        <f t="shared" si="6532"/>
        <v>#REF!</v>
      </c>
    </row>
    <row r="2180">
      <c r="A2180" s="20" t="str">
        <f t="shared" si="1267"/>
        <v>#REF!</v>
      </c>
      <c r="B2180" s="20" t="str">
        <f t="shared" si="1268"/>
        <v>#REF!</v>
      </c>
      <c r="C2180" s="20" t="str">
        <f t="shared" ref="C2180:D2180" si="6533">#REF!</f>
        <v>#REF!</v>
      </c>
      <c r="D2180" s="20" t="str">
        <f t="shared" si="6533"/>
        <v>#REF!</v>
      </c>
      <c r="E2180" s="20" t="str">
        <f t="shared" si="1270"/>
        <v>#REF!</v>
      </c>
      <c r="F2180" s="22" t="str">
        <f t="shared" si="2"/>
        <v>#REF!</v>
      </c>
      <c r="G2180" s="20" t="str">
        <f t="shared" ref="G2180:I2180" si="6534">#REF!</f>
        <v>#REF!</v>
      </c>
      <c r="H2180" s="20" t="str">
        <f t="shared" si="6534"/>
        <v>#REF!</v>
      </c>
      <c r="I2180" s="20" t="str">
        <f t="shared" si="6534"/>
        <v>#REF!</v>
      </c>
      <c r="J2180" s="20" t="str">
        <f t="shared" si="1272"/>
        <v>#REF!</v>
      </c>
      <c r="K2180" s="20" t="str">
        <f t="shared" ref="K2180:L2180" si="6535">#REF!</f>
        <v>#REF!</v>
      </c>
      <c r="L2180" s="20" t="str">
        <f t="shared" si="6535"/>
        <v>#REF!</v>
      </c>
    </row>
    <row r="2181">
      <c r="A2181" s="20" t="str">
        <f t="shared" si="1267"/>
        <v>#REF!</v>
      </c>
      <c r="B2181" s="20" t="str">
        <f t="shared" si="1268"/>
        <v>#REF!</v>
      </c>
      <c r="C2181" s="20" t="str">
        <f t="shared" ref="C2181:D2181" si="6536">#REF!</f>
        <v>#REF!</v>
      </c>
      <c r="D2181" s="20" t="str">
        <f t="shared" si="6536"/>
        <v>#REF!</v>
      </c>
      <c r="E2181" s="20" t="str">
        <f t="shared" si="1270"/>
        <v>#REF!</v>
      </c>
      <c r="F2181" s="22" t="str">
        <f t="shared" si="2"/>
        <v>#REF!</v>
      </c>
      <c r="G2181" s="20" t="str">
        <f t="shared" ref="G2181:I2181" si="6537">#REF!</f>
        <v>#REF!</v>
      </c>
      <c r="H2181" s="20" t="str">
        <f t="shared" si="6537"/>
        <v>#REF!</v>
      </c>
      <c r="I2181" s="20" t="str">
        <f t="shared" si="6537"/>
        <v>#REF!</v>
      </c>
      <c r="J2181" s="20" t="str">
        <f t="shared" si="1272"/>
        <v>#REF!</v>
      </c>
      <c r="K2181" s="20" t="str">
        <f t="shared" ref="K2181:L2181" si="6538">#REF!</f>
        <v>#REF!</v>
      </c>
      <c r="L2181" s="20" t="str">
        <f t="shared" si="6538"/>
        <v>#REF!</v>
      </c>
    </row>
    <row r="2182">
      <c r="A2182" s="20" t="str">
        <f t="shared" si="1267"/>
        <v>#REF!</v>
      </c>
      <c r="B2182" s="20" t="str">
        <f t="shared" si="1268"/>
        <v>#REF!</v>
      </c>
      <c r="C2182" s="20" t="str">
        <f t="shared" ref="C2182:D2182" si="6539">#REF!</f>
        <v>#REF!</v>
      </c>
      <c r="D2182" s="20" t="str">
        <f t="shared" si="6539"/>
        <v>#REF!</v>
      </c>
      <c r="E2182" s="20" t="str">
        <f t="shared" si="1270"/>
        <v>#REF!</v>
      </c>
      <c r="F2182" s="22" t="str">
        <f t="shared" si="2"/>
        <v>#REF!</v>
      </c>
      <c r="G2182" s="20" t="str">
        <f t="shared" ref="G2182:I2182" si="6540">#REF!</f>
        <v>#REF!</v>
      </c>
      <c r="H2182" s="20" t="str">
        <f t="shared" si="6540"/>
        <v>#REF!</v>
      </c>
      <c r="I2182" s="20" t="str">
        <f t="shared" si="6540"/>
        <v>#REF!</v>
      </c>
      <c r="J2182" s="20" t="str">
        <f t="shared" si="1272"/>
        <v>#REF!</v>
      </c>
      <c r="K2182" s="20" t="str">
        <f t="shared" ref="K2182:L2182" si="6541">#REF!</f>
        <v>#REF!</v>
      </c>
      <c r="L2182" s="20" t="str">
        <f t="shared" si="6541"/>
        <v>#REF!</v>
      </c>
    </row>
    <row r="2183">
      <c r="A2183" s="20" t="str">
        <f t="shared" si="1267"/>
        <v>#REF!</v>
      </c>
      <c r="B2183" s="20" t="str">
        <f t="shared" si="1268"/>
        <v>#REF!</v>
      </c>
      <c r="C2183" s="20" t="str">
        <f t="shared" ref="C2183:D2183" si="6542">#REF!</f>
        <v>#REF!</v>
      </c>
      <c r="D2183" s="20" t="str">
        <f t="shared" si="6542"/>
        <v>#REF!</v>
      </c>
      <c r="E2183" s="20" t="str">
        <f t="shared" si="1270"/>
        <v>#REF!</v>
      </c>
      <c r="F2183" s="22" t="str">
        <f t="shared" si="2"/>
        <v>#REF!</v>
      </c>
      <c r="G2183" s="20" t="str">
        <f t="shared" ref="G2183:I2183" si="6543">#REF!</f>
        <v>#REF!</v>
      </c>
      <c r="H2183" s="20" t="str">
        <f t="shared" si="6543"/>
        <v>#REF!</v>
      </c>
      <c r="I2183" s="20" t="str">
        <f t="shared" si="6543"/>
        <v>#REF!</v>
      </c>
      <c r="J2183" s="20" t="str">
        <f t="shared" si="1272"/>
        <v>#REF!</v>
      </c>
      <c r="K2183" s="20" t="str">
        <f t="shared" ref="K2183:L2183" si="6544">#REF!</f>
        <v>#REF!</v>
      </c>
      <c r="L2183" s="20" t="str">
        <f t="shared" si="6544"/>
        <v>#REF!</v>
      </c>
    </row>
    <row r="2184">
      <c r="A2184" s="20" t="str">
        <f t="shared" si="1267"/>
        <v>#REF!</v>
      </c>
      <c r="B2184" s="20" t="str">
        <f t="shared" si="1268"/>
        <v>#REF!</v>
      </c>
      <c r="C2184" s="20" t="str">
        <f t="shared" ref="C2184:D2184" si="6545">#REF!</f>
        <v>#REF!</v>
      </c>
      <c r="D2184" s="20" t="str">
        <f t="shared" si="6545"/>
        <v>#REF!</v>
      </c>
      <c r="E2184" s="20" t="str">
        <f t="shared" si="1270"/>
        <v>#REF!</v>
      </c>
      <c r="F2184" s="22" t="str">
        <f t="shared" si="2"/>
        <v>#REF!</v>
      </c>
      <c r="G2184" s="20" t="str">
        <f t="shared" ref="G2184:I2184" si="6546">#REF!</f>
        <v>#REF!</v>
      </c>
      <c r="H2184" s="20" t="str">
        <f t="shared" si="6546"/>
        <v>#REF!</v>
      </c>
      <c r="I2184" s="20" t="str">
        <f t="shared" si="6546"/>
        <v>#REF!</v>
      </c>
      <c r="J2184" s="20" t="str">
        <f t="shared" si="1272"/>
        <v>#REF!</v>
      </c>
      <c r="K2184" s="20" t="str">
        <f t="shared" ref="K2184:L2184" si="6547">#REF!</f>
        <v>#REF!</v>
      </c>
      <c r="L2184" s="20" t="str">
        <f t="shared" si="6547"/>
        <v>#REF!</v>
      </c>
    </row>
    <row r="2185">
      <c r="A2185" s="20" t="str">
        <f t="shared" si="1267"/>
        <v>#REF!</v>
      </c>
      <c r="B2185" s="20" t="str">
        <f t="shared" si="1268"/>
        <v>#REF!</v>
      </c>
      <c r="C2185" s="20" t="str">
        <f t="shared" ref="C2185:D2185" si="6548">#REF!</f>
        <v>#REF!</v>
      </c>
      <c r="D2185" s="20" t="str">
        <f t="shared" si="6548"/>
        <v>#REF!</v>
      </c>
      <c r="E2185" s="20" t="str">
        <f t="shared" si="1270"/>
        <v>#REF!</v>
      </c>
      <c r="F2185" s="22" t="str">
        <f t="shared" si="2"/>
        <v>#REF!</v>
      </c>
      <c r="G2185" s="20" t="str">
        <f t="shared" ref="G2185:I2185" si="6549">#REF!</f>
        <v>#REF!</v>
      </c>
      <c r="H2185" s="20" t="str">
        <f t="shared" si="6549"/>
        <v>#REF!</v>
      </c>
      <c r="I2185" s="20" t="str">
        <f t="shared" si="6549"/>
        <v>#REF!</v>
      </c>
      <c r="J2185" s="20" t="str">
        <f t="shared" si="1272"/>
        <v>#REF!</v>
      </c>
      <c r="K2185" s="20" t="str">
        <f t="shared" ref="K2185:L2185" si="6550">#REF!</f>
        <v>#REF!</v>
      </c>
      <c r="L2185" s="20" t="str">
        <f t="shared" si="6550"/>
        <v>#REF!</v>
      </c>
    </row>
    <row r="2186">
      <c r="A2186" s="20" t="str">
        <f t="shared" si="1267"/>
        <v>#REF!</v>
      </c>
      <c r="B2186" s="20" t="str">
        <f t="shared" si="1268"/>
        <v>#REF!</v>
      </c>
      <c r="C2186" s="20" t="str">
        <f t="shared" ref="C2186:D2186" si="6551">#REF!</f>
        <v>#REF!</v>
      </c>
      <c r="D2186" s="20" t="str">
        <f t="shared" si="6551"/>
        <v>#REF!</v>
      </c>
      <c r="E2186" s="20" t="str">
        <f t="shared" si="1270"/>
        <v>#REF!</v>
      </c>
      <c r="F2186" s="22" t="str">
        <f t="shared" si="2"/>
        <v>#REF!</v>
      </c>
      <c r="G2186" s="20" t="str">
        <f t="shared" ref="G2186:I2186" si="6552">#REF!</f>
        <v>#REF!</v>
      </c>
      <c r="H2186" s="20" t="str">
        <f t="shared" si="6552"/>
        <v>#REF!</v>
      </c>
      <c r="I2186" s="20" t="str">
        <f t="shared" si="6552"/>
        <v>#REF!</v>
      </c>
      <c r="J2186" s="20" t="str">
        <f t="shared" si="1272"/>
        <v>#REF!</v>
      </c>
      <c r="K2186" s="20" t="str">
        <f t="shared" ref="K2186:L2186" si="6553">#REF!</f>
        <v>#REF!</v>
      </c>
      <c r="L2186" s="20" t="str">
        <f t="shared" si="6553"/>
        <v>#REF!</v>
      </c>
    </row>
    <row r="2187">
      <c r="A2187" s="20" t="str">
        <f t="shared" si="1267"/>
        <v>#REF!</v>
      </c>
      <c r="B2187" s="20" t="str">
        <f t="shared" si="1268"/>
        <v>#REF!</v>
      </c>
      <c r="C2187" s="20" t="str">
        <f t="shared" ref="C2187:D2187" si="6554">#REF!</f>
        <v>#REF!</v>
      </c>
      <c r="D2187" s="20" t="str">
        <f t="shared" si="6554"/>
        <v>#REF!</v>
      </c>
      <c r="E2187" s="20" t="str">
        <f t="shared" si="1270"/>
        <v>#REF!</v>
      </c>
      <c r="F2187" s="22" t="str">
        <f t="shared" si="2"/>
        <v>#REF!</v>
      </c>
      <c r="G2187" s="20" t="str">
        <f t="shared" ref="G2187:I2187" si="6555">#REF!</f>
        <v>#REF!</v>
      </c>
      <c r="H2187" s="20" t="str">
        <f t="shared" si="6555"/>
        <v>#REF!</v>
      </c>
      <c r="I2187" s="20" t="str">
        <f t="shared" si="6555"/>
        <v>#REF!</v>
      </c>
      <c r="J2187" s="20" t="str">
        <f t="shared" si="1272"/>
        <v>#REF!</v>
      </c>
      <c r="K2187" s="20" t="str">
        <f t="shared" ref="K2187:L2187" si="6556">#REF!</f>
        <v>#REF!</v>
      </c>
      <c r="L2187" s="20" t="str">
        <f t="shared" si="6556"/>
        <v>#REF!</v>
      </c>
    </row>
    <row r="2188">
      <c r="A2188" s="20" t="str">
        <f t="shared" si="1267"/>
        <v>#REF!</v>
      </c>
      <c r="B2188" s="20" t="str">
        <f t="shared" si="1268"/>
        <v>#REF!</v>
      </c>
      <c r="C2188" s="20" t="str">
        <f t="shared" ref="C2188:D2188" si="6557">#REF!</f>
        <v>#REF!</v>
      </c>
      <c r="D2188" s="20" t="str">
        <f t="shared" si="6557"/>
        <v>#REF!</v>
      </c>
      <c r="E2188" s="20" t="str">
        <f t="shared" si="1270"/>
        <v>#REF!</v>
      </c>
      <c r="F2188" s="22" t="str">
        <f t="shared" si="2"/>
        <v>#REF!</v>
      </c>
      <c r="G2188" s="20" t="str">
        <f t="shared" ref="G2188:I2188" si="6558">#REF!</f>
        <v>#REF!</v>
      </c>
      <c r="H2188" s="20" t="str">
        <f t="shared" si="6558"/>
        <v>#REF!</v>
      </c>
      <c r="I2188" s="20" t="str">
        <f t="shared" si="6558"/>
        <v>#REF!</v>
      </c>
      <c r="J2188" s="20" t="str">
        <f t="shared" si="1272"/>
        <v>#REF!</v>
      </c>
      <c r="K2188" s="20" t="str">
        <f t="shared" ref="K2188:L2188" si="6559">#REF!</f>
        <v>#REF!</v>
      </c>
      <c r="L2188" s="20" t="str">
        <f t="shared" si="6559"/>
        <v>#REF!</v>
      </c>
    </row>
    <row r="2189">
      <c r="A2189" s="20" t="str">
        <f t="shared" si="1267"/>
        <v>#REF!</v>
      </c>
      <c r="B2189" s="20" t="str">
        <f t="shared" si="1268"/>
        <v>#REF!</v>
      </c>
      <c r="C2189" s="20" t="str">
        <f t="shared" ref="C2189:D2189" si="6560">#REF!</f>
        <v>#REF!</v>
      </c>
      <c r="D2189" s="20" t="str">
        <f t="shared" si="6560"/>
        <v>#REF!</v>
      </c>
      <c r="E2189" s="20" t="str">
        <f t="shared" si="1270"/>
        <v>#REF!</v>
      </c>
      <c r="F2189" s="22" t="str">
        <f t="shared" si="2"/>
        <v>#REF!</v>
      </c>
      <c r="G2189" s="20" t="str">
        <f t="shared" ref="G2189:I2189" si="6561">#REF!</f>
        <v>#REF!</v>
      </c>
      <c r="H2189" s="20" t="str">
        <f t="shared" si="6561"/>
        <v>#REF!</v>
      </c>
      <c r="I2189" s="20" t="str">
        <f t="shared" si="6561"/>
        <v>#REF!</v>
      </c>
      <c r="J2189" s="20" t="str">
        <f t="shared" si="1272"/>
        <v>#REF!</v>
      </c>
      <c r="K2189" s="20" t="str">
        <f t="shared" ref="K2189:L2189" si="6562">#REF!</f>
        <v>#REF!</v>
      </c>
      <c r="L2189" s="20" t="str">
        <f t="shared" si="6562"/>
        <v>#REF!</v>
      </c>
    </row>
    <row r="2190">
      <c r="A2190" s="20" t="str">
        <f t="shared" si="1267"/>
        <v>#REF!</v>
      </c>
      <c r="B2190" s="20" t="str">
        <f t="shared" si="1268"/>
        <v>#REF!</v>
      </c>
      <c r="C2190" s="20" t="str">
        <f t="shared" ref="C2190:D2190" si="6563">#REF!</f>
        <v>#REF!</v>
      </c>
      <c r="D2190" s="20" t="str">
        <f t="shared" si="6563"/>
        <v>#REF!</v>
      </c>
      <c r="E2190" s="20" t="str">
        <f t="shared" si="1270"/>
        <v>#REF!</v>
      </c>
      <c r="F2190" s="22" t="str">
        <f t="shared" si="2"/>
        <v>#REF!</v>
      </c>
      <c r="G2190" s="20" t="str">
        <f t="shared" ref="G2190:I2190" si="6564">#REF!</f>
        <v>#REF!</v>
      </c>
      <c r="H2190" s="20" t="str">
        <f t="shared" si="6564"/>
        <v>#REF!</v>
      </c>
      <c r="I2190" s="20" t="str">
        <f t="shared" si="6564"/>
        <v>#REF!</v>
      </c>
      <c r="J2190" s="20" t="str">
        <f t="shared" si="1272"/>
        <v>#REF!</v>
      </c>
      <c r="K2190" s="20" t="str">
        <f t="shared" ref="K2190:L2190" si="6565">#REF!</f>
        <v>#REF!</v>
      </c>
      <c r="L2190" s="20" t="str">
        <f t="shared" si="6565"/>
        <v>#REF!</v>
      </c>
    </row>
    <row r="2191">
      <c r="A2191" s="20" t="str">
        <f t="shared" si="1267"/>
        <v>#REF!</v>
      </c>
      <c r="B2191" s="20" t="str">
        <f t="shared" si="1268"/>
        <v>#REF!</v>
      </c>
      <c r="C2191" s="20" t="str">
        <f t="shared" ref="C2191:D2191" si="6566">#REF!</f>
        <v>#REF!</v>
      </c>
      <c r="D2191" s="20" t="str">
        <f t="shared" si="6566"/>
        <v>#REF!</v>
      </c>
      <c r="E2191" s="20" t="str">
        <f t="shared" si="1270"/>
        <v>#REF!</v>
      </c>
      <c r="F2191" s="22" t="str">
        <f t="shared" si="2"/>
        <v>#REF!</v>
      </c>
      <c r="G2191" s="20" t="str">
        <f t="shared" ref="G2191:I2191" si="6567">#REF!</f>
        <v>#REF!</v>
      </c>
      <c r="H2191" s="20" t="str">
        <f t="shared" si="6567"/>
        <v>#REF!</v>
      </c>
      <c r="I2191" s="20" t="str">
        <f t="shared" si="6567"/>
        <v>#REF!</v>
      </c>
      <c r="J2191" s="20" t="str">
        <f t="shared" si="1272"/>
        <v>#REF!</v>
      </c>
      <c r="K2191" s="20" t="str">
        <f t="shared" ref="K2191:L2191" si="6568">#REF!</f>
        <v>#REF!</v>
      </c>
      <c r="L2191" s="20" t="str">
        <f t="shared" si="6568"/>
        <v>#REF!</v>
      </c>
    </row>
    <row r="2192">
      <c r="A2192" s="20" t="str">
        <f t="shared" si="1267"/>
        <v>#REF!</v>
      </c>
      <c r="B2192" s="20" t="str">
        <f t="shared" si="1268"/>
        <v>#REF!</v>
      </c>
      <c r="C2192" s="20" t="str">
        <f t="shared" ref="C2192:D2192" si="6569">#REF!</f>
        <v>#REF!</v>
      </c>
      <c r="D2192" s="20" t="str">
        <f t="shared" si="6569"/>
        <v>#REF!</v>
      </c>
      <c r="E2192" s="20" t="str">
        <f t="shared" si="1270"/>
        <v>#REF!</v>
      </c>
      <c r="F2192" s="22" t="str">
        <f t="shared" si="2"/>
        <v>#REF!</v>
      </c>
      <c r="G2192" s="20" t="str">
        <f t="shared" ref="G2192:I2192" si="6570">#REF!</f>
        <v>#REF!</v>
      </c>
      <c r="H2192" s="20" t="str">
        <f t="shared" si="6570"/>
        <v>#REF!</v>
      </c>
      <c r="I2192" s="20" t="str">
        <f t="shared" si="6570"/>
        <v>#REF!</v>
      </c>
      <c r="J2192" s="20" t="str">
        <f t="shared" si="1272"/>
        <v>#REF!</v>
      </c>
      <c r="K2192" s="20" t="str">
        <f t="shared" ref="K2192:L2192" si="6571">#REF!</f>
        <v>#REF!</v>
      </c>
      <c r="L2192" s="20" t="str">
        <f t="shared" si="6571"/>
        <v>#REF!</v>
      </c>
    </row>
    <row r="2193">
      <c r="A2193" s="20" t="str">
        <f t="shared" si="1267"/>
        <v>#REF!</v>
      </c>
      <c r="B2193" s="20" t="str">
        <f t="shared" si="1268"/>
        <v>#REF!</v>
      </c>
      <c r="C2193" s="20" t="str">
        <f t="shared" ref="C2193:D2193" si="6572">#REF!</f>
        <v>#REF!</v>
      </c>
      <c r="D2193" s="20" t="str">
        <f t="shared" si="6572"/>
        <v>#REF!</v>
      </c>
      <c r="E2193" s="20" t="str">
        <f t="shared" si="1270"/>
        <v>#REF!</v>
      </c>
      <c r="F2193" s="22" t="str">
        <f t="shared" si="2"/>
        <v>#REF!</v>
      </c>
      <c r="G2193" s="20" t="str">
        <f t="shared" ref="G2193:I2193" si="6573">#REF!</f>
        <v>#REF!</v>
      </c>
      <c r="H2193" s="20" t="str">
        <f t="shared" si="6573"/>
        <v>#REF!</v>
      </c>
      <c r="I2193" s="20" t="str">
        <f t="shared" si="6573"/>
        <v>#REF!</v>
      </c>
      <c r="J2193" s="20" t="str">
        <f t="shared" si="1272"/>
        <v>#REF!</v>
      </c>
      <c r="K2193" s="20" t="str">
        <f t="shared" ref="K2193:L2193" si="6574">#REF!</f>
        <v>#REF!</v>
      </c>
      <c r="L2193" s="20" t="str">
        <f t="shared" si="6574"/>
        <v>#REF!</v>
      </c>
    </row>
    <row r="2194">
      <c r="A2194" s="20" t="str">
        <f t="shared" si="1267"/>
        <v>#REF!</v>
      </c>
      <c r="B2194" s="20" t="str">
        <f t="shared" si="1268"/>
        <v>#REF!</v>
      </c>
      <c r="C2194" s="20" t="str">
        <f t="shared" ref="C2194:D2194" si="6575">#REF!</f>
        <v>#REF!</v>
      </c>
      <c r="D2194" s="20" t="str">
        <f t="shared" si="6575"/>
        <v>#REF!</v>
      </c>
      <c r="E2194" s="20" t="str">
        <f t="shared" si="1270"/>
        <v>#REF!</v>
      </c>
      <c r="F2194" s="22" t="str">
        <f t="shared" si="2"/>
        <v>#REF!</v>
      </c>
      <c r="G2194" s="20" t="str">
        <f t="shared" ref="G2194:I2194" si="6576">#REF!</f>
        <v>#REF!</v>
      </c>
      <c r="H2194" s="20" t="str">
        <f t="shared" si="6576"/>
        <v>#REF!</v>
      </c>
      <c r="I2194" s="20" t="str">
        <f t="shared" si="6576"/>
        <v>#REF!</v>
      </c>
      <c r="J2194" s="20" t="str">
        <f t="shared" si="1272"/>
        <v>#REF!</v>
      </c>
      <c r="K2194" s="20" t="str">
        <f t="shared" ref="K2194:L2194" si="6577">#REF!</f>
        <v>#REF!</v>
      </c>
      <c r="L2194" s="20" t="str">
        <f t="shared" si="6577"/>
        <v>#REF!</v>
      </c>
    </row>
    <row r="2195">
      <c r="A2195" s="20" t="str">
        <f t="shared" si="1267"/>
        <v>#REF!</v>
      </c>
      <c r="B2195" s="20" t="str">
        <f t="shared" si="1268"/>
        <v>#REF!</v>
      </c>
      <c r="C2195" s="20" t="str">
        <f t="shared" ref="C2195:D2195" si="6578">#REF!</f>
        <v>#REF!</v>
      </c>
      <c r="D2195" s="20" t="str">
        <f t="shared" si="6578"/>
        <v>#REF!</v>
      </c>
      <c r="E2195" s="20" t="str">
        <f t="shared" si="1270"/>
        <v>#REF!</v>
      </c>
      <c r="F2195" s="22" t="str">
        <f t="shared" si="2"/>
        <v>#REF!</v>
      </c>
      <c r="G2195" s="20" t="str">
        <f t="shared" ref="G2195:I2195" si="6579">#REF!</f>
        <v>#REF!</v>
      </c>
      <c r="H2195" s="20" t="str">
        <f t="shared" si="6579"/>
        <v>#REF!</v>
      </c>
      <c r="I2195" s="20" t="str">
        <f t="shared" si="6579"/>
        <v>#REF!</v>
      </c>
      <c r="J2195" s="20" t="str">
        <f t="shared" si="1272"/>
        <v>#REF!</v>
      </c>
      <c r="K2195" s="20" t="str">
        <f t="shared" ref="K2195:L2195" si="6580">#REF!</f>
        <v>#REF!</v>
      </c>
      <c r="L2195" s="20" t="str">
        <f t="shared" si="6580"/>
        <v>#REF!</v>
      </c>
    </row>
    <row r="2196">
      <c r="A2196" s="20" t="str">
        <f t="shared" si="1267"/>
        <v>#REF!</v>
      </c>
      <c r="B2196" s="20" t="str">
        <f t="shared" si="1268"/>
        <v>#REF!</v>
      </c>
      <c r="C2196" s="20" t="str">
        <f t="shared" ref="C2196:D2196" si="6581">#REF!</f>
        <v>#REF!</v>
      </c>
      <c r="D2196" s="20" t="str">
        <f t="shared" si="6581"/>
        <v>#REF!</v>
      </c>
      <c r="E2196" s="20" t="str">
        <f t="shared" si="1270"/>
        <v>#REF!</v>
      </c>
      <c r="F2196" s="22" t="str">
        <f t="shared" si="2"/>
        <v>#REF!</v>
      </c>
      <c r="G2196" s="20" t="str">
        <f t="shared" ref="G2196:I2196" si="6582">#REF!</f>
        <v>#REF!</v>
      </c>
      <c r="H2196" s="20" t="str">
        <f t="shared" si="6582"/>
        <v>#REF!</v>
      </c>
      <c r="I2196" s="20" t="str">
        <f t="shared" si="6582"/>
        <v>#REF!</v>
      </c>
      <c r="J2196" s="20" t="str">
        <f t="shared" si="1272"/>
        <v>#REF!</v>
      </c>
      <c r="K2196" s="20" t="str">
        <f t="shared" ref="K2196:L2196" si="6583">#REF!</f>
        <v>#REF!</v>
      </c>
      <c r="L2196" s="20" t="str">
        <f t="shared" si="6583"/>
        <v>#REF!</v>
      </c>
    </row>
    <row r="2197">
      <c r="A2197" s="20" t="str">
        <f t="shared" si="1267"/>
        <v>#REF!</v>
      </c>
      <c r="B2197" s="20" t="str">
        <f t="shared" si="1268"/>
        <v>#REF!</v>
      </c>
      <c r="C2197" s="20" t="str">
        <f t="shared" ref="C2197:D2197" si="6584">#REF!</f>
        <v>#REF!</v>
      </c>
      <c r="D2197" s="20" t="str">
        <f t="shared" si="6584"/>
        <v>#REF!</v>
      </c>
      <c r="E2197" s="20" t="str">
        <f t="shared" si="1270"/>
        <v>#REF!</v>
      </c>
      <c r="F2197" s="22" t="str">
        <f t="shared" si="2"/>
        <v>#REF!</v>
      </c>
      <c r="G2197" s="20" t="str">
        <f t="shared" ref="G2197:I2197" si="6585">#REF!</f>
        <v>#REF!</v>
      </c>
      <c r="H2197" s="20" t="str">
        <f t="shared" si="6585"/>
        <v>#REF!</v>
      </c>
      <c r="I2197" s="20" t="str">
        <f t="shared" si="6585"/>
        <v>#REF!</v>
      </c>
      <c r="J2197" s="20" t="str">
        <f t="shared" si="1272"/>
        <v>#REF!</v>
      </c>
      <c r="K2197" s="20" t="str">
        <f t="shared" ref="K2197:L2197" si="6586">#REF!</f>
        <v>#REF!</v>
      </c>
      <c r="L2197" s="20" t="str">
        <f t="shared" si="6586"/>
        <v>#REF!</v>
      </c>
    </row>
    <row r="2198">
      <c r="A2198" s="20" t="str">
        <f t="shared" si="1267"/>
        <v>#REF!</v>
      </c>
      <c r="B2198" s="20" t="str">
        <f t="shared" si="1268"/>
        <v>#REF!</v>
      </c>
      <c r="C2198" s="20" t="str">
        <f t="shared" ref="C2198:D2198" si="6587">#REF!</f>
        <v>#REF!</v>
      </c>
      <c r="D2198" s="20" t="str">
        <f t="shared" si="6587"/>
        <v>#REF!</v>
      </c>
      <c r="E2198" s="20" t="str">
        <f t="shared" si="1270"/>
        <v>#REF!</v>
      </c>
      <c r="F2198" s="22" t="str">
        <f t="shared" si="2"/>
        <v>#REF!</v>
      </c>
      <c r="G2198" s="20" t="str">
        <f t="shared" ref="G2198:I2198" si="6588">#REF!</f>
        <v>#REF!</v>
      </c>
      <c r="H2198" s="20" t="str">
        <f t="shared" si="6588"/>
        <v>#REF!</v>
      </c>
      <c r="I2198" s="20" t="str">
        <f t="shared" si="6588"/>
        <v>#REF!</v>
      </c>
      <c r="J2198" s="20" t="str">
        <f t="shared" si="1272"/>
        <v>#REF!</v>
      </c>
      <c r="K2198" s="20" t="str">
        <f t="shared" ref="K2198:L2198" si="6589">#REF!</f>
        <v>#REF!</v>
      </c>
      <c r="L2198" s="20" t="str">
        <f t="shared" si="6589"/>
        <v>#REF!</v>
      </c>
    </row>
    <row r="2199">
      <c r="A2199" s="20" t="str">
        <f t="shared" si="1267"/>
        <v>#REF!</v>
      </c>
      <c r="B2199" s="20" t="str">
        <f t="shared" si="1268"/>
        <v>#REF!</v>
      </c>
      <c r="C2199" s="20" t="str">
        <f t="shared" ref="C2199:D2199" si="6590">#REF!</f>
        <v>#REF!</v>
      </c>
      <c r="D2199" s="20" t="str">
        <f t="shared" si="6590"/>
        <v>#REF!</v>
      </c>
      <c r="E2199" s="20" t="str">
        <f t="shared" si="1270"/>
        <v>#REF!</v>
      </c>
      <c r="F2199" s="22" t="str">
        <f t="shared" si="2"/>
        <v>#REF!</v>
      </c>
      <c r="G2199" s="20" t="str">
        <f t="shared" ref="G2199:I2199" si="6591">#REF!</f>
        <v>#REF!</v>
      </c>
      <c r="H2199" s="20" t="str">
        <f t="shared" si="6591"/>
        <v>#REF!</v>
      </c>
      <c r="I2199" s="20" t="str">
        <f t="shared" si="6591"/>
        <v>#REF!</v>
      </c>
      <c r="J2199" s="20" t="str">
        <f t="shared" si="1272"/>
        <v>#REF!</v>
      </c>
      <c r="K2199" s="20" t="str">
        <f t="shared" ref="K2199:L2199" si="6592">#REF!</f>
        <v>#REF!</v>
      </c>
      <c r="L2199" s="20" t="str">
        <f t="shared" si="6592"/>
        <v>#REF!</v>
      </c>
    </row>
    <row r="2200">
      <c r="A2200" s="20"/>
      <c r="B2200" s="20"/>
      <c r="C2200" s="20"/>
      <c r="D2200" s="20"/>
      <c r="E2200" s="20"/>
      <c r="F2200" s="22"/>
      <c r="G2200" s="20"/>
      <c r="H2200" s="20"/>
      <c r="I2200" s="20"/>
      <c r="J2200" s="20"/>
      <c r="K2200" s="20"/>
      <c r="L2200" s="20"/>
    </row>
    <row r="2201">
      <c r="A2201" s="20"/>
      <c r="B2201" s="20"/>
      <c r="C2201" s="20" t="str">
        <f t="shared" ref="C2201:C2203" si="6593">#REF!</f>
        <v>#REF!</v>
      </c>
      <c r="D2201" s="20"/>
      <c r="E2201" s="20"/>
      <c r="F2201" s="22"/>
      <c r="G2201" s="20"/>
      <c r="H2201" s="20"/>
      <c r="I2201" s="20"/>
      <c r="J2201" s="20"/>
      <c r="K2201" s="20"/>
      <c r="L2201" s="20"/>
    </row>
    <row r="2202">
      <c r="A2202" s="20"/>
      <c r="B2202" s="20"/>
      <c r="C2202" s="20" t="str">
        <f t="shared" si="6593"/>
        <v>#REF!</v>
      </c>
      <c r="D2202" s="20"/>
      <c r="E2202" s="20"/>
      <c r="F2202" s="22"/>
      <c r="G2202" s="20"/>
      <c r="H2202" s="20"/>
      <c r="I2202" s="20"/>
      <c r="J2202" s="20"/>
      <c r="K2202" s="20"/>
      <c r="L2202" s="20"/>
    </row>
    <row r="2203">
      <c r="A2203" s="20"/>
      <c r="B2203" s="20"/>
      <c r="C2203" s="20" t="str">
        <f t="shared" si="6593"/>
        <v>#REF!</v>
      </c>
      <c r="D2203" s="20"/>
      <c r="E2203" s="20"/>
      <c r="F2203" s="22"/>
      <c r="G2203" s="20"/>
      <c r="H2203" s="20"/>
      <c r="I2203" s="20"/>
      <c r="J2203" s="20"/>
      <c r="K2203" s="20"/>
      <c r="L2203" s="20"/>
    </row>
    <row r="2204">
      <c r="A2204" s="20"/>
      <c r="B2204" s="20"/>
      <c r="C2204" s="20"/>
      <c r="D2204" s="20"/>
      <c r="E2204" s="20"/>
      <c r="F2204" s="22"/>
      <c r="G2204" s="20"/>
      <c r="H2204" s="20"/>
      <c r="I2204" s="20"/>
      <c r="J2204" s="20"/>
      <c r="K2204" s="20"/>
      <c r="L2204" s="20"/>
    </row>
    <row r="2205">
      <c r="A2205" s="20"/>
      <c r="B2205" s="20"/>
      <c r="C2205" s="20"/>
      <c r="D2205" s="20"/>
      <c r="E2205" s="20"/>
      <c r="F2205" s="22"/>
      <c r="G2205" s="20"/>
      <c r="H2205" s="20"/>
      <c r="I2205" s="20"/>
      <c r="J2205" s="20"/>
      <c r="K2205" s="20"/>
      <c r="L2205" s="20"/>
    </row>
    <row r="2206">
      <c r="A2206" s="20"/>
      <c r="B2206" s="20"/>
      <c r="C2206" s="20"/>
      <c r="D2206" s="20"/>
      <c r="E2206" s="20"/>
      <c r="F2206" s="22"/>
      <c r="G2206" s="20"/>
      <c r="H2206" s="20"/>
      <c r="I2206" s="20"/>
      <c r="J2206" s="20"/>
      <c r="K2206" s="20"/>
      <c r="L2206" s="20"/>
    </row>
    <row r="2207">
      <c r="A2207" s="20"/>
      <c r="B2207" s="20"/>
      <c r="C2207" s="20"/>
      <c r="D2207" s="20"/>
      <c r="E2207" s="20"/>
      <c r="F2207" s="22"/>
      <c r="G2207" s="20"/>
      <c r="H2207" s="20"/>
      <c r="I2207" s="20"/>
      <c r="J2207" s="20"/>
      <c r="K2207" s="20"/>
      <c r="L2207" s="20"/>
    </row>
    <row r="2208">
      <c r="A2208" s="20"/>
      <c r="B2208" s="20"/>
      <c r="C2208" s="20"/>
      <c r="D2208" s="20"/>
      <c r="E2208" s="20"/>
      <c r="F2208" s="22"/>
      <c r="G2208" s="20"/>
      <c r="H2208" s="20"/>
      <c r="I2208" s="20"/>
      <c r="J2208" s="20"/>
      <c r="K2208" s="20"/>
      <c r="L2208" s="20"/>
    </row>
    <row r="2209">
      <c r="A2209" s="20"/>
      <c r="B2209" s="20"/>
      <c r="C2209" s="20"/>
      <c r="D2209" s="20"/>
      <c r="E2209" s="20"/>
      <c r="F2209" s="22"/>
      <c r="G2209" s="20"/>
      <c r="H2209" s="20"/>
      <c r="I2209" s="20"/>
      <c r="J2209" s="20"/>
      <c r="K2209" s="20"/>
      <c r="L2209" s="20"/>
    </row>
    <row r="2210">
      <c r="A2210" s="20"/>
      <c r="B2210" s="20"/>
      <c r="C2210" s="20"/>
      <c r="D2210" s="20"/>
      <c r="E2210" s="20"/>
      <c r="F2210" s="22"/>
      <c r="G2210" s="20"/>
      <c r="H2210" s="20"/>
      <c r="I2210" s="20"/>
      <c r="J2210" s="20"/>
      <c r="K2210" s="20"/>
      <c r="L2210" s="20"/>
    </row>
    <row r="2211">
      <c r="A2211" s="20"/>
      <c r="B2211" s="20"/>
      <c r="C2211" s="20"/>
      <c r="D2211" s="20"/>
      <c r="E2211" s="20"/>
      <c r="F2211" s="22"/>
      <c r="G2211" s="20"/>
      <c r="H2211" s="20"/>
      <c r="I2211" s="20"/>
      <c r="J2211" s="20"/>
      <c r="K2211" s="20"/>
      <c r="L2211" s="20"/>
    </row>
    <row r="2212">
      <c r="A2212" s="20"/>
      <c r="B2212" s="20"/>
      <c r="C2212" s="20"/>
      <c r="D2212" s="20"/>
      <c r="E2212" s="20"/>
      <c r="F2212" s="22"/>
      <c r="G2212" s="20"/>
      <c r="H2212" s="20"/>
      <c r="I2212" s="20"/>
      <c r="J2212" s="20"/>
      <c r="K2212" s="20"/>
      <c r="L2212" s="20"/>
    </row>
    <row r="2213">
      <c r="A2213" s="20"/>
      <c r="B2213" s="20"/>
      <c r="C2213" s="20"/>
      <c r="D2213" s="20"/>
      <c r="E2213" s="20"/>
      <c r="F2213" s="22"/>
      <c r="G2213" s="20"/>
      <c r="H2213" s="20"/>
      <c r="I2213" s="20"/>
      <c r="J2213" s="20"/>
      <c r="K2213" s="20"/>
      <c r="L2213" s="20"/>
    </row>
    <row r="2214">
      <c r="A2214" s="20"/>
      <c r="B2214" s="20"/>
      <c r="C2214" s="20"/>
      <c r="D2214" s="20"/>
      <c r="E2214" s="20"/>
      <c r="F2214" s="22"/>
      <c r="G2214" s="20"/>
      <c r="H2214" s="20"/>
      <c r="I2214" s="20"/>
      <c r="J2214" s="20"/>
      <c r="K2214" s="20"/>
      <c r="L2214" s="20"/>
    </row>
    <row r="2215">
      <c r="A2215" s="20"/>
      <c r="B2215" s="20"/>
      <c r="C2215" s="20"/>
      <c r="D2215" s="20"/>
      <c r="E2215" s="20"/>
      <c r="F2215" s="22"/>
      <c r="G2215" s="20"/>
      <c r="H2215" s="20"/>
      <c r="I2215" s="20"/>
      <c r="J2215" s="20"/>
      <c r="K2215" s="20"/>
      <c r="L2215" s="20"/>
    </row>
    <row r="2216">
      <c r="A2216" s="20"/>
      <c r="B2216" s="20"/>
      <c r="C2216" s="20"/>
      <c r="D2216" s="20"/>
      <c r="E2216" s="20"/>
      <c r="F2216" s="22"/>
      <c r="G2216" s="20"/>
      <c r="H2216" s="20"/>
      <c r="I2216" s="20"/>
      <c r="J2216" s="20"/>
      <c r="K2216" s="20"/>
      <c r="L2216" s="20"/>
    </row>
    <row r="2217">
      <c r="A2217" s="20"/>
      <c r="B2217" s="20"/>
      <c r="C2217" s="20"/>
      <c r="D2217" s="20"/>
      <c r="E2217" s="20"/>
      <c r="F2217" s="22"/>
      <c r="G2217" s="20"/>
      <c r="H2217" s="20"/>
      <c r="I2217" s="20"/>
      <c r="J2217" s="20"/>
      <c r="K2217" s="20"/>
      <c r="L2217" s="20"/>
    </row>
    <row r="2218">
      <c r="A2218" s="20"/>
      <c r="B2218" s="20"/>
      <c r="C2218" s="20"/>
      <c r="D2218" s="20"/>
      <c r="E2218" s="20"/>
      <c r="F2218" s="22"/>
      <c r="G2218" s="20"/>
      <c r="H2218" s="20"/>
      <c r="I2218" s="20"/>
      <c r="J2218" s="20"/>
      <c r="K2218" s="20"/>
      <c r="L2218" s="20"/>
    </row>
    <row r="2219">
      <c r="A2219" s="20"/>
      <c r="B2219" s="20"/>
      <c r="C2219" s="20"/>
      <c r="D2219" s="20"/>
      <c r="E2219" s="20"/>
      <c r="F2219" s="22"/>
      <c r="G2219" s="20"/>
      <c r="H2219" s="20"/>
      <c r="I2219" s="20"/>
      <c r="J2219" s="20"/>
      <c r="K2219" s="20"/>
      <c r="L2219" s="20"/>
    </row>
    <row r="2220">
      <c r="A2220" s="20"/>
      <c r="B2220" s="20"/>
      <c r="C2220" s="20"/>
      <c r="D2220" s="20"/>
      <c r="E2220" s="20"/>
      <c r="F2220" s="22"/>
      <c r="G2220" s="20"/>
      <c r="H2220" s="20"/>
      <c r="I2220" s="20"/>
      <c r="J2220" s="20"/>
      <c r="K2220" s="20"/>
      <c r="L2220" s="20"/>
    </row>
    <row r="2221">
      <c r="A2221" s="20"/>
      <c r="B2221" s="20"/>
      <c r="C2221" s="20"/>
      <c r="D2221" s="20"/>
      <c r="E2221" s="20"/>
      <c r="F2221" s="22"/>
      <c r="G2221" s="20"/>
      <c r="H2221" s="20"/>
      <c r="I2221" s="20"/>
      <c r="J2221" s="20"/>
      <c r="K2221" s="20"/>
      <c r="L2221" s="20"/>
    </row>
    <row r="2222">
      <c r="A2222" s="20"/>
      <c r="B2222" s="20"/>
      <c r="C2222" s="20"/>
      <c r="D2222" s="20"/>
      <c r="E2222" s="20"/>
      <c r="F2222" s="22"/>
      <c r="G2222" s="20"/>
      <c r="H2222" s="20"/>
      <c r="I2222" s="20"/>
      <c r="J2222" s="20"/>
      <c r="K2222" s="20"/>
      <c r="L2222" s="20"/>
    </row>
    <row r="2223">
      <c r="A2223" s="20"/>
      <c r="B2223" s="20"/>
      <c r="C2223" s="20"/>
      <c r="D2223" s="20"/>
      <c r="E2223" s="20"/>
      <c r="F2223" s="22"/>
      <c r="G2223" s="20"/>
      <c r="H2223" s="20"/>
      <c r="I2223" s="20"/>
      <c r="J2223" s="20"/>
      <c r="K2223" s="20"/>
      <c r="L2223" s="20"/>
    </row>
    <row r="2224">
      <c r="A2224" s="20"/>
      <c r="B2224" s="20"/>
      <c r="C2224" s="20"/>
      <c r="D2224" s="20"/>
      <c r="E2224" s="20"/>
      <c r="F2224" s="22"/>
      <c r="G2224" s="20"/>
      <c r="H2224" s="20"/>
      <c r="I2224" s="20"/>
      <c r="J2224" s="20"/>
      <c r="K2224" s="20"/>
      <c r="L2224" s="20"/>
    </row>
    <row r="2225">
      <c r="A2225" s="20"/>
      <c r="B2225" s="20"/>
      <c r="C2225" s="20"/>
      <c r="D2225" s="20"/>
      <c r="E2225" s="20"/>
      <c r="F2225" s="22"/>
      <c r="G2225" s="20"/>
      <c r="H2225" s="20"/>
      <c r="I2225" s="20"/>
      <c r="J2225" s="20"/>
      <c r="K2225" s="20"/>
      <c r="L2225" s="20"/>
    </row>
    <row r="2226">
      <c r="A2226" s="20"/>
      <c r="B2226" s="20"/>
      <c r="C2226" s="20"/>
      <c r="D2226" s="20"/>
      <c r="E2226" s="20"/>
      <c r="F2226" s="22"/>
      <c r="G2226" s="20"/>
      <c r="H2226" s="20"/>
      <c r="I2226" s="20"/>
      <c r="J2226" s="20"/>
      <c r="K2226" s="20"/>
      <c r="L2226" s="20"/>
    </row>
    <row r="2227">
      <c r="A2227" s="20"/>
      <c r="B2227" s="20"/>
      <c r="C2227" s="20"/>
      <c r="D2227" s="20"/>
      <c r="E2227" s="20"/>
      <c r="F2227" s="22"/>
      <c r="G2227" s="20"/>
      <c r="H2227" s="20"/>
      <c r="I2227" s="20"/>
      <c r="J2227" s="20"/>
      <c r="K2227" s="20"/>
      <c r="L2227" s="20"/>
    </row>
    <row r="2228">
      <c r="A2228" s="20"/>
      <c r="B2228" s="20"/>
      <c r="C2228" s="20"/>
      <c r="D2228" s="20"/>
      <c r="E2228" s="20"/>
      <c r="F2228" s="22"/>
      <c r="G2228" s="20"/>
      <c r="H2228" s="20"/>
      <c r="I2228" s="20"/>
      <c r="J2228" s="20"/>
      <c r="K2228" s="20"/>
      <c r="L2228" s="20"/>
    </row>
    <row r="2229">
      <c r="A2229" s="20"/>
      <c r="B2229" s="20"/>
      <c r="C2229" s="20"/>
      <c r="D2229" s="20"/>
      <c r="E2229" s="20"/>
      <c r="F2229" s="22"/>
      <c r="G2229" s="20"/>
      <c r="H2229" s="20"/>
      <c r="I2229" s="20"/>
      <c r="J2229" s="20"/>
      <c r="K2229" s="20"/>
      <c r="L2229" s="20"/>
    </row>
    <row r="2230">
      <c r="A2230" s="20"/>
      <c r="B2230" s="20"/>
      <c r="C2230" s="20"/>
      <c r="D2230" s="20"/>
      <c r="E2230" s="20"/>
      <c r="F2230" s="22"/>
      <c r="G2230" s="20"/>
      <c r="H2230" s="20"/>
      <c r="I2230" s="20"/>
      <c r="J2230" s="20"/>
      <c r="K2230" s="20"/>
      <c r="L2230" s="20"/>
    </row>
    <row r="2231">
      <c r="A2231" s="20"/>
      <c r="B2231" s="20"/>
      <c r="C2231" s="20"/>
      <c r="D2231" s="20"/>
      <c r="E2231" s="20"/>
      <c r="F2231" s="22"/>
      <c r="G2231" s="20"/>
      <c r="H2231" s="20"/>
      <c r="I2231" s="20"/>
      <c r="J2231" s="20"/>
      <c r="K2231" s="20"/>
      <c r="L2231" s="20"/>
    </row>
    <row r="2232">
      <c r="A2232" s="20"/>
      <c r="B2232" s="20"/>
      <c r="C2232" s="20"/>
      <c r="D2232" s="20"/>
      <c r="E2232" s="20"/>
      <c r="F2232" s="22"/>
      <c r="G2232" s="20"/>
      <c r="H2232" s="20"/>
      <c r="I2232" s="20"/>
      <c r="J2232" s="20"/>
      <c r="K2232" s="20"/>
      <c r="L2232" s="20"/>
    </row>
    <row r="2233">
      <c r="A2233" s="20"/>
      <c r="B2233" s="20"/>
      <c r="C2233" s="20"/>
      <c r="D2233" s="20"/>
      <c r="E2233" s="20"/>
      <c r="F2233" s="22"/>
      <c r="G2233" s="20"/>
      <c r="H2233" s="20"/>
      <c r="I2233" s="20"/>
      <c r="J2233" s="20"/>
      <c r="K2233" s="20"/>
      <c r="L2233" s="20"/>
    </row>
    <row r="2234">
      <c r="A2234" s="20"/>
      <c r="B2234" s="20"/>
      <c r="C2234" s="20"/>
      <c r="D2234" s="20"/>
      <c r="E2234" s="20"/>
      <c r="F2234" s="22"/>
      <c r="G2234" s="20"/>
      <c r="H2234" s="20"/>
      <c r="I2234" s="20"/>
      <c r="J2234" s="20"/>
      <c r="K2234" s="20"/>
      <c r="L2234" s="20"/>
    </row>
    <row r="2235">
      <c r="A2235" s="20"/>
      <c r="B2235" s="20"/>
      <c r="C2235" s="20"/>
      <c r="D2235" s="20"/>
      <c r="E2235" s="20"/>
      <c r="F2235" s="22"/>
      <c r="G2235" s="20"/>
      <c r="H2235" s="20"/>
      <c r="I2235" s="20"/>
      <c r="J2235" s="20"/>
      <c r="K2235" s="20"/>
      <c r="L2235" s="20"/>
    </row>
    <row r="2236">
      <c r="A2236" s="20"/>
      <c r="B2236" s="20"/>
      <c r="C2236" s="20"/>
      <c r="D2236" s="20"/>
      <c r="E2236" s="20"/>
      <c r="F2236" s="22"/>
      <c r="G2236" s="20"/>
      <c r="H2236" s="20"/>
      <c r="I2236" s="20"/>
      <c r="J2236" s="20"/>
      <c r="K2236" s="20"/>
      <c r="L2236" s="20"/>
    </row>
    <row r="2237">
      <c r="A2237" s="20"/>
      <c r="B2237" s="20"/>
      <c r="C2237" s="20"/>
      <c r="D2237" s="20"/>
      <c r="E2237" s="20"/>
      <c r="F2237" s="22"/>
      <c r="G2237" s="20"/>
      <c r="H2237" s="20"/>
      <c r="I2237" s="20"/>
      <c r="J2237" s="20"/>
      <c r="K2237" s="20"/>
      <c r="L2237" s="20"/>
    </row>
    <row r="2238">
      <c r="A2238" s="20"/>
      <c r="B2238" s="20"/>
      <c r="C2238" s="20"/>
      <c r="D2238" s="20"/>
      <c r="E2238" s="20"/>
      <c r="F2238" s="22"/>
      <c r="G2238" s="20"/>
      <c r="H2238" s="20"/>
      <c r="I2238" s="20"/>
      <c r="J2238" s="20"/>
      <c r="K2238" s="20"/>
      <c r="L2238" s="20"/>
    </row>
    <row r="2239">
      <c r="A2239" s="20"/>
      <c r="B2239" s="20"/>
      <c r="C2239" s="20"/>
      <c r="D2239" s="20"/>
      <c r="E2239" s="20"/>
      <c r="F2239" s="22"/>
      <c r="G2239" s="20"/>
      <c r="H2239" s="20"/>
      <c r="I2239" s="20"/>
      <c r="J2239" s="20"/>
      <c r="K2239" s="20"/>
      <c r="L2239" s="20"/>
    </row>
    <row r="2240">
      <c r="A2240" s="20"/>
      <c r="B2240" s="20"/>
      <c r="C2240" s="20"/>
      <c r="D2240" s="20"/>
      <c r="E2240" s="20"/>
      <c r="F2240" s="22"/>
      <c r="G2240" s="20"/>
      <c r="H2240" s="20"/>
      <c r="I2240" s="20"/>
      <c r="J2240" s="20"/>
      <c r="K2240" s="20"/>
      <c r="L2240" s="20"/>
    </row>
    <row r="2241">
      <c r="A2241" s="20"/>
      <c r="B2241" s="20"/>
      <c r="C2241" s="20"/>
      <c r="D2241" s="20"/>
      <c r="E2241" s="20"/>
      <c r="F2241" s="22"/>
      <c r="G2241" s="20"/>
      <c r="H2241" s="20"/>
      <c r="I2241" s="20"/>
      <c r="J2241" s="20"/>
      <c r="K2241" s="20"/>
      <c r="L2241" s="20"/>
    </row>
    <row r="2242">
      <c r="A2242" s="20"/>
      <c r="B2242" s="20"/>
      <c r="C2242" s="20"/>
      <c r="D2242" s="20"/>
      <c r="E2242" s="20"/>
      <c r="F2242" s="22"/>
      <c r="G2242" s="20"/>
      <c r="H2242" s="20"/>
      <c r="I2242" s="20"/>
      <c r="J2242" s="20"/>
      <c r="K2242" s="20"/>
      <c r="L2242" s="20"/>
    </row>
    <row r="2243">
      <c r="A2243" s="20"/>
      <c r="B2243" s="20"/>
      <c r="C2243" s="20"/>
      <c r="D2243" s="20"/>
      <c r="E2243" s="20"/>
      <c r="F2243" s="22"/>
      <c r="G2243" s="20"/>
      <c r="H2243" s="20"/>
      <c r="I2243" s="20"/>
      <c r="J2243" s="20"/>
      <c r="K2243" s="20"/>
      <c r="L2243" s="20"/>
    </row>
    <row r="2244">
      <c r="A2244" s="20"/>
      <c r="B2244" s="20"/>
      <c r="C2244" s="20"/>
      <c r="D2244" s="20"/>
      <c r="E2244" s="20"/>
      <c r="F2244" s="22"/>
      <c r="G2244" s="20"/>
      <c r="H2244" s="20"/>
      <c r="I2244" s="20"/>
      <c r="J2244" s="20"/>
      <c r="K2244" s="20"/>
      <c r="L2244" s="20"/>
    </row>
    <row r="2245">
      <c r="A2245" s="20"/>
      <c r="B2245" s="20"/>
      <c r="C2245" s="20"/>
      <c r="D2245" s="20"/>
      <c r="E2245" s="20"/>
      <c r="F2245" s="22"/>
      <c r="G2245" s="20"/>
      <c r="H2245" s="20"/>
      <c r="I2245" s="20"/>
      <c r="J2245" s="20"/>
      <c r="K2245" s="20"/>
      <c r="L2245" s="20"/>
    </row>
    <row r="2246">
      <c r="A2246" s="20"/>
      <c r="B2246" s="20"/>
      <c r="C2246" s="20"/>
      <c r="D2246" s="20"/>
      <c r="E2246" s="20"/>
      <c r="F2246" s="22"/>
      <c r="G2246" s="20"/>
      <c r="H2246" s="20"/>
      <c r="I2246" s="20"/>
      <c r="J2246" s="20"/>
      <c r="K2246" s="20"/>
      <c r="L2246" s="20"/>
    </row>
    <row r="2247">
      <c r="A2247" s="20"/>
      <c r="B2247" s="20"/>
      <c r="C2247" s="20"/>
      <c r="D2247" s="20"/>
      <c r="E2247" s="20"/>
      <c r="F2247" s="22"/>
      <c r="G2247" s="20"/>
      <c r="H2247" s="20"/>
      <c r="I2247" s="20"/>
      <c r="J2247" s="20"/>
      <c r="K2247" s="20"/>
      <c r="L2247" s="20"/>
    </row>
    <row r="2248">
      <c r="A2248" s="20"/>
      <c r="B2248" s="20"/>
      <c r="C2248" s="20"/>
      <c r="D2248" s="20"/>
      <c r="E2248" s="20"/>
      <c r="F2248" s="22"/>
      <c r="G2248" s="20"/>
      <c r="H2248" s="20"/>
      <c r="I2248" s="20"/>
      <c r="J2248" s="20"/>
      <c r="K2248" s="20"/>
      <c r="L2248" s="20"/>
    </row>
    <row r="2249">
      <c r="A2249" s="20"/>
      <c r="B2249" s="20"/>
      <c r="C2249" s="20"/>
      <c r="D2249" s="20"/>
      <c r="E2249" s="20"/>
      <c r="F2249" s="22"/>
      <c r="G2249" s="20"/>
      <c r="H2249" s="20"/>
      <c r="I2249" s="20"/>
      <c r="J2249" s="20"/>
      <c r="K2249" s="20"/>
      <c r="L2249" s="20"/>
    </row>
  </sheetData>
  <customSheetViews>
    <customSheetView guid="{498C7415-862F-4BD2-9FB7-0D50F7143666}" filter="1" showAutoFilter="1">
      <autoFilter ref="$A$1:$L$2199">
        <sortState ref="A1:L2199">
          <sortCondition ref="D1:D2199"/>
        </sortState>
      </autoFilter>
    </customSheetView>
  </customSheetViews>
  <hyperlinks>
    <hyperlink r:id="rId1" ref="B1"/>
    <hyperlink r:id="rId2" ref="I1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6.38"/>
    <col customWidth="1" min="3" max="3" width="32.5"/>
    <col customWidth="1" min="7" max="7" width="6.0"/>
    <col customWidth="1" min="8" max="8" width="7.63"/>
    <col customWidth="1" min="10" max="10" width="7.38"/>
  </cols>
  <sheetData>
    <row r="1" ht="15.0" customHeight="1"/>
    <row r="2" ht="1.5" customHeight="1"/>
    <row r="3" ht="1.5" customHeight="1"/>
    <row r="4" ht="16.5" customHeight="1"/>
    <row r="5" ht="16.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3" t="str">
        <f>IFERROR(__xludf.DUMMYFUNCTION("IMPORTDATA(""https://raw.githubusercontent.com/adixmr/leetcode/main/data.csv"")"),"questionId")</f>
        <v>questionId</v>
      </c>
      <c r="B1" s="23" t="str">
        <f>IFERROR(__xludf.DUMMYFUNCTION("""COMPUTED_VALUE"""),"title")</f>
        <v>title</v>
      </c>
      <c r="C1" s="23" t="str">
        <f>IFERROR(__xludf.DUMMYFUNCTION("""COMPUTED_VALUE"""),"titleSlug")</f>
        <v>titleSlug</v>
      </c>
      <c r="D1" s="23" t="str">
        <f>IFERROR(__xludf.DUMMYFUNCTION("""COMPUTED_VALUE"""),"isPaidOnly")</f>
        <v>isPaidOnly</v>
      </c>
      <c r="E1" s="23" t="str">
        <f>IFERROR(__xludf.DUMMYFUNCTION("""COMPUTED_VALUE"""),"difficulty")</f>
        <v>difficulty</v>
      </c>
      <c r="F1" s="23" t="str">
        <f>IFERROR(__xludf.DUMMYFUNCTION("""COMPUTED_VALUE"""),"likes")</f>
        <v>likes</v>
      </c>
      <c r="G1" s="23" t="str">
        <f>IFERROR(__xludf.DUMMYFUNCTION("""COMPUTED_VALUE"""),"dislikes")</f>
        <v>dislikes</v>
      </c>
      <c r="H1" s="23" t="str">
        <f>IFERROR(__xludf.DUMMYFUNCTION("""COMPUTED_VALUE"""),"categoryTitle")</f>
        <v>categoryTitle</v>
      </c>
      <c r="I1" s="23" t="str">
        <f>IFERROR(__xludf.DUMMYFUNCTION("""COMPUTED_VALUE"""),"acRate")</f>
        <v>acRate</v>
      </c>
      <c r="J1" s="23" t="str">
        <f>IFERROR(__xludf.DUMMYFUNCTION("""COMPUTED_VALUE"""),"frontendQuestionId")</f>
        <v>frontendQuestionId</v>
      </c>
      <c r="K1" s="23" t="str">
        <f>IFERROR(__xludf.DUMMYFUNCTION("""COMPUTED_VALUE"""),"paidOnly")</f>
        <v>paidOnly</v>
      </c>
      <c r="L1" s="23" t="str">
        <f>IFERROR(__xludf.DUMMYFUNCTION("""COMPUTED_VALUE"""),"topicTags")</f>
        <v>topicTags</v>
      </c>
      <c r="M1" s="23" t="str">
        <f>IFERROR(__xludf.DUMMYFUNCTION("""COMPUTED_VALUE"""),"hasSolution")</f>
        <v>hasSolution</v>
      </c>
      <c r="N1" s="23" t="str">
        <f>IFERROR(__xludf.DUMMYFUNCTION("""COMPUTED_VALUE"""),"hasVideoSolution")</f>
        <v>hasVideoSolution</v>
      </c>
      <c r="O1" s="23" t="str">
        <f>IFERROR(__xludf.DUMMYFUNCTION("""COMPUTED_VALUE"""),"acRateRaw")</f>
        <v>acRateRaw</v>
      </c>
      <c r="P1" s="23" t="str">
        <f>IFERROR(__xludf.DUMMYFUNCTION("""COMPUTED_VALUE"""),"totalAccepted")</f>
        <v>totalAccepted</v>
      </c>
      <c r="Q1" s="23" t="str">
        <f>IFERROR(__xludf.DUMMYFUNCTION("""COMPUTED_VALUE"""),"totalSubmission")</f>
        <v>totalSubmission</v>
      </c>
    </row>
    <row r="2">
      <c r="A2" s="23">
        <f>IFERROR(__xludf.DUMMYFUNCTION("""COMPUTED_VALUE"""),1.0)</f>
        <v>1</v>
      </c>
      <c r="B2" s="23" t="str">
        <f>IFERROR(__xludf.DUMMYFUNCTION("""COMPUTED_VALUE"""),"Two Sum")</f>
        <v>Two Sum</v>
      </c>
      <c r="C2" s="23" t="str">
        <f>IFERROR(__xludf.DUMMYFUNCTION("""COMPUTED_VALUE"""),"two-sum")</f>
        <v>two-sum</v>
      </c>
      <c r="D2" s="23" t="b">
        <f>IFERROR(__xludf.DUMMYFUNCTION("""COMPUTED_VALUE"""),FALSE)</f>
        <v>0</v>
      </c>
      <c r="E2" s="23" t="str">
        <f>IFERROR(__xludf.DUMMYFUNCTION("""COMPUTED_VALUE"""),"Easy")</f>
        <v>Easy</v>
      </c>
      <c r="F2" s="23">
        <f>IFERROR(__xludf.DUMMYFUNCTION("""COMPUTED_VALUE"""),31616.0)</f>
        <v>31616</v>
      </c>
      <c r="G2" s="23">
        <f>IFERROR(__xludf.DUMMYFUNCTION("""COMPUTED_VALUE"""),1003.0)</f>
        <v>1003</v>
      </c>
      <c r="H2" s="23" t="str">
        <f>IFERROR(__xludf.DUMMYFUNCTION("""COMPUTED_VALUE"""),"Algorithms")</f>
        <v>Algorithms</v>
      </c>
      <c r="I2" s="23">
        <f>IFERROR(__xludf.DUMMYFUNCTION("""COMPUTED_VALUE"""),0.485)</f>
        <v>0.485</v>
      </c>
      <c r="J2" s="23">
        <f>IFERROR(__xludf.DUMMYFUNCTION("""COMPUTED_VALUE"""),1.0)</f>
        <v>1</v>
      </c>
      <c r="K2" s="23" t="b">
        <f>IFERROR(__xludf.DUMMYFUNCTION("""COMPUTED_VALUE"""),FALSE)</f>
        <v>0</v>
      </c>
      <c r="L2" s="23" t="str">
        <f>IFERROR(__xludf.DUMMYFUNCTION("""COMPUTED_VALUE"""),"Array;Hash Table;")</f>
        <v>Array;Hash Table;</v>
      </c>
      <c r="M2" s="23" t="b">
        <f>IFERROR(__xludf.DUMMYFUNCTION("""COMPUTED_VALUE"""),TRUE)</f>
        <v>1</v>
      </c>
      <c r="N2" s="23" t="b">
        <f>IFERROR(__xludf.DUMMYFUNCTION("""COMPUTED_VALUE"""),TRUE)</f>
        <v>1</v>
      </c>
      <c r="O2" s="23">
        <f>IFERROR(__xludf.DUMMYFUNCTION("""COMPUTED_VALUE"""),48.5288333883917)</f>
        <v>48.52883339</v>
      </c>
      <c r="P2" s="23">
        <f>IFERROR(__xludf.DUMMYFUNCTION("""COMPUTED_VALUE"""),6491496.0)</f>
        <v>6491496</v>
      </c>
      <c r="Q2" s="23">
        <f>IFERROR(__xludf.DUMMYFUNCTION("""COMPUTED_VALUE"""),1.3376599E7)</f>
        <v>13376599</v>
      </c>
    </row>
    <row r="3">
      <c r="A3" s="23">
        <f>IFERROR(__xludf.DUMMYFUNCTION("""COMPUTED_VALUE"""),2.0)</f>
        <v>2</v>
      </c>
      <c r="B3" s="23" t="str">
        <f>IFERROR(__xludf.DUMMYFUNCTION("""COMPUTED_VALUE"""),"Add Two Numbers")</f>
        <v>Add Two Numbers</v>
      </c>
      <c r="C3" s="23" t="str">
        <f>IFERROR(__xludf.DUMMYFUNCTION("""COMPUTED_VALUE"""),"add-two-numbers")</f>
        <v>add-two-numbers</v>
      </c>
      <c r="D3" s="23" t="b">
        <f>IFERROR(__xludf.DUMMYFUNCTION("""COMPUTED_VALUE"""),FALSE)</f>
        <v>0</v>
      </c>
      <c r="E3" s="23" t="str">
        <f>IFERROR(__xludf.DUMMYFUNCTION("""COMPUTED_VALUE"""),"Medium")</f>
        <v>Medium</v>
      </c>
      <c r="F3" s="23">
        <f>IFERROR(__xludf.DUMMYFUNCTION("""COMPUTED_VALUE"""),18020.0)</f>
        <v>18020</v>
      </c>
      <c r="G3" s="23">
        <f>IFERROR(__xludf.DUMMYFUNCTION("""COMPUTED_VALUE"""),3710.0)</f>
        <v>3710</v>
      </c>
      <c r="H3" s="23" t="str">
        <f>IFERROR(__xludf.DUMMYFUNCTION("""COMPUTED_VALUE"""),"Algorithms")</f>
        <v>Algorithms</v>
      </c>
      <c r="I3" s="23">
        <f>IFERROR(__xludf.DUMMYFUNCTION("""COMPUTED_VALUE"""),0.386)</f>
        <v>0.386</v>
      </c>
      <c r="J3" s="23">
        <f>IFERROR(__xludf.DUMMYFUNCTION("""COMPUTED_VALUE"""),2.0)</f>
        <v>2</v>
      </c>
      <c r="K3" s="23" t="b">
        <f>IFERROR(__xludf.DUMMYFUNCTION("""COMPUTED_VALUE"""),FALSE)</f>
        <v>0</v>
      </c>
      <c r="L3" s="23" t="str">
        <f>IFERROR(__xludf.DUMMYFUNCTION("""COMPUTED_VALUE"""),"Linked List;Math;Recursion;")</f>
        <v>Linked List;Math;Recursion;</v>
      </c>
      <c r="M3" s="23" t="b">
        <f>IFERROR(__xludf.DUMMYFUNCTION("""COMPUTED_VALUE"""),TRUE)</f>
        <v>1</v>
      </c>
      <c r="N3" s="23" t="b">
        <f>IFERROR(__xludf.DUMMYFUNCTION("""COMPUTED_VALUE"""),FALSE)</f>
        <v>0</v>
      </c>
      <c r="O3" s="23">
        <f>IFERROR(__xludf.DUMMYFUNCTION("""COMPUTED_VALUE"""),38.5786693255293)</f>
        <v>38.57866933</v>
      </c>
      <c r="P3" s="23">
        <f>IFERROR(__xludf.DUMMYFUNCTION("""COMPUTED_VALUE"""),2718486.0)</f>
        <v>2718486</v>
      </c>
      <c r="Q3" s="23">
        <f>IFERROR(__xludf.DUMMYFUNCTION("""COMPUTED_VALUE"""),7046603.0)</f>
        <v>7046603</v>
      </c>
    </row>
    <row r="4">
      <c r="A4" s="23">
        <f>IFERROR(__xludf.DUMMYFUNCTION("""COMPUTED_VALUE"""),3.0)</f>
        <v>3</v>
      </c>
      <c r="B4" s="23" t="str">
        <f>IFERROR(__xludf.DUMMYFUNCTION("""COMPUTED_VALUE"""),"Longest Substring Without Repeating Characters")</f>
        <v>Longest Substring Without Repeating Characters</v>
      </c>
      <c r="C4" s="23" t="str">
        <f>IFERROR(__xludf.DUMMYFUNCTION("""COMPUTED_VALUE"""),"longest-substring-without-repeating-characters")</f>
        <v>longest-substring-without-repeating-characters</v>
      </c>
      <c r="D4" s="23" t="b">
        <f>IFERROR(__xludf.DUMMYFUNCTION("""COMPUTED_VALUE"""),FALSE)</f>
        <v>0</v>
      </c>
      <c r="E4" s="23" t="str">
        <f>IFERROR(__xludf.DUMMYFUNCTION("""COMPUTED_VALUE"""),"Medium")</f>
        <v>Medium</v>
      </c>
      <c r="F4" s="23">
        <f>IFERROR(__xludf.DUMMYFUNCTION("""COMPUTED_VALUE"""),23222.0)</f>
        <v>23222</v>
      </c>
      <c r="G4" s="23">
        <f>IFERROR(__xludf.DUMMYFUNCTION("""COMPUTED_VALUE"""),1045.0)</f>
        <v>1045</v>
      </c>
      <c r="H4" s="23" t="str">
        <f>IFERROR(__xludf.DUMMYFUNCTION("""COMPUTED_VALUE"""),"Algorithms")</f>
        <v>Algorithms</v>
      </c>
      <c r="I4" s="23">
        <f>IFERROR(__xludf.DUMMYFUNCTION("""COMPUTED_VALUE"""),0.33)</f>
        <v>0.33</v>
      </c>
      <c r="J4" s="23">
        <f>IFERROR(__xludf.DUMMYFUNCTION("""COMPUTED_VALUE"""),3.0)</f>
        <v>3</v>
      </c>
      <c r="K4" s="23" t="b">
        <f>IFERROR(__xludf.DUMMYFUNCTION("""COMPUTED_VALUE"""),FALSE)</f>
        <v>0</v>
      </c>
      <c r="L4" s="23" t="str">
        <f>IFERROR(__xludf.DUMMYFUNCTION("""COMPUTED_VALUE"""),"Hash Table;String;Sliding Window;")</f>
        <v>Hash Table;String;Sliding Window;</v>
      </c>
      <c r="M4" s="23" t="b">
        <f>IFERROR(__xludf.DUMMYFUNCTION("""COMPUTED_VALUE"""),TRUE)</f>
        <v>1</v>
      </c>
      <c r="N4" s="23" t="b">
        <f>IFERROR(__xludf.DUMMYFUNCTION("""COMPUTED_VALUE"""),TRUE)</f>
        <v>1</v>
      </c>
      <c r="O4" s="23">
        <f>IFERROR(__xludf.DUMMYFUNCTION("""COMPUTED_VALUE"""),33.0351177603914)</f>
        <v>33.03511776</v>
      </c>
      <c r="P4" s="23">
        <f>IFERROR(__xludf.DUMMYFUNCTION("""COMPUTED_VALUE"""),3215433.0)</f>
        <v>3215433</v>
      </c>
      <c r="Q4" s="23">
        <f>IFERROR(__xludf.DUMMYFUNCTION("""COMPUTED_VALUE"""),9733375.0)</f>
        <v>9733375</v>
      </c>
    </row>
    <row r="5">
      <c r="A5" s="23">
        <f>IFERROR(__xludf.DUMMYFUNCTION("""COMPUTED_VALUE"""),4.0)</f>
        <v>4</v>
      </c>
      <c r="B5" s="23" t="str">
        <f>IFERROR(__xludf.DUMMYFUNCTION("""COMPUTED_VALUE"""),"Median of Two Sorted Arrays")</f>
        <v>Median of Two Sorted Arrays</v>
      </c>
      <c r="C5" s="23" t="str">
        <f>IFERROR(__xludf.DUMMYFUNCTION("""COMPUTED_VALUE"""),"median-of-two-sorted-arrays")</f>
        <v>median-of-two-sorted-arrays</v>
      </c>
      <c r="D5" s="23" t="b">
        <f>IFERROR(__xludf.DUMMYFUNCTION("""COMPUTED_VALUE"""),FALSE)</f>
        <v>0</v>
      </c>
      <c r="E5" s="23" t="str">
        <f>IFERROR(__xludf.DUMMYFUNCTION("""COMPUTED_VALUE"""),"Hard")</f>
        <v>Hard</v>
      </c>
      <c r="F5" s="23">
        <f>IFERROR(__xludf.DUMMYFUNCTION("""COMPUTED_VALUE"""),16171.0)</f>
        <v>16171</v>
      </c>
      <c r="G5" s="23">
        <f>IFERROR(__xludf.DUMMYFUNCTION("""COMPUTED_VALUE"""),1984.0)</f>
        <v>1984</v>
      </c>
      <c r="H5" s="23" t="str">
        <f>IFERROR(__xludf.DUMMYFUNCTION("""COMPUTED_VALUE"""),"Algorithms")</f>
        <v>Algorithms</v>
      </c>
      <c r="I5" s="23">
        <f>IFERROR(__xludf.DUMMYFUNCTION("""COMPUTED_VALUE"""),0.341)</f>
        <v>0.341</v>
      </c>
      <c r="J5" s="23">
        <f>IFERROR(__xludf.DUMMYFUNCTION("""COMPUTED_VALUE"""),4.0)</f>
        <v>4</v>
      </c>
      <c r="K5" s="23" t="b">
        <f>IFERROR(__xludf.DUMMYFUNCTION("""COMPUTED_VALUE"""),FALSE)</f>
        <v>0</v>
      </c>
      <c r="L5" s="23" t="str">
        <f>IFERROR(__xludf.DUMMYFUNCTION("""COMPUTED_VALUE"""),"Array;Binary Search;Divide and Conquer;")</f>
        <v>Array;Binary Search;Divide and Conquer;</v>
      </c>
      <c r="M5" s="23" t="b">
        <f>IFERROR(__xludf.DUMMYFUNCTION("""COMPUTED_VALUE"""),FALSE)</f>
        <v>0</v>
      </c>
      <c r="N5" s="23" t="b">
        <f>IFERROR(__xludf.DUMMYFUNCTION("""COMPUTED_VALUE"""),FALSE)</f>
        <v>0</v>
      </c>
      <c r="O5" s="23">
        <f>IFERROR(__xludf.DUMMYFUNCTION("""COMPUTED_VALUE"""),34.0774690831893)</f>
        <v>34.07746908</v>
      </c>
      <c r="P5" s="23">
        <f>IFERROR(__xludf.DUMMYFUNCTION("""COMPUTED_VALUE"""),1357363.0)</f>
        <v>1357363</v>
      </c>
      <c r="Q5" s="23">
        <f>IFERROR(__xludf.DUMMYFUNCTION("""COMPUTED_VALUE"""),3983175.0)</f>
        <v>3983175</v>
      </c>
    </row>
    <row r="6">
      <c r="A6" s="23">
        <f>IFERROR(__xludf.DUMMYFUNCTION("""COMPUTED_VALUE"""),5.0)</f>
        <v>5</v>
      </c>
      <c r="B6" s="23" t="str">
        <f>IFERROR(__xludf.DUMMYFUNCTION("""COMPUTED_VALUE"""),"Longest Palindromic Substring")</f>
        <v>Longest Palindromic Substring</v>
      </c>
      <c r="C6" s="23" t="str">
        <f>IFERROR(__xludf.DUMMYFUNCTION("""COMPUTED_VALUE"""),"longest-palindromic-substring")</f>
        <v>longest-palindromic-substring</v>
      </c>
      <c r="D6" s="23" t="b">
        <f>IFERROR(__xludf.DUMMYFUNCTION("""COMPUTED_VALUE"""),FALSE)</f>
        <v>0</v>
      </c>
      <c r="E6" s="23" t="str">
        <f>IFERROR(__xludf.DUMMYFUNCTION("""COMPUTED_VALUE"""),"Medium")</f>
        <v>Medium</v>
      </c>
      <c r="F6" s="23">
        <f>IFERROR(__xludf.DUMMYFUNCTION("""COMPUTED_VALUE"""),17286.0)</f>
        <v>17286</v>
      </c>
      <c r="G6" s="23">
        <f>IFERROR(__xludf.DUMMYFUNCTION("""COMPUTED_VALUE"""),1028.0)</f>
        <v>1028</v>
      </c>
      <c r="H6" s="23" t="str">
        <f>IFERROR(__xludf.DUMMYFUNCTION("""COMPUTED_VALUE"""),"Algorithms")</f>
        <v>Algorithms</v>
      </c>
      <c r="I6" s="23">
        <f>IFERROR(__xludf.DUMMYFUNCTION("""COMPUTED_VALUE"""),0.318)</f>
        <v>0.318</v>
      </c>
      <c r="J6" s="23">
        <f>IFERROR(__xludf.DUMMYFUNCTION("""COMPUTED_VALUE"""),5.0)</f>
        <v>5</v>
      </c>
      <c r="K6" s="23" t="b">
        <f>IFERROR(__xludf.DUMMYFUNCTION("""COMPUTED_VALUE"""),FALSE)</f>
        <v>0</v>
      </c>
      <c r="L6" s="23" t="str">
        <f>IFERROR(__xludf.DUMMYFUNCTION("""COMPUTED_VALUE"""),"String;Dynamic Programming;")</f>
        <v>String;Dynamic Programming;</v>
      </c>
      <c r="M6" s="23" t="b">
        <f>IFERROR(__xludf.DUMMYFUNCTION("""COMPUTED_VALUE"""),TRUE)</f>
        <v>1</v>
      </c>
      <c r="N6" s="23" t="b">
        <f>IFERROR(__xludf.DUMMYFUNCTION("""COMPUTED_VALUE"""),FALSE)</f>
        <v>0</v>
      </c>
      <c r="O6" s="23">
        <f>IFERROR(__xludf.DUMMYFUNCTION("""COMPUTED_VALUE"""),31.7685391285522)</f>
        <v>31.76853913</v>
      </c>
      <c r="P6" s="23">
        <f>IFERROR(__xludf.DUMMYFUNCTION("""COMPUTED_VALUE"""),1802014.0)</f>
        <v>1802014</v>
      </c>
      <c r="Q6" s="23">
        <f>IFERROR(__xludf.DUMMYFUNCTION("""COMPUTED_VALUE"""),5672320.0)</f>
        <v>5672320</v>
      </c>
    </row>
    <row r="7">
      <c r="A7" s="23">
        <f>IFERROR(__xludf.DUMMYFUNCTION("""COMPUTED_VALUE"""),6.0)</f>
        <v>6</v>
      </c>
      <c r="B7" s="23" t="str">
        <f>IFERROR(__xludf.DUMMYFUNCTION("""COMPUTED_VALUE"""),"Zigzag Conversion")</f>
        <v>Zigzag Conversion</v>
      </c>
      <c r="C7" s="23" t="str">
        <f>IFERROR(__xludf.DUMMYFUNCTION("""COMPUTED_VALUE"""),"zigzag-conversion")</f>
        <v>zigzag-conversion</v>
      </c>
      <c r="D7" s="23" t="b">
        <f>IFERROR(__xludf.DUMMYFUNCTION("""COMPUTED_VALUE"""),FALSE)</f>
        <v>0</v>
      </c>
      <c r="E7" s="23" t="str">
        <f>IFERROR(__xludf.DUMMYFUNCTION("""COMPUTED_VALUE"""),"Medium")</f>
        <v>Medium</v>
      </c>
      <c r="F7" s="23">
        <f>IFERROR(__xludf.DUMMYFUNCTION("""COMPUTED_VALUE"""),3608.0)</f>
        <v>3608</v>
      </c>
      <c r="G7" s="23">
        <f>IFERROR(__xludf.DUMMYFUNCTION("""COMPUTED_VALUE"""),8335.0)</f>
        <v>8335</v>
      </c>
      <c r="H7" s="23" t="str">
        <f>IFERROR(__xludf.DUMMYFUNCTION("""COMPUTED_VALUE"""),"Algorithms")</f>
        <v>Algorithms</v>
      </c>
      <c r="I7" s="23">
        <f>IFERROR(__xludf.DUMMYFUNCTION("""COMPUTED_VALUE"""),0.415)</f>
        <v>0.415</v>
      </c>
      <c r="J7" s="23">
        <f>IFERROR(__xludf.DUMMYFUNCTION("""COMPUTED_VALUE"""),6.0)</f>
        <v>6</v>
      </c>
      <c r="K7" s="23" t="b">
        <f>IFERROR(__xludf.DUMMYFUNCTION("""COMPUTED_VALUE"""),FALSE)</f>
        <v>0</v>
      </c>
      <c r="L7" s="23" t="str">
        <f>IFERROR(__xludf.DUMMYFUNCTION("""COMPUTED_VALUE"""),"String;")</f>
        <v>String;</v>
      </c>
      <c r="M7" s="23" t="b">
        <f>IFERROR(__xludf.DUMMYFUNCTION("""COMPUTED_VALUE"""),TRUE)</f>
        <v>1</v>
      </c>
      <c r="N7" s="23" t="b">
        <f>IFERROR(__xludf.DUMMYFUNCTION("""COMPUTED_VALUE"""),FALSE)</f>
        <v>0</v>
      </c>
      <c r="O7" s="23">
        <f>IFERROR(__xludf.DUMMYFUNCTION("""COMPUTED_VALUE"""),41.5035773628466)</f>
        <v>41.50357736</v>
      </c>
      <c r="P7" s="23">
        <f>IFERROR(__xludf.DUMMYFUNCTION("""COMPUTED_VALUE"""),753587.0)</f>
        <v>753587</v>
      </c>
      <c r="Q7" s="23">
        <f>IFERROR(__xludf.DUMMYFUNCTION("""COMPUTED_VALUE"""),1815718.0)</f>
        <v>1815718</v>
      </c>
    </row>
    <row r="8">
      <c r="A8" s="23">
        <f>IFERROR(__xludf.DUMMYFUNCTION("""COMPUTED_VALUE"""),7.0)</f>
        <v>7</v>
      </c>
      <c r="B8" s="23" t="str">
        <f>IFERROR(__xludf.DUMMYFUNCTION("""COMPUTED_VALUE"""),"Reverse Integer")</f>
        <v>Reverse Integer</v>
      </c>
      <c r="C8" s="23" t="str">
        <f>IFERROR(__xludf.DUMMYFUNCTION("""COMPUTED_VALUE"""),"reverse-integer")</f>
        <v>reverse-integer</v>
      </c>
      <c r="D8" s="23" t="b">
        <f>IFERROR(__xludf.DUMMYFUNCTION("""COMPUTED_VALUE"""),FALSE)</f>
        <v>0</v>
      </c>
      <c r="E8" s="23" t="str">
        <f>IFERROR(__xludf.DUMMYFUNCTION("""COMPUTED_VALUE"""),"Medium")</f>
        <v>Medium</v>
      </c>
      <c r="F8" s="23">
        <f>IFERROR(__xludf.DUMMYFUNCTION("""COMPUTED_VALUE"""),7044.0)</f>
        <v>7044</v>
      </c>
      <c r="G8" s="23">
        <f>IFERROR(__xludf.DUMMYFUNCTION("""COMPUTED_VALUE"""),9663.0)</f>
        <v>9663</v>
      </c>
      <c r="H8" s="23" t="str">
        <f>IFERROR(__xludf.DUMMYFUNCTION("""COMPUTED_VALUE"""),"Algorithms")</f>
        <v>Algorithms</v>
      </c>
      <c r="I8" s="23">
        <f>IFERROR(__xludf.DUMMYFUNCTION("""COMPUTED_VALUE"""),0.267)</f>
        <v>0.267</v>
      </c>
      <c r="J8" s="23">
        <f>IFERROR(__xludf.DUMMYFUNCTION("""COMPUTED_VALUE"""),7.0)</f>
        <v>7</v>
      </c>
      <c r="K8" s="23" t="b">
        <f>IFERROR(__xludf.DUMMYFUNCTION("""COMPUTED_VALUE"""),FALSE)</f>
        <v>0</v>
      </c>
      <c r="L8" s="23" t="str">
        <f>IFERROR(__xludf.DUMMYFUNCTION("""COMPUTED_VALUE"""),"Math;")</f>
        <v>Math;</v>
      </c>
      <c r="M8" s="23" t="b">
        <f>IFERROR(__xludf.DUMMYFUNCTION("""COMPUTED_VALUE"""),TRUE)</f>
        <v>1</v>
      </c>
      <c r="N8" s="23" t="b">
        <f>IFERROR(__xludf.DUMMYFUNCTION("""COMPUTED_VALUE"""),FALSE)</f>
        <v>0</v>
      </c>
      <c r="O8" s="23">
        <f>IFERROR(__xludf.DUMMYFUNCTION("""COMPUTED_VALUE"""),26.6801524253082)</f>
        <v>26.68015243</v>
      </c>
      <c r="P8" s="23">
        <f>IFERROR(__xludf.DUMMYFUNCTION("""COMPUTED_VALUE"""),2037080.0)</f>
        <v>2037080</v>
      </c>
      <c r="Q8" s="23">
        <f>IFERROR(__xludf.DUMMYFUNCTION("""COMPUTED_VALUE"""),7635185.0)</f>
        <v>7635185</v>
      </c>
    </row>
    <row r="9">
      <c r="A9" s="23">
        <f>IFERROR(__xludf.DUMMYFUNCTION("""COMPUTED_VALUE"""),8.0)</f>
        <v>8</v>
      </c>
      <c r="B9" s="23" t="str">
        <f>IFERROR(__xludf.DUMMYFUNCTION("""COMPUTED_VALUE"""),"String to Integer (atoi)")</f>
        <v>String to Integer (atoi)</v>
      </c>
      <c r="C9" s="23" t="str">
        <f>IFERROR(__xludf.DUMMYFUNCTION("""COMPUTED_VALUE"""),"string-to-integer-atoi")</f>
        <v>string-to-integer-atoi</v>
      </c>
      <c r="D9" s="23" t="b">
        <f>IFERROR(__xludf.DUMMYFUNCTION("""COMPUTED_VALUE"""),FALSE)</f>
        <v>0</v>
      </c>
      <c r="E9" s="23" t="str">
        <f>IFERROR(__xludf.DUMMYFUNCTION("""COMPUTED_VALUE"""),"Medium")</f>
        <v>Medium</v>
      </c>
      <c r="F9" s="23">
        <f>IFERROR(__xludf.DUMMYFUNCTION("""COMPUTED_VALUE"""),1612.0)</f>
        <v>1612</v>
      </c>
      <c r="G9" s="23">
        <f>IFERROR(__xludf.DUMMYFUNCTION("""COMPUTED_VALUE"""),4705.0)</f>
        <v>4705</v>
      </c>
      <c r="H9" s="23" t="str">
        <f>IFERROR(__xludf.DUMMYFUNCTION("""COMPUTED_VALUE"""),"Algorithms")</f>
        <v>Algorithms</v>
      </c>
      <c r="I9" s="23">
        <f>IFERROR(__xludf.DUMMYFUNCTION("""COMPUTED_VALUE"""),0.165)</f>
        <v>0.165</v>
      </c>
      <c r="J9" s="23">
        <f>IFERROR(__xludf.DUMMYFUNCTION("""COMPUTED_VALUE"""),8.0)</f>
        <v>8</v>
      </c>
      <c r="K9" s="23" t="b">
        <f>IFERROR(__xludf.DUMMYFUNCTION("""COMPUTED_VALUE"""),FALSE)</f>
        <v>0</v>
      </c>
      <c r="L9" s="23" t="str">
        <f>IFERROR(__xludf.DUMMYFUNCTION("""COMPUTED_VALUE"""),"String;")</f>
        <v>String;</v>
      </c>
      <c r="M9" s="23" t="b">
        <f>IFERROR(__xludf.DUMMYFUNCTION("""COMPUTED_VALUE"""),TRUE)</f>
        <v>1</v>
      </c>
      <c r="N9" s="23" t="b">
        <f>IFERROR(__xludf.DUMMYFUNCTION("""COMPUTED_VALUE"""),FALSE)</f>
        <v>0</v>
      </c>
      <c r="O9" s="23">
        <f>IFERROR(__xludf.DUMMYFUNCTION("""COMPUTED_VALUE"""),16.5108021508587)</f>
        <v>16.51080215</v>
      </c>
      <c r="P9" s="23">
        <f>IFERROR(__xludf.DUMMYFUNCTION("""COMPUTED_VALUE"""),991869.0)</f>
        <v>991869</v>
      </c>
      <c r="Q9" s="23">
        <f>IFERROR(__xludf.DUMMYFUNCTION("""COMPUTED_VALUE"""),6007431.0)</f>
        <v>6007431</v>
      </c>
    </row>
    <row r="10">
      <c r="A10" s="23">
        <f>IFERROR(__xludf.DUMMYFUNCTION("""COMPUTED_VALUE"""),9.0)</f>
        <v>9</v>
      </c>
      <c r="B10" s="23" t="str">
        <f>IFERROR(__xludf.DUMMYFUNCTION("""COMPUTED_VALUE"""),"Palindrome Number")</f>
        <v>Palindrome Number</v>
      </c>
      <c r="C10" s="23" t="str">
        <f>IFERROR(__xludf.DUMMYFUNCTION("""COMPUTED_VALUE"""),"palindrome-number")</f>
        <v>palindrome-number</v>
      </c>
      <c r="D10" s="23" t="b">
        <f>IFERROR(__xludf.DUMMYFUNCTION("""COMPUTED_VALUE"""),FALSE)</f>
        <v>0</v>
      </c>
      <c r="E10" s="23" t="str">
        <f>IFERROR(__xludf.DUMMYFUNCTION("""COMPUTED_VALUE"""),"Easy")</f>
        <v>Easy</v>
      </c>
      <c r="F10" s="23">
        <f>IFERROR(__xludf.DUMMYFUNCTION("""COMPUTED_VALUE"""),5675.0)</f>
        <v>5675</v>
      </c>
      <c r="G10" s="23">
        <f>IFERROR(__xludf.DUMMYFUNCTION("""COMPUTED_VALUE"""),2111.0)</f>
        <v>2111</v>
      </c>
      <c r="H10" s="23" t="str">
        <f>IFERROR(__xludf.DUMMYFUNCTION("""COMPUTED_VALUE"""),"Algorithms")</f>
        <v>Algorithms</v>
      </c>
      <c r="I10" s="23">
        <f>IFERROR(__xludf.DUMMYFUNCTION("""COMPUTED_VALUE"""),0.524)</f>
        <v>0.524</v>
      </c>
      <c r="J10" s="23">
        <f>IFERROR(__xludf.DUMMYFUNCTION("""COMPUTED_VALUE"""),9.0)</f>
        <v>9</v>
      </c>
      <c r="K10" s="23" t="b">
        <f>IFERROR(__xludf.DUMMYFUNCTION("""COMPUTED_VALUE"""),FALSE)</f>
        <v>0</v>
      </c>
      <c r="L10" s="23" t="str">
        <f>IFERROR(__xludf.DUMMYFUNCTION("""COMPUTED_VALUE"""),"Math;")</f>
        <v>Math;</v>
      </c>
      <c r="M10" s="23" t="b">
        <f>IFERROR(__xludf.DUMMYFUNCTION("""COMPUTED_VALUE"""),TRUE)</f>
        <v>1</v>
      </c>
      <c r="N10" s="23" t="b">
        <f>IFERROR(__xludf.DUMMYFUNCTION("""COMPUTED_VALUE"""),FALSE)</f>
        <v>0</v>
      </c>
      <c r="O10" s="23">
        <f>IFERROR(__xludf.DUMMYFUNCTION("""COMPUTED_VALUE"""),52.3705774915448)</f>
        <v>52.37057749</v>
      </c>
      <c r="P10" s="23">
        <f>IFERROR(__xludf.DUMMYFUNCTION("""COMPUTED_VALUE"""),2030651.0)</f>
        <v>2030651</v>
      </c>
      <c r="Q10" s="23">
        <f>IFERROR(__xludf.DUMMYFUNCTION("""COMPUTED_VALUE"""),3877461.0)</f>
        <v>3877461</v>
      </c>
    </row>
    <row r="11">
      <c r="A11" s="23">
        <f>IFERROR(__xludf.DUMMYFUNCTION("""COMPUTED_VALUE"""),10.0)</f>
        <v>10</v>
      </c>
      <c r="B11" s="23" t="str">
        <f>IFERROR(__xludf.DUMMYFUNCTION("""COMPUTED_VALUE"""),"Regular Expression Matching")</f>
        <v>Regular Expression Matching</v>
      </c>
      <c r="C11" s="23" t="str">
        <f>IFERROR(__xludf.DUMMYFUNCTION("""COMPUTED_VALUE"""),"regular-expression-matching")</f>
        <v>regular-expression-matching</v>
      </c>
      <c r="D11" s="23" t="b">
        <f>IFERROR(__xludf.DUMMYFUNCTION("""COMPUTED_VALUE"""),FALSE)</f>
        <v>0</v>
      </c>
      <c r="E11" s="23" t="str">
        <f>IFERROR(__xludf.DUMMYFUNCTION("""COMPUTED_VALUE"""),"Hard")</f>
        <v>Hard</v>
      </c>
      <c r="F11" s="23">
        <f>IFERROR(__xludf.DUMMYFUNCTION("""COMPUTED_VALUE"""),7993.0)</f>
        <v>7993</v>
      </c>
      <c r="G11" s="23">
        <f>IFERROR(__xludf.DUMMYFUNCTION("""COMPUTED_VALUE"""),1204.0)</f>
        <v>1204</v>
      </c>
      <c r="H11" s="23" t="str">
        <f>IFERROR(__xludf.DUMMYFUNCTION("""COMPUTED_VALUE"""),"Algorithms")</f>
        <v>Algorithms</v>
      </c>
      <c r="I11" s="23">
        <f>IFERROR(__xludf.DUMMYFUNCTION("""COMPUTED_VALUE"""),0.282)</f>
        <v>0.282</v>
      </c>
      <c r="J11" s="23">
        <f>IFERROR(__xludf.DUMMYFUNCTION("""COMPUTED_VALUE"""),10.0)</f>
        <v>10</v>
      </c>
      <c r="K11" s="23" t="b">
        <f>IFERROR(__xludf.DUMMYFUNCTION("""COMPUTED_VALUE"""),FALSE)</f>
        <v>0</v>
      </c>
      <c r="L11" s="23" t="str">
        <f>IFERROR(__xludf.DUMMYFUNCTION("""COMPUTED_VALUE"""),"String;Dynamic Programming;Recursion;")</f>
        <v>String;Dynamic Programming;Recursion;</v>
      </c>
      <c r="M11" s="23" t="b">
        <f>IFERROR(__xludf.DUMMYFUNCTION("""COMPUTED_VALUE"""),TRUE)</f>
        <v>1</v>
      </c>
      <c r="N11" s="23" t="b">
        <f>IFERROR(__xludf.DUMMYFUNCTION("""COMPUTED_VALUE"""),FALSE)</f>
        <v>0</v>
      </c>
      <c r="O11" s="23">
        <f>IFERROR(__xludf.DUMMYFUNCTION("""COMPUTED_VALUE"""),28.2302417591256)</f>
        <v>28.23024176</v>
      </c>
      <c r="P11" s="23">
        <f>IFERROR(__xludf.DUMMYFUNCTION("""COMPUTED_VALUE"""),673855.0)</f>
        <v>673855</v>
      </c>
      <c r="Q11" s="23">
        <f>IFERROR(__xludf.DUMMYFUNCTION("""COMPUTED_VALUE"""),2387002.0)</f>
        <v>2387002</v>
      </c>
    </row>
    <row r="12">
      <c r="A12" s="23">
        <f>IFERROR(__xludf.DUMMYFUNCTION("""COMPUTED_VALUE"""),11.0)</f>
        <v>11</v>
      </c>
      <c r="B12" s="23" t="str">
        <f>IFERROR(__xludf.DUMMYFUNCTION("""COMPUTED_VALUE"""),"Container With Most Water")</f>
        <v>Container With Most Water</v>
      </c>
      <c r="C12" s="23" t="str">
        <f>IFERROR(__xludf.DUMMYFUNCTION("""COMPUTED_VALUE"""),"container-with-most-water")</f>
        <v>container-with-most-water</v>
      </c>
      <c r="D12" s="23" t="b">
        <f>IFERROR(__xludf.DUMMYFUNCTION("""COMPUTED_VALUE"""),FALSE)</f>
        <v>0</v>
      </c>
      <c r="E12" s="23" t="str">
        <f>IFERROR(__xludf.DUMMYFUNCTION("""COMPUTED_VALUE"""),"Medium")</f>
        <v>Medium</v>
      </c>
      <c r="F12" s="23">
        <f>IFERROR(__xludf.DUMMYFUNCTION("""COMPUTED_VALUE"""),16625.0)</f>
        <v>16625</v>
      </c>
      <c r="G12" s="23">
        <f>IFERROR(__xludf.DUMMYFUNCTION("""COMPUTED_VALUE"""),942.0)</f>
        <v>942</v>
      </c>
      <c r="H12" s="23" t="str">
        <f>IFERROR(__xludf.DUMMYFUNCTION("""COMPUTED_VALUE"""),"Algorithms")</f>
        <v>Algorithms</v>
      </c>
      <c r="I12" s="23">
        <f>IFERROR(__xludf.DUMMYFUNCTION("""COMPUTED_VALUE"""),0.539)</f>
        <v>0.539</v>
      </c>
      <c r="J12" s="23">
        <f>IFERROR(__xludf.DUMMYFUNCTION("""COMPUTED_VALUE"""),11.0)</f>
        <v>11</v>
      </c>
      <c r="K12" s="23" t="b">
        <f>IFERROR(__xludf.DUMMYFUNCTION("""COMPUTED_VALUE"""),FALSE)</f>
        <v>0</v>
      </c>
      <c r="L12" s="23" t="str">
        <f>IFERROR(__xludf.DUMMYFUNCTION("""COMPUTED_VALUE"""),"Array;Two Pointers;Greedy;")</f>
        <v>Array;Two Pointers;Greedy;</v>
      </c>
      <c r="M12" s="23" t="b">
        <f>IFERROR(__xludf.DUMMYFUNCTION("""COMPUTED_VALUE"""),TRUE)</f>
        <v>1</v>
      </c>
      <c r="N12" s="23" t="b">
        <f>IFERROR(__xludf.DUMMYFUNCTION("""COMPUTED_VALUE"""),TRUE)</f>
        <v>1</v>
      </c>
      <c r="O12" s="23">
        <f>IFERROR(__xludf.DUMMYFUNCTION("""COMPUTED_VALUE"""),53.9262930294307)</f>
        <v>53.92629303</v>
      </c>
      <c r="P12" s="23">
        <f>IFERROR(__xludf.DUMMYFUNCTION("""COMPUTED_VALUE"""),1460255.0)</f>
        <v>1460255</v>
      </c>
      <c r="Q12" s="23">
        <f>IFERROR(__xludf.DUMMYFUNCTION("""COMPUTED_VALUE"""),2707873.0)</f>
        <v>2707873</v>
      </c>
    </row>
    <row r="13">
      <c r="A13" s="23">
        <f>IFERROR(__xludf.DUMMYFUNCTION("""COMPUTED_VALUE"""),12.0)</f>
        <v>12</v>
      </c>
      <c r="B13" s="23" t="str">
        <f>IFERROR(__xludf.DUMMYFUNCTION("""COMPUTED_VALUE"""),"Integer to Roman")</f>
        <v>Integer to Roman</v>
      </c>
      <c r="C13" s="23" t="str">
        <f>IFERROR(__xludf.DUMMYFUNCTION("""COMPUTED_VALUE"""),"integer-to-roman")</f>
        <v>integer-to-roman</v>
      </c>
      <c r="D13" s="23" t="b">
        <f>IFERROR(__xludf.DUMMYFUNCTION("""COMPUTED_VALUE"""),FALSE)</f>
        <v>0</v>
      </c>
      <c r="E13" s="23" t="str">
        <f>IFERROR(__xludf.DUMMYFUNCTION("""COMPUTED_VALUE"""),"Medium")</f>
        <v>Medium</v>
      </c>
      <c r="F13" s="23">
        <f>IFERROR(__xludf.DUMMYFUNCTION("""COMPUTED_VALUE"""),3094.0)</f>
        <v>3094</v>
      </c>
      <c r="G13" s="23">
        <f>IFERROR(__xludf.DUMMYFUNCTION("""COMPUTED_VALUE"""),3983.0)</f>
        <v>3983</v>
      </c>
      <c r="H13" s="23" t="str">
        <f>IFERROR(__xludf.DUMMYFUNCTION("""COMPUTED_VALUE"""),"Algorithms")</f>
        <v>Algorithms</v>
      </c>
      <c r="I13" s="23">
        <f>IFERROR(__xludf.DUMMYFUNCTION("""COMPUTED_VALUE"""),0.594)</f>
        <v>0.594</v>
      </c>
      <c r="J13" s="23">
        <f>IFERROR(__xludf.DUMMYFUNCTION("""COMPUTED_VALUE"""),12.0)</f>
        <v>12</v>
      </c>
      <c r="K13" s="23" t="b">
        <f>IFERROR(__xludf.DUMMYFUNCTION("""COMPUTED_VALUE"""),FALSE)</f>
        <v>0</v>
      </c>
      <c r="L13" s="23" t="str">
        <f>IFERROR(__xludf.DUMMYFUNCTION("""COMPUTED_VALUE"""),"Hash Table;Math;String;")</f>
        <v>Hash Table;Math;String;</v>
      </c>
      <c r="M13" s="23" t="b">
        <f>IFERROR(__xludf.DUMMYFUNCTION("""COMPUTED_VALUE"""),TRUE)</f>
        <v>1</v>
      </c>
      <c r="N13" s="23" t="b">
        <f>IFERROR(__xludf.DUMMYFUNCTION("""COMPUTED_VALUE"""),FALSE)</f>
        <v>0</v>
      </c>
      <c r="O13" s="23">
        <f>IFERROR(__xludf.DUMMYFUNCTION("""COMPUTED_VALUE"""),59.4126218916646)</f>
        <v>59.41262189</v>
      </c>
      <c r="P13" s="23">
        <f>IFERROR(__xludf.DUMMYFUNCTION("""COMPUTED_VALUE"""),682504.0)</f>
        <v>682504</v>
      </c>
      <c r="Q13" s="23">
        <f>IFERROR(__xludf.DUMMYFUNCTION("""COMPUTED_VALUE"""),1148752.0)</f>
        <v>1148752</v>
      </c>
    </row>
    <row r="14">
      <c r="A14" s="23">
        <f>IFERROR(__xludf.DUMMYFUNCTION("""COMPUTED_VALUE"""),13.0)</f>
        <v>13</v>
      </c>
      <c r="B14" s="23" t="str">
        <f>IFERROR(__xludf.DUMMYFUNCTION("""COMPUTED_VALUE"""),"Roman to Integer")</f>
        <v>Roman to Integer</v>
      </c>
      <c r="C14" s="23" t="str">
        <f>IFERROR(__xludf.DUMMYFUNCTION("""COMPUTED_VALUE"""),"roman-to-integer")</f>
        <v>roman-to-integer</v>
      </c>
      <c r="D14" s="23" t="b">
        <f>IFERROR(__xludf.DUMMYFUNCTION("""COMPUTED_VALUE"""),FALSE)</f>
        <v>0</v>
      </c>
      <c r="E14" s="23" t="str">
        <f>IFERROR(__xludf.DUMMYFUNCTION("""COMPUTED_VALUE"""),"Easy")</f>
        <v>Easy</v>
      </c>
      <c r="F14" s="23">
        <f>IFERROR(__xludf.DUMMYFUNCTION("""COMPUTED_VALUE"""),3914.0)</f>
        <v>3914</v>
      </c>
      <c r="G14" s="23">
        <f>IFERROR(__xludf.DUMMYFUNCTION("""COMPUTED_VALUE"""),274.0)</f>
        <v>274</v>
      </c>
      <c r="H14" s="23" t="str">
        <f>IFERROR(__xludf.DUMMYFUNCTION("""COMPUTED_VALUE"""),"Algorithms")</f>
        <v>Algorithms</v>
      </c>
      <c r="I14" s="23">
        <f>IFERROR(__xludf.DUMMYFUNCTION("""COMPUTED_VALUE"""),0.579)</f>
        <v>0.579</v>
      </c>
      <c r="J14" s="23">
        <f>IFERROR(__xludf.DUMMYFUNCTION("""COMPUTED_VALUE"""),13.0)</f>
        <v>13</v>
      </c>
      <c r="K14" s="23" t="b">
        <f>IFERROR(__xludf.DUMMYFUNCTION("""COMPUTED_VALUE"""),FALSE)</f>
        <v>0</v>
      </c>
      <c r="L14" s="23" t="str">
        <f>IFERROR(__xludf.DUMMYFUNCTION("""COMPUTED_VALUE"""),"Hash Table;Math;String;")</f>
        <v>Hash Table;Math;String;</v>
      </c>
      <c r="M14" s="23" t="b">
        <f>IFERROR(__xludf.DUMMYFUNCTION("""COMPUTED_VALUE"""),TRUE)</f>
        <v>1</v>
      </c>
      <c r="N14" s="23" t="b">
        <f>IFERROR(__xludf.DUMMYFUNCTION("""COMPUTED_VALUE"""),FALSE)</f>
        <v>0</v>
      </c>
      <c r="O14" s="23">
        <f>IFERROR(__xludf.DUMMYFUNCTION("""COMPUTED_VALUE"""),57.8808719848999)</f>
        <v>57.88087198</v>
      </c>
      <c r="P14" s="23">
        <f>IFERROR(__xludf.DUMMYFUNCTION("""COMPUTED_VALUE"""),1541529.0)</f>
        <v>1541529</v>
      </c>
      <c r="Q14" s="23">
        <f>IFERROR(__xludf.DUMMYFUNCTION("""COMPUTED_VALUE"""),2663280.0)</f>
        <v>2663280</v>
      </c>
    </row>
    <row r="15">
      <c r="A15" s="23">
        <f>IFERROR(__xludf.DUMMYFUNCTION("""COMPUTED_VALUE"""),14.0)</f>
        <v>14</v>
      </c>
      <c r="B15" s="23" t="str">
        <f>IFERROR(__xludf.DUMMYFUNCTION("""COMPUTED_VALUE"""),"Longest Common Prefix")</f>
        <v>Longest Common Prefix</v>
      </c>
      <c r="C15" s="23" t="str">
        <f>IFERROR(__xludf.DUMMYFUNCTION("""COMPUTED_VALUE"""),"longest-common-prefix")</f>
        <v>longest-common-prefix</v>
      </c>
      <c r="D15" s="23" t="b">
        <f>IFERROR(__xludf.DUMMYFUNCTION("""COMPUTED_VALUE"""),FALSE)</f>
        <v>0</v>
      </c>
      <c r="E15" s="23" t="str">
        <f>IFERROR(__xludf.DUMMYFUNCTION("""COMPUTED_VALUE"""),"Easy")</f>
        <v>Easy</v>
      </c>
      <c r="F15" s="23">
        <f>IFERROR(__xludf.DUMMYFUNCTION("""COMPUTED_VALUE"""),7761.0)</f>
        <v>7761</v>
      </c>
      <c r="G15" s="23">
        <f>IFERROR(__xludf.DUMMYFUNCTION("""COMPUTED_VALUE"""),2948.0)</f>
        <v>2948</v>
      </c>
      <c r="H15" s="23" t="str">
        <f>IFERROR(__xludf.DUMMYFUNCTION("""COMPUTED_VALUE"""),"Algorithms")</f>
        <v>Algorithms</v>
      </c>
      <c r="I15" s="23">
        <f>IFERROR(__xludf.DUMMYFUNCTION("""COMPUTED_VALUE"""),0.394)</f>
        <v>0.394</v>
      </c>
      <c r="J15" s="23">
        <f>IFERROR(__xludf.DUMMYFUNCTION("""COMPUTED_VALUE"""),14.0)</f>
        <v>14</v>
      </c>
      <c r="K15" s="23" t="b">
        <f>IFERROR(__xludf.DUMMYFUNCTION("""COMPUTED_VALUE"""),FALSE)</f>
        <v>0</v>
      </c>
      <c r="L15" s="23" t="str">
        <f>IFERROR(__xludf.DUMMYFUNCTION("""COMPUTED_VALUE"""),"String;")</f>
        <v>String;</v>
      </c>
      <c r="M15" s="23" t="b">
        <f>IFERROR(__xludf.DUMMYFUNCTION("""COMPUTED_VALUE"""),TRUE)</f>
        <v>1</v>
      </c>
      <c r="N15" s="23" t="b">
        <f>IFERROR(__xludf.DUMMYFUNCTION("""COMPUTED_VALUE"""),FALSE)</f>
        <v>0</v>
      </c>
      <c r="O15" s="23">
        <f>IFERROR(__xludf.DUMMYFUNCTION("""COMPUTED_VALUE"""),39.379992207905)</f>
        <v>39.37999221</v>
      </c>
      <c r="P15" s="23">
        <f>IFERROR(__xludf.DUMMYFUNCTION("""COMPUTED_VALUE"""),1549501.0)</f>
        <v>1549501</v>
      </c>
      <c r="Q15" s="23">
        <f>IFERROR(__xludf.DUMMYFUNCTION("""COMPUTED_VALUE"""),3934744.0)</f>
        <v>3934744</v>
      </c>
    </row>
    <row r="16">
      <c r="A16" s="23">
        <f>IFERROR(__xludf.DUMMYFUNCTION("""COMPUTED_VALUE"""),15.0)</f>
        <v>15</v>
      </c>
      <c r="B16" s="23" t="str">
        <f>IFERROR(__xludf.DUMMYFUNCTION("""COMPUTED_VALUE"""),"3Sum")</f>
        <v>3Sum</v>
      </c>
      <c r="C16" s="23" t="str">
        <f>IFERROR(__xludf.DUMMYFUNCTION("""COMPUTED_VALUE"""),"3sum")</f>
        <v>3sum</v>
      </c>
      <c r="D16" s="23" t="b">
        <f>IFERROR(__xludf.DUMMYFUNCTION("""COMPUTED_VALUE"""),FALSE)</f>
        <v>0</v>
      </c>
      <c r="E16" s="23" t="str">
        <f>IFERROR(__xludf.DUMMYFUNCTION("""COMPUTED_VALUE"""),"Medium")</f>
        <v>Medium</v>
      </c>
      <c r="F16" s="23">
        <f>IFERROR(__xludf.DUMMYFUNCTION("""COMPUTED_VALUE"""),17454.0)</f>
        <v>17454</v>
      </c>
      <c r="G16" s="23">
        <f>IFERROR(__xludf.DUMMYFUNCTION("""COMPUTED_VALUE"""),1677.0)</f>
        <v>1677</v>
      </c>
      <c r="H16" s="23" t="str">
        <f>IFERROR(__xludf.DUMMYFUNCTION("""COMPUTED_VALUE"""),"Algorithms")</f>
        <v>Algorithms</v>
      </c>
      <c r="I16" s="23">
        <f>IFERROR(__xludf.DUMMYFUNCTION("""COMPUTED_VALUE"""),0.311)</f>
        <v>0.311</v>
      </c>
      <c r="J16" s="23">
        <f>IFERROR(__xludf.DUMMYFUNCTION("""COMPUTED_VALUE"""),15.0)</f>
        <v>15</v>
      </c>
      <c r="K16" s="23" t="b">
        <f>IFERROR(__xludf.DUMMYFUNCTION("""COMPUTED_VALUE"""),FALSE)</f>
        <v>0</v>
      </c>
      <c r="L16" s="23" t="str">
        <f>IFERROR(__xludf.DUMMYFUNCTION("""COMPUTED_VALUE"""),"Array;Two Pointers;Sorting;")</f>
        <v>Array;Two Pointers;Sorting;</v>
      </c>
      <c r="M16" s="23" t="b">
        <f>IFERROR(__xludf.DUMMYFUNCTION("""COMPUTED_VALUE"""),TRUE)</f>
        <v>1</v>
      </c>
      <c r="N16" s="23" t="b">
        <f>IFERROR(__xludf.DUMMYFUNCTION("""COMPUTED_VALUE"""),FALSE)</f>
        <v>0</v>
      </c>
      <c r="O16" s="23">
        <f>IFERROR(__xludf.DUMMYFUNCTION("""COMPUTED_VALUE"""),31.0534124604961)</f>
        <v>31.05341246</v>
      </c>
      <c r="P16" s="23">
        <f>IFERROR(__xludf.DUMMYFUNCTION("""COMPUTED_VALUE"""),1910280.0)</f>
        <v>1910280</v>
      </c>
      <c r="Q16" s="23">
        <f>IFERROR(__xludf.DUMMYFUNCTION("""COMPUTED_VALUE"""),6151585.0)</f>
        <v>6151585</v>
      </c>
    </row>
    <row r="17">
      <c r="A17" s="23">
        <f>IFERROR(__xludf.DUMMYFUNCTION("""COMPUTED_VALUE"""),16.0)</f>
        <v>16</v>
      </c>
      <c r="B17" s="23" t="str">
        <f>IFERROR(__xludf.DUMMYFUNCTION("""COMPUTED_VALUE"""),"3Sum Closest")</f>
        <v>3Sum Closest</v>
      </c>
      <c r="C17" s="23" t="str">
        <f>IFERROR(__xludf.DUMMYFUNCTION("""COMPUTED_VALUE"""),"3sum-closest")</f>
        <v>3sum-closest</v>
      </c>
      <c r="D17" s="23" t="b">
        <f>IFERROR(__xludf.DUMMYFUNCTION("""COMPUTED_VALUE"""),FALSE)</f>
        <v>0</v>
      </c>
      <c r="E17" s="23" t="str">
        <f>IFERROR(__xludf.DUMMYFUNCTION("""COMPUTED_VALUE"""),"Medium")</f>
        <v>Medium</v>
      </c>
      <c r="F17" s="23">
        <f>IFERROR(__xludf.DUMMYFUNCTION("""COMPUTED_VALUE"""),5732.0)</f>
        <v>5732</v>
      </c>
      <c r="G17" s="23">
        <f>IFERROR(__xludf.DUMMYFUNCTION("""COMPUTED_VALUE"""),245.0)</f>
        <v>245</v>
      </c>
      <c r="H17" s="23" t="str">
        <f>IFERROR(__xludf.DUMMYFUNCTION("""COMPUTED_VALUE"""),"Algorithms")</f>
        <v>Algorithms</v>
      </c>
      <c r="I17" s="23">
        <f>IFERROR(__xludf.DUMMYFUNCTION("""COMPUTED_VALUE"""),0.471)</f>
        <v>0.471</v>
      </c>
      <c r="J17" s="23">
        <f>IFERROR(__xludf.DUMMYFUNCTION("""COMPUTED_VALUE"""),16.0)</f>
        <v>16</v>
      </c>
      <c r="K17" s="23" t="b">
        <f>IFERROR(__xludf.DUMMYFUNCTION("""COMPUTED_VALUE"""),FALSE)</f>
        <v>0</v>
      </c>
      <c r="L17" s="23" t="str">
        <f>IFERROR(__xludf.DUMMYFUNCTION("""COMPUTED_VALUE"""),"Array;Two Pointers;Sorting;")</f>
        <v>Array;Two Pointers;Sorting;</v>
      </c>
      <c r="M17" s="23" t="b">
        <f>IFERROR(__xludf.DUMMYFUNCTION("""COMPUTED_VALUE"""),TRUE)</f>
        <v>1</v>
      </c>
      <c r="N17" s="23" t="b">
        <f>IFERROR(__xludf.DUMMYFUNCTION("""COMPUTED_VALUE"""),FALSE)</f>
        <v>0</v>
      </c>
      <c r="O17" s="23">
        <f>IFERROR(__xludf.DUMMYFUNCTION("""COMPUTED_VALUE"""),47.0613686613043)</f>
        <v>47.06136866</v>
      </c>
      <c r="P17" s="23">
        <f>IFERROR(__xludf.DUMMYFUNCTION("""COMPUTED_VALUE"""),790742.0)</f>
        <v>790742</v>
      </c>
      <c r="Q17" s="23">
        <f>IFERROR(__xludf.DUMMYFUNCTION("""COMPUTED_VALUE"""),1680241.0)</f>
        <v>1680241</v>
      </c>
    </row>
    <row r="18">
      <c r="A18" s="23">
        <f>IFERROR(__xludf.DUMMYFUNCTION("""COMPUTED_VALUE"""),17.0)</f>
        <v>17</v>
      </c>
      <c r="B18" s="23" t="str">
        <f>IFERROR(__xludf.DUMMYFUNCTION("""COMPUTED_VALUE"""),"Letter Combinations of a Phone Number")</f>
        <v>Letter Combinations of a Phone Number</v>
      </c>
      <c r="C18" s="23" t="str">
        <f>IFERROR(__xludf.DUMMYFUNCTION("""COMPUTED_VALUE"""),"letter-combinations-of-a-phone-number")</f>
        <v>letter-combinations-of-a-phone-number</v>
      </c>
      <c r="D18" s="23" t="b">
        <f>IFERROR(__xludf.DUMMYFUNCTION("""COMPUTED_VALUE"""),FALSE)</f>
        <v>0</v>
      </c>
      <c r="E18" s="23" t="str">
        <f>IFERROR(__xludf.DUMMYFUNCTION("""COMPUTED_VALUE"""),"Medium")</f>
        <v>Medium</v>
      </c>
      <c r="F18" s="23">
        <f>IFERROR(__xludf.DUMMYFUNCTION("""COMPUTED_VALUE"""),9683.0)</f>
        <v>9683</v>
      </c>
      <c r="G18" s="23">
        <f>IFERROR(__xludf.DUMMYFUNCTION("""COMPUTED_VALUE"""),667.0)</f>
        <v>667</v>
      </c>
      <c r="H18" s="23" t="str">
        <f>IFERROR(__xludf.DUMMYFUNCTION("""COMPUTED_VALUE"""),"Algorithms")</f>
        <v>Algorithms</v>
      </c>
      <c r="I18" s="23">
        <f>IFERROR(__xludf.DUMMYFUNCTION("""COMPUTED_VALUE"""),0.536)</f>
        <v>0.536</v>
      </c>
      <c r="J18" s="23">
        <f>IFERROR(__xludf.DUMMYFUNCTION("""COMPUTED_VALUE"""),17.0)</f>
        <v>17</v>
      </c>
      <c r="K18" s="23" t="b">
        <f>IFERROR(__xludf.DUMMYFUNCTION("""COMPUTED_VALUE"""),FALSE)</f>
        <v>0</v>
      </c>
      <c r="L18" s="23" t="str">
        <f>IFERROR(__xludf.DUMMYFUNCTION("""COMPUTED_VALUE"""),"Hash Table;String;Backtracking;")</f>
        <v>Hash Table;String;Backtracking;</v>
      </c>
      <c r="M18" s="23" t="b">
        <f>IFERROR(__xludf.DUMMYFUNCTION("""COMPUTED_VALUE"""),TRUE)</f>
        <v>1</v>
      </c>
      <c r="N18" s="23" t="b">
        <f>IFERROR(__xludf.DUMMYFUNCTION("""COMPUTED_VALUE"""),FALSE)</f>
        <v>0</v>
      </c>
      <c r="O18" s="23">
        <f>IFERROR(__xludf.DUMMYFUNCTION("""COMPUTED_VALUE"""),53.5644854888583)</f>
        <v>53.56448549</v>
      </c>
      <c r="P18" s="23">
        <f>IFERROR(__xludf.DUMMYFUNCTION("""COMPUTED_VALUE"""),1158871.0)</f>
        <v>1158871</v>
      </c>
      <c r="Q18" s="23">
        <f>IFERROR(__xludf.DUMMYFUNCTION("""COMPUTED_VALUE"""),2163506.0)</f>
        <v>2163506</v>
      </c>
    </row>
    <row r="19">
      <c r="A19" s="23">
        <f>IFERROR(__xludf.DUMMYFUNCTION("""COMPUTED_VALUE"""),18.0)</f>
        <v>18</v>
      </c>
      <c r="B19" s="23" t="str">
        <f>IFERROR(__xludf.DUMMYFUNCTION("""COMPUTED_VALUE"""),"4Sum")</f>
        <v>4Sum</v>
      </c>
      <c r="C19" s="23" t="str">
        <f>IFERROR(__xludf.DUMMYFUNCTION("""COMPUTED_VALUE"""),"4sum")</f>
        <v>4sum</v>
      </c>
      <c r="D19" s="23" t="b">
        <f>IFERROR(__xludf.DUMMYFUNCTION("""COMPUTED_VALUE"""),FALSE)</f>
        <v>0</v>
      </c>
      <c r="E19" s="23" t="str">
        <f>IFERROR(__xludf.DUMMYFUNCTION("""COMPUTED_VALUE"""),"Medium")</f>
        <v>Medium</v>
      </c>
      <c r="F19" s="23">
        <f>IFERROR(__xludf.DUMMYFUNCTION("""COMPUTED_VALUE"""),6087.0)</f>
        <v>6087</v>
      </c>
      <c r="G19" s="23">
        <f>IFERROR(__xludf.DUMMYFUNCTION("""COMPUTED_VALUE"""),694.0)</f>
        <v>694</v>
      </c>
      <c r="H19" s="23" t="str">
        <f>IFERROR(__xludf.DUMMYFUNCTION("""COMPUTED_VALUE"""),"Algorithms")</f>
        <v>Algorithms</v>
      </c>
      <c r="I19" s="23">
        <f>IFERROR(__xludf.DUMMYFUNCTION("""COMPUTED_VALUE"""),0.373)</f>
        <v>0.373</v>
      </c>
      <c r="J19" s="23">
        <f>IFERROR(__xludf.DUMMYFUNCTION("""COMPUTED_VALUE"""),18.0)</f>
        <v>18</v>
      </c>
      <c r="K19" s="23" t="b">
        <f>IFERROR(__xludf.DUMMYFUNCTION("""COMPUTED_VALUE"""),FALSE)</f>
        <v>0</v>
      </c>
      <c r="L19" s="23" t="str">
        <f>IFERROR(__xludf.DUMMYFUNCTION("""COMPUTED_VALUE"""),"Array;Two Pointers;Sorting;")</f>
        <v>Array;Two Pointers;Sorting;</v>
      </c>
      <c r="M19" s="23" t="b">
        <f>IFERROR(__xludf.DUMMYFUNCTION("""COMPUTED_VALUE"""),TRUE)</f>
        <v>1</v>
      </c>
      <c r="N19" s="23" t="b">
        <f>IFERROR(__xludf.DUMMYFUNCTION("""COMPUTED_VALUE"""),FALSE)</f>
        <v>0</v>
      </c>
      <c r="O19" s="23">
        <f>IFERROR(__xludf.DUMMYFUNCTION("""COMPUTED_VALUE"""),37.2701595810632)</f>
        <v>37.27015958</v>
      </c>
      <c r="P19" s="23">
        <f>IFERROR(__xludf.DUMMYFUNCTION("""COMPUTED_VALUE"""),574136.0)</f>
        <v>574136</v>
      </c>
      <c r="Q19" s="23">
        <f>IFERROR(__xludf.DUMMYFUNCTION("""COMPUTED_VALUE"""),1540469.0)</f>
        <v>1540469</v>
      </c>
    </row>
    <row r="20">
      <c r="A20" s="23">
        <f>IFERROR(__xludf.DUMMYFUNCTION("""COMPUTED_VALUE"""),19.0)</f>
        <v>19</v>
      </c>
      <c r="B20" s="23" t="str">
        <f>IFERROR(__xludf.DUMMYFUNCTION("""COMPUTED_VALUE"""),"Remove Nth Node From End of List")</f>
        <v>Remove Nth Node From End of List</v>
      </c>
      <c r="C20" s="23" t="str">
        <f>IFERROR(__xludf.DUMMYFUNCTION("""COMPUTED_VALUE"""),"remove-nth-node-from-end-of-list")</f>
        <v>remove-nth-node-from-end-of-list</v>
      </c>
      <c r="D20" s="23" t="b">
        <f>IFERROR(__xludf.DUMMYFUNCTION("""COMPUTED_VALUE"""),FALSE)</f>
        <v>0</v>
      </c>
      <c r="E20" s="23" t="str">
        <f>IFERROR(__xludf.DUMMYFUNCTION("""COMPUTED_VALUE"""),"Medium")</f>
        <v>Medium</v>
      </c>
      <c r="F20" s="23">
        <f>IFERROR(__xludf.DUMMYFUNCTION("""COMPUTED_VALUE"""),9733.0)</f>
        <v>9733</v>
      </c>
      <c r="G20" s="23">
        <f>IFERROR(__xludf.DUMMYFUNCTION("""COMPUTED_VALUE"""),464.0)</f>
        <v>464</v>
      </c>
      <c r="H20" s="23" t="str">
        <f>IFERROR(__xludf.DUMMYFUNCTION("""COMPUTED_VALUE"""),"Algorithms")</f>
        <v>Algorithms</v>
      </c>
      <c r="I20" s="23">
        <f>IFERROR(__xludf.DUMMYFUNCTION("""COMPUTED_VALUE"""),0.383)</f>
        <v>0.383</v>
      </c>
      <c r="J20" s="23">
        <f>IFERROR(__xludf.DUMMYFUNCTION("""COMPUTED_VALUE"""),19.0)</f>
        <v>19</v>
      </c>
      <c r="K20" s="23" t="b">
        <f>IFERROR(__xludf.DUMMYFUNCTION("""COMPUTED_VALUE"""),FALSE)</f>
        <v>0</v>
      </c>
      <c r="L20" s="23" t="str">
        <f>IFERROR(__xludf.DUMMYFUNCTION("""COMPUTED_VALUE"""),"Linked List;Two Pointers;")</f>
        <v>Linked List;Two Pointers;</v>
      </c>
      <c r="M20" s="23" t="b">
        <f>IFERROR(__xludf.DUMMYFUNCTION("""COMPUTED_VALUE"""),TRUE)</f>
        <v>1</v>
      </c>
      <c r="N20" s="23" t="b">
        <f>IFERROR(__xludf.DUMMYFUNCTION("""COMPUTED_VALUE"""),TRUE)</f>
        <v>1</v>
      </c>
      <c r="O20" s="23">
        <f>IFERROR(__xludf.DUMMYFUNCTION("""COMPUTED_VALUE"""),38.272049074698)</f>
        <v>38.27204907</v>
      </c>
      <c r="P20" s="23">
        <f>IFERROR(__xludf.DUMMYFUNCTION("""COMPUTED_VALUE"""),1359587.0)</f>
        <v>1359587</v>
      </c>
      <c r="Q20" s="23">
        <f>IFERROR(__xludf.DUMMYFUNCTION("""COMPUTED_VALUE"""),3552437.0)</f>
        <v>3552437</v>
      </c>
    </row>
    <row r="21">
      <c r="A21" s="23">
        <f>IFERROR(__xludf.DUMMYFUNCTION("""COMPUTED_VALUE"""),20.0)</f>
        <v>20</v>
      </c>
      <c r="B21" s="23" t="str">
        <f>IFERROR(__xludf.DUMMYFUNCTION("""COMPUTED_VALUE"""),"Valid Parentheses")</f>
        <v>Valid Parentheses</v>
      </c>
      <c r="C21" s="23" t="str">
        <f>IFERROR(__xludf.DUMMYFUNCTION("""COMPUTED_VALUE"""),"valid-parentheses")</f>
        <v>valid-parentheses</v>
      </c>
      <c r="D21" s="23" t="b">
        <f>IFERROR(__xludf.DUMMYFUNCTION("""COMPUTED_VALUE"""),FALSE)</f>
        <v>0</v>
      </c>
      <c r="E21" s="23" t="str">
        <f>IFERROR(__xludf.DUMMYFUNCTION("""COMPUTED_VALUE"""),"Easy")</f>
        <v>Easy</v>
      </c>
      <c r="F21" s="23">
        <f>IFERROR(__xludf.DUMMYFUNCTION("""COMPUTED_VALUE"""),12699.0)</f>
        <v>12699</v>
      </c>
      <c r="G21" s="23">
        <f>IFERROR(__xludf.DUMMYFUNCTION("""COMPUTED_VALUE"""),567.0)</f>
        <v>567</v>
      </c>
      <c r="H21" s="23" t="str">
        <f>IFERROR(__xludf.DUMMYFUNCTION("""COMPUTED_VALUE"""),"Algorithms")</f>
        <v>Algorithms</v>
      </c>
      <c r="I21" s="23">
        <f>IFERROR(__xludf.DUMMYFUNCTION("""COMPUTED_VALUE"""),0.409)</f>
        <v>0.409</v>
      </c>
      <c r="J21" s="23">
        <f>IFERROR(__xludf.DUMMYFUNCTION("""COMPUTED_VALUE"""),20.0)</f>
        <v>20</v>
      </c>
      <c r="K21" s="23" t="b">
        <f>IFERROR(__xludf.DUMMYFUNCTION("""COMPUTED_VALUE"""),FALSE)</f>
        <v>0</v>
      </c>
      <c r="L21" s="23" t="str">
        <f>IFERROR(__xludf.DUMMYFUNCTION("""COMPUTED_VALUE"""),"String;Stack;")</f>
        <v>String;Stack;</v>
      </c>
      <c r="M21" s="23" t="b">
        <f>IFERROR(__xludf.DUMMYFUNCTION("""COMPUTED_VALUE"""),TRUE)</f>
        <v>1</v>
      </c>
      <c r="N21" s="23" t="b">
        <f>IFERROR(__xludf.DUMMYFUNCTION("""COMPUTED_VALUE"""),TRUE)</f>
        <v>1</v>
      </c>
      <c r="O21" s="23">
        <f>IFERROR(__xludf.DUMMYFUNCTION("""COMPUTED_VALUE"""),40.868140041071)</f>
        <v>40.86814004</v>
      </c>
      <c r="P21" s="23">
        <f>IFERROR(__xludf.DUMMYFUNCTION("""COMPUTED_VALUE"""),2185333.0)</f>
        <v>2185333</v>
      </c>
      <c r="Q21" s="23">
        <f>IFERROR(__xludf.DUMMYFUNCTION("""COMPUTED_VALUE"""),5347278.0)</f>
        <v>5347278</v>
      </c>
    </row>
    <row r="22">
      <c r="A22" s="23">
        <f>IFERROR(__xludf.DUMMYFUNCTION("""COMPUTED_VALUE"""),21.0)</f>
        <v>21</v>
      </c>
      <c r="B22" s="23" t="str">
        <f>IFERROR(__xludf.DUMMYFUNCTION("""COMPUTED_VALUE"""),"Merge Two Sorted Lists")</f>
        <v>Merge Two Sorted Lists</v>
      </c>
      <c r="C22" s="23" t="str">
        <f>IFERROR(__xludf.DUMMYFUNCTION("""COMPUTED_VALUE"""),"merge-two-sorted-lists")</f>
        <v>merge-two-sorted-lists</v>
      </c>
      <c r="D22" s="23" t="b">
        <f>IFERROR(__xludf.DUMMYFUNCTION("""COMPUTED_VALUE"""),FALSE)</f>
        <v>0</v>
      </c>
      <c r="E22" s="23" t="str">
        <f>IFERROR(__xludf.DUMMYFUNCTION("""COMPUTED_VALUE"""),"Easy")</f>
        <v>Easy</v>
      </c>
      <c r="F22" s="23">
        <f>IFERROR(__xludf.DUMMYFUNCTION("""COMPUTED_VALUE"""),11903.0)</f>
        <v>11903</v>
      </c>
      <c r="G22" s="23">
        <f>IFERROR(__xludf.DUMMYFUNCTION("""COMPUTED_VALUE"""),1092.0)</f>
        <v>1092</v>
      </c>
      <c r="H22" s="23" t="str">
        <f>IFERROR(__xludf.DUMMYFUNCTION("""COMPUTED_VALUE"""),"Algorithms")</f>
        <v>Algorithms</v>
      </c>
      <c r="I22" s="23">
        <f>IFERROR(__xludf.DUMMYFUNCTION("""COMPUTED_VALUE"""),0.603)</f>
        <v>0.603</v>
      </c>
      <c r="J22" s="23">
        <f>IFERROR(__xludf.DUMMYFUNCTION("""COMPUTED_VALUE"""),21.0)</f>
        <v>21</v>
      </c>
      <c r="K22" s="23" t="b">
        <f>IFERROR(__xludf.DUMMYFUNCTION("""COMPUTED_VALUE"""),FALSE)</f>
        <v>0</v>
      </c>
      <c r="L22" s="23" t="str">
        <f>IFERROR(__xludf.DUMMYFUNCTION("""COMPUTED_VALUE"""),"Linked List;Recursion;")</f>
        <v>Linked List;Recursion;</v>
      </c>
      <c r="M22" s="23" t="b">
        <f>IFERROR(__xludf.DUMMYFUNCTION("""COMPUTED_VALUE"""),TRUE)</f>
        <v>1</v>
      </c>
      <c r="N22" s="23" t="b">
        <f>IFERROR(__xludf.DUMMYFUNCTION("""COMPUTED_VALUE"""),TRUE)</f>
        <v>1</v>
      </c>
      <c r="O22" s="23">
        <f>IFERROR(__xludf.DUMMYFUNCTION("""COMPUTED_VALUE"""),60.2712027930636)</f>
        <v>60.27120279</v>
      </c>
      <c r="P22" s="23">
        <f>IFERROR(__xludf.DUMMYFUNCTION("""COMPUTED_VALUE"""),2146482.0)</f>
        <v>2146482</v>
      </c>
      <c r="Q22" s="23">
        <f>IFERROR(__xludf.DUMMYFUNCTION("""COMPUTED_VALUE"""),3561374.0)</f>
        <v>3561374</v>
      </c>
    </row>
    <row r="23">
      <c r="A23" s="23">
        <f>IFERROR(__xludf.DUMMYFUNCTION("""COMPUTED_VALUE"""),22.0)</f>
        <v>22</v>
      </c>
      <c r="B23" s="23" t="str">
        <f>IFERROR(__xludf.DUMMYFUNCTION("""COMPUTED_VALUE"""),"Generate Parentheses")</f>
        <v>Generate Parentheses</v>
      </c>
      <c r="C23" s="23" t="str">
        <f>IFERROR(__xludf.DUMMYFUNCTION("""COMPUTED_VALUE"""),"generate-parentheses")</f>
        <v>generate-parentheses</v>
      </c>
      <c r="D23" s="23" t="b">
        <f>IFERROR(__xludf.DUMMYFUNCTION("""COMPUTED_VALUE"""),FALSE)</f>
        <v>0</v>
      </c>
      <c r="E23" s="23" t="str">
        <f>IFERROR(__xludf.DUMMYFUNCTION("""COMPUTED_VALUE"""),"Medium")</f>
        <v>Medium</v>
      </c>
      <c r="F23" s="23">
        <f>IFERROR(__xludf.DUMMYFUNCTION("""COMPUTED_VALUE"""),12587.0)</f>
        <v>12587</v>
      </c>
      <c r="G23" s="23">
        <f>IFERROR(__xludf.DUMMYFUNCTION("""COMPUTED_VALUE"""),486.0)</f>
        <v>486</v>
      </c>
      <c r="H23" s="23" t="str">
        <f>IFERROR(__xludf.DUMMYFUNCTION("""COMPUTED_VALUE"""),"Algorithms")</f>
        <v>Algorithms</v>
      </c>
      <c r="I23" s="23">
        <f>IFERROR(__xludf.DUMMYFUNCTION("""COMPUTED_VALUE"""),0.7)</f>
        <v>0.7</v>
      </c>
      <c r="J23" s="23">
        <f>IFERROR(__xludf.DUMMYFUNCTION("""COMPUTED_VALUE"""),22.0)</f>
        <v>22</v>
      </c>
      <c r="K23" s="23" t="b">
        <f>IFERROR(__xludf.DUMMYFUNCTION("""COMPUTED_VALUE"""),FALSE)</f>
        <v>0</v>
      </c>
      <c r="L23" s="23" t="str">
        <f>IFERROR(__xludf.DUMMYFUNCTION("""COMPUTED_VALUE"""),"String;Dynamic Programming;Backtracking;")</f>
        <v>String;Dynamic Programming;Backtracking;</v>
      </c>
      <c r="M23" s="23" t="b">
        <f>IFERROR(__xludf.DUMMYFUNCTION("""COMPUTED_VALUE"""),TRUE)</f>
        <v>1</v>
      </c>
      <c r="N23" s="23" t="b">
        <f>IFERROR(__xludf.DUMMYFUNCTION("""COMPUTED_VALUE"""),FALSE)</f>
        <v>0</v>
      </c>
      <c r="O23" s="23">
        <f>IFERROR(__xludf.DUMMYFUNCTION("""COMPUTED_VALUE"""),70.0318490152585)</f>
        <v>70.03184902</v>
      </c>
      <c r="P23" s="23">
        <f>IFERROR(__xludf.DUMMYFUNCTION("""COMPUTED_VALUE"""),1043131.0)</f>
        <v>1043131</v>
      </c>
      <c r="Q23" s="23">
        <f>IFERROR(__xludf.DUMMYFUNCTION("""COMPUTED_VALUE"""),1489515.0)</f>
        <v>1489515</v>
      </c>
    </row>
    <row r="24">
      <c r="A24" s="23">
        <f>IFERROR(__xludf.DUMMYFUNCTION("""COMPUTED_VALUE"""),23.0)</f>
        <v>23</v>
      </c>
      <c r="B24" s="23" t="str">
        <f>IFERROR(__xludf.DUMMYFUNCTION("""COMPUTED_VALUE"""),"Merge k Sorted Lists")</f>
        <v>Merge k Sorted Lists</v>
      </c>
      <c r="C24" s="23" t="str">
        <f>IFERROR(__xludf.DUMMYFUNCTION("""COMPUTED_VALUE"""),"merge-k-sorted-lists")</f>
        <v>merge-k-sorted-lists</v>
      </c>
      <c r="D24" s="23" t="b">
        <f>IFERROR(__xludf.DUMMYFUNCTION("""COMPUTED_VALUE"""),FALSE)</f>
        <v>0</v>
      </c>
      <c r="E24" s="23" t="str">
        <f>IFERROR(__xludf.DUMMYFUNCTION("""COMPUTED_VALUE"""),"Hard")</f>
        <v>Hard</v>
      </c>
      <c r="F24" s="23">
        <f>IFERROR(__xludf.DUMMYFUNCTION("""COMPUTED_VALUE"""),11966.0)</f>
        <v>11966</v>
      </c>
      <c r="G24" s="23">
        <f>IFERROR(__xludf.DUMMYFUNCTION("""COMPUTED_VALUE"""),470.0)</f>
        <v>470</v>
      </c>
      <c r="H24" s="23" t="str">
        <f>IFERROR(__xludf.DUMMYFUNCTION("""COMPUTED_VALUE"""),"Algorithms")</f>
        <v>Algorithms</v>
      </c>
      <c r="I24" s="23">
        <f>IFERROR(__xludf.DUMMYFUNCTION("""COMPUTED_VALUE"""),0.47)</f>
        <v>0.47</v>
      </c>
      <c r="J24" s="23">
        <f>IFERROR(__xludf.DUMMYFUNCTION("""COMPUTED_VALUE"""),23.0)</f>
        <v>23</v>
      </c>
      <c r="K24" s="23" t="b">
        <f>IFERROR(__xludf.DUMMYFUNCTION("""COMPUTED_VALUE"""),FALSE)</f>
        <v>0</v>
      </c>
      <c r="L24" s="23" t="str">
        <f>IFERROR(__xludf.DUMMYFUNCTION("""COMPUTED_VALUE"""),"Linked List;Divide and Conquer;Heap (Priority Queue);Merge Sort;")</f>
        <v>Linked List;Divide and Conquer;Heap (Priority Queue);Merge Sort;</v>
      </c>
      <c r="M24" s="23" t="b">
        <f>IFERROR(__xludf.DUMMYFUNCTION("""COMPUTED_VALUE"""),TRUE)</f>
        <v>1</v>
      </c>
      <c r="N24" s="23" t="b">
        <f>IFERROR(__xludf.DUMMYFUNCTION("""COMPUTED_VALUE"""),FALSE)</f>
        <v>0</v>
      </c>
      <c r="O24" s="23">
        <f>IFERROR(__xludf.DUMMYFUNCTION("""COMPUTED_VALUE"""),47.0302325081243)</f>
        <v>47.03023251</v>
      </c>
      <c r="P24" s="23">
        <f>IFERROR(__xludf.DUMMYFUNCTION("""COMPUTED_VALUE"""),1246468.0)</f>
        <v>1246468</v>
      </c>
      <c r="Q24" s="23">
        <f>IFERROR(__xludf.DUMMYFUNCTION("""COMPUTED_VALUE"""),2650356.0)</f>
        <v>2650356</v>
      </c>
    </row>
    <row r="25">
      <c r="A25" s="23">
        <f>IFERROR(__xludf.DUMMYFUNCTION("""COMPUTED_VALUE"""),24.0)</f>
        <v>24</v>
      </c>
      <c r="B25" s="23" t="str">
        <f>IFERROR(__xludf.DUMMYFUNCTION("""COMPUTED_VALUE"""),"Swap Nodes in Pairs")</f>
        <v>Swap Nodes in Pairs</v>
      </c>
      <c r="C25" s="23" t="str">
        <f>IFERROR(__xludf.DUMMYFUNCTION("""COMPUTED_VALUE"""),"swap-nodes-in-pairs")</f>
        <v>swap-nodes-in-pairs</v>
      </c>
      <c r="D25" s="23" t="b">
        <f>IFERROR(__xludf.DUMMYFUNCTION("""COMPUTED_VALUE"""),FALSE)</f>
        <v>0</v>
      </c>
      <c r="E25" s="23" t="str">
        <f>IFERROR(__xludf.DUMMYFUNCTION("""COMPUTED_VALUE"""),"Medium")</f>
        <v>Medium</v>
      </c>
      <c r="F25" s="23">
        <f>IFERROR(__xludf.DUMMYFUNCTION("""COMPUTED_VALUE"""),6831.0)</f>
        <v>6831</v>
      </c>
      <c r="G25" s="23">
        <f>IFERROR(__xludf.DUMMYFUNCTION("""COMPUTED_VALUE"""),293.0)</f>
        <v>293</v>
      </c>
      <c r="H25" s="23" t="str">
        <f>IFERROR(__xludf.DUMMYFUNCTION("""COMPUTED_VALUE"""),"Algorithms")</f>
        <v>Algorithms</v>
      </c>
      <c r="I25" s="23">
        <f>IFERROR(__xludf.DUMMYFUNCTION("""COMPUTED_VALUE"""),0.587)</f>
        <v>0.587</v>
      </c>
      <c r="J25" s="23">
        <f>IFERROR(__xludf.DUMMYFUNCTION("""COMPUTED_VALUE"""),24.0)</f>
        <v>24</v>
      </c>
      <c r="K25" s="23" t="b">
        <f>IFERROR(__xludf.DUMMYFUNCTION("""COMPUTED_VALUE"""),FALSE)</f>
        <v>0</v>
      </c>
      <c r="L25" s="23" t="str">
        <f>IFERROR(__xludf.DUMMYFUNCTION("""COMPUTED_VALUE"""),"Linked List;Recursion;")</f>
        <v>Linked List;Recursion;</v>
      </c>
      <c r="M25" s="23" t="b">
        <f>IFERROR(__xludf.DUMMYFUNCTION("""COMPUTED_VALUE"""),TRUE)</f>
        <v>1</v>
      </c>
      <c r="N25" s="23" t="b">
        <f>IFERROR(__xludf.DUMMYFUNCTION("""COMPUTED_VALUE"""),FALSE)</f>
        <v>0</v>
      </c>
      <c r="O25" s="23">
        <f>IFERROR(__xludf.DUMMYFUNCTION("""COMPUTED_VALUE"""),58.7067346574629)</f>
        <v>58.70673466</v>
      </c>
      <c r="P25" s="23">
        <f>IFERROR(__xludf.DUMMYFUNCTION("""COMPUTED_VALUE"""),858730.0)</f>
        <v>858730</v>
      </c>
      <c r="Q25" s="23">
        <f>IFERROR(__xludf.DUMMYFUNCTION("""COMPUTED_VALUE"""),1462746.0)</f>
        <v>1462746</v>
      </c>
    </row>
    <row r="26">
      <c r="A26" s="23">
        <f>IFERROR(__xludf.DUMMYFUNCTION("""COMPUTED_VALUE"""),25.0)</f>
        <v>25</v>
      </c>
      <c r="B26" s="23" t="str">
        <f>IFERROR(__xludf.DUMMYFUNCTION("""COMPUTED_VALUE"""),"Reverse Nodes in k-Group")</f>
        <v>Reverse Nodes in k-Group</v>
      </c>
      <c r="C26" s="23" t="str">
        <f>IFERROR(__xludf.DUMMYFUNCTION("""COMPUTED_VALUE"""),"reverse-nodes-in-k-group")</f>
        <v>reverse-nodes-in-k-group</v>
      </c>
      <c r="D26" s="23" t="b">
        <f>IFERROR(__xludf.DUMMYFUNCTION("""COMPUTED_VALUE"""),FALSE)</f>
        <v>0</v>
      </c>
      <c r="E26" s="23" t="str">
        <f>IFERROR(__xludf.DUMMYFUNCTION("""COMPUTED_VALUE"""),"Hard")</f>
        <v>Hard</v>
      </c>
      <c r="F26" s="23">
        <f>IFERROR(__xludf.DUMMYFUNCTION("""COMPUTED_VALUE"""),6939.0)</f>
        <v>6939</v>
      </c>
      <c r="G26" s="23">
        <f>IFERROR(__xludf.DUMMYFUNCTION("""COMPUTED_VALUE"""),487.0)</f>
        <v>487</v>
      </c>
      <c r="H26" s="23" t="str">
        <f>IFERROR(__xludf.DUMMYFUNCTION("""COMPUTED_VALUE"""),"Algorithms")</f>
        <v>Algorithms</v>
      </c>
      <c r="I26" s="23">
        <f>IFERROR(__xludf.DUMMYFUNCTION("""COMPUTED_VALUE"""),0.51)</f>
        <v>0.51</v>
      </c>
      <c r="J26" s="23">
        <f>IFERROR(__xludf.DUMMYFUNCTION("""COMPUTED_VALUE"""),25.0)</f>
        <v>25</v>
      </c>
      <c r="K26" s="23" t="b">
        <f>IFERROR(__xludf.DUMMYFUNCTION("""COMPUTED_VALUE"""),FALSE)</f>
        <v>0</v>
      </c>
      <c r="L26" s="23" t="str">
        <f>IFERROR(__xludf.DUMMYFUNCTION("""COMPUTED_VALUE"""),"Linked List;Recursion;")</f>
        <v>Linked List;Recursion;</v>
      </c>
      <c r="M26" s="23" t="b">
        <f>IFERROR(__xludf.DUMMYFUNCTION("""COMPUTED_VALUE"""),TRUE)</f>
        <v>1</v>
      </c>
      <c r="N26" s="23" t="b">
        <f>IFERROR(__xludf.DUMMYFUNCTION("""COMPUTED_VALUE"""),FALSE)</f>
        <v>0</v>
      </c>
      <c r="O26" s="23">
        <f>IFERROR(__xludf.DUMMYFUNCTION("""COMPUTED_VALUE"""),51.0037381008833)</f>
        <v>51.0037381</v>
      </c>
      <c r="P26" s="23">
        <f>IFERROR(__xludf.DUMMYFUNCTION("""COMPUTED_VALUE"""),505521.0)</f>
        <v>505521</v>
      </c>
      <c r="Q26" s="23">
        <f>IFERROR(__xludf.DUMMYFUNCTION("""COMPUTED_VALUE"""),991145.0)</f>
        <v>991145</v>
      </c>
    </row>
    <row r="27">
      <c r="A27" s="23">
        <f>IFERROR(__xludf.DUMMYFUNCTION("""COMPUTED_VALUE"""),26.0)</f>
        <v>26</v>
      </c>
      <c r="B27" s="23" t="str">
        <f>IFERROR(__xludf.DUMMYFUNCTION("""COMPUTED_VALUE"""),"Remove Duplicates from Sorted Array")</f>
        <v>Remove Duplicates from Sorted Array</v>
      </c>
      <c r="C27" s="23" t="str">
        <f>IFERROR(__xludf.DUMMYFUNCTION("""COMPUTED_VALUE"""),"remove-duplicates-from-sorted-array")</f>
        <v>remove-duplicates-from-sorted-array</v>
      </c>
      <c r="D27" s="23" t="b">
        <f>IFERROR(__xludf.DUMMYFUNCTION("""COMPUTED_VALUE"""),FALSE)</f>
        <v>0</v>
      </c>
      <c r="E27" s="23" t="str">
        <f>IFERROR(__xludf.DUMMYFUNCTION("""COMPUTED_VALUE"""),"Easy")</f>
        <v>Easy</v>
      </c>
      <c r="F27" s="23">
        <f>IFERROR(__xludf.DUMMYFUNCTION("""COMPUTED_VALUE"""),6467.0)</f>
        <v>6467</v>
      </c>
      <c r="G27" s="23">
        <f>IFERROR(__xludf.DUMMYFUNCTION("""COMPUTED_VALUE"""),10025.0)</f>
        <v>10025</v>
      </c>
      <c r="H27" s="23" t="str">
        <f>IFERROR(__xludf.DUMMYFUNCTION("""COMPUTED_VALUE"""),"Algorithms")</f>
        <v>Algorithms</v>
      </c>
      <c r="I27" s="23">
        <f>IFERROR(__xludf.DUMMYFUNCTION("""COMPUTED_VALUE"""),0.488)</f>
        <v>0.488</v>
      </c>
      <c r="J27" s="23">
        <f>IFERROR(__xludf.DUMMYFUNCTION("""COMPUTED_VALUE"""),26.0)</f>
        <v>26</v>
      </c>
      <c r="K27" s="23" t="b">
        <f>IFERROR(__xludf.DUMMYFUNCTION("""COMPUTED_VALUE"""),FALSE)</f>
        <v>0</v>
      </c>
      <c r="L27" s="23" t="str">
        <f>IFERROR(__xludf.DUMMYFUNCTION("""COMPUTED_VALUE"""),"Array;Two Pointers;")</f>
        <v>Array;Two Pointers;</v>
      </c>
      <c r="M27" s="23" t="b">
        <f>IFERROR(__xludf.DUMMYFUNCTION("""COMPUTED_VALUE"""),TRUE)</f>
        <v>1</v>
      </c>
      <c r="N27" s="23" t="b">
        <f>IFERROR(__xludf.DUMMYFUNCTION("""COMPUTED_VALUE"""),TRUE)</f>
        <v>1</v>
      </c>
      <c r="O27" s="23">
        <f>IFERROR(__xludf.DUMMYFUNCTION("""COMPUTED_VALUE"""),48.8428915014157)</f>
        <v>48.8428915</v>
      </c>
      <c r="P27" s="23">
        <f>IFERROR(__xludf.DUMMYFUNCTION("""COMPUTED_VALUE"""),2094357.0)</f>
        <v>2094357</v>
      </c>
      <c r="Q27" s="23">
        <f>IFERROR(__xludf.DUMMYFUNCTION("""COMPUTED_VALUE"""),4287948.0)</f>
        <v>4287948</v>
      </c>
    </row>
    <row r="28">
      <c r="A28" s="23">
        <f>IFERROR(__xludf.DUMMYFUNCTION("""COMPUTED_VALUE"""),27.0)</f>
        <v>27</v>
      </c>
      <c r="B28" s="23" t="str">
        <f>IFERROR(__xludf.DUMMYFUNCTION("""COMPUTED_VALUE"""),"Remove Element")</f>
        <v>Remove Element</v>
      </c>
      <c r="C28" s="23" t="str">
        <f>IFERROR(__xludf.DUMMYFUNCTION("""COMPUTED_VALUE"""),"remove-element")</f>
        <v>remove-element</v>
      </c>
      <c r="D28" s="23" t="b">
        <f>IFERROR(__xludf.DUMMYFUNCTION("""COMPUTED_VALUE"""),FALSE)</f>
        <v>0</v>
      </c>
      <c r="E28" s="23" t="str">
        <f>IFERROR(__xludf.DUMMYFUNCTION("""COMPUTED_VALUE"""),"Easy")</f>
        <v>Easy</v>
      </c>
      <c r="F28" s="23">
        <f>IFERROR(__xludf.DUMMYFUNCTION("""COMPUTED_VALUE"""),3502.0)</f>
        <v>3502</v>
      </c>
      <c r="G28" s="23">
        <f>IFERROR(__xludf.DUMMYFUNCTION("""COMPUTED_VALUE"""),5190.0)</f>
        <v>5190</v>
      </c>
      <c r="H28" s="23" t="str">
        <f>IFERROR(__xludf.DUMMYFUNCTION("""COMPUTED_VALUE"""),"Algorithms")</f>
        <v>Algorithms</v>
      </c>
      <c r="I28" s="23">
        <f>IFERROR(__xludf.DUMMYFUNCTION("""COMPUTED_VALUE"""),0.512)</f>
        <v>0.512</v>
      </c>
      <c r="J28" s="23">
        <f>IFERROR(__xludf.DUMMYFUNCTION("""COMPUTED_VALUE"""),27.0)</f>
        <v>27</v>
      </c>
      <c r="K28" s="23" t="b">
        <f>IFERROR(__xludf.DUMMYFUNCTION("""COMPUTED_VALUE"""),FALSE)</f>
        <v>0</v>
      </c>
      <c r="L28" s="23" t="str">
        <f>IFERROR(__xludf.DUMMYFUNCTION("""COMPUTED_VALUE"""),"Array;Two Pointers;")</f>
        <v>Array;Two Pointers;</v>
      </c>
      <c r="M28" s="23" t="b">
        <f>IFERROR(__xludf.DUMMYFUNCTION("""COMPUTED_VALUE"""),TRUE)</f>
        <v>1</v>
      </c>
      <c r="N28" s="23" t="b">
        <f>IFERROR(__xludf.DUMMYFUNCTION("""COMPUTED_VALUE"""),FALSE)</f>
        <v>0</v>
      </c>
      <c r="O28" s="23">
        <f>IFERROR(__xludf.DUMMYFUNCTION("""COMPUTED_VALUE"""),51.1988136327762)</f>
        <v>51.19881363</v>
      </c>
      <c r="P28" s="23">
        <f>IFERROR(__xludf.DUMMYFUNCTION("""COMPUTED_VALUE"""),1254630.0)</f>
        <v>1254630</v>
      </c>
      <c r="Q28" s="23">
        <f>IFERROR(__xludf.DUMMYFUNCTION("""COMPUTED_VALUE"""),2450493.0)</f>
        <v>2450493</v>
      </c>
    </row>
    <row r="29">
      <c r="A29" s="23">
        <f>IFERROR(__xludf.DUMMYFUNCTION("""COMPUTED_VALUE"""),28.0)</f>
        <v>28</v>
      </c>
      <c r="B29" s="23" t="str">
        <f>IFERROR(__xludf.DUMMYFUNCTION("""COMPUTED_VALUE"""),"Implement strStr()")</f>
        <v>Implement strStr()</v>
      </c>
      <c r="C29" s="23" t="str">
        <f>IFERROR(__xludf.DUMMYFUNCTION("""COMPUTED_VALUE"""),"implement-strstr")</f>
        <v>implement-strstr</v>
      </c>
      <c r="D29" s="23" t="b">
        <f>IFERROR(__xludf.DUMMYFUNCTION("""COMPUTED_VALUE"""),FALSE)</f>
        <v>0</v>
      </c>
      <c r="E29" s="23" t="str">
        <f>IFERROR(__xludf.DUMMYFUNCTION("""COMPUTED_VALUE"""),"Easy")</f>
        <v>Easy</v>
      </c>
      <c r="F29" s="23">
        <f>IFERROR(__xludf.DUMMYFUNCTION("""COMPUTED_VALUE"""),3924.0)</f>
        <v>3924</v>
      </c>
      <c r="G29" s="23">
        <f>IFERROR(__xludf.DUMMYFUNCTION("""COMPUTED_VALUE"""),3624.0)</f>
        <v>3624</v>
      </c>
      <c r="H29" s="23" t="str">
        <f>IFERROR(__xludf.DUMMYFUNCTION("""COMPUTED_VALUE"""),"Algorithms")</f>
        <v>Algorithms</v>
      </c>
      <c r="I29" s="23">
        <f>IFERROR(__xludf.DUMMYFUNCTION("""COMPUTED_VALUE"""),0.358)</f>
        <v>0.358</v>
      </c>
      <c r="J29" s="23">
        <f>IFERROR(__xludf.DUMMYFUNCTION("""COMPUTED_VALUE"""),28.0)</f>
        <v>28</v>
      </c>
      <c r="K29" s="23" t="b">
        <f>IFERROR(__xludf.DUMMYFUNCTION("""COMPUTED_VALUE"""),FALSE)</f>
        <v>0</v>
      </c>
      <c r="L29" s="23" t="str">
        <f>IFERROR(__xludf.DUMMYFUNCTION("""COMPUTED_VALUE"""),"Two Pointers;String;String Matching;")</f>
        <v>Two Pointers;String;String Matching;</v>
      </c>
      <c r="M29" s="23" t="b">
        <f>IFERROR(__xludf.DUMMYFUNCTION("""COMPUTED_VALUE"""),FALSE)</f>
        <v>0</v>
      </c>
      <c r="N29" s="23" t="b">
        <f>IFERROR(__xludf.DUMMYFUNCTION("""COMPUTED_VALUE"""),FALSE)</f>
        <v>0</v>
      </c>
      <c r="O29" s="23">
        <f>IFERROR(__xludf.DUMMYFUNCTION("""COMPUTED_VALUE"""),35.8240641386194)</f>
        <v>35.82406414</v>
      </c>
      <c r="P29" s="23">
        <f>IFERROR(__xludf.DUMMYFUNCTION("""COMPUTED_VALUE"""),1225930.0)</f>
        <v>1225930</v>
      </c>
      <c r="Q29" s="23">
        <f>IFERROR(__xludf.DUMMYFUNCTION("""COMPUTED_VALUE"""),3422079.0)</f>
        <v>3422079</v>
      </c>
    </row>
    <row r="30">
      <c r="A30" s="23">
        <f>IFERROR(__xludf.DUMMYFUNCTION("""COMPUTED_VALUE"""),29.0)</f>
        <v>29</v>
      </c>
      <c r="B30" s="23" t="str">
        <f>IFERROR(__xludf.DUMMYFUNCTION("""COMPUTED_VALUE"""),"Divide Two Integers")</f>
        <v>Divide Two Integers</v>
      </c>
      <c r="C30" s="23" t="str">
        <f>IFERROR(__xludf.DUMMYFUNCTION("""COMPUTED_VALUE"""),"divide-two-integers")</f>
        <v>divide-two-integers</v>
      </c>
      <c r="D30" s="23" t="b">
        <f>IFERROR(__xludf.DUMMYFUNCTION("""COMPUTED_VALUE"""),FALSE)</f>
        <v>0</v>
      </c>
      <c r="E30" s="23" t="str">
        <f>IFERROR(__xludf.DUMMYFUNCTION("""COMPUTED_VALUE"""),"Medium")</f>
        <v>Medium</v>
      </c>
      <c r="F30" s="23">
        <f>IFERROR(__xludf.DUMMYFUNCTION("""COMPUTED_VALUE"""),2692.0)</f>
        <v>2692</v>
      </c>
      <c r="G30" s="23">
        <f>IFERROR(__xludf.DUMMYFUNCTION("""COMPUTED_VALUE"""),9429.0)</f>
        <v>9429</v>
      </c>
      <c r="H30" s="23" t="str">
        <f>IFERROR(__xludf.DUMMYFUNCTION("""COMPUTED_VALUE"""),"Algorithms")</f>
        <v>Algorithms</v>
      </c>
      <c r="I30" s="23">
        <f>IFERROR(__xludf.DUMMYFUNCTION("""COMPUTED_VALUE"""),0.17)</f>
        <v>0.17</v>
      </c>
      <c r="J30" s="23">
        <f>IFERROR(__xludf.DUMMYFUNCTION("""COMPUTED_VALUE"""),29.0)</f>
        <v>29</v>
      </c>
      <c r="K30" s="23" t="b">
        <f>IFERROR(__xludf.DUMMYFUNCTION("""COMPUTED_VALUE"""),FALSE)</f>
        <v>0</v>
      </c>
      <c r="L30" s="23" t="str">
        <f>IFERROR(__xludf.DUMMYFUNCTION("""COMPUTED_VALUE"""),"Math;Bit Manipulation;")</f>
        <v>Math;Bit Manipulation;</v>
      </c>
      <c r="M30" s="23" t="b">
        <f>IFERROR(__xludf.DUMMYFUNCTION("""COMPUTED_VALUE"""),TRUE)</f>
        <v>1</v>
      </c>
      <c r="N30" s="23" t="b">
        <f>IFERROR(__xludf.DUMMYFUNCTION("""COMPUTED_VALUE"""),FALSE)</f>
        <v>0</v>
      </c>
      <c r="O30" s="23">
        <f>IFERROR(__xludf.DUMMYFUNCTION("""COMPUTED_VALUE"""),17.0100628857269)</f>
        <v>17.01006289</v>
      </c>
      <c r="P30" s="23">
        <f>IFERROR(__xludf.DUMMYFUNCTION("""COMPUTED_VALUE"""),465461.0)</f>
        <v>465461</v>
      </c>
      <c r="Q30" s="23">
        <f>IFERROR(__xludf.DUMMYFUNCTION("""COMPUTED_VALUE"""),2736391.0)</f>
        <v>2736391</v>
      </c>
    </row>
    <row r="31">
      <c r="A31" s="23">
        <f>IFERROR(__xludf.DUMMYFUNCTION("""COMPUTED_VALUE"""),30.0)</f>
        <v>30</v>
      </c>
      <c r="B31" s="23" t="str">
        <f>IFERROR(__xludf.DUMMYFUNCTION("""COMPUTED_VALUE"""),"Substring with Concatenation of All Words")</f>
        <v>Substring with Concatenation of All Words</v>
      </c>
      <c r="C31" s="23" t="str">
        <f>IFERROR(__xludf.DUMMYFUNCTION("""COMPUTED_VALUE"""),"substring-with-concatenation-of-all-words")</f>
        <v>substring-with-concatenation-of-all-words</v>
      </c>
      <c r="D31" s="23" t="b">
        <f>IFERROR(__xludf.DUMMYFUNCTION("""COMPUTED_VALUE"""),FALSE)</f>
        <v>0</v>
      </c>
      <c r="E31" s="23" t="str">
        <f>IFERROR(__xludf.DUMMYFUNCTION("""COMPUTED_VALUE"""),"Hard")</f>
        <v>Hard</v>
      </c>
      <c r="F31" s="23">
        <f>IFERROR(__xludf.DUMMYFUNCTION("""COMPUTED_VALUE"""),1919.0)</f>
        <v>1919</v>
      </c>
      <c r="G31" s="23">
        <f>IFERROR(__xludf.DUMMYFUNCTION("""COMPUTED_VALUE"""),1840.0)</f>
        <v>1840</v>
      </c>
      <c r="H31" s="23" t="str">
        <f>IFERROR(__xludf.DUMMYFUNCTION("""COMPUTED_VALUE"""),"Algorithms")</f>
        <v>Algorithms</v>
      </c>
      <c r="I31" s="23">
        <f>IFERROR(__xludf.DUMMYFUNCTION("""COMPUTED_VALUE"""),0.281)</f>
        <v>0.281</v>
      </c>
      <c r="J31" s="23">
        <f>IFERROR(__xludf.DUMMYFUNCTION("""COMPUTED_VALUE"""),30.0)</f>
        <v>30</v>
      </c>
      <c r="K31" s="23" t="b">
        <f>IFERROR(__xludf.DUMMYFUNCTION("""COMPUTED_VALUE"""),FALSE)</f>
        <v>0</v>
      </c>
      <c r="L31" s="23" t="str">
        <f>IFERROR(__xludf.DUMMYFUNCTION("""COMPUTED_VALUE"""),"Hash Table;String;Sliding Window;")</f>
        <v>Hash Table;String;Sliding Window;</v>
      </c>
      <c r="M31" s="23" t="b">
        <f>IFERROR(__xludf.DUMMYFUNCTION("""COMPUTED_VALUE"""),TRUE)</f>
        <v>1</v>
      </c>
      <c r="N31" s="23" t="b">
        <f>IFERROR(__xludf.DUMMYFUNCTION("""COMPUTED_VALUE"""),FALSE)</f>
        <v>0</v>
      </c>
      <c r="O31" s="23">
        <f>IFERROR(__xludf.DUMMYFUNCTION("""COMPUTED_VALUE"""),28.0957723738156)</f>
        <v>28.09577237</v>
      </c>
      <c r="P31" s="23">
        <f>IFERROR(__xludf.DUMMYFUNCTION("""COMPUTED_VALUE"""),252663.0)</f>
        <v>252663</v>
      </c>
      <c r="Q31" s="23">
        <f>IFERROR(__xludf.DUMMYFUNCTION("""COMPUTED_VALUE"""),899292.0)</f>
        <v>899292</v>
      </c>
    </row>
    <row r="32">
      <c r="A32" s="23">
        <f>IFERROR(__xludf.DUMMYFUNCTION("""COMPUTED_VALUE"""),31.0)</f>
        <v>31</v>
      </c>
      <c r="B32" s="23" t="str">
        <f>IFERROR(__xludf.DUMMYFUNCTION("""COMPUTED_VALUE"""),"Next Permutation")</f>
        <v>Next Permutation</v>
      </c>
      <c r="C32" s="23" t="str">
        <f>IFERROR(__xludf.DUMMYFUNCTION("""COMPUTED_VALUE"""),"next-permutation")</f>
        <v>next-permutation</v>
      </c>
      <c r="D32" s="23" t="b">
        <f>IFERROR(__xludf.DUMMYFUNCTION("""COMPUTED_VALUE"""),FALSE)</f>
        <v>0</v>
      </c>
      <c r="E32" s="23" t="str">
        <f>IFERROR(__xludf.DUMMYFUNCTION("""COMPUTED_VALUE"""),"Medium")</f>
        <v>Medium</v>
      </c>
      <c r="F32" s="23">
        <f>IFERROR(__xludf.DUMMYFUNCTION("""COMPUTED_VALUE"""),10478.0)</f>
        <v>10478</v>
      </c>
      <c r="G32" s="23">
        <f>IFERROR(__xludf.DUMMYFUNCTION("""COMPUTED_VALUE"""),3384.0)</f>
        <v>3384</v>
      </c>
      <c r="H32" s="23" t="str">
        <f>IFERROR(__xludf.DUMMYFUNCTION("""COMPUTED_VALUE"""),"Algorithms")</f>
        <v>Algorithms</v>
      </c>
      <c r="I32" s="23">
        <f>IFERROR(__xludf.DUMMYFUNCTION("""COMPUTED_VALUE"""),0.364)</f>
        <v>0.364</v>
      </c>
      <c r="J32" s="23">
        <f>IFERROR(__xludf.DUMMYFUNCTION("""COMPUTED_VALUE"""),31.0)</f>
        <v>31</v>
      </c>
      <c r="K32" s="23" t="b">
        <f>IFERROR(__xludf.DUMMYFUNCTION("""COMPUTED_VALUE"""),FALSE)</f>
        <v>0</v>
      </c>
      <c r="L32" s="23" t="str">
        <f>IFERROR(__xludf.DUMMYFUNCTION("""COMPUTED_VALUE"""),"Array;Two Pointers;")</f>
        <v>Array;Two Pointers;</v>
      </c>
      <c r="M32" s="23" t="b">
        <f>IFERROR(__xludf.DUMMYFUNCTION("""COMPUTED_VALUE"""),TRUE)</f>
        <v>1</v>
      </c>
      <c r="N32" s="23" t="b">
        <f>IFERROR(__xludf.DUMMYFUNCTION("""COMPUTED_VALUE"""),FALSE)</f>
        <v>0</v>
      </c>
      <c r="O32" s="23">
        <f>IFERROR(__xludf.DUMMYFUNCTION("""COMPUTED_VALUE"""),36.3838518858054)</f>
        <v>36.38385189</v>
      </c>
      <c r="P32" s="23">
        <f>IFERROR(__xludf.DUMMYFUNCTION("""COMPUTED_VALUE"""),795341.0)</f>
        <v>795341</v>
      </c>
      <c r="Q32" s="23">
        <f>IFERROR(__xludf.DUMMYFUNCTION("""COMPUTED_VALUE"""),2185980.0)</f>
        <v>2185980</v>
      </c>
    </row>
    <row r="33">
      <c r="A33" s="23">
        <f>IFERROR(__xludf.DUMMYFUNCTION("""COMPUTED_VALUE"""),32.0)</f>
        <v>32</v>
      </c>
      <c r="B33" s="23" t="str">
        <f>IFERROR(__xludf.DUMMYFUNCTION("""COMPUTED_VALUE"""),"Longest Valid Parentheses")</f>
        <v>Longest Valid Parentheses</v>
      </c>
      <c r="C33" s="23" t="str">
        <f>IFERROR(__xludf.DUMMYFUNCTION("""COMPUTED_VALUE"""),"longest-valid-parentheses")</f>
        <v>longest-valid-parentheses</v>
      </c>
      <c r="D33" s="23" t="b">
        <f>IFERROR(__xludf.DUMMYFUNCTION("""COMPUTED_VALUE"""),FALSE)</f>
        <v>0</v>
      </c>
      <c r="E33" s="23" t="str">
        <f>IFERROR(__xludf.DUMMYFUNCTION("""COMPUTED_VALUE"""),"Hard")</f>
        <v>Hard</v>
      </c>
      <c r="F33" s="23">
        <f>IFERROR(__xludf.DUMMYFUNCTION("""COMPUTED_VALUE"""),7599.0)</f>
        <v>7599</v>
      </c>
      <c r="G33" s="23">
        <f>IFERROR(__xludf.DUMMYFUNCTION("""COMPUTED_VALUE"""),261.0)</f>
        <v>261</v>
      </c>
      <c r="H33" s="23" t="str">
        <f>IFERROR(__xludf.DUMMYFUNCTION("""COMPUTED_VALUE"""),"Algorithms")</f>
        <v>Algorithms</v>
      </c>
      <c r="I33" s="23">
        <f>IFERROR(__xludf.DUMMYFUNCTION("""COMPUTED_VALUE"""),0.313)</f>
        <v>0.313</v>
      </c>
      <c r="J33" s="23">
        <f>IFERROR(__xludf.DUMMYFUNCTION("""COMPUTED_VALUE"""),32.0)</f>
        <v>32</v>
      </c>
      <c r="K33" s="23" t="b">
        <f>IFERROR(__xludf.DUMMYFUNCTION("""COMPUTED_VALUE"""),FALSE)</f>
        <v>0</v>
      </c>
      <c r="L33" s="23" t="str">
        <f>IFERROR(__xludf.DUMMYFUNCTION("""COMPUTED_VALUE"""),"String;Dynamic Programming;Stack;")</f>
        <v>String;Dynamic Programming;Stack;</v>
      </c>
      <c r="M33" s="23" t="b">
        <f>IFERROR(__xludf.DUMMYFUNCTION("""COMPUTED_VALUE"""),TRUE)</f>
        <v>1</v>
      </c>
      <c r="N33" s="23" t="b">
        <f>IFERROR(__xludf.DUMMYFUNCTION("""COMPUTED_VALUE"""),FALSE)</f>
        <v>0</v>
      </c>
      <c r="O33" s="23">
        <f>IFERROR(__xludf.DUMMYFUNCTION("""COMPUTED_VALUE"""),31.2743065915027)</f>
        <v>31.27430659</v>
      </c>
      <c r="P33" s="23">
        <f>IFERROR(__xludf.DUMMYFUNCTION("""COMPUTED_VALUE"""),477993.0)</f>
        <v>477993</v>
      </c>
      <c r="Q33" s="23">
        <f>IFERROR(__xludf.DUMMYFUNCTION("""COMPUTED_VALUE"""),1528390.0)</f>
        <v>1528390</v>
      </c>
    </row>
    <row r="34">
      <c r="A34" s="23">
        <f>IFERROR(__xludf.DUMMYFUNCTION("""COMPUTED_VALUE"""),33.0)</f>
        <v>33</v>
      </c>
      <c r="B34" s="23" t="str">
        <f>IFERROR(__xludf.DUMMYFUNCTION("""COMPUTED_VALUE"""),"Search in Rotated Sorted Array")</f>
        <v>Search in Rotated Sorted Array</v>
      </c>
      <c r="C34" s="23" t="str">
        <f>IFERROR(__xludf.DUMMYFUNCTION("""COMPUTED_VALUE"""),"search-in-rotated-sorted-array")</f>
        <v>search-in-rotated-sorted-array</v>
      </c>
      <c r="D34" s="23" t="b">
        <f>IFERROR(__xludf.DUMMYFUNCTION("""COMPUTED_VALUE"""),FALSE)</f>
        <v>0</v>
      </c>
      <c r="E34" s="23" t="str">
        <f>IFERROR(__xludf.DUMMYFUNCTION("""COMPUTED_VALUE"""),"Medium")</f>
        <v>Medium</v>
      </c>
      <c r="F34" s="23">
        <f>IFERROR(__xludf.DUMMYFUNCTION("""COMPUTED_VALUE"""),13963.0)</f>
        <v>13963</v>
      </c>
      <c r="G34" s="23">
        <f>IFERROR(__xludf.DUMMYFUNCTION("""COMPUTED_VALUE"""),887.0)</f>
        <v>887</v>
      </c>
      <c r="H34" s="23" t="str">
        <f>IFERROR(__xludf.DUMMYFUNCTION("""COMPUTED_VALUE"""),"Algorithms")</f>
        <v>Algorithms</v>
      </c>
      <c r="I34" s="23">
        <f>IFERROR(__xludf.DUMMYFUNCTION("""COMPUTED_VALUE"""),0.378)</f>
        <v>0.378</v>
      </c>
      <c r="J34" s="23">
        <f>IFERROR(__xludf.DUMMYFUNCTION("""COMPUTED_VALUE"""),33.0)</f>
        <v>33</v>
      </c>
      <c r="K34" s="23" t="b">
        <f>IFERROR(__xludf.DUMMYFUNCTION("""COMPUTED_VALUE"""),FALSE)</f>
        <v>0</v>
      </c>
      <c r="L34" s="23" t="str">
        <f>IFERROR(__xludf.DUMMYFUNCTION("""COMPUTED_VALUE"""),"Array;Binary Search;")</f>
        <v>Array;Binary Search;</v>
      </c>
      <c r="M34" s="23" t="b">
        <f>IFERROR(__xludf.DUMMYFUNCTION("""COMPUTED_VALUE"""),TRUE)</f>
        <v>1</v>
      </c>
      <c r="N34" s="23" t="b">
        <f>IFERROR(__xludf.DUMMYFUNCTION("""COMPUTED_VALUE"""),FALSE)</f>
        <v>0</v>
      </c>
      <c r="O34" s="23">
        <f>IFERROR(__xludf.DUMMYFUNCTION("""COMPUTED_VALUE"""),37.7726067329192)</f>
        <v>37.77260673</v>
      </c>
      <c r="P34" s="23">
        <f>IFERROR(__xludf.DUMMYFUNCTION("""COMPUTED_VALUE"""),1449722.0)</f>
        <v>1449722</v>
      </c>
      <c r="Q34" s="23">
        <f>IFERROR(__xludf.DUMMYFUNCTION("""COMPUTED_VALUE"""),3838025.0)</f>
        <v>3838025</v>
      </c>
    </row>
    <row r="35">
      <c r="A35" s="23">
        <f>IFERROR(__xludf.DUMMYFUNCTION("""COMPUTED_VALUE"""),34.0)</f>
        <v>34</v>
      </c>
      <c r="B35" s="23" t="str">
        <f>IFERROR(__xludf.DUMMYFUNCTION("""COMPUTED_VALUE"""),"Find First and Last Position of Element in Sorted Array")</f>
        <v>Find First and Last Position of Element in Sorted Array</v>
      </c>
      <c r="C35" s="23" t="str">
        <f>IFERROR(__xludf.DUMMYFUNCTION("""COMPUTED_VALUE"""),"find-first-and-last-position-of-element-in-sorted-array")</f>
        <v>find-first-and-last-position-of-element-in-sorted-array</v>
      </c>
      <c r="D35" s="23" t="b">
        <f>IFERROR(__xludf.DUMMYFUNCTION("""COMPUTED_VALUE"""),FALSE)</f>
        <v>0</v>
      </c>
      <c r="E35" s="23" t="str">
        <f>IFERROR(__xludf.DUMMYFUNCTION("""COMPUTED_VALUE"""),"Medium")</f>
        <v>Medium</v>
      </c>
      <c r="F35" s="23">
        <f>IFERROR(__xludf.DUMMYFUNCTION("""COMPUTED_VALUE"""),10376.0)</f>
        <v>10376</v>
      </c>
      <c r="G35" s="23">
        <f>IFERROR(__xludf.DUMMYFUNCTION("""COMPUTED_VALUE"""),287.0)</f>
        <v>287</v>
      </c>
      <c r="H35" s="23" t="str">
        <f>IFERROR(__xludf.DUMMYFUNCTION("""COMPUTED_VALUE"""),"Algorithms")</f>
        <v>Algorithms</v>
      </c>
      <c r="I35" s="23">
        <f>IFERROR(__xludf.DUMMYFUNCTION("""COMPUTED_VALUE"""),0.4)</f>
        <v>0.4</v>
      </c>
      <c r="J35" s="23">
        <f>IFERROR(__xludf.DUMMYFUNCTION("""COMPUTED_VALUE"""),34.0)</f>
        <v>34</v>
      </c>
      <c r="K35" s="23" t="b">
        <f>IFERROR(__xludf.DUMMYFUNCTION("""COMPUTED_VALUE"""),FALSE)</f>
        <v>0</v>
      </c>
      <c r="L35" s="23" t="str">
        <f>IFERROR(__xludf.DUMMYFUNCTION("""COMPUTED_VALUE"""),"Array;Binary Search;")</f>
        <v>Array;Binary Search;</v>
      </c>
      <c r="M35" s="23" t="b">
        <f>IFERROR(__xludf.DUMMYFUNCTION("""COMPUTED_VALUE"""),TRUE)</f>
        <v>1</v>
      </c>
      <c r="N35" s="23" t="b">
        <f>IFERROR(__xludf.DUMMYFUNCTION("""COMPUTED_VALUE"""),FALSE)</f>
        <v>0</v>
      </c>
      <c r="O35" s="23">
        <f>IFERROR(__xludf.DUMMYFUNCTION("""COMPUTED_VALUE"""),40.0168605228554)</f>
        <v>40.01686052</v>
      </c>
      <c r="P35" s="23">
        <f>IFERROR(__xludf.DUMMYFUNCTION("""COMPUTED_VALUE"""),1071824.0)</f>
        <v>1071824</v>
      </c>
      <c r="Q35" s="23">
        <f>IFERROR(__xludf.DUMMYFUNCTION("""COMPUTED_VALUE"""),2678436.0)</f>
        <v>2678436</v>
      </c>
    </row>
    <row r="36">
      <c r="A36" s="23">
        <f>IFERROR(__xludf.DUMMYFUNCTION("""COMPUTED_VALUE"""),35.0)</f>
        <v>35</v>
      </c>
      <c r="B36" s="23" t="str">
        <f>IFERROR(__xludf.DUMMYFUNCTION("""COMPUTED_VALUE"""),"Search Insert Position")</f>
        <v>Search Insert Position</v>
      </c>
      <c r="C36" s="23" t="str">
        <f>IFERROR(__xludf.DUMMYFUNCTION("""COMPUTED_VALUE"""),"search-insert-position")</f>
        <v>search-insert-position</v>
      </c>
      <c r="D36" s="23" t="b">
        <f>IFERROR(__xludf.DUMMYFUNCTION("""COMPUTED_VALUE"""),FALSE)</f>
        <v>0</v>
      </c>
      <c r="E36" s="23" t="str">
        <f>IFERROR(__xludf.DUMMYFUNCTION("""COMPUTED_VALUE"""),"Easy")</f>
        <v>Easy</v>
      </c>
      <c r="F36" s="23">
        <f>IFERROR(__xludf.DUMMYFUNCTION("""COMPUTED_VALUE"""),7579.0)</f>
        <v>7579</v>
      </c>
      <c r="G36" s="23">
        <f>IFERROR(__xludf.DUMMYFUNCTION("""COMPUTED_VALUE"""),403.0)</f>
        <v>403</v>
      </c>
      <c r="H36" s="23" t="str">
        <f>IFERROR(__xludf.DUMMYFUNCTION("""COMPUTED_VALUE"""),"Algorithms")</f>
        <v>Algorithms</v>
      </c>
      <c r="I36" s="23">
        <f>IFERROR(__xludf.DUMMYFUNCTION("""COMPUTED_VALUE"""),0.423)</f>
        <v>0.423</v>
      </c>
      <c r="J36" s="23">
        <f>IFERROR(__xludf.DUMMYFUNCTION("""COMPUTED_VALUE"""),35.0)</f>
        <v>35</v>
      </c>
      <c r="K36" s="23" t="b">
        <f>IFERROR(__xludf.DUMMYFUNCTION("""COMPUTED_VALUE"""),FALSE)</f>
        <v>0</v>
      </c>
      <c r="L36" s="23" t="str">
        <f>IFERROR(__xludf.DUMMYFUNCTION("""COMPUTED_VALUE"""),"Array;Binary Search;")</f>
        <v>Array;Binary Search;</v>
      </c>
      <c r="M36" s="23" t="b">
        <f>IFERROR(__xludf.DUMMYFUNCTION("""COMPUTED_VALUE"""),TRUE)</f>
        <v>1</v>
      </c>
      <c r="N36" s="23" t="b">
        <f>IFERROR(__xludf.DUMMYFUNCTION("""COMPUTED_VALUE"""),FALSE)</f>
        <v>0</v>
      </c>
      <c r="O36" s="23">
        <f>IFERROR(__xludf.DUMMYFUNCTION("""COMPUTED_VALUE"""),42.3219415660228)</f>
        <v>42.32194157</v>
      </c>
      <c r="P36" s="23">
        <f>IFERROR(__xludf.DUMMYFUNCTION("""COMPUTED_VALUE"""),1397772.0)</f>
        <v>1397772</v>
      </c>
      <c r="Q36" s="23">
        <f>IFERROR(__xludf.DUMMYFUNCTION("""COMPUTED_VALUE"""),3302699.0)</f>
        <v>3302699</v>
      </c>
    </row>
    <row r="37">
      <c r="A37" s="23">
        <f>IFERROR(__xludf.DUMMYFUNCTION("""COMPUTED_VALUE"""),36.0)</f>
        <v>36</v>
      </c>
      <c r="B37" s="23" t="str">
        <f>IFERROR(__xludf.DUMMYFUNCTION("""COMPUTED_VALUE"""),"Valid Sudoku")</f>
        <v>Valid Sudoku</v>
      </c>
      <c r="C37" s="23" t="str">
        <f>IFERROR(__xludf.DUMMYFUNCTION("""COMPUTED_VALUE"""),"valid-sudoku")</f>
        <v>valid-sudoku</v>
      </c>
      <c r="D37" s="23" t="b">
        <f>IFERROR(__xludf.DUMMYFUNCTION("""COMPUTED_VALUE"""),FALSE)</f>
        <v>0</v>
      </c>
      <c r="E37" s="23" t="str">
        <f>IFERROR(__xludf.DUMMYFUNCTION("""COMPUTED_VALUE"""),"Medium")</f>
        <v>Medium</v>
      </c>
      <c r="F37" s="23">
        <f>IFERROR(__xludf.DUMMYFUNCTION("""COMPUTED_VALUE"""),4948.0)</f>
        <v>4948</v>
      </c>
      <c r="G37" s="23">
        <f>IFERROR(__xludf.DUMMYFUNCTION("""COMPUTED_VALUE"""),703.0)</f>
        <v>703</v>
      </c>
      <c r="H37" s="23" t="str">
        <f>IFERROR(__xludf.DUMMYFUNCTION("""COMPUTED_VALUE"""),"Algorithms")</f>
        <v>Algorithms</v>
      </c>
      <c r="I37" s="23">
        <f>IFERROR(__xludf.DUMMYFUNCTION("""COMPUTED_VALUE"""),0.55)</f>
        <v>0.55</v>
      </c>
      <c r="J37" s="23">
        <f>IFERROR(__xludf.DUMMYFUNCTION("""COMPUTED_VALUE"""),36.0)</f>
        <v>36</v>
      </c>
      <c r="K37" s="23" t="b">
        <f>IFERROR(__xludf.DUMMYFUNCTION("""COMPUTED_VALUE"""),FALSE)</f>
        <v>0</v>
      </c>
      <c r="L37" s="23" t="str">
        <f>IFERROR(__xludf.DUMMYFUNCTION("""COMPUTED_VALUE"""),"Array;Hash Table;Matrix;")</f>
        <v>Array;Hash Table;Matrix;</v>
      </c>
      <c r="M37" s="23" t="b">
        <f>IFERROR(__xludf.DUMMYFUNCTION("""COMPUTED_VALUE"""),TRUE)</f>
        <v>1</v>
      </c>
      <c r="N37" s="23" t="b">
        <f>IFERROR(__xludf.DUMMYFUNCTION("""COMPUTED_VALUE"""),FALSE)</f>
        <v>0</v>
      </c>
      <c r="O37" s="23">
        <f>IFERROR(__xludf.DUMMYFUNCTION("""COMPUTED_VALUE"""),55.007666608349)</f>
        <v>55.00766661</v>
      </c>
      <c r="P37" s="23">
        <f>IFERROR(__xludf.DUMMYFUNCTION("""COMPUTED_VALUE"""),720005.0)</f>
        <v>720005</v>
      </c>
      <c r="Q37" s="23">
        <f>IFERROR(__xludf.DUMMYFUNCTION("""COMPUTED_VALUE"""),1308918.0)</f>
        <v>1308918</v>
      </c>
    </row>
    <row r="38">
      <c r="A38" s="23">
        <f>IFERROR(__xludf.DUMMYFUNCTION("""COMPUTED_VALUE"""),37.0)</f>
        <v>37</v>
      </c>
      <c r="B38" s="23" t="str">
        <f>IFERROR(__xludf.DUMMYFUNCTION("""COMPUTED_VALUE"""),"Sudoku Solver")</f>
        <v>Sudoku Solver</v>
      </c>
      <c r="C38" s="23" t="str">
        <f>IFERROR(__xludf.DUMMYFUNCTION("""COMPUTED_VALUE"""),"sudoku-solver")</f>
        <v>sudoku-solver</v>
      </c>
      <c r="D38" s="23" t="b">
        <f>IFERROR(__xludf.DUMMYFUNCTION("""COMPUTED_VALUE"""),FALSE)</f>
        <v>0</v>
      </c>
      <c r="E38" s="23" t="str">
        <f>IFERROR(__xludf.DUMMYFUNCTION("""COMPUTED_VALUE"""),"Hard")</f>
        <v>Hard</v>
      </c>
      <c r="F38" s="23">
        <f>IFERROR(__xludf.DUMMYFUNCTION("""COMPUTED_VALUE"""),5030.0)</f>
        <v>5030</v>
      </c>
      <c r="G38" s="23">
        <f>IFERROR(__xludf.DUMMYFUNCTION("""COMPUTED_VALUE"""),151.0)</f>
        <v>151</v>
      </c>
      <c r="H38" s="23" t="str">
        <f>IFERROR(__xludf.DUMMYFUNCTION("""COMPUTED_VALUE"""),"Algorithms")</f>
        <v>Algorithms</v>
      </c>
      <c r="I38" s="23">
        <f>IFERROR(__xludf.DUMMYFUNCTION("""COMPUTED_VALUE"""),0.539)</f>
        <v>0.539</v>
      </c>
      <c r="J38" s="23">
        <f>IFERROR(__xludf.DUMMYFUNCTION("""COMPUTED_VALUE"""),37.0)</f>
        <v>37</v>
      </c>
      <c r="K38" s="23" t="b">
        <f>IFERROR(__xludf.DUMMYFUNCTION("""COMPUTED_VALUE"""),FALSE)</f>
        <v>0</v>
      </c>
      <c r="L38" s="23" t="str">
        <f>IFERROR(__xludf.DUMMYFUNCTION("""COMPUTED_VALUE"""),"Array;Backtracking;Matrix;")</f>
        <v>Array;Backtracking;Matrix;</v>
      </c>
      <c r="M38" s="23" t="b">
        <f>IFERROR(__xludf.DUMMYFUNCTION("""COMPUTED_VALUE"""),TRUE)</f>
        <v>1</v>
      </c>
      <c r="N38" s="23" t="b">
        <f>IFERROR(__xludf.DUMMYFUNCTION("""COMPUTED_VALUE"""),FALSE)</f>
        <v>0</v>
      </c>
      <c r="O38" s="23">
        <f>IFERROR(__xludf.DUMMYFUNCTION("""COMPUTED_VALUE"""),53.8851063230486)</f>
        <v>53.88510632</v>
      </c>
      <c r="P38" s="23">
        <f>IFERROR(__xludf.DUMMYFUNCTION("""COMPUTED_VALUE"""),344348.0)</f>
        <v>344348</v>
      </c>
      <c r="Q38" s="23">
        <f>IFERROR(__xludf.DUMMYFUNCTION("""COMPUTED_VALUE"""),639042.0)</f>
        <v>639042</v>
      </c>
    </row>
    <row r="39">
      <c r="A39" s="23">
        <f>IFERROR(__xludf.DUMMYFUNCTION("""COMPUTED_VALUE"""),38.0)</f>
        <v>38</v>
      </c>
      <c r="B39" s="23" t="str">
        <f>IFERROR(__xludf.DUMMYFUNCTION("""COMPUTED_VALUE"""),"Count and Say")</f>
        <v>Count and Say</v>
      </c>
      <c r="C39" s="23" t="str">
        <f>IFERROR(__xludf.DUMMYFUNCTION("""COMPUTED_VALUE"""),"count-and-say")</f>
        <v>count-and-say</v>
      </c>
      <c r="D39" s="23" t="b">
        <f>IFERROR(__xludf.DUMMYFUNCTION("""COMPUTED_VALUE"""),FALSE)</f>
        <v>0</v>
      </c>
      <c r="E39" s="23" t="str">
        <f>IFERROR(__xludf.DUMMYFUNCTION("""COMPUTED_VALUE"""),"Medium")</f>
        <v>Medium</v>
      </c>
      <c r="F39" s="23">
        <f>IFERROR(__xludf.DUMMYFUNCTION("""COMPUTED_VALUE"""),1406.0)</f>
        <v>1406</v>
      </c>
      <c r="G39" s="23">
        <f>IFERROR(__xludf.DUMMYFUNCTION("""COMPUTED_VALUE"""),3535.0)</f>
        <v>3535</v>
      </c>
      <c r="H39" s="23" t="str">
        <f>IFERROR(__xludf.DUMMYFUNCTION("""COMPUTED_VALUE"""),"Algorithms")</f>
        <v>Algorithms</v>
      </c>
      <c r="I39" s="23">
        <f>IFERROR(__xludf.DUMMYFUNCTION("""COMPUTED_VALUE"""),0.486)</f>
        <v>0.486</v>
      </c>
      <c r="J39" s="23">
        <f>IFERROR(__xludf.DUMMYFUNCTION("""COMPUTED_VALUE"""),38.0)</f>
        <v>38</v>
      </c>
      <c r="K39" s="23" t="b">
        <f>IFERROR(__xludf.DUMMYFUNCTION("""COMPUTED_VALUE"""),FALSE)</f>
        <v>0</v>
      </c>
      <c r="L39" s="23" t="str">
        <f>IFERROR(__xludf.DUMMYFUNCTION("""COMPUTED_VALUE"""),"String;")</f>
        <v>String;</v>
      </c>
      <c r="M39" s="23" t="b">
        <f>IFERROR(__xludf.DUMMYFUNCTION("""COMPUTED_VALUE"""),FALSE)</f>
        <v>0</v>
      </c>
      <c r="N39" s="23" t="b">
        <f>IFERROR(__xludf.DUMMYFUNCTION("""COMPUTED_VALUE"""),FALSE)</f>
        <v>0</v>
      </c>
      <c r="O39" s="23">
        <f>IFERROR(__xludf.DUMMYFUNCTION("""COMPUTED_VALUE"""),48.6221643207114)</f>
        <v>48.62216432</v>
      </c>
      <c r="P39" s="23">
        <f>IFERROR(__xludf.DUMMYFUNCTION("""COMPUTED_VALUE"""),618046.0)</f>
        <v>618046</v>
      </c>
      <c r="Q39" s="23">
        <f>IFERROR(__xludf.DUMMYFUNCTION("""COMPUTED_VALUE"""),1271122.0)</f>
        <v>1271122</v>
      </c>
    </row>
    <row r="40">
      <c r="A40" s="23">
        <f>IFERROR(__xludf.DUMMYFUNCTION("""COMPUTED_VALUE"""),39.0)</f>
        <v>39</v>
      </c>
      <c r="B40" s="23" t="str">
        <f>IFERROR(__xludf.DUMMYFUNCTION("""COMPUTED_VALUE"""),"Combination Sum")</f>
        <v>Combination Sum</v>
      </c>
      <c r="C40" s="23" t="str">
        <f>IFERROR(__xludf.DUMMYFUNCTION("""COMPUTED_VALUE"""),"combination-sum")</f>
        <v>combination-sum</v>
      </c>
      <c r="D40" s="23" t="b">
        <f>IFERROR(__xludf.DUMMYFUNCTION("""COMPUTED_VALUE"""),FALSE)</f>
        <v>0</v>
      </c>
      <c r="E40" s="23" t="str">
        <f>IFERROR(__xludf.DUMMYFUNCTION("""COMPUTED_VALUE"""),"Medium")</f>
        <v>Medium</v>
      </c>
      <c r="F40" s="23">
        <f>IFERROR(__xludf.DUMMYFUNCTION("""COMPUTED_VALUE"""),10655.0)</f>
        <v>10655</v>
      </c>
      <c r="G40" s="23">
        <f>IFERROR(__xludf.DUMMYFUNCTION("""COMPUTED_VALUE"""),229.0)</f>
        <v>229</v>
      </c>
      <c r="H40" s="23" t="str">
        <f>IFERROR(__xludf.DUMMYFUNCTION("""COMPUTED_VALUE"""),"Algorithms")</f>
        <v>Algorithms</v>
      </c>
      <c r="I40" s="23">
        <f>IFERROR(__xludf.DUMMYFUNCTION("""COMPUTED_VALUE"""),0.654)</f>
        <v>0.654</v>
      </c>
      <c r="J40" s="23">
        <f>IFERROR(__xludf.DUMMYFUNCTION("""COMPUTED_VALUE"""),39.0)</f>
        <v>39</v>
      </c>
      <c r="K40" s="23" t="b">
        <f>IFERROR(__xludf.DUMMYFUNCTION("""COMPUTED_VALUE"""),FALSE)</f>
        <v>0</v>
      </c>
      <c r="L40" s="23" t="str">
        <f>IFERROR(__xludf.DUMMYFUNCTION("""COMPUTED_VALUE"""),"Array;Backtracking;")</f>
        <v>Array;Backtracking;</v>
      </c>
      <c r="M40" s="23" t="b">
        <f>IFERROR(__xludf.DUMMYFUNCTION("""COMPUTED_VALUE"""),TRUE)</f>
        <v>1</v>
      </c>
      <c r="N40" s="23" t="b">
        <f>IFERROR(__xludf.DUMMYFUNCTION("""COMPUTED_VALUE"""),FALSE)</f>
        <v>0</v>
      </c>
      <c r="O40" s="23">
        <f>IFERROR(__xludf.DUMMYFUNCTION("""COMPUTED_VALUE"""),65.4170873702979)</f>
        <v>65.41708737</v>
      </c>
      <c r="P40" s="23">
        <f>IFERROR(__xludf.DUMMYFUNCTION("""COMPUTED_VALUE"""),1065782.0)</f>
        <v>1065782</v>
      </c>
      <c r="Q40" s="23">
        <f>IFERROR(__xludf.DUMMYFUNCTION("""COMPUTED_VALUE"""),1629211.0)</f>
        <v>1629211</v>
      </c>
    </row>
    <row r="41">
      <c r="A41" s="23">
        <f>IFERROR(__xludf.DUMMYFUNCTION("""COMPUTED_VALUE"""),40.0)</f>
        <v>40</v>
      </c>
      <c r="B41" s="23" t="str">
        <f>IFERROR(__xludf.DUMMYFUNCTION("""COMPUTED_VALUE"""),"Combination Sum II")</f>
        <v>Combination Sum II</v>
      </c>
      <c r="C41" s="23" t="str">
        <f>IFERROR(__xludf.DUMMYFUNCTION("""COMPUTED_VALUE"""),"combination-sum-ii")</f>
        <v>combination-sum-ii</v>
      </c>
      <c r="D41" s="23" t="b">
        <f>IFERROR(__xludf.DUMMYFUNCTION("""COMPUTED_VALUE"""),FALSE)</f>
        <v>0</v>
      </c>
      <c r="E41" s="23" t="str">
        <f>IFERROR(__xludf.DUMMYFUNCTION("""COMPUTED_VALUE"""),"Medium")</f>
        <v>Medium</v>
      </c>
      <c r="F41" s="23">
        <f>IFERROR(__xludf.DUMMYFUNCTION("""COMPUTED_VALUE"""),5125.0)</f>
        <v>5125</v>
      </c>
      <c r="G41" s="23">
        <f>IFERROR(__xludf.DUMMYFUNCTION("""COMPUTED_VALUE"""),135.0)</f>
        <v>135</v>
      </c>
      <c r="H41" s="23" t="str">
        <f>IFERROR(__xludf.DUMMYFUNCTION("""COMPUTED_VALUE"""),"Algorithms")</f>
        <v>Algorithms</v>
      </c>
      <c r="I41" s="23">
        <f>IFERROR(__xludf.DUMMYFUNCTION("""COMPUTED_VALUE"""),0.523)</f>
        <v>0.523</v>
      </c>
      <c r="J41" s="23">
        <f>IFERROR(__xludf.DUMMYFUNCTION("""COMPUTED_VALUE"""),40.0)</f>
        <v>40</v>
      </c>
      <c r="K41" s="23" t="b">
        <f>IFERROR(__xludf.DUMMYFUNCTION("""COMPUTED_VALUE"""),FALSE)</f>
        <v>0</v>
      </c>
      <c r="L41" s="23" t="str">
        <f>IFERROR(__xludf.DUMMYFUNCTION("""COMPUTED_VALUE"""),"Array;Backtracking;")</f>
        <v>Array;Backtracking;</v>
      </c>
      <c r="M41" s="23" t="b">
        <f>IFERROR(__xludf.DUMMYFUNCTION("""COMPUTED_VALUE"""),TRUE)</f>
        <v>1</v>
      </c>
      <c r="N41" s="23" t="b">
        <f>IFERROR(__xludf.DUMMYFUNCTION("""COMPUTED_VALUE"""),FALSE)</f>
        <v>0</v>
      </c>
      <c r="O41" s="23">
        <f>IFERROR(__xludf.DUMMYFUNCTION("""COMPUTED_VALUE"""),52.3228840425633)</f>
        <v>52.32288404</v>
      </c>
      <c r="P41" s="23">
        <f>IFERROR(__xludf.DUMMYFUNCTION("""COMPUTED_VALUE"""),546293.0)</f>
        <v>546293</v>
      </c>
      <c r="Q41" s="23">
        <f>IFERROR(__xludf.DUMMYFUNCTION("""COMPUTED_VALUE"""),1044078.0)</f>
        <v>1044078</v>
      </c>
    </row>
    <row r="42">
      <c r="A42" s="23">
        <f>IFERROR(__xludf.DUMMYFUNCTION("""COMPUTED_VALUE"""),41.0)</f>
        <v>41</v>
      </c>
      <c r="B42" s="23" t="str">
        <f>IFERROR(__xludf.DUMMYFUNCTION("""COMPUTED_VALUE"""),"First Missing Positive")</f>
        <v>First Missing Positive</v>
      </c>
      <c r="C42" s="23" t="str">
        <f>IFERROR(__xludf.DUMMYFUNCTION("""COMPUTED_VALUE"""),"first-missing-positive")</f>
        <v>first-missing-positive</v>
      </c>
      <c r="D42" s="23" t="b">
        <f>IFERROR(__xludf.DUMMYFUNCTION("""COMPUTED_VALUE"""),FALSE)</f>
        <v>0</v>
      </c>
      <c r="E42" s="23" t="str">
        <f>IFERROR(__xludf.DUMMYFUNCTION("""COMPUTED_VALUE"""),"Hard")</f>
        <v>Hard</v>
      </c>
      <c r="F42" s="23">
        <f>IFERROR(__xludf.DUMMYFUNCTION("""COMPUTED_VALUE"""),9372.0)</f>
        <v>9372</v>
      </c>
      <c r="G42" s="23">
        <f>IFERROR(__xludf.DUMMYFUNCTION("""COMPUTED_VALUE"""),1319.0)</f>
        <v>1319</v>
      </c>
      <c r="H42" s="23" t="str">
        <f>IFERROR(__xludf.DUMMYFUNCTION("""COMPUTED_VALUE"""),"Algorithms")</f>
        <v>Algorithms</v>
      </c>
      <c r="I42" s="23">
        <f>IFERROR(__xludf.DUMMYFUNCTION("""COMPUTED_VALUE"""),0.359)</f>
        <v>0.359</v>
      </c>
      <c r="J42" s="23">
        <f>IFERROR(__xludf.DUMMYFUNCTION("""COMPUTED_VALUE"""),41.0)</f>
        <v>41</v>
      </c>
      <c r="K42" s="23" t="b">
        <f>IFERROR(__xludf.DUMMYFUNCTION("""COMPUTED_VALUE"""),FALSE)</f>
        <v>0</v>
      </c>
      <c r="L42" s="23" t="str">
        <f>IFERROR(__xludf.DUMMYFUNCTION("""COMPUTED_VALUE"""),"Array;Hash Table;")</f>
        <v>Array;Hash Table;</v>
      </c>
      <c r="M42" s="23" t="b">
        <f>IFERROR(__xludf.DUMMYFUNCTION("""COMPUTED_VALUE"""),TRUE)</f>
        <v>1</v>
      </c>
      <c r="N42" s="23" t="b">
        <f>IFERROR(__xludf.DUMMYFUNCTION("""COMPUTED_VALUE"""),FALSE)</f>
        <v>0</v>
      </c>
      <c r="O42" s="23">
        <f>IFERROR(__xludf.DUMMYFUNCTION("""COMPUTED_VALUE"""),35.9426550482744)</f>
        <v>35.94265505</v>
      </c>
      <c r="P42" s="23">
        <f>IFERROR(__xludf.DUMMYFUNCTION("""COMPUTED_VALUE"""),669122.0)</f>
        <v>669122</v>
      </c>
      <c r="Q42" s="23">
        <f>IFERROR(__xludf.DUMMYFUNCTION("""COMPUTED_VALUE"""),1861638.0)</f>
        <v>1861638</v>
      </c>
    </row>
    <row r="43">
      <c r="A43" s="23">
        <f>IFERROR(__xludf.DUMMYFUNCTION("""COMPUTED_VALUE"""),42.0)</f>
        <v>42</v>
      </c>
      <c r="B43" s="23" t="str">
        <f>IFERROR(__xludf.DUMMYFUNCTION("""COMPUTED_VALUE"""),"Trapping Rain Water")</f>
        <v>Trapping Rain Water</v>
      </c>
      <c r="C43" s="23" t="str">
        <f>IFERROR(__xludf.DUMMYFUNCTION("""COMPUTED_VALUE"""),"trapping-rain-water")</f>
        <v>trapping-rain-water</v>
      </c>
      <c r="D43" s="23" t="b">
        <f>IFERROR(__xludf.DUMMYFUNCTION("""COMPUTED_VALUE"""),FALSE)</f>
        <v>0</v>
      </c>
      <c r="E43" s="23" t="str">
        <f>IFERROR(__xludf.DUMMYFUNCTION("""COMPUTED_VALUE"""),"Hard")</f>
        <v>Hard</v>
      </c>
      <c r="F43" s="23">
        <f>IFERROR(__xludf.DUMMYFUNCTION("""COMPUTED_VALUE"""),18075.0)</f>
        <v>18075</v>
      </c>
      <c r="G43" s="23">
        <f>IFERROR(__xludf.DUMMYFUNCTION("""COMPUTED_VALUE"""),255.0)</f>
        <v>255</v>
      </c>
      <c r="H43" s="23" t="str">
        <f>IFERROR(__xludf.DUMMYFUNCTION("""COMPUTED_VALUE"""),"Algorithms")</f>
        <v>Algorithms</v>
      </c>
      <c r="I43" s="23">
        <f>IFERROR(__xludf.DUMMYFUNCTION("""COMPUTED_VALUE"""),0.565)</f>
        <v>0.565</v>
      </c>
      <c r="J43" s="23">
        <f>IFERROR(__xludf.DUMMYFUNCTION("""COMPUTED_VALUE"""),42.0)</f>
        <v>42</v>
      </c>
      <c r="K43" s="23" t="b">
        <f>IFERROR(__xludf.DUMMYFUNCTION("""COMPUTED_VALUE"""),FALSE)</f>
        <v>0</v>
      </c>
      <c r="L43" s="23" t="str">
        <f>IFERROR(__xludf.DUMMYFUNCTION("""COMPUTED_VALUE"""),"Array;Two Pointers;Dynamic Programming;Stack;Monotonic Stack;")</f>
        <v>Array;Two Pointers;Dynamic Programming;Stack;Monotonic Stack;</v>
      </c>
      <c r="M43" s="23" t="b">
        <f>IFERROR(__xludf.DUMMYFUNCTION("""COMPUTED_VALUE"""),TRUE)</f>
        <v>1</v>
      </c>
      <c r="N43" s="23" t="b">
        <f>IFERROR(__xludf.DUMMYFUNCTION("""COMPUTED_VALUE"""),FALSE)</f>
        <v>0</v>
      </c>
      <c r="O43" s="23">
        <f>IFERROR(__xludf.DUMMYFUNCTION("""COMPUTED_VALUE"""),56.458525840407)</f>
        <v>56.45852584</v>
      </c>
      <c r="P43" s="23">
        <f>IFERROR(__xludf.DUMMYFUNCTION("""COMPUTED_VALUE"""),1101626.0)</f>
        <v>1101626</v>
      </c>
      <c r="Q43" s="23">
        <f>IFERROR(__xludf.DUMMYFUNCTION("""COMPUTED_VALUE"""),1951218.0)</f>
        <v>1951218</v>
      </c>
    </row>
    <row r="44">
      <c r="A44" s="23">
        <f>IFERROR(__xludf.DUMMYFUNCTION("""COMPUTED_VALUE"""),43.0)</f>
        <v>43</v>
      </c>
      <c r="B44" s="23" t="str">
        <f>IFERROR(__xludf.DUMMYFUNCTION("""COMPUTED_VALUE"""),"Multiply Strings")</f>
        <v>Multiply Strings</v>
      </c>
      <c r="C44" s="23" t="str">
        <f>IFERROR(__xludf.DUMMYFUNCTION("""COMPUTED_VALUE"""),"multiply-strings")</f>
        <v>multiply-strings</v>
      </c>
      <c r="D44" s="23" t="b">
        <f>IFERROR(__xludf.DUMMYFUNCTION("""COMPUTED_VALUE"""),FALSE)</f>
        <v>0</v>
      </c>
      <c r="E44" s="23" t="str">
        <f>IFERROR(__xludf.DUMMYFUNCTION("""COMPUTED_VALUE"""),"Medium")</f>
        <v>Medium</v>
      </c>
      <c r="F44" s="23">
        <f>IFERROR(__xludf.DUMMYFUNCTION("""COMPUTED_VALUE"""),4324.0)</f>
        <v>4324</v>
      </c>
      <c r="G44" s="23">
        <f>IFERROR(__xludf.DUMMYFUNCTION("""COMPUTED_VALUE"""),1709.0)</f>
        <v>1709</v>
      </c>
      <c r="H44" s="23" t="str">
        <f>IFERROR(__xludf.DUMMYFUNCTION("""COMPUTED_VALUE"""),"Algorithms")</f>
        <v>Algorithms</v>
      </c>
      <c r="I44" s="23">
        <f>IFERROR(__xludf.DUMMYFUNCTION("""COMPUTED_VALUE"""),0.377)</f>
        <v>0.377</v>
      </c>
      <c r="J44" s="23">
        <f>IFERROR(__xludf.DUMMYFUNCTION("""COMPUTED_VALUE"""),43.0)</f>
        <v>43</v>
      </c>
      <c r="K44" s="23" t="b">
        <f>IFERROR(__xludf.DUMMYFUNCTION("""COMPUTED_VALUE"""),FALSE)</f>
        <v>0</v>
      </c>
      <c r="L44" s="23" t="str">
        <f>IFERROR(__xludf.DUMMYFUNCTION("""COMPUTED_VALUE"""),"Math;String;Simulation;")</f>
        <v>Math;String;Simulation;</v>
      </c>
      <c r="M44" s="23" t="b">
        <f>IFERROR(__xludf.DUMMYFUNCTION("""COMPUTED_VALUE"""),TRUE)</f>
        <v>1</v>
      </c>
      <c r="N44" s="23" t="b">
        <f>IFERROR(__xludf.DUMMYFUNCTION("""COMPUTED_VALUE"""),FALSE)</f>
        <v>0</v>
      </c>
      <c r="O44" s="23">
        <f>IFERROR(__xludf.DUMMYFUNCTION("""COMPUTED_VALUE"""),37.7068841091874)</f>
        <v>37.70688411</v>
      </c>
      <c r="P44" s="23">
        <f>IFERROR(__xludf.DUMMYFUNCTION("""COMPUTED_VALUE"""),506819.0)</f>
        <v>506819</v>
      </c>
      <c r="Q44" s="23">
        <f>IFERROR(__xludf.DUMMYFUNCTION("""COMPUTED_VALUE"""),1344106.0)</f>
        <v>1344106</v>
      </c>
    </row>
    <row r="45">
      <c r="A45" s="23">
        <f>IFERROR(__xludf.DUMMYFUNCTION("""COMPUTED_VALUE"""),44.0)</f>
        <v>44</v>
      </c>
      <c r="B45" s="23" t="str">
        <f>IFERROR(__xludf.DUMMYFUNCTION("""COMPUTED_VALUE"""),"Wildcard Matching")</f>
        <v>Wildcard Matching</v>
      </c>
      <c r="C45" s="23" t="str">
        <f>IFERROR(__xludf.DUMMYFUNCTION("""COMPUTED_VALUE"""),"wildcard-matching")</f>
        <v>wildcard-matching</v>
      </c>
      <c r="D45" s="23" t="b">
        <f>IFERROR(__xludf.DUMMYFUNCTION("""COMPUTED_VALUE"""),FALSE)</f>
        <v>0</v>
      </c>
      <c r="E45" s="23" t="str">
        <f>IFERROR(__xludf.DUMMYFUNCTION("""COMPUTED_VALUE"""),"Hard")</f>
        <v>Hard</v>
      </c>
      <c r="F45" s="23">
        <f>IFERROR(__xludf.DUMMYFUNCTION("""COMPUTED_VALUE"""),4614.0)</f>
        <v>4614</v>
      </c>
      <c r="G45" s="23">
        <f>IFERROR(__xludf.DUMMYFUNCTION("""COMPUTED_VALUE"""),209.0)</f>
        <v>209</v>
      </c>
      <c r="H45" s="23" t="str">
        <f>IFERROR(__xludf.DUMMYFUNCTION("""COMPUTED_VALUE"""),"Algorithms")</f>
        <v>Algorithms</v>
      </c>
      <c r="I45" s="23">
        <f>IFERROR(__xludf.DUMMYFUNCTION("""COMPUTED_VALUE"""),0.265)</f>
        <v>0.265</v>
      </c>
      <c r="J45" s="23">
        <f>IFERROR(__xludf.DUMMYFUNCTION("""COMPUTED_VALUE"""),44.0)</f>
        <v>44</v>
      </c>
      <c r="K45" s="23" t="b">
        <f>IFERROR(__xludf.DUMMYFUNCTION("""COMPUTED_VALUE"""),FALSE)</f>
        <v>0</v>
      </c>
      <c r="L45" s="23" t="str">
        <f>IFERROR(__xludf.DUMMYFUNCTION("""COMPUTED_VALUE"""),"String;Dynamic Programming;Greedy;Recursion;")</f>
        <v>String;Dynamic Programming;Greedy;Recursion;</v>
      </c>
      <c r="M45" s="23" t="b">
        <f>IFERROR(__xludf.DUMMYFUNCTION("""COMPUTED_VALUE"""),TRUE)</f>
        <v>1</v>
      </c>
      <c r="N45" s="23" t="b">
        <f>IFERROR(__xludf.DUMMYFUNCTION("""COMPUTED_VALUE"""),FALSE)</f>
        <v>0</v>
      </c>
      <c r="O45" s="23">
        <f>IFERROR(__xludf.DUMMYFUNCTION("""COMPUTED_VALUE"""),26.5358351096891)</f>
        <v>26.53583511</v>
      </c>
      <c r="P45" s="23">
        <f>IFERROR(__xludf.DUMMYFUNCTION("""COMPUTED_VALUE"""),381671.0)</f>
        <v>381671</v>
      </c>
      <c r="Q45" s="23">
        <f>IFERROR(__xludf.DUMMYFUNCTION("""COMPUTED_VALUE"""),1438323.0)</f>
        <v>1438323</v>
      </c>
    </row>
    <row r="46">
      <c r="A46" s="23">
        <f>IFERROR(__xludf.DUMMYFUNCTION("""COMPUTED_VALUE"""),45.0)</f>
        <v>45</v>
      </c>
      <c r="B46" s="23" t="str">
        <f>IFERROR(__xludf.DUMMYFUNCTION("""COMPUTED_VALUE"""),"Jump Game II")</f>
        <v>Jump Game II</v>
      </c>
      <c r="C46" s="23" t="str">
        <f>IFERROR(__xludf.DUMMYFUNCTION("""COMPUTED_VALUE"""),"jump-game-ii")</f>
        <v>jump-game-ii</v>
      </c>
      <c r="D46" s="23" t="b">
        <f>IFERROR(__xludf.DUMMYFUNCTION("""COMPUTED_VALUE"""),FALSE)</f>
        <v>0</v>
      </c>
      <c r="E46" s="23" t="str">
        <f>IFERROR(__xludf.DUMMYFUNCTION("""COMPUTED_VALUE"""),"Medium")</f>
        <v>Medium</v>
      </c>
      <c r="F46" s="23">
        <f>IFERROR(__xludf.DUMMYFUNCTION("""COMPUTED_VALUE"""),7853.0)</f>
        <v>7853</v>
      </c>
      <c r="G46" s="23">
        <f>IFERROR(__xludf.DUMMYFUNCTION("""COMPUTED_VALUE"""),293.0)</f>
        <v>293</v>
      </c>
      <c r="H46" s="23" t="str">
        <f>IFERROR(__xludf.DUMMYFUNCTION("""COMPUTED_VALUE"""),"Algorithms")</f>
        <v>Algorithms</v>
      </c>
      <c r="I46" s="23">
        <f>IFERROR(__xludf.DUMMYFUNCTION("""COMPUTED_VALUE"""),0.371)</f>
        <v>0.371</v>
      </c>
      <c r="J46" s="23">
        <f>IFERROR(__xludf.DUMMYFUNCTION("""COMPUTED_VALUE"""),45.0)</f>
        <v>45</v>
      </c>
      <c r="K46" s="23" t="b">
        <f>IFERROR(__xludf.DUMMYFUNCTION("""COMPUTED_VALUE"""),FALSE)</f>
        <v>0</v>
      </c>
      <c r="L46" s="23" t="str">
        <f>IFERROR(__xludf.DUMMYFUNCTION("""COMPUTED_VALUE"""),"Array;Dynamic Programming;Greedy;")</f>
        <v>Array;Dynamic Programming;Greedy;</v>
      </c>
      <c r="M46" s="23" t="b">
        <f>IFERROR(__xludf.DUMMYFUNCTION("""COMPUTED_VALUE"""),TRUE)</f>
        <v>1</v>
      </c>
      <c r="N46" s="23" t="b">
        <f>IFERROR(__xludf.DUMMYFUNCTION("""COMPUTED_VALUE"""),FALSE)</f>
        <v>0</v>
      </c>
      <c r="O46" s="23">
        <f>IFERROR(__xludf.DUMMYFUNCTION("""COMPUTED_VALUE"""),37.0931008694789)</f>
        <v>37.09310087</v>
      </c>
      <c r="P46" s="23">
        <f>IFERROR(__xludf.DUMMYFUNCTION("""COMPUTED_VALUE"""),590728.0)</f>
        <v>590728</v>
      </c>
      <c r="Q46" s="23">
        <f>IFERROR(__xludf.DUMMYFUNCTION("""COMPUTED_VALUE"""),1592552.0)</f>
        <v>1592552</v>
      </c>
    </row>
    <row r="47">
      <c r="A47" s="23">
        <f>IFERROR(__xludf.DUMMYFUNCTION("""COMPUTED_VALUE"""),46.0)</f>
        <v>46</v>
      </c>
      <c r="B47" s="23" t="str">
        <f>IFERROR(__xludf.DUMMYFUNCTION("""COMPUTED_VALUE"""),"Permutations")</f>
        <v>Permutations</v>
      </c>
      <c r="C47" s="23" t="str">
        <f>IFERROR(__xludf.DUMMYFUNCTION("""COMPUTED_VALUE"""),"permutations")</f>
        <v>permutations</v>
      </c>
      <c r="D47" s="23" t="b">
        <f>IFERROR(__xludf.DUMMYFUNCTION("""COMPUTED_VALUE"""),FALSE)</f>
        <v>0</v>
      </c>
      <c r="E47" s="23" t="str">
        <f>IFERROR(__xludf.DUMMYFUNCTION("""COMPUTED_VALUE"""),"Medium")</f>
        <v>Medium</v>
      </c>
      <c r="F47" s="23">
        <f>IFERROR(__xludf.DUMMYFUNCTION("""COMPUTED_VALUE"""),10127.0)</f>
        <v>10127</v>
      </c>
      <c r="G47" s="23">
        <f>IFERROR(__xludf.DUMMYFUNCTION("""COMPUTED_VALUE"""),185.0)</f>
        <v>185</v>
      </c>
      <c r="H47" s="23" t="str">
        <f>IFERROR(__xludf.DUMMYFUNCTION("""COMPUTED_VALUE"""),"Algorithms")</f>
        <v>Algorithms</v>
      </c>
      <c r="I47" s="23">
        <f>IFERROR(__xludf.DUMMYFUNCTION("""COMPUTED_VALUE"""),0.722)</f>
        <v>0.722</v>
      </c>
      <c r="J47" s="23">
        <f>IFERROR(__xludf.DUMMYFUNCTION("""COMPUTED_VALUE"""),46.0)</f>
        <v>46</v>
      </c>
      <c r="K47" s="23" t="b">
        <f>IFERROR(__xludf.DUMMYFUNCTION("""COMPUTED_VALUE"""),FALSE)</f>
        <v>0</v>
      </c>
      <c r="L47" s="23" t="str">
        <f>IFERROR(__xludf.DUMMYFUNCTION("""COMPUTED_VALUE"""),"Array;Backtracking;")</f>
        <v>Array;Backtracking;</v>
      </c>
      <c r="M47" s="23" t="b">
        <f>IFERROR(__xludf.DUMMYFUNCTION("""COMPUTED_VALUE"""),TRUE)</f>
        <v>1</v>
      </c>
      <c r="N47" s="23" t="b">
        <f>IFERROR(__xludf.DUMMYFUNCTION("""COMPUTED_VALUE"""),FALSE)</f>
        <v>0</v>
      </c>
      <c r="O47" s="23">
        <f>IFERROR(__xludf.DUMMYFUNCTION("""COMPUTED_VALUE"""),72.2121633978813)</f>
        <v>72.2121634</v>
      </c>
      <c r="P47" s="23">
        <f>IFERROR(__xludf.DUMMYFUNCTION("""COMPUTED_VALUE"""),1145841.0)</f>
        <v>1145841</v>
      </c>
      <c r="Q47" s="23">
        <f>IFERROR(__xludf.DUMMYFUNCTION("""COMPUTED_VALUE"""),1586767.0)</f>
        <v>1586767</v>
      </c>
    </row>
    <row r="48">
      <c r="A48" s="23">
        <f>IFERROR(__xludf.DUMMYFUNCTION("""COMPUTED_VALUE"""),47.0)</f>
        <v>47</v>
      </c>
      <c r="B48" s="23" t="str">
        <f>IFERROR(__xludf.DUMMYFUNCTION("""COMPUTED_VALUE"""),"Permutations II")</f>
        <v>Permutations II</v>
      </c>
      <c r="C48" s="23" t="str">
        <f>IFERROR(__xludf.DUMMYFUNCTION("""COMPUTED_VALUE"""),"permutations-ii")</f>
        <v>permutations-ii</v>
      </c>
      <c r="D48" s="23" t="b">
        <f>IFERROR(__xludf.DUMMYFUNCTION("""COMPUTED_VALUE"""),FALSE)</f>
        <v>0</v>
      </c>
      <c r="E48" s="23" t="str">
        <f>IFERROR(__xludf.DUMMYFUNCTION("""COMPUTED_VALUE"""),"Medium")</f>
        <v>Medium</v>
      </c>
      <c r="F48" s="23">
        <f>IFERROR(__xludf.DUMMYFUNCTION("""COMPUTED_VALUE"""),4840.0)</f>
        <v>4840</v>
      </c>
      <c r="G48" s="23">
        <f>IFERROR(__xludf.DUMMYFUNCTION("""COMPUTED_VALUE"""),90.0)</f>
        <v>90</v>
      </c>
      <c r="H48" s="23" t="str">
        <f>IFERROR(__xludf.DUMMYFUNCTION("""COMPUTED_VALUE"""),"Algorithms")</f>
        <v>Algorithms</v>
      </c>
      <c r="I48" s="23">
        <f>IFERROR(__xludf.DUMMYFUNCTION("""COMPUTED_VALUE"""),0.541)</f>
        <v>0.541</v>
      </c>
      <c r="J48" s="23">
        <f>IFERROR(__xludf.DUMMYFUNCTION("""COMPUTED_VALUE"""),47.0)</f>
        <v>47</v>
      </c>
      <c r="K48" s="23" t="b">
        <f>IFERROR(__xludf.DUMMYFUNCTION("""COMPUTED_VALUE"""),FALSE)</f>
        <v>0</v>
      </c>
      <c r="L48" s="23" t="str">
        <f>IFERROR(__xludf.DUMMYFUNCTION("""COMPUTED_VALUE"""),"Array;Backtracking;")</f>
        <v>Array;Backtracking;</v>
      </c>
      <c r="M48" s="23" t="b">
        <f>IFERROR(__xludf.DUMMYFUNCTION("""COMPUTED_VALUE"""),TRUE)</f>
        <v>1</v>
      </c>
      <c r="N48" s="23" t="b">
        <f>IFERROR(__xludf.DUMMYFUNCTION("""COMPUTED_VALUE"""),FALSE)</f>
        <v>0</v>
      </c>
      <c r="O48" s="23">
        <f>IFERROR(__xludf.DUMMYFUNCTION("""COMPUTED_VALUE"""),54.0829001200773)</f>
        <v>54.08290012</v>
      </c>
      <c r="P48" s="23">
        <f>IFERROR(__xludf.DUMMYFUNCTION("""COMPUTED_VALUE"""),601733.0)</f>
        <v>601733</v>
      </c>
      <c r="Q48" s="23">
        <f>IFERROR(__xludf.DUMMYFUNCTION("""COMPUTED_VALUE"""),1112614.0)</f>
        <v>1112614</v>
      </c>
    </row>
    <row r="49">
      <c r="A49" s="23">
        <f>IFERROR(__xludf.DUMMYFUNCTION("""COMPUTED_VALUE"""),48.0)</f>
        <v>48</v>
      </c>
      <c r="B49" s="23" t="str">
        <f>IFERROR(__xludf.DUMMYFUNCTION("""COMPUTED_VALUE"""),"Rotate Image")</f>
        <v>Rotate Image</v>
      </c>
      <c r="C49" s="23" t="str">
        <f>IFERROR(__xludf.DUMMYFUNCTION("""COMPUTED_VALUE"""),"rotate-image")</f>
        <v>rotate-image</v>
      </c>
      <c r="D49" s="23" t="b">
        <f>IFERROR(__xludf.DUMMYFUNCTION("""COMPUTED_VALUE"""),FALSE)</f>
        <v>0</v>
      </c>
      <c r="E49" s="23" t="str">
        <f>IFERROR(__xludf.DUMMYFUNCTION("""COMPUTED_VALUE"""),"Medium")</f>
        <v>Medium</v>
      </c>
      <c r="F49" s="23">
        <f>IFERROR(__xludf.DUMMYFUNCTION("""COMPUTED_VALUE"""),8947.0)</f>
        <v>8947</v>
      </c>
      <c r="G49" s="23">
        <f>IFERROR(__xludf.DUMMYFUNCTION("""COMPUTED_VALUE"""),476.0)</f>
        <v>476</v>
      </c>
      <c r="H49" s="23" t="str">
        <f>IFERROR(__xludf.DUMMYFUNCTION("""COMPUTED_VALUE"""),"Algorithms")</f>
        <v>Algorithms</v>
      </c>
      <c r="I49" s="23">
        <f>IFERROR(__xludf.DUMMYFUNCTION("""COMPUTED_VALUE"""),0.665)</f>
        <v>0.665</v>
      </c>
      <c r="J49" s="23">
        <f>IFERROR(__xludf.DUMMYFUNCTION("""COMPUTED_VALUE"""),48.0)</f>
        <v>48</v>
      </c>
      <c r="K49" s="23" t="b">
        <f>IFERROR(__xludf.DUMMYFUNCTION("""COMPUTED_VALUE"""),FALSE)</f>
        <v>0</v>
      </c>
      <c r="L49" s="23" t="str">
        <f>IFERROR(__xludf.DUMMYFUNCTION("""COMPUTED_VALUE"""),"Array;Math;Matrix;")</f>
        <v>Array;Math;Matrix;</v>
      </c>
      <c r="M49" s="23" t="b">
        <f>IFERROR(__xludf.DUMMYFUNCTION("""COMPUTED_VALUE"""),TRUE)</f>
        <v>1</v>
      </c>
      <c r="N49" s="23" t="b">
        <f>IFERROR(__xludf.DUMMYFUNCTION("""COMPUTED_VALUE"""),FALSE)</f>
        <v>0</v>
      </c>
      <c r="O49" s="23">
        <f>IFERROR(__xludf.DUMMYFUNCTION("""COMPUTED_VALUE"""),66.5475876765848)</f>
        <v>66.54758768</v>
      </c>
      <c r="P49" s="23">
        <f>IFERROR(__xludf.DUMMYFUNCTION("""COMPUTED_VALUE"""),871248.0)</f>
        <v>871248</v>
      </c>
      <c r="Q49" s="23">
        <f>IFERROR(__xludf.DUMMYFUNCTION("""COMPUTED_VALUE"""),1309212.0)</f>
        <v>1309212</v>
      </c>
    </row>
    <row r="50">
      <c r="A50" s="23">
        <f>IFERROR(__xludf.DUMMYFUNCTION("""COMPUTED_VALUE"""),49.0)</f>
        <v>49</v>
      </c>
      <c r="B50" s="23" t="str">
        <f>IFERROR(__xludf.DUMMYFUNCTION("""COMPUTED_VALUE"""),"Group Anagrams")</f>
        <v>Group Anagrams</v>
      </c>
      <c r="C50" s="23" t="str">
        <f>IFERROR(__xludf.DUMMYFUNCTION("""COMPUTED_VALUE"""),"group-anagrams")</f>
        <v>group-anagrams</v>
      </c>
      <c r="D50" s="23" t="b">
        <f>IFERROR(__xludf.DUMMYFUNCTION("""COMPUTED_VALUE"""),FALSE)</f>
        <v>0</v>
      </c>
      <c r="E50" s="23" t="str">
        <f>IFERROR(__xludf.DUMMYFUNCTION("""COMPUTED_VALUE"""),"Medium")</f>
        <v>Medium</v>
      </c>
      <c r="F50" s="23">
        <f>IFERROR(__xludf.DUMMYFUNCTION("""COMPUTED_VALUE"""),9075.0)</f>
        <v>9075</v>
      </c>
      <c r="G50" s="23">
        <f>IFERROR(__xludf.DUMMYFUNCTION("""COMPUTED_VALUE"""),313.0)</f>
        <v>313</v>
      </c>
      <c r="H50" s="23" t="str">
        <f>IFERROR(__xludf.DUMMYFUNCTION("""COMPUTED_VALUE"""),"Algorithms")</f>
        <v>Algorithms</v>
      </c>
      <c r="I50" s="23">
        <f>IFERROR(__xludf.DUMMYFUNCTION("""COMPUTED_VALUE"""),0.641)</f>
        <v>0.641</v>
      </c>
      <c r="J50" s="23">
        <f>IFERROR(__xludf.DUMMYFUNCTION("""COMPUTED_VALUE"""),49.0)</f>
        <v>49</v>
      </c>
      <c r="K50" s="23" t="b">
        <f>IFERROR(__xludf.DUMMYFUNCTION("""COMPUTED_VALUE"""),FALSE)</f>
        <v>0</v>
      </c>
      <c r="L50" s="23" t="str">
        <f>IFERROR(__xludf.DUMMYFUNCTION("""COMPUTED_VALUE"""),"Hash Table;String;Sorting;")</f>
        <v>Hash Table;String;Sorting;</v>
      </c>
      <c r="M50" s="23" t="b">
        <f>IFERROR(__xludf.DUMMYFUNCTION("""COMPUTED_VALUE"""),TRUE)</f>
        <v>1</v>
      </c>
      <c r="N50" s="23" t="b">
        <f>IFERROR(__xludf.DUMMYFUNCTION("""COMPUTED_VALUE"""),TRUE)</f>
        <v>1</v>
      </c>
      <c r="O50" s="23">
        <f>IFERROR(__xludf.DUMMYFUNCTION("""COMPUTED_VALUE"""),64.103672918154)</f>
        <v>64.10367292</v>
      </c>
      <c r="P50" s="23">
        <f>IFERROR(__xludf.DUMMYFUNCTION("""COMPUTED_VALUE"""),1325244.0)</f>
        <v>1325244</v>
      </c>
      <c r="Q50" s="23">
        <f>IFERROR(__xludf.DUMMYFUNCTION("""COMPUTED_VALUE"""),2067339.0)</f>
        <v>2067339</v>
      </c>
    </row>
    <row r="51">
      <c r="A51" s="23">
        <f>IFERROR(__xludf.DUMMYFUNCTION("""COMPUTED_VALUE"""),50.0)</f>
        <v>50</v>
      </c>
      <c r="B51" s="23" t="str">
        <f>IFERROR(__xludf.DUMMYFUNCTION("""COMPUTED_VALUE"""),"Pow(x, n)")</f>
        <v>Pow(x, n)</v>
      </c>
      <c r="C51" s="23" t="str">
        <f>IFERROR(__xludf.DUMMYFUNCTION("""COMPUTED_VALUE"""),"powx-n")</f>
        <v>powx-n</v>
      </c>
      <c r="D51" s="23" t="b">
        <f>IFERROR(__xludf.DUMMYFUNCTION("""COMPUTED_VALUE"""),FALSE)</f>
        <v>0</v>
      </c>
      <c r="E51" s="23" t="str">
        <f>IFERROR(__xludf.DUMMYFUNCTION("""COMPUTED_VALUE"""),"Medium")</f>
        <v>Medium</v>
      </c>
      <c r="F51" s="23">
        <f>IFERROR(__xludf.DUMMYFUNCTION("""COMPUTED_VALUE"""),4405.0)</f>
        <v>4405</v>
      </c>
      <c r="G51" s="23">
        <f>IFERROR(__xludf.DUMMYFUNCTION("""COMPUTED_VALUE"""),5371.0)</f>
        <v>5371</v>
      </c>
      <c r="H51" s="23" t="str">
        <f>IFERROR(__xludf.DUMMYFUNCTION("""COMPUTED_VALUE"""),"Algorithms")</f>
        <v>Algorithms</v>
      </c>
      <c r="I51" s="23">
        <f>IFERROR(__xludf.DUMMYFUNCTION("""COMPUTED_VALUE"""),0.324)</f>
        <v>0.324</v>
      </c>
      <c r="J51" s="23">
        <f>IFERROR(__xludf.DUMMYFUNCTION("""COMPUTED_VALUE"""),50.0)</f>
        <v>50</v>
      </c>
      <c r="K51" s="23" t="b">
        <f>IFERROR(__xludf.DUMMYFUNCTION("""COMPUTED_VALUE"""),FALSE)</f>
        <v>0</v>
      </c>
      <c r="L51" s="23" t="str">
        <f>IFERROR(__xludf.DUMMYFUNCTION("""COMPUTED_VALUE"""),"Math;Recursion;")</f>
        <v>Math;Recursion;</v>
      </c>
      <c r="M51" s="23" t="b">
        <f>IFERROR(__xludf.DUMMYFUNCTION("""COMPUTED_VALUE"""),TRUE)</f>
        <v>1</v>
      </c>
      <c r="N51" s="23" t="b">
        <f>IFERROR(__xludf.DUMMYFUNCTION("""COMPUTED_VALUE"""),FALSE)</f>
        <v>0</v>
      </c>
      <c r="O51" s="23">
        <f>IFERROR(__xludf.DUMMYFUNCTION("""COMPUTED_VALUE"""),32.37162034305)</f>
        <v>32.37162034</v>
      </c>
      <c r="P51" s="23">
        <f>IFERROR(__xludf.DUMMYFUNCTION("""COMPUTED_VALUE"""),894704.0)</f>
        <v>894704</v>
      </c>
      <c r="Q51" s="23">
        <f>IFERROR(__xludf.DUMMYFUNCTION("""COMPUTED_VALUE"""),2763852.0)</f>
        <v>2763852</v>
      </c>
    </row>
    <row r="52">
      <c r="A52" s="23">
        <f>IFERROR(__xludf.DUMMYFUNCTION("""COMPUTED_VALUE"""),51.0)</f>
        <v>51</v>
      </c>
      <c r="B52" s="23" t="str">
        <f>IFERROR(__xludf.DUMMYFUNCTION("""COMPUTED_VALUE"""),"N-Queens")</f>
        <v>N-Queens</v>
      </c>
      <c r="C52" s="23" t="str">
        <f>IFERROR(__xludf.DUMMYFUNCTION("""COMPUTED_VALUE"""),"n-queens")</f>
        <v>n-queens</v>
      </c>
      <c r="D52" s="23" t="b">
        <f>IFERROR(__xludf.DUMMYFUNCTION("""COMPUTED_VALUE"""),FALSE)</f>
        <v>0</v>
      </c>
      <c r="E52" s="23" t="str">
        <f>IFERROR(__xludf.DUMMYFUNCTION("""COMPUTED_VALUE"""),"Hard")</f>
        <v>Hard</v>
      </c>
      <c r="F52" s="23">
        <f>IFERROR(__xludf.DUMMYFUNCTION("""COMPUTED_VALUE"""),5691.0)</f>
        <v>5691</v>
      </c>
      <c r="G52" s="23">
        <f>IFERROR(__xludf.DUMMYFUNCTION("""COMPUTED_VALUE"""),152.0)</f>
        <v>152</v>
      </c>
      <c r="H52" s="23" t="str">
        <f>IFERROR(__xludf.DUMMYFUNCTION("""COMPUTED_VALUE"""),"Algorithms")</f>
        <v>Algorithms</v>
      </c>
      <c r="I52" s="23">
        <f>IFERROR(__xludf.DUMMYFUNCTION("""COMPUTED_VALUE"""),0.574)</f>
        <v>0.574</v>
      </c>
      <c r="J52" s="23">
        <f>IFERROR(__xludf.DUMMYFUNCTION("""COMPUTED_VALUE"""),51.0)</f>
        <v>51</v>
      </c>
      <c r="K52" s="23" t="b">
        <f>IFERROR(__xludf.DUMMYFUNCTION("""COMPUTED_VALUE"""),FALSE)</f>
        <v>0</v>
      </c>
      <c r="L52" s="23" t="str">
        <f>IFERROR(__xludf.DUMMYFUNCTION("""COMPUTED_VALUE"""),"Array;Backtracking;")</f>
        <v>Array;Backtracking;</v>
      </c>
      <c r="M52" s="23" t="b">
        <f>IFERROR(__xludf.DUMMYFUNCTION("""COMPUTED_VALUE"""),TRUE)</f>
        <v>1</v>
      </c>
      <c r="N52" s="23" t="b">
        <f>IFERROR(__xludf.DUMMYFUNCTION("""COMPUTED_VALUE"""),FALSE)</f>
        <v>0</v>
      </c>
      <c r="O52" s="23">
        <f>IFERROR(__xludf.DUMMYFUNCTION("""COMPUTED_VALUE"""),57.3523336151171)</f>
        <v>57.35233362</v>
      </c>
      <c r="P52" s="23">
        <f>IFERROR(__xludf.DUMMYFUNCTION("""COMPUTED_VALUE"""),360931.0)</f>
        <v>360931</v>
      </c>
      <c r="Q52" s="23">
        <f>IFERROR(__xludf.DUMMYFUNCTION("""COMPUTED_VALUE"""),629323.0)</f>
        <v>629323</v>
      </c>
    </row>
    <row r="53">
      <c r="A53" s="23">
        <f>IFERROR(__xludf.DUMMYFUNCTION("""COMPUTED_VALUE"""),52.0)</f>
        <v>52</v>
      </c>
      <c r="B53" s="23" t="str">
        <f>IFERROR(__xludf.DUMMYFUNCTION("""COMPUTED_VALUE"""),"N-Queens II")</f>
        <v>N-Queens II</v>
      </c>
      <c r="C53" s="23" t="str">
        <f>IFERROR(__xludf.DUMMYFUNCTION("""COMPUTED_VALUE"""),"n-queens-ii")</f>
        <v>n-queens-ii</v>
      </c>
      <c r="D53" s="23" t="b">
        <f>IFERROR(__xludf.DUMMYFUNCTION("""COMPUTED_VALUE"""),FALSE)</f>
        <v>0</v>
      </c>
      <c r="E53" s="23" t="str">
        <f>IFERROR(__xludf.DUMMYFUNCTION("""COMPUTED_VALUE"""),"Hard")</f>
        <v>Hard</v>
      </c>
      <c r="F53" s="23">
        <f>IFERROR(__xludf.DUMMYFUNCTION("""COMPUTED_VALUE"""),1697.0)</f>
        <v>1697</v>
      </c>
      <c r="G53" s="23">
        <f>IFERROR(__xludf.DUMMYFUNCTION("""COMPUTED_VALUE"""),209.0)</f>
        <v>209</v>
      </c>
      <c r="H53" s="23" t="str">
        <f>IFERROR(__xludf.DUMMYFUNCTION("""COMPUTED_VALUE"""),"Algorithms")</f>
        <v>Algorithms</v>
      </c>
      <c r="I53" s="23">
        <f>IFERROR(__xludf.DUMMYFUNCTION("""COMPUTED_VALUE"""),0.662)</f>
        <v>0.662</v>
      </c>
      <c r="J53" s="23">
        <f>IFERROR(__xludf.DUMMYFUNCTION("""COMPUTED_VALUE"""),52.0)</f>
        <v>52</v>
      </c>
      <c r="K53" s="23" t="b">
        <f>IFERROR(__xludf.DUMMYFUNCTION("""COMPUTED_VALUE"""),FALSE)</f>
        <v>0</v>
      </c>
      <c r="L53" s="23" t="str">
        <f>IFERROR(__xludf.DUMMYFUNCTION("""COMPUTED_VALUE"""),"Backtracking;")</f>
        <v>Backtracking;</v>
      </c>
      <c r="M53" s="23" t="b">
        <f>IFERROR(__xludf.DUMMYFUNCTION("""COMPUTED_VALUE"""),TRUE)</f>
        <v>1</v>
      </c>
      <c r="N53" s="23" t="b">
        <f>IFERROR(__xludf.DUMMYFUNCTION("""COMPUTED_VALUE"""),FALSE)</f>
        <v>0</v>
      </c>
      <c r="O53" s="23">
        <f>IFERROR(__xludf.DUMMYFUNCTION("""COMPUTED_VALUE"""),66.1884940603421)</f>
        <v>66.18849406</v>
      </c>
      <c r="P53" s="23">
        <f>IFERROR(__xludf.DUMMYFUNCTION("""COMPUTED_VALUE"""),217686.0)</f>
        <v>217686</v>
      </c>
      <c r="Q53" s="23">
        <f>IFERROR(__xludf.DUMMYFUNCTION("""COMPUTED_VALUE"""),328889.0)</f>
        <v>328889</v>
      </c>
    </row>
    <row r="54">
      <c r="A54" s="23">
        <f>IFERROR(__xludf.DUMMYFUNCTION("""COMPUTED_VALUE"""),53.0)</f>
        <v>53</v>
      </c>
      <c r="B54" s="23" t="str">
        <f>IFERROR(__xludf.DUMMYFUNCTION("""COMPUTED_VALUE"""),"Maximum Subarray")</f>
        <v>Maximum Subarray</v>
      </c>
      <c r="C54" s="23" t="str">
        <f>IFERROR(__xludf.DUMMYFUNCTION("""COMPUTED_VALUE"""),"maximum-subarray")</f>
        <v>maximum-subarray</v>
      </c>
      <c r="D54" s="23" t="b">
        <f>IFERROR(__xludf.DUMMYFUNCTION("""COMPUTED_VALUE"""),FALSE)</f>
        <v>0</v>
      </c>
      <c r="E54" s="23" t="str">
        <f>IFERROR(__xludf.DUMMYFUNCTION("""COMPUTED_VALUE"""),"Easy")</f>
        <v>Easy</v>
      </c>
      <c r="F54" s="23">
        <f>IFERROR(__xludf.DUMMYFUNCTION("""COMPUTED_VALUE"""),20174.0)</f>
        <v>20174</v>
      </c>
      <c r="G54" s="23">
        <f>IFERROR(__xludf.DUMMYFUNCTION("""COMPUTED_VALUE"""),988.0)</f>
        <v>988</v>
      </c>
      <c r="H54" s="23" t="str">
        <f>IFERROR(__xludf.DUMMYFUNCTION("""COMPUTED_VALUE"""),"Algorithms")</f>
        <v>Algorithms</v>
      </c>
      <c r="I54" s="23">
        <f>IFERROR(__xludf.DUMMYFUNCTION("""COMPUTED_VALUE"""),0.495)</f>
        <v>0.495</v>
      </c>
      <c r="J54" s="23">
        <f>IFERROR(__xludf.DUMMYFUNCTION("""COMPUTED_VALUE"""),53.0)</f>
        <v>53</v>
      </c>
      <c r="K54" s="23" t="b">
        <f>IFERROR(__xludf.DUMMYFUNCTION("""COMPUTED_VALUE"""),FALSE)</f>
        <v>0</v>
      </c>
      <c r="L54" s="23" t="str">
        <f>IFERROR(__xludf.DUMMYFUNCTION("""COMPUTED_VALUE"""),"Array;Divide and Conquer;Dynamic Programming;")</f>
        <v>Array;Divide and Conquer;Dynamic Programming;</v>
      </c>
      <c r="M54" s="23" t="b">
        <f>IFERROR(__xludf.DUMMYFUNCTION("""COMPUTED_VALUE"""),TRUE)</f>
        <v>1</v>
      </c>
      <c r="N54" s="23" t="b">
        <f>IFERROR(__xludf.DUMMYFUNCTION("""COMPUTED_VALUE"""),FALSE)</f>
        <v>0</v>
      </c>
      <c r="O54" s="23">
        <f>IFERROR(__xludf.DUMMYFUNCTION("""COMPUTED_VALUE"""),49.5089438606526)</f>
        <v>49.50894386</v>
      </c>
      <c r="P54" s="23">
        <f>IFERROR(__xludf.DUMMYFUNCTION("""COMPUTED_VALUE"""),2279701.0)</f>
        <v>2279701</v>
      </c>
      <c r="Q54" s="23">
        <f>IFERROR(__xludf.DUMMYFUNCTION("""COMPUTED_VALUE"""),4604634.0)</f>
        <v>4604634</v>
      </c>
    </row>
    <row r="55">
      <c r="A55" s="23">
        <f>IFERROR(__xludf.DUMMYFUNCTION("""COMPUTED_VALUE"""),54.0)</f>
        <v>54</v>
      </c>
      <c r="B55" s="23" t="str">
        <f>IFERROR(__xludf.DUMMYFUNCTION("""COMPUTED_VALUE"""),"Spiral Matrix")</f>
        <v>Spiral Matrix</v>
      </c>
      <c r="C55" s="23" t="str">
        <f>IFERROR(__xludf.DUMMYFUNCTION("""COMPUTED_VALUE"""),"spiral-matrix")</f>
        <v>spiral-matrix</v>
      </c>
      <c r="D55" s="23" t="b">
        <f>IFERROR(__xludf.DUMMYFUNCTION("""COMPUTED_VALUE"""),FALSE)</f>
        <v>0</v>
      </c>
      <c r="E55" s="23" t="str">
        <f>IFERROR(__xludf.DUMMYFUNCTION("""COMPUTED_VALUE"""),"Medium")</f>
        <v>Medium</v>
      </c>
      <c r="F55" s="23">
        <f>IFERROR(__xludf.DUMMYFUNCTION("""COMPUTED_VALUE"""),7018.0)</f>
        <v>7018</v>
      </c>
      <c r="G55" s="23">
        <f>IFERROR(__xludf.DUMMYFUNCTION("""COMPUTED_VALUE"""),824.0)</f>
        <v>824</v>
      </c>
      <c r="H55" s="23" t="str">
        <f>IFERROR(__xludf.DUMMYFUNCTION("""COMPUTED_VALUE"""),"Algorithms")</f>
        <v>Algorithms</v>
      </c>
      <c r="I55" s="23">
        <f>IFERROR(__xludf.DUMMYFUNCTION("""COMPUTED_VALUE"""),0.414)</f>
        <v>0.414</v>
      </c>
      <c r="J55" s="23">
        <f>IFERROR(__xludf.DUMMYFUNCTION("""COMPUTED_VALUE"""),54.0)</f>
        <v>54</v>
      </c>
      <c r="K55" s="23" t="b">
        <f>IFERROR(__xludf.DUMMYFUNCTION("""COMPUTED_VALUE"""),FALSE)</f>
        <v>0</v>
      </c>
      <c r="L55" s="23" t="str">
        <f>IFERROR(__xludf.DUMMYFUNCTION("""COMPUTED_VALUE"""),"Array;Matrix;Simulation;")</f>
        <v>Array;Matrix;Simulation;</v>
      </c>
      <c r="M55" s="23" t="b">
        <f>IFERROR(__xludf.DUMMYFUNCTION("""COMPUTED_VALUE"""),TRUE)</f>
        <v>1</v>
      </c>
      <c r="N55" s="23" t="b">
        <f>IFERROR(__xludf.DUMMYFUNCTION("""COMPUTED_VALUE"""),FALSE)</f>
        <v>0</v>
      </c>
      <c r="O55" s="23">
        <f>IFERROR(__xludf.DUMMYFUNCTION("""COMPUTED_VALUE"""),41.3641225877389)</f>
        <v>41.36412259</v>
      </c>
      <c r="P55" s="23">
        <f>IFERROR(__xludf.DUMMYFUNCTION("""COMPUTED_VALUE"""),720791.0)</f>
        <v>720791</v>
      </c>
      <c r="Q55" s="23">
        <f>IFERROR(__xludf.DUMMYFUNCTION("""COMPUTED_VALUE"""),1742552.0)</f>
        <v>1742552</v>
      </c>
    </row>
    <row r="56">
      <c r="A56" s="23">
        <f>IFERROR(__xludf.DUMMYFUNCTION("""COMPUTED_VALUE"""),55.0)</f>
        <v>55</v>
      </c>
      <c r="B56" s="23" t="str">
        <f>IFERROR(__xludf.DUMMYFUNCTION("""COMPUTED_VALUE"""),"Jump Game")</f>
        <v>Jump Game</v>
      </c>
      <c r="C56" s="23" t="str">
        <f>IFERROR(__xludf.DUMMYFUNCTION("""COMPUTED_VALUE"""),"jump-game")</f>
        <v>jump-game</v>
      </c>
      <c r="D56" s="23" t="b">
        <f>IFERROR(__xludf.DUMMYFUNCTION("""COMPUTED_VALUE"""),FALSE)</f>
        <v>0</v>
      </c>
      <c r="E56" s="23" t="str">
        <f>IFERROR(__xludf.DUMMYFUNCTION("""COMPUTED_VALUE"""),"Medium")</f>
        <v>Medium</v>
      </c>
      <c r="F56" s="23">
        <f>IFERROR(__xludf.DUMMYFUNCTION("""COMPUTED_VALUE"""),10760.0)</f>
        <v>10760</v>
      </c>
      <c r="G56" s="23">
        <f>IFERROR(__xludf.DUMMYFUNCTION("""COMPUTED_VALUE"""),615.0)</f>
        <v>615</v>
      </c>
      <c r="H56" s="23" t="str">
        <f>IFERROR(__xludf.DUMMYFUNCTION("""COMPUTED_VALUE"""),"Algorithms")</f>
        <v>Algorithms</v>
      </c>
      <c r="I56" s="23">
        <f>IFERROR(__xludf.DUMMYFUNCTION("""COMPUTED_VALUE"""),0.378)</f>
        <v>0.378</v>
      </c>
      <c r="J56" s="23">
        <f>IFERROR(__xludf.DUMMYFUNCTION("""COMPUTED_VALUE"""),55.0)</f>
        <v>55</v>
      </c>
      <c r="K56" s="23" t="b">
        <f>IFERROR(__xludf.DUMMYFUNCTION("""COMPUTED_VALUE"""),FALSE)</f>
        <v>0</v>
      </c>
      <c r="L56" s="23" t="str">
        <f>IFERROR(__xludf.DUMMYFUNCTION("""COMPUTED_VALUE"""),"Array;Dynamic Programming;Greedy;")</f>
        <v>Array;Dynamic Programming;Greedy;</v>
      </c>
      <c r="M56" s="23" t="b">
        <f>IFERROR(__xludf.DUMMYFUNCTION("""COMPUTED_VALUE"""),TRUE)</f>
        <v>1</v>
      </c>
      <c r="N56" s="23" t="b">
        <f>IFERROR(__xludf.DUMMYFUNCTION("""COMPUTED_VALUE"""),FALSE)</f>
        <v>0</v>
      </c>
      <c r="O56" s="23">
        <f>IFERROR(__xludf.DUMMYFUNCTION("""COMPUTED_VALUE"""),37.7679041575542)</f>
        <v>37.76790416</v>
      </c>
      <c r="P56" s="23">
        <f>IFERROR(__xludf.DUMMYFUNCTION("""COMPUTED_VALUE"""),982629.0)</f>
        <v>982629</v>
      </c>
      <c r="Q56" s="23">
        <f>IFERROR(__xludf.DUMMYFUNCTION("""COMPUTED_VALUE"""),2601757.0)</f>
        <v>2601757</v>
      </c>
    </row>
    <row r="57">
      <c r="A57" s="23">
        <f>IFERROR(__xludf.DUMMYFUNCTION("""COMPUTED_VALUE"""),56.0)</f>
        <v>56</v>
      </c>
      <c r="B57" s="23" t="str">
        <f>IFERROR(__xludf.DUMMYFUNCTION("""COMPUTED_VALUE"""),"Merge Intervals")</f>
        <v>Merge Intervals</v>
      </c>
      <c r="C57" s="23" t="str">
        <f>IFERROR(__xludf.DUMMYFUNCTION("""COMPUTED_VALUE"""),"merge-intervals")</f>
        <v>merge-intervals</v>
      </c>
      <c r="D57" s="23" t="b">
        <f>IFERROR(__xludf.DUMMYFUNCTION("""COMPUTED_VALUE"""),FALSE)</f>
        <v>0</v>
      </c>
      <c r="E57" s="23" t="str">
        <f>IFERROR(__xludf.DUMMYFUNCTION("""COMPUTED_VALUE"""),"Medium")</f>
        <v>Medium</v>
      </c>
      <c r="F57" s="23">
        <f>IFERROR(__xludf.DUMMYFUNCTION("""COMPUTED_VALUE"""),13275.0)</f>
        <v>13275</v>
      </c>
      <c r="G57" s="23">
        <f>IFERROR(__xludf.DUMMYFUNCTION("""COMPUTED_VALUE"""),515.0)</f>
        <v>515</v>
      </c>
      <c r="H57" s="23" t="str">
        <f>IFERROR(__xludf.DUMMYFUNCTION("""COMPUTED_VALUE"""),"Algorithms")</f>
        <v>Algorithms</v>
      </c>
      <c r="I57" s="23">
        <f>IFERROR(__xludf.DUMMYFUNCTION("""COMPUTED_VALUE"""),0.449)</f>
        <v>0.449</v>
      </c>
      <c r="J57" s="23">
        <f>IFERROR(__xludf.DUMMYFUNCTION("""COMPUTED_VALUE"""),56.0)</f>
        <v>56</v>
      </c>
      <c r="K57" s="23" t="b">
        <f>IFERROR(__xludf.DUMMYFUNCTION("""COMPUTED_VALUE"""),FALSE)</f>
        <v>0</v>
      </c>
      <c r="L57" s="23" t="str">
        <f>IFERROR(__xludf.DUMMYFUNCTION("""COMPUTED_VALUE"""),"Array;Sorting;")</f>
        <v>Array;Sorting;</v>
      </c>
      <c r="M57" s="23" t="b">
        <f>IFERROR(__xludf.DUMMYFUNCTION("""COMPUTED_VALUE"""),TRUE)</f>
        <v>1</v>
      </c>
      <c r="N57" s="23" t="b">
        <f>IFERROR(__xludf.DUMMYFUNCTION("""COMPUTED_VALUE"""),TRUE)</f>
        <v>1</v>
      </c>
      <c r="O57" s="23">
        <f>IFERROR(__xludf.DUMMYFUNCTION("""COMPUTED_VALUE"""),44.8798928569493)</f>
        <v>44.87989286</v>
      </c>
      <c r="P57" s="23">
        <f>IFERROR(__xludf.DUMMYFUNCTION("""COMPUTED_VALUE"""),1407745.0)</f>
        <v>1407745</v>
      </c>
      <c r="Q57" s="23">
        <f>IFERROR(__xludf.DUMMYFUNCTION("""COMPUTED_VALUE"""),3136705.0)</f>
        <v>3136705</v>
      </c>
    </row>
    <row r="58">
      <c r="A58" s="23">
        <f>IFERROR(__xludf.DUMMYFUNCTION("""COMPUTED_VALUE"""),57.0)</f>
        <v>57</v>
      </c>
      <c r="B58" s="23" t="str">
        <f>IFERROR(__xludf.DUMMYFUNCTION("""COMPUTED_VALUE"""),"Insert Interval")</f>
        <v>Insert Interval</v>
      </c>
      <c r="C58" s="23" t="str">
        <f>IFERROR(__xludf.DUMMYFUNCTION("""COMPUTED_VALUE"""),"insert-interval")</f>
        <v>insert-interval</v>
      </c>
      <c r="D58" s="23" t="b">
        <f>IFERROR(__xludf.DUMMYFUNCTION("""COMPUTED_VALUE"""),FALSE)</f>
        <v>0</v>
      </c>
      <c r="E58" s="23" t="str">
        <f>IFERROR(__xludf.DUMMYFUNCTION("""COMPUTED_VALUE"""),"Medium")</f>
        <v>Medium</v>
      </c>
      <c r="F58" s="23">
        <f>IFERROR(__xludf.DUMMYFUNCTION("""COMPUTED_VALUE"""),4693.0)</f>
        <v>4693</v>
      </c>
      <c r="G58" s="23">
        <f>IFERROR(__xludf.DUMMYFUNCTION("""COMPUTED_VALUE"""),336.0)</f>
        <v>336</v>
      </c>
      <c r="H58" s="23" t="str">
        <f>IFERROR(__xludf.DUMMYFUNCTION("""COMPUTED_VALUE"""),"Algorithms")</f>
        <v>Algorithms</v>
      </c>
      <c r="I58" s="23">
        <f>IFERROR(__xludf.DUMMYFUNCTION("""COMPUTED_VALUE"""),0.374)</f>
        <v>0.374</v>
      </c>
      <c r="J58" s="23">
        <f>IFERROR(__xludf.DUMMYFUNCTION("""COMPUTED_VALUE"""),57.0)</f>
        <v>57</v>
      </c>
      <c r="K58" s="23" t="b">
        <f>IFERROR(__xludf.DUMMYFUNCTION("""COMPUTED_VALUE"""),FALSE)</f>
        <v>0</v>
      </c>
      <c r="L58" s="23" t="str">
        <f>IFERROR(__xludf.DUMMYFUNCTION("""COMPUTED_VALUE"""),"Array;")</f>
        <v>Array;</v>
      </c>
      <c r="M58" s="23" t="b">
        <f>IFERROR(__xludf.DUMMYFUNCTION("""COMPUTED_VALUE"""),TRUE)</f>
        <v>1</v>
      </c>
      <c r="N58" s="23" t="b">
        <f>IFERROR(__xludf.DUMMYFUNCTION("""COMPUTED_VALUE"""),FALSE)</f>
        <v>0</v>
      </c>
      <c r="O58" s="23">
        <f>IFERROR(__xludf.DUMMYFUNCTION("""COMPUTED_VALUE"""),37.3735094366304)</f>
        <v>37.37350944</v>
      </c>
      <c r="P58" s="23">
        <f>IFERROR(__xludf.DUMMYFUNCTION("""COMPUTED_VALUE"""),496860.0)</f>
        <v>496860</v>
      </c>
      <c r="Q58" s="23">
        <f>IFERROR(__xludf.DUMMYFUNCTION("""COMPUTED_VALUE"""),1329445.0)</f>
        <v>1329445</v>
      </c>
    </row>
    <row r="59">
      <c r="A59" s="23">
        <f>IFERROR(__xludf.DUMMYFUNCTION("""COMPUTED_VALUE"""),58.0)</f>
        <v>58</v>
      </c>
      <c r="B59" s="23" t="str">
        <f>IFERROR(__xludf.DUMMYFUNCTION("""COMPUTED_VALUE"""),"Length of Last Word")</f>
        <v>Length of Last Word</v>
      </c>
      <c r="C59" s="23" t="str">
        <f>IFERROR(__xludf.DUMMYFUNCTION("""COMPUTED_VALUE"""),"length-of-last-word")</f>
        <v>length-of-last-word</v>
      </c>
      <c r="D59" s="23" t="b">
        <f>IFERROR(__xludf.DUMMYFUNCTION("""COMPUTED_VALUE"""),FALSE)</f>
        <v>0</v>
      </c>
      <c r="E59" s="23" t="str">
        <f>IFERROR(__xludf.DUMMYFUNCTION("""COMPUTED_VALUE"""),"Easy")</f>
        <v>Easy</v>
      </c>
      <c r="F59" s="23">
        <f>IFERROR(__xludf.DUMMYFUNCTION("""COMPUTED_VALUE"""),916.0)</f>
        <v>916</v>
      </c>
      <c r="G59" s="23">
        <f>IFERROR(__xludf.DUMMYFUNCTION("""COMPUTED_VALUE"""),74.0)</f>
        <v>74</v>
      </c>
      <c r="H59" s="23" t="str">
        <f>IFERROR(__xludf.DUMMYFUNCTION("""COMPUTED_VALUE"""),"Algorithms")</f>
        <v>Algorithms</v>
      </c>
      <c r="I59" s="23">
        <f>IFERROR(__xludf.DUMMYFUNCTION("""COMPUTED_VALUE"""),0.376)</f>
        <v>0.376</v>
      </c>
      <c r="J59" s="23">
        <f>IFERROR(__xludf.DUMMYFUNCTION("""COMPUTED_VALUE"""),58.0)</f>
        <v>58</v>
      </c>
      <c r="K59" s="23" t="b">
        <f>IFERROR(__xludf.DUMMYFUNCTION("""COMPUTED_VALUE"""),FALSE)</f>
        <v>0</v>
      </c>
      <c r="L59" s="23" t="str">
        <f>IFERROR(__xludf.DUMMYFUNCTION("""COMPUTED_VALUE"""),"String;")</f>
        <v>String;</v>
      </c>
      <c r="M59" s="23" t="b">
        <f>IFERROR(__xludf.DUMMYFUNCTION("""COMPUTED_VALUE"""),TRUE)</f>
        <v>1</v>
      </c>
      <c r="N59" s="23" t="b">
        <f>IFERROR(__xludf.DUMMYFUNCTION("""COMPUTED_VALUE"""),FALSE)</f>
        <v>0</v>
      </c>
      <c r="O59" s="23">
        <f>IFERROR(__xludf.DUMMYFUNCTION("""COMPUTED_VALUE"""),37.5765753777183)</f>
        <v>37.57657538</v>
      </c>
      <c r="P59" s="23">
        <f>IFERROR(__xludf.DUMMYFUNCTION("""COMPUTED_VALUE"""),725700.0)</f>
        <v>725700</v>
      </c>
      <c r="Q59" s="23">
        <f>IFERROR(__xludf.DUMMYFUNCTION("""COMPUTED_VALUE"""),1931255.0)</f>
        <v>1931255</v>
      </c>
    </row>
    <row r="60">
      <c r="A60" s="23">
        <f>IFERROR(__xludf.DUMMYFUNCTION("""COMPUTED_VALUE"""),59.0)</f>
        <v>59</v>
      </c>
      <c r="B60" s="23" t="str">
        <f>IFERROR(__xludf.DUMMYFUNCTION("""COMPUTED_VALUE"""),"Spiral Matrix II")</f>
        <v>Spiral Matrix II</v>
      </c>
      <c r="C60" s="23" t="str">
        <f>IFERROR(__xludf.DUMMYFUNCTION("""COMPUTED_VALUE"""),"spiral-matrix-ii")</f>
        <v>spiral-matrix-ii</v>
      </c>
      <c r="D60" s="23" t="b">
        <f>IFERROR(__xludf.DUMMYFUNCTION("""COMPUTED_VALUE"""),FALSE)</f>
        <v>0</v>
      </c>
      <c r="E60" s="23" t="str">
        <f>IFERROR(__xludf.DUMMYFUNCTION("""COMPUTED_VALUE"""),"Medium")</f>
        <v>Medium</v>
      </c>
      <c r="F60" s="23">
        <f>IFERROR(__xludf.DUMMYFUNCTION("""COMPUTED_VALUE"""),3610.0)</f>
        <v>3610</v>
      </c>
      <c r="G60" s="23">
        <f>IFERROR(__xludf.DUMMYFUNCTION("""COMPUTED_VALUE"""),181.0)</f>
        <v>181</v>
      </c>
      <c r="H60" s="23" t="str">
        <f>IFERROR(__xludf.DUMMYFUNCTION("""COMPUTED_VALUE"""),"Algorithms")</f>
        <v>Algorithms</v>
      </c>
      <c r="I60" s="23">
        <f>IFERROR(__xludf.DUMMYFUNCTION("""COMPUTED_VALUE"""),0.648)</f>
        <v>0.648</v>
      </c>
      <c r="J60" s="23">
        <f>IFERROR(__xludf.DUMMYFUNCTION("""COMPUTED_VALUE"""),59.0)</f>
        <v>59</v>
      </c>
      <c r="K60" s="23" t="b">
        <f>IFERROR(__xludf.DUMMYFUNCTION("""COMPUTED_VALUE"""),FALSE)</f>
        <v>0</v>
      </c>
      <c r="L60" s="23" t="str">
        <f>IFERROR(__xludf.DUMMYFUNCTION("""COMPUTED_VALUE"""),"Array;Matrix;Simulation;")</f>
        <v>Array;Matrix;Simulation;</v>
      </c>
      <c r="M60" s="23" t="b">
        <f>IFERROR(__xludf.DUMMYFUNCTION("""COMPUTED_VALUE"""),TRUE)</f>
        <v>1</v>
      </c>
      <c r="N60" s="23" t="b">
        <f>IFERROR(__xludf.DUMMYFUNCTION("""COMPUTED_VALUE"""),FALSE)</f>
        <v>0</v>
      </c>
      <c r="O60" s="23">
        <f>IFERROR(__xludf.DUMMYFUNCTION("""COMPUTED_VALUE"""),64.8254982790507)</f>
        <v>64.82549828</v>
      </c>
      <c r="P60" s="23">
        <f>IFERROR(__xludf.DUMMYFUNCTION("""COMPUTED_VALUE"""),358227.0)</f>
        <v>358227</v>
      </c>
      <c r="Q60" s="23">
        <f>IFERROR(__xludf.DUMMYFUNCTION("""COMPUTED_VALUE"""),552602.0)</f>
        <v>552602</v>
      </c>
    </row>
    <row r="61">
      <c r="A61" s="23">
        <f>IFERROR(__xludf.DUMMYFUNCTION("""COMPUTED_VALUE"""),60.0)</f>
        <v>60</v>
      </c>
      <c r="B61" s="23" t="str">
        <f>IFERROR(__xludf.DUMMYFUNCTION("""COMPUTED_VALUE"""),"Permutation Sequence")</f>
        <v>Permutation Sequence</v>
      </c>
      <c r="C61" s="23" t="str">
        <f>IFERROR(__xludf.DUMMYFUNCTION("""COMPUTED_VALUE"""),"permutation-sequence")</f>
        <v>permutation-sequence</v>
      </c>
      <c r="D61" s="23" t="b">
        <f>IFERROR(__xludf.DUMMYFUNCTION("""COMPUTED_VALUE"""),FALSE)</f>
        <v>0</v>
      </c>
      <c r="E61" s="23" t="str">
        <f>IFERROR(__xludf.DUMMYFUNCTION("""COMPUTED_VALUE"""),"Hard")</f>
        <v>Hard</v>
      </c>
      <c r="F61" s="23">
        <f>IFERROR(__xludf.DUMMYFUNCTION("""COMPUTED_VALUE"""),3652.0)</f>
        <v>3652</v>
      </c>
      <c r="G61" s="23">
        <f>IFERROR(__xludf.DUMMYFUNCTION("""COMPUTED_VALUE"""),393.0)</f>
        <v>393</v>
      </c>
      <c r="H61" s="23" t="str">
        <f>IFERROR(__xludf.DUMMYFUNCTION("""COMPUTED_VALUE"""),"Algorithms")</f>
        <v>Algorithms</v>
      </c>
      <c r="I61" s="23">
        <f>IFERROR(__xludf.DUMMYFUNCTION("""COMPUTED_VALUE"""),0.421)</f>
        <v>0.421</v>
      </c>
      <c r="J61" s="23">
        <f>IFERROR(__xludf.DUMMYFUNCTION("""COMPUTED_VALUE"""),60.0)</f>
        <v>60</v>
      </c>
      <c r="K61" s="23" t="b">
        <f>IFERROR(__xludf.DUMMYFUNCTION("""COMPUTED_VALUE"""),FALSE)</f>
        <v>0</v>
      </c>
      <c r="L61" s="23" t="str">
        <f>IFERROR(__xludf.DUMMYFUNCTION("""COMPUTED_VALUE"""),"Math;Recursion;")</f>
        <v>Math;Recursion;</v>
      </c>
      <c r="M61" s="23" t="b">
        <f>IFERROR(__xludf.DUMMYFUNCTION("""COMPUTED_VALUE"""),TRUE)</f>
        <v>1</v>
      </c>
      <c r="N61" s="23" t="b">
        <f>IFERROR(__xludf.DUMMYFUNCTION("""COMPUTED_VALUE"""),FALSE)</f>
        <v>0</v>
      </c>
      <c r="O61" s="23">
        <f>IFERROR(__xludf.DUMMYFUNCTION("""COMPUTED_VALUE"""),42.0696232113041)</f>
        <v>42.06962321</v>
      </c>
      <c r="P61" s="23">
        <f>IFERROR(__xludf.DUMMYFUNCTION("""COMPUTED_VALUE"""),267331.0)</f>
        <v>267331</v>
      </c>
      <c r="Q61" s="23">
        <f>IFERROR(__xludf.DUMMYFUNCTION("""COMPUTED_VALUE"""),635448.0)</f>
        <v>635448</v>
      </c>
    </row>
    <row r="62">
      <c r="A62" s="23">
        <f>IFERROR(__xludf.DUMMYFUNCTION("""COMPUTED_VALUE"""),61.0)</f>
        <v>61</v>
      </c>
      <c r="B62" s="23" t="str">
        <f>IFERROR(__xludf.DUMMYFUNCTION("""COMPUTED_VALUE"""),"Rotate List")</f>
        <v>Rotate List</v>
      </c>
      <c r="C62" s="23" t="str">
        <f>IFERROR(__xludf.DUMMYFUNCTION("""COMPUTED_VALUE"""),"rotate-list")</f>
        <v>rotate-list</v>
      </c>
      <c r="D62" s="23" t="b">
        <f>IFERROR(__xludf.DUMMYFUNCTION("""COMPUTED_VALUE"""),FALSE)</f>
        <v>0</v>
      </c>
      <c r="E62" s="23" t="str">
        <f>IFERROR(__xludf.DUMMYFUNCTION("""COMPUTED_VALUE"""),"Medium")</f>
        <v>Medium</v>
      </c>
      <c r="F62" s="23">
        <f>IFERROR(__xludf.DUMMYFUNCTION("""COMPUTED_VALUE"""),5035.0)</f>
        <v>5035</v>
      </c>
      <c r="G62" s="23">
        <f>IFERROR(__xludf.DUMMYFUNCTION("""COMPUTED_VALUE"""),1266.0)</f>
        <v>1266</v>
      </c>
      <c r="H62" s="23" t="str">
        <f>IFERROR(__xludf.DUMMYFUNCTION("""COMPUTED_VALUE"""),"Algorithms")</f>
        <v>Algorithms</v>
      </c>
      <c r="I62" s="23">
        <f>IFERROR(__xludf.DUMMYFUNCTION("""COMPUTED_VALUE"""),0.349)</f>
        <v>0.349</v>
      </c>
      <c r="J62" s="23">
        <f>IFERROR(__xludf.DUMMYFUNCTION("""COMPUTED_VALUE"""),61.0)</f>
        <v>61</v>
      </c>
      <c r="K62" s="23" t="b">
        <f>IFERROR(__xludf.DUMMYFUNCTION("""COMPUTED_VALUE"""),FALSE)</f>
        <v>0</v>
      </c>
      <c r="L62" s="23" t="str">
        <f>IFERROR(__xludf.DUMMYFUNCTION("""COMPUTED_VALUE"""),"Linked List;Two Pointers;")</f>
        <v>Linked List;Two Pointers;</v>
      </c>
      <c r="M62" s="23" t="b">
        <f>IFERROR(__xludf.DUMMYFUNCTION("""COMPUTED_VALUE"""),TRUE)</f>
        <v>1</v>
      </c>
      <c r="N62" s="23" t="b">
        <f>IFERROR(__xludf.DUMMYFUNCTION("""COMPUTED_VALUE"""),FALSE)</f>
        <v>0</v>
      </c>
      <c r="O62" s="23">
        <f>IFERROR(__xludf.DUMMYFUNCTION("""COMPUTED_VALUE"""),34.8762189596943)</f>
        <v>34.87621896</v>
      </c>
      <c r="P62" s="23">
        <f>IFERROR(__xludf.DUMMYFUNCTION("""COMPUTED_VALUE"""),550409.0)</f>
        <v>550409</v>
      </c>
      <c r="Q62" s="23">
        <f>IFERROR(__xludf.DUMMYFUNCTION("""COMPUTED_VALUE"""),1578181.0)</f>
        <v>1578181</v>
      </c>
    </row>
    <row r="63">
      <c r="A63" s="23">
        <f>IFERROR(__xludf.DUMMYFUNCTION("""COMPUTED_VALUE"""),62.0)</f>
        <v>62</v>
      </c>
      <c r="B63" s="23" t="str">
        <f>IFERROR(__xludf.DUMMYFUNCTION("""COMPUTED_VALUE"""),"Unique Paths")</f>
        <v>Unique Paths</v>
      </c>
      <c r="C63" s="23" t="str">
        <f>IFERROR(__xludf.DUMMYFUNCTION("""COMPUTED_VALUE"""),"unique-paths")</f>
        <v>unique-paths</v>
      </c>
      <c r="D63" s="23" t="b">
        <f>IFERROR(__xludf.DUMMYFUNCTION("""COMPUTED_VALUE"""),FALSE)</f>
        <v>0</v>
      </c>
      <c r="E63" s="23" t="str">
        <f>IFERROR(__xludf.DUMMYFUNCTION("""COMPUTED_VALUE"""),"Medium")</f>
        <v>Medium</v>
      </c>
      <c r="F63" s="23">
        <f>IFERROR(__xludf.DUMMYFUNCTION("""COMPUTED_VALUE"""),8642.0)</f>
        <v>8642</v>
      </c>
      <c r="G63" s="23">
        <f>IFERROR(__xludf.DUMMYFUNCTION("""COMPUTED_VALUE"""),294.0)</f>
        <v>294</v>
      </c>
      <c r="H63" s="23" t="str">
        <f>IFERROR(__xludf.DUMMYFUNCTION("""COMPUTED_VALUE"""),"Algorithms")</f>
        <v>Algorithms</v>
      </c>
      <c r="I63" s="23">
        <f>IFERROR(__xludf.DUMMYFUNCTION("""COMPUTED_VALUE"""),0.6)</f>
        <v>0.6</v>
      </c>
      <c r="J63" s="23">
        <f>IFERROR(__xludf.DUMMYFUNCTION("""COMPUTED_VALUE"""),62.0)</f>
        <v>62</v>
      </c>
      <c r="K63" s="23" t="b">
        <f>IFERROR(__xludf.DUMMYFUNCTION("""COMPUTED_VALUE"""),FALSE)</f>
        <v>0</v>
      </c>
      <c r="L63" s="23" t="str">
        <f>IFERROR(__xludf.DUMMYFUNCTION("""COMPUTED_VALUE"""),"Math;Dynamic Programming;Combinatorics;")</f>
        <v>Math;Dynamic Programming;Combinatorics;</v>
      </c>
      <c r="M63" s="23" t="b">
        <f>IFERROR(__xludf.DUMMYFUNCTION("""COMPUTED_VALUE"""),TRUE)</f>
        <v>1</v>
      </c>
      <c r="N63" s="23" t="b">
        <f>IFERROR(__xludf.DUMMYFUNCTION("""COMPUTED_VALUE"""),FALSE)</f>
        <v>0</v>
      </c>
      <c r="O63" s="23">
        <f>IFERROR(__xludf.DUMMYFUNCTION("""COMPUTED_VALUE"""),59.9976450413809)</f>
        <v>59.99764504</v>
      </c>
      <c r="P63" s="23">
        <f>IFERROR(__xludf.DUMMYFUNCTION("""COMPUTED_VALUE"""),922268.0)</f>
        <v>922268</v>
      </c>
      <c r="Q63" s="23">
        <f>IFERROR(__xludf.DUMMYFUNCTION("""COMPUTED_VALUE"""),1537172.0)</f>
        <v>1537172</v>
      </c>
    </row>
    <row r="64">
      <c r="A64" s="23">
        <f>IFERROR(__xludf.DUMMYFUNCTION("""COMPUTED_VALUE"""),63.0)</f>
        <v>63</v>
      </c>
      <c r="B64" s="23" t="str">
        <f>IFERROR(__xludf.DUMMYFUNCTION("""COMPUTED_VALUE"""),"Unique Paths II")</f>
        <v>Unique Paths II</v>
      </c>
      <c r="C64" s="23" t="str">
        <f>IFERROR(__xludf.DUMMYFUNCTION("""COMPUTED_VALUE"""),"unique-paths-ii")</f>
        <v>unique-paths-ii</v>
      </c>
      <c r="D64" s="23" t="b">
        <f>IFERROR(__xludf.DUMMYFUNCTION("""COMPUTED_VALUE"""),FALSE)</f>
        <v>0</v>
      </c>
      <c r="E64" s="23" t="str">
        <f>IFERROR(__xludf.DUMMYFUNCTION("""COMPUTED_VALUE"""),"Medium")</f>
        <v>Medium</v>
      </c>
      <c r="F64" s="23">
        <f>IFERROR(__xludf.DUMMYFUNCTION("""COMPUTED_VALUE"""),4573.0)</f>
        <v>4573</v>
      </c>
      <c r="G64" s="23">
        <f>IFERROR(__xludf.DUMMYFUNCTION("""COMPUTED_VALUE"""),373.0)</f>
        <v>373</v>
      </c>
      <c r="H64" s="23" t="str">
        <f>IFERROR(__xludf.DUMMYFUNCTION("""COMPUTED_VALUE"""),"Algorithms")</f>
        <v>Algorithms</v>
      </c>
      <c r="I64" s="23">
        <f>IFERROR(__xludf.DUMMYFUNCTION("""COMPUTED_VALUE"""),0.375)</f>
        <v>0.375</v>
      </c>
      <c r="J64" s="23">
        <f>IFERROR(__xludf.DUMMYFUNCTION("""COMPUTED_VALUE"""),63.0)</f>
        <v>63</v>
      </c>
      <c r="K64" s="23" t="b">
        <f>IFERROR(__xludf.DUMMYFUNCTION("""COMPUTED_VALUE"""),FALSE)</f>
        <v>0</v>
      </c>
      <c r="L64" s="23" t="str">
        <f>IFERROR(__xludf.DUMMYFUNCTION("""COMPUTED_VALUE"""),"Array;Dynamic Programming;Matrix;")</f>
        <v>Array;Dynamic Programming;Matrix;</v>
      </c>
      <c r="M64" s="23" t="b">
        <f>IFERROR(__xludf.DUMMYFUNCTION("""COMPUTED_VALUE"""),TRUE)</f>
        <v>1</v>
      </c>
      <c r="N64" s="23" t="b">
        <f>IFERROR(__xludf.DUMMYFUNCTION("""COMPUTED_VALUE"""),FALSE)</f>
        <v>0</v>
      </c>
      <c r="O64" s="23">
        <f>IFERROR(__xludf.DUMMYFUNCTION("""COMPUTED_VALUE"""),37.5122288661686)</f>
        <v>37.51222887</v>
      </c>
      <c r="P64" s="23">
        <f>IFERROR(__xludf.DUMMYFUNCTION("""COMPUTED_VALUE"""),502688.0)</f>
        <v>502688</v>
      </c>
      <c r="Q64" s="23">
        <f>IFERROR(__xludf.DUMMYFUNCTION("""COMPUTED_VALUE"""),1340065.0)</f>
        <v>1340065</v>
      </c>
    </row>
    <row r="65">
      <c r="A65" s="23">
        <f>IFERROR(__xludf.DUMMYFUNCTION("""COMPUTED_VALUE"""),64.0)</f>
        <v>64</v>
      </c>
      <c r="B65" s="23" t="str">
        <f>IFERROR(__xludf.DUMMYFUNCTION("""COMPUTED_VALUE"""),"Minimum Path Sum")</f>
        <v>Minimum Path Sum</v>
      </c>
      <c r="C65" s="23" t="str">
        <f>IFERROR(__xludf.DUMMYFUNCTION("""COMPUTED_VALUE"""),"minimum-path-sum")</f>
        <v>minimum-path-sum</v>
      </c>
      <c r="D65" s="23" t="b">
        <f>IFERROR(__xludf.DUMMYFUNCTION("""COMPUTED_VALUE"""),FALSE)</f>
        <v>0</v>
      </c>
      <c r="E65" s="23" t="str">
        <f>IFERROR(__xludf.DUMMYFUNCTION("""COMPUTED_VALUE"""),"Medium")</f>
        <v>Medium</v>
      </c>
      <c r="F65" s="23">
        <f>IFERROR(__xludf.DUMMYFUNCTION("""COMPUTED_VALUE"""),7204.0)</f>
        <v>7204</v>
      </c>
      <c r="G65" s="23">
        <f>IFERROR(__xludf.DUMMYFUNCTION("""COMPUTED_VALUE"""),98.0)</f>
        <v>98</v>
      </c>
      <c r="H65" s="23" t="str">
        <f>IFERROR(__xludf.DUMMYFUNCTION("""COMPUTED_VALUE"""),"Algorithms")</f>
        <v>Algorithms</v>
      </c>
      <c r="I65" s="23">
        <f>IFERROR(__xludf.DUMMYFUNCTION("""COMPUTED_VALUE"""),0.593)</f>
        <v>0.593</v>
      </c>
      <c r="J65" s="23">
        <f>IFERROR(__xludf.DUMMYFUNCTION("""COMPUTED_VALUE"""),64.0)</f>
        <v>64</v>
      </c>
      <c r="K65" s="23" t="b">
        <f>IFERROR(__xludf.DUMMYFUNCTION("""COMPUTED_VALUE"""),FALSE)</f>
        <v>0</v>
      </c>
      <c r="L65" s="23" t="str">
        <f>IFERROR(__xludf.DUMMYFUNCTION("""COMPUTED_VALUE"""),"Array;Dynamic Programming;Matrix;")</f>
        <v>Array;Dynamic Programming;Matrix;</v>
      </c>
      <c r="M65" s="23" t="b">
        <f>IFERROR(__xludf.DUMMYFUNCTION("""COMPUTED_VALUE"""),TRUE)</f>
        <v>1</v>
      </c>
      <c r="N65" s="23" t="b">
        <f>IFERROR(__xludf.DUMMYFUNCTION("""COMPUTED_VALUE"""),FALSE)</f>
        <v>0</v>
      </c>
      <c r="O65" s="23">
        <f>IFERROR(__xludf.DUMMYFUNCTION("""COMPUTED_VALUE"""),59.3257048892935)</f>
        <v>59.32570489</v>
      </c>
      <c r="P65" s="23">
        <f>IFERROR(__xludf.DUMMYFUNCTION("""COMPUTED_VALUE"""),698469.0)</f>
        <v>698469</v>
      </c>
      <c r="Q65" s="23">
        <f>IFERROR(__xludf.DUMMYFUNCTION("""COMPUTED_VALUE"""),1177347.0)</f>
        <v>1177347</v>
      </c>
    </row>
    <row r="66">
      <c r="A66" s="23">
        <f>IFERROR(__xludf.DUMMYFUNCTION("""COMPUTED_VALUE"""),65.0)</f>
        <v>65</v>
      </c>
      <c r="B66" s="23" t="str">
        <f>IFERROR(__xludf.DUMMYFUNCTION("""COMPUTED_VALUE"""),"Valid Number")</f>
        <v>Valid Number</v>
      </c>
      <c r="C66" s="23" t="str">
        <f>IFERROR(__xludf.DUMMYFUNCTION("""COMPUTED_VALUE"""),"valid-number")</f>
        <v>valid-number</v>
      </c>
      <c r="D66" s="23" t="b">
        <f>IFERROR(__xludf.DUMMYFUNCTION("""COMPUTED_VALUE"""),FALSE)</f>
        <v>0</v>
      </c>
      <c r="E66" s="23" t="str">
        <f>IFERROR(__xludf.DUMMYFUNCTION("""COMPUTED_VALUE"""),"Hard")</f>
        <v>Hard</v>
      </c>
      <c r="F66" s="23">
        <f>IFERROR(__xludf.DUMMYFUNCTION("""COMPUTED_VALUE"""),573.0)</f>
        <v>573</v>
      </c>
      <c r="G66" s="23">
        <f>IFERROR(__xludf.DUMMYFUNCTION("""COMPUTED_VALUE"""),1017.0)</f>
        <v>1017</v>
      </c>
      <c r="H66" s="23" t="str">
        <f>IFERROR(__xludf.DUMMYFUNCTION("""COMPUTED_VALUE"""),"Algorithms")</f>
        <v>Algorithms</v>
      </c>
      <c r="I66" s="23">
        <f>IFERROR(__xludf.DUMMYFUNCTION("""COMPUTED_VALUE"""),0.182)</f>
        <v>0.182</v>
      </c>
      <c r="J66" s="23">
        <f>IFERROR(__xludf.DUMMYFUNCTION("""COMPUTED_VALUE"""),65.0)</f>
        <v>65</v>
      </c>
      <c r="K66" s="23" t="b">
        <f>IFERROR(__xludf.DUMMYFUNCTION("""COMPUTED_VALUE"""),FALSE)</f>
        <v>0</v>
      </c>
      <c r="L66" s="23" t="str">
        <f>IFERROR(__xludf.DUMMYFUNCTION("""COMPUTED_VALUE"""),"String;")</f>
        <v>String;</v>
      </c>
      <c r="M66" s="23" t="b">
        <f>IFERROR(__xludf.DUMMYFUNCTION("""COMPUTED_VALUE"""),TRUE)</f>
        <v>1</v>
      </c>
      <c r="N66" s="23" t="b">
        <f>IFERROR(__xludf.DUMMYFUNCTION("""COMPUTED_VALUE"""),FALSE)</f>
        <v>0</v>
      </c>
      <c r="O66" s="23">
        <f>IFERROR(__xludf.DUMMYFUNCTION("""COMPUTED_VALUE"""),18.159709480071)</f>
        <v>18.15970948</v>
      </c>
      <c r="P66" s="23">
        <f>IFERROR(__xludf.DUMMYFUNCTION("""COMPUTED_VALUE"""),270683.0)</f>
        <v>270683</v>
      </c>
      <c r="Q66" s="23">
        <f>IFERROR(__xludf.DUMMYFUNCTION("""COMPUTED_VALUE"""),1490569.0)</f>
        <v>1490569</v>
      </c>
    </row>
    <row r="67">
      <c r="A67" s="23">
        <f>IFERROR(__xludf.DUMMYFUNCTION("""COMPUTED_VALUE"""),66.0)</f>
        <v>66</v>
      </c>
      <c r="B67" s="23" t="str">
        <f>IFERROR(__xludf.DUMMYFUNCTION("""COMPUTED_VALUE"""),"Plus One")</f>
        <v>Plus One</v>
      </c>
      <c r="C67" s="23" t="str">
        <f>IFERROR(__xludf.DUMMYFUNCTION("""COMPUTED_VALUE"""),"plus-one")</f>
        <v>plus-one</v>
      </c>
      <c r="D67" s="23" t="b">
        <f>IFERROR(__xludf.DUMMYFUNCTION("""COMPUTED_VALUE"""),FALSE)</f>
        <v>0</v>
      </c>
      <c r="E67" s="23" t="str">
        <f>IFERROR(__xludf.DUMMYFUNCTION("""COMPUTED_VALUE"""),"Easy")</f>
        <v>Easy</v>
      </c>
      <c r="F67" s="23">
        <f>IFERROR(__xludf.DUMMYFUNCTION("""COMPUTED_VALUE"""),4069.0)</f>
        <v>4069</v>
      </c>
      <c r="G67" s="23">
        <f>IFERROR(__xludf.DUMMYFUNCTION("""COMPUTED_VALUE"""),4102.0)</f>
        <v>4102</v>
      </c>
      <c r="H67" s="23" t="str">
        <f>IFERROR(__xludf.DUMMYFUNCTION("""COMPUTED_VALUE"""),"Algorithms")</f>
        <v>Algorithms</v>
      </c>
      <c r="I67" s="23">
        <f>IFERROR(__xludf.DUMMYFUNCTION("""COMPUTED_VALUE"""),0.428)</f>
        <v>0.428</v>
      </c>
      <c r="J67" s="23">
        <f>IFERROR(__xludf.DUMMYFUNCTION("""COMPUTED_VALUE"""),66.0)</f>
        <v>66</v>
      </c>
      <c r="K67" s="23" t="b">
        <f>IFERROR(__xludf.DUMMYFUNCTION("""COMPUTED_VALUE"""),FALSE)</f>
        <v>0</v>
      </c>
      <c r="L67" s="23" t="str">
        <f>IFERROR(__xludf.DUMMYFUNCTION("""COMPUTED_VALUE"""),"Array;Math;")</f>
        <v>Array;Math;</v>
      </c>
      <c r="M67" s="23" t="b">
        <f>IFERROR(__xludf.DUMMYFUNCTION("""COMPUTED_VALUE"""),TRUE)</f>
        <v>1</v>
      </c>
      <c r="N67" s="23" t="b">
        <f>IFERROR(__xludf.DUMMYFUNCTION("""COMPUTED_VALUE"""),FALSE)</f>
        <v>0</v>
      </c>
      <c r="O67" s="23">
        <f>IFERROR(__xludf.DUMMYFUNCTION("""COMPUTED_VALUE"""),42.8033180539393)</f>
        <v>42.80331805</v>
      </c>
      <c r="P67" s="23">
        <f>IFERROR(__xludf.DUMMYFUNCTION("""COMPUTED_VALUE"""),1175920.0)</f>
        <v>1175920</v>
      </c>
      <c r="Q67" s="23">
        <f>IFERROR(__xludf.DUMMYFUNCTION("""COMPUTED_VALUE"""),2747263.0)</f>
        <v>2747263</v>
      </c>
    </row>
    <row r="68">
      <c r="A68" s="23">
        <f>IFERROR(__xludf.DUMMYFUNCTION("""COMPUTED_VALUE"""),67.0)</f>
        <v>67</v>
      </c>
      <c r="B68" s="23" t="str">
        <f>IFERROR(__xludf.DUMMYFUNCTION("""COMPUTED_VALUE"""),"Add Binary")</f>
        <v>Add Binary</v>
      </c>
      <c r="C68" s="23" t="str">
        <f>IFERROR(__xludf.DUMMYFUNCTION("""COMPUTED_VALUE"""),"add-binary")</f>
        <v>add-binary</v>
      </c>
      <c r="D68" s="23" t="b">
        <f>IFERROR(__xludf.DUMMYFUNCTION("""COMPUTED_VALUE"""),FALSE)</f>
        <v>0</v>
      </c>
      <c r="E68" s="23" t="str">
        <f>IFERROR(__xludf.DUMMYFUNCTION("""COMPUTED_VALUE"""),"Easy")</f>
        <v>Easy</v>
      </c>
      <c r="F68" s="23">
        <f>IFERROR(__xludf.DUMMYFUNCTION("""COMPUTED_VALUE"""),4921.0)</f>
        <v>4921</v>
      </c>
      <c r="G68" s="23">
        <f>IFERROR(__xludf.DUMMYFUNCTION("""COMPUTED_VALUE"""),538.0)</f>
        <v>538</v>
      </c>
      <c r="H68" s="23" t="str">
        <f>IFERROR(__xludf.DUMMYFUNCTION("""COMPUTED_VALUE"""),"Algorithms")</f>
        <v>Algorithms</v>
      </c>
      <c r="I68" s="23">
        <f>IFERROR(__xludf.DUMMYFUNCTION("""COMPUTED_VALUE"""),0.504)</f>
        <v>0.504</v>
      </c>
      <c r="J68" s="23">
        <f>IFERROR(__xludf.DUMMYFUNCTION("""COMPUTED_VALUE"""),67.0)</f>
        <v>67</v>
      </c>
      <c r="K68" s="23" t="b">
        <f>IFERROR(__xludf.DUMMYFUNCTION("""COMPUTED_VALUE"""),FALSE)</f>
        <v>0</v>
      </c>
      <c r="L68" s="23" t="str">
        <f>IFERROR(__xludf.DUMMYFUNCTION("""COMPUTED_VALUE"""),"Math;String;Bit Manipulation;Simulation;")</f>
        <v>Math;String;Bit Manipulation;Simulation;</v>
      </c>
      <c r="M68" s="23" t="b">
        <f>IFERROR(__xludf.DUMMYFUNCTION("""COMPUTED_VALUE"""),TRUE)</f>
        <v>1</v>
      </c>
      <c r="N68" s="23" t="b">
        <f>IFERROR(__xludf.DUMMYFUNCTION("""COMPUTED_VALUE"""),FALSE)</f>
        <v>0</v>
      </c>
      <c r="O68" s="23">
        <f>IFERROR(__xludf.DUMMYFUNCTION("""COMPUTED_VALUE"""),50.4277627783786)</f>
        <v>50.42776278</v>
      </c>
      <c r="P68" s="23">
        <f>IFERROR(__xludf.DUMMYFUNCTION("""COMPUTED_VALUE"""),825738.0)</f>
        <v>825738</v>
      </c>
      <c r="Q68" s="23">
        <f>IFERROR(__xludf.DUMMYFUNCTION("""COMPUTED_VALUE"""),1637468.0)</f>
        <v>1637468</v>
      </c>
    </row>
    <row r="69">
      <c r="A69" s="23">
        <f>IFERROR(__xludf.DUMMYFUNCTION("""COMPUTED_VALUE"""),68.0)</f>
        <v>68</v>
      </c>
      <c r="B69" s="23" t="str">
        <f>IFERROR(__xludf.DUMMYFUNCTION("""COMPUTED_VALUE"""),"Text Justification")</f>
        <v>Text Justification</v>
      </c>
      <c r="C69" s="23" t="str">
        <f>IFERROR(__xludf.DUMMYFUNCTION("""COMPUTED_VALUE"""),"text-justification")</f>
        <v>text-justification</v>
      </c>
      <c r="D69" s="23" t="b">
        <f>IFERROR(__xludf.DUMMYFUNCTION("""COMPUTED_VALUE"""),FALSE)</f>
        <v>0</v>
      </c>
      <c r="E69" s="23" t="str">
        <f>IFERROR(__xludf.DUMMYFUNCTION("""COMPUTED_VALUE"""),"Hard")</f>
        <v>Hard</v>
      </c>
      <c r="F69" s="23">
        <f>IFERROR(__xludf.DUMMYFUNCTION("""COMPUTED_VALUE"""),1746.0)</f>
        <v>1746</v>
      </c>
      <c r="G69" s="23">
        <f>IFERROR(__xludf.DUMMYFUNCTION("""COMPUTED_VALUE"""),2873.0)</f>
        <v>2873</v>
      </c>
      <c r="H69" s="23" t="str">
        <f>IFERROR(__xludf.DUMMYFUNCTION("""COMPUTED_VALUE"""),"Algorithms")</f>
        <v>Algorithms</v>
      </c>
      <c r="I69" s="23">
        <f>IFERROR(__xludf.DUMMYFUNCTION("""COMPUTED_VALUE"""),0.351)</f>
        <v>0.351</v>
      </c>
      <c r="J69" s="23">
        <f>IFERROR(__xludf.DUMMYFUNCTION("""COMPUTED_VALUE"""),68.0)</f>
        <v>68</v>
      </c>
      <c r="K69" s="23" t="b">
        <f>IFERROR(__xludf.DUMMYFUNCTION("""COMPUTED_VALUE"""),FALSE)</f>
        <v>0</v>
      </c>
      <c r="L69" s="23" t="str">
        <f>IFERROR(__xludf.DUMMYFUNCTION("""COMPUTED_VALUE"""),"Array;String;Simulation;")</f>
        <v>Array;String;Simulation;</v>
      </c>
      <c r="M69" s="23" t="b">
        <f>IFERROR(__xludf.DUMMYFUNCTION("""COMPUTED_VALUE"""),FALSE)</f>
        <v>0</v>
      </c>
      <c r="N69" s="23" t="b">
        <f>IFERROR(__xludf.DUMMYFUNCTION("""COMPUTED_VALUE"""),FALSE)</f>
        <v>0</v>
      </c>
      <c r="O69" s="23">
        <f>IFERROR(__xludf.DUMMYFUNCTION("""COMPUTED_VALUE"""),35.1005118197057)</f>
        <v>35.10051182</v>
      </c>
      <c r="P69" s="23">
        <f>IFERROR(__xludf.DUMMYFUNCTION("""COMPUTED_VALUE"""),243527.0)</f>
        <v>243527</v>
      </c>
      <c r="Q69" s="23">
        <f>IFERROR(__xludf.DUMMYFUNCTION("""COMPUTED_VALUE"""),693794.0)</f>
        <v>693794</v>
      </c>
    </row>
    <row r="70">
      <c r="A70" s="23">
        <f>IFERROR(__xludf.DUMMYFUNCTION("""COMPUTED_VALUE"""),69.0)</f>
        <v>69</v>
      </c>
      <c r="B70" s="23" t="str">
        <f>IFERROR(__xludf.DUMMYFUNCTION("""COMPUTED_VALUE"""),"Sqrt(x)")</f>
        <v>Sqrt(x)</v>
      </c>
      <c r="C70" s="23" t="str">
        <f>IFERROR(__xludf.DUMMYFUNCTION("""COMPUTED_VALUE"""),"sqrtx")</f>
        <v>sqrtx</v>
      </c>
      <c r="D70" s="23" t="b">
        <f>IFERROR(__xludf.DUMMYFUNCTION("""COMPUTED_VALUE"""),FALSE)</f>
        <v>0</v>
      </c>
      <c r="E70" s="23" t="str">
        <f>IFERROR(__xludf.DUMMYFUNCTION("""COMPUTED_VALUE"""),"Easy")</f>
        <v>Easy</v>
      </c>
      <c r="F70" s="23">
        <f>IFERROR(__xludf.DUMMYFUNCTION("""COMPUTED_VALUE"""),3718.0)</f>
        <v>3718</v>
      </c>
      <c r="G70" s="23">
        <f>IFERROR(__xludf.DUMMYFUNCTION("""COMPUTED_VALUE"""),3169.0)</f>
        <v>3169</v>
      </c>
      <c r="H70" s="23" t="str">
        <f>IFERROR(__xludf.DUMMYFUNCTION("""COMPUTED_VALUE"""),"Algorithms")</f>
        <v>Algorithms</v>
      </c>
      <c r="I70" s="23">
        <f>IFERROR(__xludf.DUMMYFUNCTION("""COMPUTED_VALUE"""),0.365)</f>
        <v>0.365</v>
      </c>
      <c r="J70" s="23">
        <f>IFERROR(__xludf.DUMMYFUNCTION("""COMPUTED_VALUE"""),69.0)</f>
        <v>69</v>
      </c>
      <c r="K70" s="23" t="b">
        <f>IFERROR(__xludf.DUMMYFUNCTION("""COMPUTED_VALUE"""),FALSE)</f>
        <v>0</v>
      </c>
      <c r="L70" s="23" t="str">
        <f>IFERROR(__xludf.DUMMYFUNCTION("""COMPUTED_VALUE"""),"Math;Binary Search;")</f>
        <v>Math;Binary Search;</v>
      </c>
      <c r="M70" s="23" t="b">
        <f>IFERROR(__xludf.DUMMYFUNCTION("""COMPUTED_VALUE"""),TRUE)</f>
        <v>1</v>
      </c>
      <c r="N70" s="23" t="b">
        <f>IFERROR(__xludf.DUMMYFUNCTION("""COMPUTED_VALUE"""),FALSE)</f>
        <v>0</v>
      </c>
      <c r="O70" s="23">
        <f>IFERROR(__xludf.DUMMYFUNCTION("""COMPUTED_VALUE"""),36.4680470882389)</f>
        <v>36.46804709</v>
      </c>
      <c r="P70" s="23">
        <f>IFERROR(__xludf.DUMMYFUNCTION("""COMPUTED_VALUE"""),1023307.0)</f>
        <v>1023307</v>
      </c>
      <c r="Q70" s="23">
        <f>IFERROR(__xludf.DUMMYFUNCTION("""COMPUTED_VALUE"""),2806036.0)</f>
        <v>2806036</v>
      </c>
    </row>
    <row r="71">
      <c r="A71" s="23">
        <f>IFERROR(__xludf.DUMMYFUNCTION("""COMPUTED_VALUE"""),70.0)</f>
        <v>70</v>
      </c>
      <c r="B71" s="23" t="str">
        <f>IFERROR(__xludf.DUMMYFUNCTION("""COMPUTED_VALUE"""),"Climbing Stairs")</f>
        <v>Climbing Stairs</v>
      </c>
      <c r="C71" s="23" t="str">
        <f>IFERROR(__xludf.DUMMYFUNCTION("""COMPUTED_VALUE"""),"climbing-stairs")</f>
        <v>climbing-stairs</v>
      </c>
      <c r="D71" s="23" t="b">
        <f>IFERROR(__xludf.DUMMYFUNCTION("""COMPUTED_VALUE"""),FALSE)</f>
        <v>0</v>
      </c>
      <c r="E71" s="23" t="str">
        <f>IFERROR(__xludf.DUMMYFUNCTION("""COMPUTED_VALUE"""),"Easy")</f>
        <v>Easy</v>
      </c>
      <c r="F71" s="23">
        <f>IFERROR(__xludf.DUMMYFUNCTION("""COMPUTED_VALUE"""),11457.0)</f>
        <v>11457</v>
      </c>
      <c r="G71" s="23">
        <f>IFERROR(__xludf.DUMMYFUNCTION("""COMPUTED_VALUE"""),354.0)</f>
        <v>354</v>
      </c>
      <c r="H71" s="23" t="str">
        <f>IFERROR(__xludf.DUMMYFUNCTION("""COMPUTED_VALUE"""),"Algorithms")</f>
        <v>Algorithms</v>
      </c>
      <c r="I71" s="23">
        <f>IFERROR(__xludf.DUMMYFUNCTION("""COMPUTED_VALUE"""),0.51)</f>
        <v>0.51</v>
      </c>
      <c r="J71" s="23">
        <f>IFERROR(__xludf.DUMMYFUNCTION("""COMPUTED_VALUE"""),70.0)</f>
        <v>70</v>
      </c>
      <c r="K71" s="23" t="b">
        <f>IFERROR(__xludf.DUMMYFUNCTION("""COMPUTED_VALUE"""),FALSE)</f>
        <v>0</v>
      </c>
      <c r="L71" s="23" t="str">
        <f>IFERROR(__xludf.DUMMYFUNCTION("""COMPUTED_VALUE"""),"Math;Dynamic Programming;Memoization;")</f>
        <v>Math;Dynamic Programming;Memoization;</v>
      </c>
      <c r="M71" s="23" t="b">
        <f>IFERROR(__xludf.DUMMYFUNCTION("""COMPUTED_VALUE"""),TRUE)</f>
        <v>1</v>
      </c>
      <c r="N71" s="23" t="b">
        <f>IFERROR(__xludf.DUMMYFUNCTION("""COMPUTED_VALUE"""),FALSE)</f>
        <v>0</v>
      </c>
      <c r="O71" s="23">
        <f>IFERROR(__xludf.DUMMYFUNCTION("""COMPUTED_VALUE"""),51.0098481222407)</f>
        <v>51.00984812</v>
      </c>
      <c r="P71" s="23">
        <f>IFERROR(__xludf.DUMMYFUNCTION("""COMPUTED_VALUE"""),1525038.0)</f>
        <v>1525038</v>
      </c>
      <c r="Q71" s="23">
        <f>IFERROR(__xludf.DUMMYFUNCTION("""COMPUTED_VALUE"""),2989693.0)</f>
        <v>2989693</v>
      </c>
    </row>
    <row r="72">
      <c r="A72" s="23">
        <f>IFERROR(__xludf.DUMMYFUNCTION("""COMPUTED_VALUE"""),71.0)</f>
        <v>71</v>
      </c>
      <c r="B72" s="23" t="str">
        <f>IFERROR(__xludf.DUMMYFUNCTION("""COMPUTED_VALUE"""),"Simplify Path")</f>
        <v>Simplify Path</v>
      </c>
      <c r="C72" s="23" t="str">
        <f>IFERROR(__xludf.DUMMYFUNCTION("""COMPUTED_VALUE"""),"simplify-path")</f>
        <v>simplify-path</v>
      </c>
      <c r="D72" s="23" t="b">
        <f>IFERROR(__xludf.DUMMYFUNCTION("""COMPUTED_VALUE"""),FALSE)</f>
        <v>0</v>
      </c>
      <c r="E72" s="23" t="str">
        <f>IFERROR(__xludf.DUMMYFUNCTION("""COMPUTED_VALUE"""),"Medium")</f>
        <v>Medium</v>
      </c>
      <c r="F72" s="23">
        <f>IFERROR(__xludf.DUMMYFUNCTION("""COMPUTED_VALUE"""),2349.0)</f>
        <v>2349</v>
      </c>
      <c r="G72" s="23">
        <f>IFERROR(__xludf.DUMMYFUNCTION("""COMPUTED_VALUE"""),473.0)</f>
        <v>473</v>
      </c>
      <c r="H72" s="23" t="str">
        <f>IFERROR(__xludf.DUMMYFUNCTION("""COMPUTED_VALUE"""),"Algorithms")</f>
        <v>Algorithms</v>
      </c>
      <c r="I72" s="23">
        <f>IFERROR(__xludf.DUMMYFUNCTION("""COMPUTED_VALUE"""),0.388)</f>
        <v>0.388</v>
      </c>
      <c r="J72" s="23">
        <f>IFERROR(__xludf.DUMMYFUNCTION("""COMPUTED_VALUE"""),71.0)</f>
        <v>71</v>
      </c>
      <c r="K72" s="23" t="b">
        <f>IFERROR(__xludf.DUMMYFUNCTION("""COMPUTED_VALUE"""),FALSE)</f>
        <v>0</v>
      </c>
      <c r="L72" s="23" t="str">
        <f>IFERROR(__xludf.DUMMYFUNCTION("""COMPUTED_VALUE"""),"String;Stack;")</f>
        <v>String;Stack;</v>
      </c>
      <c r="M72" s="23" t="b">
        <f>IFERROR(__xludf.DUMMYFUNCTION("""COMPUTED_VALUE"""),TRUE)</f>
        <v>1</v>
      </c>
      <c r="N72" s="23" t="b">
        <f>IFERROR(__xludf.DUMMYFUNCTION("""COMPUTED_VALUE"""),FALSE)</f>
        <v>0</v>
      </c>
      <c r="O72" s="23">
        <f>IFERROR(__xludf.DUMMYFUNCTION("""COMPUTED_VALUE"""),38.7994136773777)</f>
        <v>38.79941368</v>
      </c>
      <c r="P72" s="23">
        <f>IFERROR(__xludf.DUMMYFUNCTION("""COMPUTED_VALUE"""),423250.0)</f>
        <v>423250</v>
      </c>
      <c r="Q72" s="23">
        <f>IFERROR(__xludf.DUMMYFUNCTION("""COMPUTED_VALUE"""),1090867.0)</f>
        <v>1090867</v>
      </c>
    </row>
    <row r="73">
      <c r="A73" s="23">
        <f>IFERROR(__xludf.DUMMYFUNCTION("""COMPUTED_VALUE"""),72.0)</f>
        <v>72</v>
      </c>
      <c r="B73" s="23" t="str">
        <f>IFERROR(__xludf.DUMMYFUNCTION("""COMPUTED_VALUE"""),"Edit Distance")</f>
        <v>Edit Distance</v>
      </c>
      <c r="C73" s="23" t="str">
        <f>IFERROR(__xludf.DUMMYFUNCTION("""COMPUTED_VALUE"""),"edit-distance")</f>
        <v>edit-distance</v>
      </c>
      <c r="D73" s="23" t="b">
        <f>IFERROR(__xludf.DUMMYFUNCTION("""COMPUTED_VALUE"""),FALSE)</f>
        <v>0</v>
      </c>
      <c r="E73" s="23" t="str">
        <f>IFERROR(__xludf.DUMMYFUNCTION("""COMPUTED_VALUE"""),"Hard")</f>
        <v>Hard</v>
      </c>
      <c r="F73" s="23">
        <f>IFERROR(__xludf.DUMMYFUNCTION("""COMPUTED_VALUE"""),8257.0)</f>
        <v>8257</v>
      </c>
      <c r="G73" s="23">
        <f>IFERROR(__xludf.DUMMYFUNCTION("""COMPUTED_VALUE"""),92.0)</f>
        <v>92</v>
      </c>
      <c r="H73" s="23" t="str">
        <f>IFERROR(__xludf.DUMMYFUNCTION("""COMPUTED_VALUE"""),"Algorithms")</f>
        <v>Algorithms</v>
      </c>
      <c r="I73" s="23">
        <f>IFERROR(__xludf.DUMMYFUNCTION("""COMPUTED_VALUE"""),0.508)</f>
        <v>0.508</v>
      </c>
      <c r="J73" s="23">
        <f>IFERROR(__xludf.DUMMYFUNCTION("""COMPUTED_VALUE"""),72.0)</f>
        <v>72</v>
      </c>
      <c r="K73" s="23" t="b">
        <f>IFERROR(__xludf.DUMMYFUNCTION("""COMPUTED_VALUE"""),FALSE)</f>
        <v>0</v>
      </c>
      <c r="L73" s="23" t="str">
        <f>IFERROR(__xludf.DUMMYFUNCTION("""COMPUTED_VALUE"""),"String;Dynamic Programming;")</f>
        <v>String;Dynamic Programming;</v>
      </c>
      <c r="M73" s="23" t="b">
        <f>IFERROR(__xludf.DUMMYFUNCTION("""COMPUTED_VALUE"""),TRUE)</f>
        <v>1</v>
      </c>
      <c r="N73" s="23" t="b">
        <f>IFERROR(__xludf.DUMMYFUNCTION("""COMPUTED_VALUE"""),FALSE)</f>
        <v>0</v>
      </c>
      <c r="O73" s="23">
        <f>IFERROR(__xludf.DUMMYFUNCTION("""COMPUTED_VALUE"""),50.7739938080495)</f>
        <v>50.77399381</v>
      </c>
      <c r="P73" s="23">
        <f>IFERROR(__xludf.DUMMYFUNCTION("""COMPUTED_VALUE"""),465099.0)</f>
        <v>465099</v>
      </c>
      <c r="Q73" s="23">
        <f>IFERROR(__xludf.DUMMYFUNCTION("""COMPUTED_VALUE"""),916023.0)</f>
        <v>916023</v>
      </c>
    </row>
    <row r="74">
      <c r="A74" s="23">
        <f>IFERROR(__xludf.DUMMYFUNCTION("""COMPUTED_VALUE"""),73.0)</f>
        <v>73</v>
      </c>
      <c r="B74" s="23" t="str">
        <f>IFERROR(__xludf.DUMMYFUNCTION("""COMPUTED_VALUE"""),"Set Matrix Zeroes")</f>
        <v>Set Matrix Zeroes</v>
      </c>
      <c r="C74" s="23" t="str">
        <f>IFERROR(__xludf.DUMMYFUNCTION("""COMPUTED_VALUE"""),"set-matrix-zeroes")</f>
        <v>set-matrix-zeroes</v>
      </c>
      <c r="D74" s="23" t="b">
        <f>IFERROR(__xludf.DUMMYFUNCTION("""COMPUTED_VALUE"""),FALSE)</f>
        <v>0</v>
      </c>
      <c r="E74" s="23" t="str">
        <f>IFERROR(__xludf.DUMMYFUNCTION("""COMPUTED_VALUE"""),"Medium")</f>
        <v>Medium</v>
      </c>
      <c r="F74" s="23">
        <f>IFERROR(__xludf.DUMMYFUNCTION("""COMPUTED_VALUE"""),6792.0)</f>
        <v>6792</v>
      </c>
      <c r="G74" s="23">
        <f>IFERROR(__xludf.DUMMYFUNCTION("""COMPUTED_VALUE"""),485.0)</f>
        <v>485</v>
      </c>
      <c r="H74" s="23" t="str">
        <f>IFERROR(__xludf.DUMMYFUNCTION("""COMPUTED_VALUE"""),"Algorithms")</f>
        <v>Algorithms</v>
      </c>
      <c r="I74" s="23">
        <f>IFERROR(__xludf.DUMMYFUNCTION("""COMPUTED_VALUE"""),0.483)</f>
        <v>0.483</v>
      </c>
      <c r="J74" s="23">
        <f>IFERROR(__xludf.DUMMYFUNCTION("""COMPUTED_VALUE"""),73.0)</f>
        <v>73</v>
      </c>
      <c r="K74" s="23" t="b">
        <f>IFERROR(__xludf.DUMMYFUNCTION("""COMPUTED_VALUE"""),FALSE)</f>
        <v>0</v>
      </c>
      <c r="L74" s="23" t="str">
        <f>IFERROR(__xludf.DUMMYFUNCTION("""COMPUTED_VALUE"""),"Array;Hash Table;Matrix;")</f>
        <v>Array;Hash Table;Matrix;</v>
      </c>
      <c r="M74" s="23" t="b">
        <f>IFERROR(__xludf.DUMMYFUNCTION("""COMPUTED_VALUE"""),TRUE)</f>
        <v>1</v>
      </c>
      <c r="N74" s="23" t="b">
        <f>IFERROR(__xludf.DUMMYFUNCTION("""COMPUTED_VALUE"""),FALSE)</f>
        <v>0</v>
      </c>
      <c r="O74" s="23">
        <f>IFERROR(__xludf.DUMMYFUNCTION("""COMPUTED_VALUE"""),48.2645124607082)</f>
        <v>48.26451246</v>
      </c>
      <c r="P74" s="23">
        <f>IFERROR(__xludf.DUMMYFUNCTION("""COMPUTED_VALUE"""),674826.0)</f>
        <v>674826</v>
      </c>
      <c r="Q74" s="23">
        <f>IFERROR(__xludf.DUMMYFUNCTION("""COMPUTED_VALUE"""),1398184.0)</f>
        <v>1398184</v>
      </c>
    </row>
    <row r="75">
      <c r="A75" s="23">
        <f>IFERROR(__xludf.DUMMYFUNCTION("""COMPUTED_VALUE"""),74.0)</f>
        <v>74</v>
      </c>
      <c r="B75" s="23" t="str">
        <f>IFERROR(__xludf.DUMMYFUNCTION("""COMPUTED_VALUE"""),"Search a 2D Matrix")</f>
        <v>Search a 2D Matrix</v>
      </c>
      <c r="C75" s="23" t="str">
        <f>IFERROR(__xludf.DUMMYFUNCTION("""COMPUTED_VALUE"""),"search-a-2d-matrix")</f>
        <v>search-a-2d-matrix</v>
      </c>
      <c r="D75" s="23" t="b">
        <f>IFERROR(__xludf.DUMMYFUNCTION("""COMPUTED_VALUE"""),FALSE)</f>
        <v>0</v>
      </c>
      <c r="E75" s="23" t="str">
        <f>IFERROR(__xludf.DUMMYFUNCTION("""COMPUTED_VALUE"""),"Medium")</f>
        <v>Medium</v>
      </c>
      <c r="F75" s="23">
        <f>IFERROR(__xludf.DUMMYFUNCTION("""COMPUTED_VALUE"""),7347.0)</f>
        <v>7347</v>
      </c>
      <c r="G75" s="23">
        <f>IFERROR(__xludf.DUMMYFUNCTION("""COMPUTED_VALUE"""),264.0)</f>
        <v>264</v>
      </c>
      <c r="H75" s="23" t="str">
        <f>IFERROR(__xludf.DUMMYFUNCTION("""COMPUTED_VALUE"""),"Algorithms")</f>
        <v>Algorithms</v>
      </c>
      <c r="I75" s="23">
        <f>IFERROR(__xludf.DUMMYFUNCTION("""COMPUTED_VALUE"""),0.443)</f>
        <v>0.443</v>
      </c>
      <c r="J75" s="23">
        <f>IFERROR(__xludf.DUMMYFUNCTION("""COMPUTED_VALUE"""),74.0)</f>
        <v>74</v>
      </c>
      <c r="K75" s="23" t="b">
        <f>IFERROR(__xludf.DUMMYFUNCTION("""COMPUTED_VALUE"""),FALSE)</f>
        <v>0</v>
      </c>
      <c r="L75" s="23" t="str">
        <f>IFERROR(__xludf.DUMMYFUNCTION("""COMPUTED_VALUE"""),"Array;Binary Search;Matrix;")</f>
        <v>Array;Binary Search;Matrix;</v>
      </c>
      <c r="M75" s="23" t="b">
        <f>IFERROR(__xludf.DUMMYFUNCTION("""COMPUTED_VALUE"""),TRUE)</f>
        <v>1</v>
      </c>
      <c r="N75" s="23" t="b">
        <f>IFERROR(__xludf.DUMMYFUNCTION("""COMPUTED_VALUE"""),FALSE)</f>
        <v>0</v>
      </c>
      <c r="O75" s="23">
        <f>IFERROR(__xludf.DUMMYFUNCTION("""COMPUTED_VALUE"""),44.3446709981164)</f>
        <v>44.344671</v>
      </c>
      <c r="P75" s="23">
        <f>IFERROR(__xludf.DUMMYFUNCTION("""COMPUTED_VALUE"""),770088.0)</f>
        <v>770088</v>
      </c>
      <c r="Q75" s="23">
        <f>IFERROR(__xludf.DUMMYFUNCTION("""COMPUTED_VALUE"""),1736594.0)</f>
        <v>1736594</v>
      </c>
    </row>
    <row r="76">
      <c r="A76" s="23">
        <f>IFERROR(__xludf.DUMMYFUNCTION("""COMPUTED_VALUE"""),75.0)</f>
        <v>75</v>
      </c>
      <c r="B76" s="23" t="str">
        <f>IFERROR(__xludf.DUMMYFUNCTION("""COMPUTED_VALUE"""),"Sort Colors")</f>
        <v>Sort Colors</v>
      </c>
      <c r="C76" s="23" t="str">
        <f>IFERROR(__xludf.DUMMYFUNCTION("""COMPUTED_VALUE"""),"sort-colors")</f>
        <v>sort-colors</v>
      </c>
      <c r="D76" s="23" t="b">
        <f>IFERROR(__xludf.DUMMYFUNCTION("""COMPUTED_VALUE"""),FALSE)</f>
        <v>0</v>
      </c>
      <c r="E76" s="23" t="str">
        <f>IFERROR(__xludf.DUMMYFUNCTION("""COMPUTED_VALUE"""),"Medium")</f>
        <v>Medium</v>
      </c>
      <c r="F76" s="23">
        <f>IFERROR(__xludf.DUMMYFUNCTION("""COMPUTED_VALUE"""),9585.0)</f>
        <v>9585</v>
      </c>
      <c r="G76" s="23">
        <f>IFERROR(__xludf.DUMMYFUNCTION("""COMPUTED_VALUE"""),411.0)</f>
        <v>411</v>
      </c>
      <c r="H76" s="23" t="str">
        <f>IFERROR(__xludf.DUMMYFUNCTION("""COMPUTED_VALUE"""),"Algorithms")</f>
        <v>Algorithms</v>
      </c>
      <c r="I76" s="23">
        <f>IFERROR(__xludf.DUMMYFUNCTION("""COMPUTED_VALUE"""),0.547)</f>
        <v>0.547</v>
      </c>
      <c r="J76" s="23">
        <f>IFERROR(__xludf.DUMMYFUNCTION("""COMPUTED_VALUE"""),75.0)</f>
        <v>75</v>
      </c>
      <c r="K76" s="23" t="b">
        <f>IFERROR(__xludf.DUMMYFUNCTION("""COMPUTED_VALUE"""),FALSE)</f>
        <v>0</v>
      </c>
      <c r="L76" s="23" t="str">
        <f>IFERROR(__xludf.DUMMYFUNCTION("""COMPUTED_VALUE"""),"Array;Two Pointers;Sorting;")</f>
        <v>Array;Two Pointers;Sorting;</v>
      </c>
      <c r="M76" s="23" t="b">
        <f>IFERROR(__xludf.DUMMYFUNCTION("""COMPUTED_VALUE"""),TRUE)</f>
        <v>1</v>
      </c>
      <c r="N76" s="23" t="b">
        <f>IFERROR(__xludf.DUMMYFUNCTION("""COMPUTED_VALUE"""),FALSE)</f>
        <v>0</v>
      </c>
      <c r="O76" s="23">
        <f>IFERROR(__xludf.DUMMYFUNCTION("""COMPUTED_VALUE"""),54.7343160326474)</f>
        <v>54.73431603</v>
      </c>
      <c r="P76" s="23">
        <f>IFERROR(__xludf.DUMMYFUNCTION("""COMPUTED_VALUE"""),989413.0)</f>
        <v>989413</v>
      </c>
      <c r="Q76" s="23">
        <f>IFERROR(__xludf.DUMMYFUNCTION("""COMPUTED_VALUE"""),1807669.0)</f>
        <v>1807669</v>
      </c>
    </row>
    <row r="77">
      <c r="A77" s="23">
        <f>IFERROR(__xludf.DUMMYFUNCTION("""COMPUTED_VALUE"""),76.0)</f>
        <v>76</v>
      </c>
      <c r="B77" s="23" t="str">
        <f>IFERROR(__xludf.DUMMYFUNCTION("""COMPUTED_VALUE"""),"Minimum Window Substring")</f>
        <v>Minimum Window Substring</v>
      </c>
      <c r="C77" s="23" t="str">
        <f>IFERROR(__xludf.DUMMYFUNCTION("""COMPUTED_VALUE"""),"minimum-window-substring")</f>
        <v>minimum-window-substring</v>
      </c>
      <c r="D77" s="23" t="b">
        <f>IFERROR(__xludf.DUMMYFUNCTION("""COMPUTED_VALUE"""),FALSE)</f>
        <v>0</v>
      </c>
      <c r="E77" s="23" t="str">
        <f>IFERROR(__xludf.DUMMYFUNCTION("""COMPUTED_VALUE"""),"Hard")</f>
        <v>Hard</v>
      </c>
      <c r="F77" s="23">
        <f>IFERROR(__xludf.DUMMYFUNCTION("""COMPUTED_VALUE"""),10077.0)</f>
        <v>10077</v>
      </c>
      <c r="G77" s="23">
        <f>IFERROR(__xludf.DUMMYFUNCTION("""COMPUTED_VALUE"""),530.0)</f>
        <v>530</v>
      </c>
      <c r="H77" s="23" t="str">
        <f>IFERROR(__xludf.DUMMYFUNCTION("""COMPUTED_VALUE"""),"Algorithms")</f>
        <v>Algorithms</v>
      </c>
      <c r="I77" s="23">
        <f>IFERROR(__xludf.DUMMYFUNCTION("""COMPUTED_VALUE"""),0.39)</f>
        <v>0.39</v>
      </c>
      <c r="J77" s="23">
        <f>IFERROR(__xludf.DUMMYFUNCTION("""COMPUTED_VALUE"""),76.0)</f>
        <v>76</v>
      </c>
      <c r="K77" s="23" t="b">
        <f>IFERROR(__xludf.DUMMYFUNCTION("""COMPUTED_VALUE"""),FALSE)</f>
        <v>0</v>
      </c>
      <c r="L77" s="23" t="str">
        <f>IFERROR(__xludf.DUMMYFUNCTION("""COMPUTED_VALUE"""),"Hash Table;String;Sliding Window;")</f>
        <v>Hash Table;String;Sliding Window;</v>
      </c>
      <c r="M77" s="23" t="b">
        <f>IFERROR(__xludf.DUMMYFUNCTION("""COMPUTED_VALUE"""),TRUE)</f>
        <v>1</v>
      </c>
      <c r="N77" s="23" t="b">
        <f>IFERROR(__xludf.DUMMYFUNCTION("""COMPUTED_VALUE"""),FALSE)</f>
        <v>0</v>
      </c>
      <c r="O77" s="23">
        <f>IFERROR(__xludf.DUMMYFUNCTION("""COMPUTED_VALUE"""),38.9627590546226)</f>
        <v>38.96275905</v>
      </c>
      <c r="P77" s="23">
        <f>IFERROR(__xludf.DUMMYFUNCTION("""COMPUTED_VALUE"""),743087.0)</f>
        <v>743087</v>
      </c>
      <c r="Q77" s="23">
        <f>IFERROR(__xludf.DUMMYFUNCTION("""COMPUTED_VALUE"""),1907173.0)</f>
        <v>1907173</v>
      </c>
    </row>
    <row r="78">
      <c r="A78" s="23">
        <f>IFERROR(__xludf.DUMMYFUNCTION("""COMPUTED_VALUE"""),77.0)</f>
        <v>77</v>
      </c>
      <c r="B78" s="23" t="str">
        <f>IFERROR(__xludf.DUMMYFUNCTION("""COMPUTED_VALUE"""),"Combinations")</f>
        <v>Combinations</v>
      </c>
      <c r="C78" s="23" t="str">
        <f>IFERROR(__xludf.DUMMYFUNCTION("""COMPUTED_VALUE"""),"combinations")</f>
        <v>combinations</v>
      </c>
      <c r="D78" s="23" t="b">
        <f>IFERROR(__xludf.DUMMYFUNCTION("""COMPUTED_VALUE"""),FALSE)</f>
        <v>0</v>
      </c>
      <c r="E78" s="23" t="str">
        <f>IFERROR(__xludf.DUMMYFUNCTION("""COMPUTED_VALUE"""),"Medium")</f>
        <v>Medium</v>
      </c>
      <c r="F78" s="23">
        <f>IFERROR(__xludf.DUMMYFUNCTION("""COMPUTED_VALUE"""),4075.0)</f>
        <v>4075</v>
      </c>
      <c r="G78" s="23">
        <f>IFERROR(__xludf.DUMMYFUNCTION("""COMPUTED_VALUE"""),140.0)</f>
        <v>140</v>
      </c>
      <c r="H78" s="23" t="str">
        <f>IFERROR(__xludf.DUMMYFUNCTION("""COMPUTED_VALUE"""),"Algorithms")</f>
        <v>Algorithms</v>
      </c>
      <c r="I78" s="23">
        <f>IFERROR(__xludf.DUMMYFUNCTION("""COMPUTED_VALUE"""),0.639)</f>
        <v>0.639</v>
      </c>
      <c r="J78" s="23">
        <f>IFERROR(__xludf.DUMMYFUNCTION("""COMPUTED_VALUE"""),77.0)</f>
        <v>77</v>
      </c>
      <c r="K78" s="23" t="b">
        <f>IFERROR(__xludf.DUMMYFUNCTION("""COMPUTED_VALUE"""),FALSE)</f>
        <v>0</v>
      </c>
      <c r="L78" s="23" t="str">
        <f>IFERROR(__xludf.DUMMYFUNCTION("""COMPUTED_VALUE"""),"Backtracking;")</f>
        <v>Backtracking;</v>
      </c>
      <c r="M78" s="23" t="b">
        <f>IFERROR(__xludf.DUMMYFUNCTION("""COMPUTED_VALUE"""),TRUE)</f>
        <v>1</v>
      </c>
      <c r="N78" s="23" t="b">
        <f>IFERROR(__xludf.DUMMYFUNCTION("""COMPUTED_VALUE"""),FALSE)</f>
        <v>0</v>
      </c>
      <c r="O78" s="23">
        <f>IFERROR(__xludf.DUMMYFUNCTION("""COMPUTED_VALUE"""),63.8830123634379)</f>
        <v>63.88301236</v>
      </c>
      <c r="P78" s="23">
        <f>IFERROR(__xludf.DUMMYFUNCTION("""COMPUTED_VALUE"""),515157.0)</f>
        <v>515157</v>
      </c>
      <c r="Q78" s="23">
        <f>IFERROR(__xludf.DUMMYFUNCTION("""COMPUTED_VALUE"""),806408.0)</f>
        <v>806408</v>
      </c>
    </row>
    <row r="79">
      <c r="A79" s="23">
        <f>IFERROR(__xludf.DUMMYFUNCTION("""COMPUTED_VALUE"""),78.0)</f>
        <v>78</v>
      </c>
      <c r="B79" s="23" t="str">
        <f>IFERROR(__xludf.DUMMYFUNCTION("""COMPUTED_VALUE"""),"Subsets")</f>
        <v>Subsets</v>
      </c>
      <c r="C79" s="23" t="str">
        <f>IFERROR(__xludf.DUMMYFUNCTION("""COMPUTED_VALUE"""),"subsets")</f>
        <v>subsets</v>
      </c>
      <c r="D79" s="23" t="b">
        <f>IFERROR(__xludf.DUMMYFUNCTION("""COMPUTED_VALUE"""),FALSE)</f>
        <v>0</v>
      </c>
      <c r="E79" s="23" t="str">
        <f>IFERROR(__xludf.DUMMYFUNCTION("""COMPUTED_VALUE"""),"Medium")</f>
        <v>Medium</v>
      </c>
      <c r="F79" s="23">
        <f>IFERROR(__xludf.DUMMYFUNCTION("""COMPUTED_VALUE"""),9781.0)</f>
        <v>9781</v>
      </c>
      <c r="G79" s="23">
        <f>IFERROR(__xludf.DUMMYFUNCTION("""COMPUTED_VALUE"""),155.0)</f>
        <v>155</v>
      </c>
      <c r="H79" s="23" t="str">
        <f>IFERROR(__xludf.DUMMYFUNCTION("""COMPUTED_VALUE"""),"Algorithms")</f>
        <v>Algorithms</v>
      </c>
      <c r="I79" s="23">
        <f>IFERROR(__xludf.DUMMYFUNCTION("""COMPUTED_VALUE"""),0.714)</f>
        <v>0.714</v>
      </c>
      <c r="J79" s="23">
        <f>IFERROR(__xludf.DUMMYFUNCTION("""COMPUTED_VALUE"""),78.0)</f>
        <v>78</v>
      </c>
      <c r="K79" s="23" t="b">
        <f>IFERROR(__xludf.DUMMYFUNCTION("""COMPUTED_VALUE"""),FALSE)</f>
        <v>0</v>
      </c>
      <c r="L79" s="23" t="str">
        <f>IFERROR(__xludf.DUMMYFUNCTION("""COMPUTED_VALUE"""),"Array;Backtracking;Bit Manipulation;")</f>
        <v>Array;Backtracking;Bit Manipulation;</v>
      </c>
      <c r="M79" s="23" t="b">
        <f>IFERROR(__xludf.DUMMYFUNCTION("""COMPUTED_VALUE"""),TRUE)</f>
        <v>1</v>
      </c>
      <c r="N79" s="23" t="b">
        <f>IFERROR(__xludf.DUMMYFUNCTION("""COMPUTED_VALUE"""),FALSE)</f>
        <v>0</v>
      </c>
      <c r="O79" s="23">
        <f>IFERROR(__xludf.DUMMYFUNCTION("""COMPUTED_VALUE"""),71.3773521983081)</f>
        <v>71.3773522</v>
      </c>
      <c r="P79" s="23">
        <f>IFERROR(__xludf.DUMMYFUNCTION("""COMPUTED_VALUE"""),1074437.0)</f>
        <v>1074437</v>
      </c>
      <c r="Q79" s="23">
        <f>IFERROR(__xludf.DUMMYFUNCTION("""COMPUTED_VALUE"""),1505292.0)</f>
        <v>1505292</v>
      </c>
    </row>
    <row r="80">
      <c r="A80" s="23">
        <f>IFERROR(__xludf.DUMMYFUNCTION("""COMPUTED_VALUE"""),79.0)</f>
        <v>79</v>
      </c>
      <c r="B80" s="23" t="str">
        <f>IFERROR(__xludf.DUMMYFUNCTION("""COMPUTED_VALUE"""),"Word Search")</f>
        <v>Word Search</v>
      </c>
      <c r="C80" s="23" t="str">
        <f>IFERROR(__xludf.DUMMYFUNCTION("""COMPUTED_VALUE"""),"word-search")</f>
        <v>word-search</v>
      </c>
      <c r="D80" s="23" t="b">
        <f>IFERROR(__xludf.DUMMYFUNCTION("""COMPUTED_VALUE"""),FALSE)</f>
        <v>0</v>
      </c>
      <c r="E80" s="23" t="str">
        <f>IFERROR(__xludf.DUMMYFUNCTION("""COMPUTED_VALUE"""),"Medium")</f>
        <v>Medium</v>
      </c>
      <c r="F80" s="23">
        <f>IFERROR(__xludf.DUMMYFUNCTION("""COMPUTED_VALUE"""),9095.0)</f>
        <v>9095</v>
      </c>
      <c r="G80" s="23">
        <f>IFERROR(__xludf.DUMMYFUNCTION("""COMPUTED_VALUE"""),346.0)</f>
        <v>346</v>
      </c>
      <c r="H80" s="23" t="str">
        <f>IFERROR(__xludf.DUMMYFUNCTION("""COMPUTED_VALUE"""),"Algorithms")</f>
        <v>Algorithms</v>
      </c>
      <c r="I80" s="23">
        <f>IFERROR(__xludf.DUMMYFUNCTION("""COMPUTED_VALUE"""),0.396)</f>
        <v>0.396</v>
      </c>
      <c r="J80" s="23">
        <f>IFERROR(__xludf.DUMMYFUNCTION("""COMPUTED_VALUE"""),79.0)</f>
        <v>79</v>
      </c>
      <c r="K80" s="23" t="b">
        <f>IFERROR(__xludf.DUMMYFUNCTION("""COMPUTED_VALUE"""),FALSE)</f>
        <v>0</v>
      </c>
      <c r="L80" s="23" t="str">
        <f>IFERROR(__xludf.DUMMYFUNCTION("""COMPUTED_VALUE"""),"Array;Backtracking;Matrix;")</f>
        <v>Array;Backtracking;Matrix;</v>
      </c>
      <c r="M80" s="23" t="b">
        <f>IFERROR(__xludf.DUMMYFUNCTION("""COMPUTED_VALUE"""),TRUE)</f>
        <v>1</v>
      </c>
      <c r="N80" s="23" t="b">
        <f>IFERROR(__xludf.DUMMYFUNCTION("""COMPUTED_VALUE"""),FALSE)</f>
        <v>0</v>
      </c>
      <c r="O80" s="23">
        <f>IFERROR(__xludf.DUMMYFUNCTION("""COMPUTED_VALUE"""),39.6470034057418)</f>
        <v>39.64700341</v>
      </c>
      <c r="P80" s="23">
        <f>IFERROR(__xludf.DUMMYFUNCTION("""COMPUTED_VALUE"""),951083.0)</f>
        <v>951083</v>
      </c>
      <c r="Q80" s="23">
        <f>IFERROR(__xludf.DUMMYFUNCTION("""COMPUTED_VALUE"""),2398881.0)</f>
        <v>2398881</v>
      </c>
    </row>
    <row r="81">
      <c r="A81" s="23">
        <f>IFERROR(__xludf.DUMMYFUNCTION("""COMPUTED_VALUE"""),80.0)</f>
        <v>80</v>
      </c>
      <c r="B81" s="23" t="str">
        <f>IFERROR(__xludf.DUMMYFUNCTION("""COMPUTED_VALUE"""),"Remove Duplicates from Sorted Array II")</f>
        <v>Remove Duplicates from Sorted Array II</v>
      </c>
      <c r="C81" s="23" t="str">
        <f>IFERROR(__xludf.DUMMYFUNCTION("""COMPUTED_VALUE"""),"remove-duplicates-from-sorted-array-ii")</f>
        <v>remove-duplicates-from-sorted-array-ii</v>
      </c>
      <c r="D81" s="23" t="b">
        <f>IFERROR(__xludf.DUMMYFUNCTION("""COMPUTED_VALUE"""),FALSE)</f>
        <v>0</v>
      </c>
      <c r="E81" s="23" t="str">
        <f>IFERROR(__xludf.DUMMYFUNCTION("""COMPUTED_VALUE"""),"Medium")</f>
        <v>Medium</v>
      </c>
      <c r="F81" s="23">
        <f>IFERROR(__xludf.DUMMYFUNCTION("""COMPUTED_VALUE"""),3577.0)</f>
        <v>3577</v>
      </c>
      <c r="G81" s="23">
        <f>IFERROR(__xludf.DUMMYFUNCTION("""COMPUTED_VALUE"""),924.0)</f>
        <v>924</v>
      </c>
      <c r="H81" s="23" t="str">
        <f>IFERROR(__xludf.DUMMYFUNCTION("""COMPUTED_VALUE"""),"Algorithms")</f>
        <v>Algorithms</v>
      </c>
      <c r="I81" s="23">
        <f>IFERROR(__xludf.DUMMYFUNCTION("""COMPUTED_VALUE"""),0.505)</f>
        <v>0.505</v>
      </c>
      <c r="J81" s="23">
        <f>IFERROR(__xludf.DUMMYFUNCTION("""COMPUTED_VALUE"""),80.0)</f>
        <v>80</v>
      </c>
      <c r="K81" s="23" t="b">
        <f>IFERROR(__xludf.DUMMYFUNCTION("""COMPUTED_VALUE"""),FALSE)</f>
        <v>0</v>
      </c>
      <c r="L81" s="23" t="str">
        <f>IFERROR(__xludf.DUMMYFUNCTION("""COMPUTED_VALUE"""),"Array;Two Pointers;")</f>
        <v>Array;Two Pointers;</v>
      </c>
      <c r="M81" s="23" t="b">
        <f>IFERROR(__xludf.DUMMYFUNCTION("""COMPUTED_VALUE"""),TRUE)</f>
        <v>1</v>
      </c>
      <c r="N81" s="23" t="b">
        <f>IFERROR(__xludf.DUMMYFUNCTION("""COMPUTED_VALUE"""),FALSE)</f>
        <v>0</v>
      </c>
      <c r="O81" s="23">
        <f>IFERROR(__xludf.DUMMYFUNCTION("""COMPUTED_VALUE"""),50.5234600740317)</f>
        <v>50.52346007</v>
      </c>
      <c r="P81" s="23">
        <f>IFERROR(__xludf.DUMMYFUNCTION("""COMPUTED_VALUE"""),429265.0)</f>
        <v>429265</v>
      </c>
      <c r="Q81" s="23">
        <f>IFERROR(__xludf.DUMMYFUNCTION("""COMPUTED_VALUE"""),849635.0)</f>
        <v>849635</v>
      </c>
    </row>
    <row r="82">
      <c r="A82" s="23">
        <f>IFERROR(__xludf.DUMMYFUNCTION("""COMPUTED_VALUE"""),81.0)</f>
        <v>81</v>
      </c>
      <c r="B82" s="23" t="str">
        <f>IFERROR(__xludf.DUMMYFUNCTION("""COMPUTED_VALUE"""),"Search in Rotated Sorted Array II")</f>
        <v>Search in Rotated Sorted Array II</v>
      </c>
      <c r="C82" s="23" t="str">
        <f>IFERROR(__xludf.DUMMYFUNCTION("""COMPUTED_VALUE"""),"search-in-rotated-sorted-array-ii")</f>
        <v>search-in-rotated-sorted-array-ii</v>
      </c>
      <c r="D82" s="23" t="b">
        <f>IFERROR(__xludf.DUMMYFUNCTION("""COMPUTED_VALUE"""),FALSE)</f>
        <v>0</v>
      </c>
      <c r="E82" s="23" t="str">
        <f>IFERROR(__xludf.DUMMYFUNCTION("""COMPUTED_VALUE"""),"Medium")</f>
        <v>Medium</v>
      </c>
      <c r="F82" s="23">
        <f>IFERROR(__xludf.DUMMYFUNCTION("""COMPUTED_VALUE"""),4366.0)</f>
        <v>4366</v>
      </c>
      <c r="G82" s="23">
        <f>IFERROR(__xludf.DUMMYFUNCTION("""COMPUTED_VALUE"""),718.0)</f>
        <v>718</v>
      </c>
      <c r="H82" s="23" t="str">
        <f>IFERROR(__xludf.DUMMYFUNCTION("""COMPUTED_VALUE"""),"Algorithms")</f>
        <v>Algorithms</v>
      </c>
      <c r="I82" s="23">
        <f>IFERROR(__xludf.DUMMYFUNCTION("""COMPUTED_VALUE"""),0.356)</f>
        <v>0.356</v>
      </c>
      <c r="J82" s="23">
        <f>IFERROR(__xludf.DUMMYFUNCTION("""COMPUTED_VALUE"""),81.0)</f>
        <v>81</v>
      </c>
      <c r="K82" s="23" t="b">
        <f>IFERROR(__xludf.DUMMYFUNCTION("""COMPUTED_VALUE"""),FALSE)</f>
        <v>0</v>
      </c>
      <c r="L82" s="23" t="str">
        <f>IFERROR(__xludf.DUMMYFUNCTION("""COMPUTED_VALUE"""),"Array;Binary Search;")</f>
        <v>Array;Binary Search;</v>
      </c>
      <c r="M82" s="23" t="b">
        <f>IFERROR(__xludf.DUMMYFUNCTION("""COMPUTED_VALUE"""),TRUE)</f>
        <v>1</v>
      </c>
      <c r="N82" s="23" t="b">
        <f>IFERROR(__xludf.DUMMYFUNCTION("""COMPUTED_VALUE"""),FALSE)</f>
        <v>0</v>
      </c>
      <c r="O82" s="23">
        <f>IFERROR(__xludf.DUMMYFUNCTION("""COMPUTED_VALUE"""),35.5749876675422)</f>
        <v>35.57498767</v>
      </c>
      <c r="P82" s="23">
        <f>IFERROR(__xludf.DUMMYFUNCTION("""COMPUTED_VALUE"""),421882.0)</f>
        <v>421882</v>
      </c>
      <c r="Q82" s="23">
        <f>IFERROR(__xludf.DUMMYFUNCTION("""COMPUTED_VALUE"""),1185895.0)</f>
        <v>1185895</v>
      </c>
    </row>
    <row r="83">
      <c r="A83" s="23">
        <f>IFERROR(__xludf.DUMMYFUNCTION("""COMPUTED_VALUE"""),82.0)</f>
        <v>82</v>
      </c>
      <c r="B83" s="23" t="str">
        <f>IFERROR(__xludf.DUMMYFUNCTION("""COMPUTED_VALUE"""),"Remove Duplicates from Sorted List II")</f>
        <v>Remove Duplicates from Sorted List II</v>
      </c>
      <c r="C83" s="23" t="str">
        <f>IFERROR(__xludf.DUMMYFUNCTION("""COMPUTED_VALUE"""),"remove-duplicates-from-sorted-list-ii")</f>
        <v>remove-duplicates-from-sorted-list-ii</v>
      </c>
      <c r="D83" s="23" t="b">
        <f>IFERROR(__xludf.DUMMYFUNCTION("""COMPUTED_VALUE"""),FALSE)</f>
        <v>0</v>
      </c>
      <c r="E83" s="23" t="str">
        <f>IFERROR(__xludf.DUMMYFUNCTION("""COMPUTED_VALUE"""),"Medium")</f>
        <v>Medium</v>
      </c>
      <c r="F83" s="23">
        <f>IFERROR(__xludf.DUMMYFUNCTION("""COMPUTED_VALUE"""),5653.0)</f>
        <v>5653</v>
      </c>
      <c r="G83" s="23">
        <f>IFERROR(__xludf.DUMMYFUNCTION("""COMPUTED_VALUE"""),165.0)</f>
        <v>165</v>
      </c>
      <c r="H83" s="23" t="str">
        <f>IFERROR(__xludf.DUMMYFUNCTION("""COMPUTED_VALUE"""),"Algorithms")</f>
        <v>Algorithms</v>
      </c>
      <c r="I83" s="23">
        <f>IFERROR(__xludf.DUMMYFUNCTION("""COMPUTED_VALUE"""),0.443)</f>
        <v>0.443</v>
      </c>
      <c r="J83" s="23">
        <f>IFERROR(__xludf.DUMMYFUNCTION("""COMPUTED_VALUE"""),82.0)</f>
        <v>82</v>
      </c>
      <c r="K83" s="23" t="b">
        <f>IFERROR(__xludf.DUMMYFUNCTION("""COMPUTED_VALUE"""),FALSE)</f>
        <v>0</v>
      </c>
      <c r="L83" s="23" t="str">
        <f>IFERROR(__xludf.DUMMYFUNCTION("""COMPUTED_VALUE"""),"Linked List;Two Pointers;")</f>
        <v>Linked List;Two Pointers;</v>
      </c>
      <c r="M83" s="23" t="b">
        <f>IFERROR(__xludf.DUMMYFUNCTION("""COMPUTED_VALUE"""),TRUE)</f>
        <v>1</v>
      </c>
      <c r="N83" s="23" t="b">
        <f>IFERROR(__xludf.DUMMYFUNCTION("""COMPUTED_VALUE"""),FALSE)</f>
        <v>0</v>
      </c>
      <c r="O83" s="23">
        <f>IFERROR(__xludf.DUMMYFUNCTION("""COMPUTED_VALUE"""),44.2835312848855)</f>
        <v>44.28353128</v>
      </c>
      <c r="P83" s="23">
        <f>IFERROR(__xludf.DUMMYFUNCTION("""COMPUTED_VALUE"""),483954.0)</f>
        <v>483954</v>
      </c>
      <c r="Q83" s="23">
        <f>IFERROR(__xludf.DUMMYFUNCTION("""COMPUTED_VALUE"""),1092857.0)</f>
        <v>1092857</v>
      </c>
    </row>
    <row r="84">
      <c r="A84" s="23">
        <f>IFERROR(__xludf.DUMMYFUNCTION("""COMPUTED_VALUE"""),83.0)</f>
        <v>83</v>
      </c>
      <c r="B84" s="23" t="str">
        <f>IFERROR(__xludf.DUMMYFUNCTION("""COMPUTED_VALUE"""),"Remove Duplicates from Sorted List")</f>
        <v>Remove Duplicates from Sorted List</v>
      </c>
      <c r="C84" s="23" t="str">
        <f>IFERROR(__xludf.DUMMYFUNCTION("""COMPUTED_VALUE"""),"remove-duplicates-from-sorted-list")</f>
        <v>remove-duplicates-from-sorted-list</v>
      </c>
      <c r="D84" s="23" t="b">
        <f>IFERROR(__xludf.DUMMYFUNCTION("""COMPUTED_VALUE"""),FALSE)</f>
        <v>0</v>
      </c>
      <c r="E84" s="23" t="str">
        <f>IFERROR(__xludf.DUMMYFUNCTION("""COMPUTED_VALUE"""),"Easy")</f>
        <v>Easy</v>
      </c>
      <c r="F84" s="23">
        <f>IFERROR(__xludf.DUMMYFUNCTION("""COMPUTED_VALUE"""),4690.0)</f>
        <v>4690</v>
      </c>
      <c r="G84" s="23">
        <f>IFERROR(__xludf.DUMMYFUNCTION("""COMPUTED_VALUE"""),184.0)</f>
        <v>184</v>
      </c>
      <c r="H84" s="23" t="str">
        <f>IFERROR(__xludf.DUMMYFUNCTION("""COMPUTED_VALUE"""),"Algorithms")</f>
        <v>Algorithms</v>
      </c>
      <c r="I84" s="23">
        <f>IFERROR(__xludf.DUMMYFUNCTION("""COMPUTED_VALUE"""),0.49)</f>
        <v>0.49</v>
      </c>
      <c r="J84" s="23">
        <f>IFERROR(__xludf.DUMMYFUNCTION("""COMPUTED_VALUE"""),83.0)</f>
        <v>83</v>
      </c>
      <c r="K84" s="23" t="b">
        <f>IFERROR(__xludf.DUMMYFUNCTION("""COMPUTED_VALUE"""),FALSE)</f>
        <v>0</v>
      </c>
      <c r="L84" s="23" t="str">
        <f>IFERROR(__xludf.DUMMYFUNCTION("""COMPUTED_VALUE"""),"Linked List;")</f>
        <v>Linked List;</v>
      </c>
      <c r="M84" s="23" t="b">
        <f>IFERROR(__xludf.DUMMYFUNCTION("""COMPUTED_VALUE"""),TRUE)</f>
        <v>1</v>
      </c>
      <c r="N84" s="23" t="b">
        <f>IFERROR(__xludf.DUMMYFUNCTION("""COMPUTED_VALUE"""),FALSE)</f>
        <v>0</v>
      </c>
      <c r="O84" s="23">
        <f>IFERROR(__xludf.DUMMYFUNCTION("""COMPUTED_VALUE"""),48.9961269025969)</f>
        <v>48.9961269</v>
      </c>
      <c r="P84" s="23">
        <f>IFERROR(__xludf.DUMMYFUNCTION("""COMPUTED_VALUE"""),847822.0)</f>
        <v>847822</v>
      </c>
      <c r="Q84" s="23">
        <f>IFERROR(__xludf.DUMMYFUNCTION("""COMPUTED_VALUE"""),1730389.0)</f>
        <v>1730389</v>
      </c>
    </row>
    <row r="85">
      <c r="A85" s="23">
        <f>IFERROR(__xludf.DUMMYFUNCTION("""COMPUTED_VALUE"""),84.0)</f>
        <v>84</v>
      </c>
      <c r="B85" s="23" t="str">
        <f>IFERROR(__xludf.DUMMYFUNCTION("""COMPUTED_VALUE"""),"Largest Rectangle in Histogram")</f>
        <v>Largest Rectangle in Histogram</v>
      </c>
      <c r="C85" s="23" t="str">
        <f>IFERROR(__xludf.DUMMYFUNCTION("""COMPUTED_VALUE"""),"largest-rectangle-in-histogram")</f>
        <v>largest-rectangle-in-histogram</v>
      </c>
      <c r="D85" s="23" t="b">
        <f>IFERROR(__xludf.DUMMYFUNCTION("""COMPUTED_VALUE"""),FALSE)</f>
        <v>0</v>
      </c>
      <c r="E85" s="23" t="str">
        <f>IFERROR(__xludf.DUMMYFUNCTION("""COMPUTED_VALUE"""),"Hard")</f>
        <v>Hard</v>
      </c>
      <c r="F85" s="23">
        <f>IFERROR(__xludf.DUMMYFUNCTION("""COMPUTED_VALUE"""),9732.0)</f>
        <v>9732</v>
      </c>
      <c r="G85" s="23">
        <f>IFERROR(__xludf.DUMMYFUNCTION("""COMPUTED_VALUE"""),143.0)</f>
        <v>143</v>
      </c>
      <c r="H85" s="23" t="str">
        <f>IFERROR(__xludf.DUMMYFUNCTION("""COMPUTED_VALUE"""),"Algorithms")</f>
        <v>Algorithms</v>
      </c>
      <c r="I85" s="23">
        <f>IFERROR(__xludf.DUMMYFUNCTION("""COMPUTED_VALUE"""),0.408)</f>
        <v>0.408</v>
      </c>
      <c r="J85" s="23">
        <f>IFERROR(__xludf.DUMMYFUNCTION("""COMPUTED_VALUE"""),84.0)</f>
        <v>84</v>
      </c>
      <c r="K85" s="23" t="b">
        <f>IFERROR(__xludf.DUMMYFUNCTION("""COMPUTED_VALUE"""),FALSE)</f>
        <v>0</v>
      </c>
      <c r="L85" s="23" t="str">
        <f>IFERROR(__xludf.DUMMYFUNCTION("""COMPUTED_VALUE"""),"Array;Stack;Monotonic Stack;")</f>
        <v>Array;Stack;Monotonic Stack;</v>
      </c>
      <c r="M85" s="23" t="b">
        <f>IFERROR(__xludf.DUMMYFUNCTION("""COMPUTED_VALUE"""),TRUE)</f>
        <v>1</v>
      </c>
      <c r="N85" s="23" t="b">
        <f>IFERROR(__xludf.DUMMYFUNCTION("""COMPUTED_VALUE"""),TRUE)</f>
        <v>1</v>
      </c>
      <c r="O85" s="23">
        <f>IFERROR(__xludf.DUMMYFUNCTION("""COMPUTED_VALUE"""),40.757898027111)</f>
        <v>40.75789803</v>
      </c>
      <c r="P85" s="23">
        <f>IFERROR(__xludf.DUMMYFUNCTION("""COMPUTED_VALUE"""),500710.0)</f>
        <v>500710</v>
      </c>
      <c r="Q85" s="23">
        <f>IFERROR(__xludf.DUMMYFUNCTION("""COMPUTED_VALUE"""),1228500.0)</f>
        <v>1228500</v>
      </c>
    </row>
    <row r="86">
      <c r="A86" s="23">
        <f>IFERROR(__xludf.DUMMYFUNCTION("""COMPUTED_VALUE"""),85.0)</f>
        <v>85</v>
      </c>
      <c r="B86" s="23" t="str">
        <f>IFERROR(__xludf.DUMMYFUNCTION("""COMPUTED_VALUE"""),"Maximal Rectangle")</f>
        <v>Maximal Rectangle</v>
      </c>
      <c r="C86" s="23" t="str">
        <f>IFERROR(__xludf.DUMMYFUNCTION("""COMPUTED_VALUE"""),"maximal-rectangle")</f>
        <v>maximal-rectangle</v>
      </c>
      <c r="D86" s="23" t="b">
        <f>IFERROR(__xludf.DUMMYFUNCTION("""COMPUTED_VALUE"""),FALSE)</f>
        <v>0</v>
      </c>
      <c r="E86" s="23" t="str">
        <f>IFERROR(__xludf.DUMMYFUNCTION("""COMPUTED_VALUE"""),"Hard")</f>
        <v>Hard</v>
      </c>
      <c r="F86" s="23">
        <f>IFERROR(__xludf.DUMMYFUNCTION("""COMPUTED_VALUE"""),6522.0)</f>
        <v>6522</v>
      </c>
      <c r="G86" s="23">
        <f>IFERROR(__xludf.DUMMYFUNCTION("""COMPUTED_VALUE"""),106.0)</f>
        <v>106</v>
      </c>
      <c r="H86" s="23" t="str">
        <f>IFERROR(__xludf.DUMMYFUNCTION("""COMPUTED_VALUE"""),"Algorithms")</f>
        <v>Algorithms</v>
      </c>
      <c r="I86" s="23">
        <f>IFERROR(__xludf.DUMMYFUNCTION("""COMPUTED_VALUE"""),0.427)</f>
        <v>0.427</v>
      </c>
      <c r="J86" s="23">
        <f>IFERROR(__xludf.DUMMYFUNCTION("""COMPUTED_VALUE"""),85.0)</f>
        <v>85</v>
      </c>
      <c r="K86" s="23" t="b">
        <f>IFERROR(__xludf.DUMMYFUNCTION("""COMPUTED_VALUE"""),FALSE)</f>
        <v>0</v>
      </c>
      <c r="L86" s="23" t="str">
        <f>IFERROR(__xludf.DUMMYFUNCTION("""COMPUTED_VALUE"""),"Array;Dynamic Programming;Stack;Matrix;Monotonic Stack;")</f>
        <v>Array;Dynamic Programming;Stack;Matrix;Monotonic Stack;</v>
      </c>
      <c r="M86" s="23" t="b">
        <f>IFERROR(__xludf.DUMMYFUNCTION("""COMPUTED_VALUE"""),TRUE)</f>
        <v>1</v>
      </c>
      <c r="N86" s="23" t="b">
        <f>IFERROR(__xludf.DUMMYFUNCTION("""COMPUTED_VALUE"""),FALSE)</f>
        <v>0</v>
      </c>
      <c r="O86" s="23">
        <f>IFERROR(__xludf.DUMMYFUNCTION("""COMPUTED_VALUE"""),42.7477873392882)</f>
        <v>42.74778734</v>
      </c>
      <c r="P86" s="23">
        <f>IFERROR(__xludf.DUMMYFUNCTION("""COMPUTED_VALUE"""),292788.0)</f>
        <v>292788</v>
      </c>
      <c r="Q86" s="23">
        <f>IFERROR(__xludf.DUMMYFUNCTION("""COMPUTED_VALUE"""),684921.0)</f>
        <v>684921</v>
      </c>
    </row>
    <row r="87">
      <c r="A87" s="23">
        <f>IFERROR(__xludf.DUMMYFUNCTION("""COMPUTED_VALUE"""),86.0)</f>
        <v>86</v>
      </c>
      <c r="B87" s="23" t="str">
        <f>IFERROR(__xludf.DUMMYFUNCTION("""COMPUTED_VALUE"""),"Partition List")</f>
        <v>Partition List</v>
      </c>
      <c r="C87" s="23" t="str">
        <f>IFERROR(__xludf.DUMMYFUNCTION("""COMPUTED_VALUE"""),"partition-list")</f>
        <v>partition-list</v>
      </c>
      <c r="D87" s="23" t="b">
        <f>IFERROR(__xludf.DUMMYFUNCTION("""COMPUTED_VALUE"""),FALSE)</f>
        <v>0</v>
      </c>
      <c r="E87" s="23" t="str">
        <f>IFERROR(__xludf.DUMMYFUNCTION("""COMPUTED_VALUE"""),"Medium")</f>
        <v>Medium</v>
      </c>
      <c r="F87" s="23">
        <f>IFERROR(__xludf.DUMMYFUNCTION("""COMPUTED_VALUE"""),3411.0)</f>
        <v>3411</v>
      </c>
      <c r="G87" s="23">
        <f>IFERROR(__xludf.DUMMYFUNCTION("""COMPUTED_VALUE"""),477.0)</f>
        <v>477</v>
      </c>
      <c r="H87" s="23" t="str">
        <f>IFERROR(__xludf.DUMMYFUNCTION("""COMPUTED_VALUE"""),"Algorithms")</f>
        <v>Algorithms</v>
      </c>
      <c r="I87" s="23">
        <f>IFERROR(__xludf.DUMMYFUNCTION("""COMPUTED_VALUE"""),0.479)</f>
        <v>0.479</v>
      </c>
      <c r="J87" s="23">
        <f>IFERROR(__xludf.DUMMYFUNCTION("""COMPUTED_VALUE"""),86.0)</f>
        <v>86</v>
      </c>
      <c r="K87" s="23" t="b">
        <f>IFERROR(__xludf.DUMMYFUNCTION("""COMPUTED_VALUE"""),FALSE)</f>
        <v>0</v>
      </c>
      <c r="L87" s="23" t="str">
        <f>IFERROR(__xludf.DUMMYFUNCTION("""COMPUTED_VALUE"""),"Linked List;Two Pointers;")</f>
        <v>Linked List;Two Pointers;</v>
      </c>
      <c r="M87" s="23" t="b">
        <f>IFERROR(__xludf.DUMMYFUNCTION("""COMPUTED_VALUE"""),TRUE)</f>
        <v>1</v>
      </c>
      <c r="N87" s="23" t="b">
        <f>IFERROR(__xludf.DUMMYFUNCTION("""COMPUTED_VALUE"""),FALSE)</f>
        <v>0</v>
      </c>
      <c r="O87" s="23">
        <f>IFERROR(__xludf.DUMMYFUNCTION("""COMPUTED_VALUE"""),47.8539472193906)</f>
        <v>47.85394722</v>
      </c>
      <c r="P87" s="23">
        <f>IFERROR(__xludf.DUMMYFUNCTION("""COMPUTED_VALUE"""),338002.0)</f>
        <v>338002</v>
      </c>
      <c r="Q87" s="23">
        <f>IFERROR(__xludf.DUMMYFUNCTION("""COMPUTED_VALUE"""),706319.0)</f>
        <v>706319</v>
      </c>
    </row>
    <row r="88">
      <c r="A88" s="23">
        <f>IFERROR(__xludf.DUMMYFUNCTION("""COMPUTED_VALUE"""),87.0)</f>
        <v>87</v>
      </c>
      <c r="B88" s="23" t="str">
        <f>IFERROR(__xludf.DUMMYFUNCTION("""COMPUTED_VALUE"""),"Scramble String")</f>
        <v>Scramble String</v>
      </c>
      <c r="C88" s="23" t="str">
        <f>IFERROR(__xludf.DUMMYFUNCTION("""COMPUTED_VALUE"""),"scramble-string")</f>
        <v>scramble-string</v>
      </c>
      <c r="D88" s="23" t="b">
        <f>IFERROR(__xludf.DUMMYFUNCTION("""COMPUTED_VALUE"""),FALSE)</f>
        <v>0</v>
      </c>
      <c r="E88" s="23" t="str">
        <f>IFERROR(__xludf.DUMMYFUNCTION("""COMPUTED_VALUE"""),"Hard")</f>
        <v>Hard</v>
      </c>
      <c r="F88" s="23">
        <f>IFERROR(__xludf.DUMMYFUNCTION("""COMPUTED_VALUE"""),1421.0)</f>
        <v>1421</v>
      </c>
      <c r="G88" s="23">
        <f>IFERROR(__xludf.DUMMYFUNCTION("""COMPUTED_VALUE"""),929.0)</f>
        <v>929</v>
      </c>
      <c r="H88" s="23" t="str">
        <f>IFERROR(__xludf.DUMMYFUNCTION("""COMPUTED_VALUE"""),"Algorithms")</f>
        <v>Algorithms</v>
      </c>
      <c r="I88" s="23">
        <f>IFERROR(__xludf.DUMMYFUNCTION("""COMPUTED_VALUE"""),0.356)</f>
        <v>0.356</v>
      </c>
      <c r="J88" s="23">
        <f>IFERROR(__xludf.DUMMYFUNCTION("""COMPUTED_VALUE"""),87.0)</f>
        <v>87</v>
      </c>
      <c r="K88" s="23" t="b">
        <f>IFERROR(__xludf.DUMMYFUNCTION("""COMPUTED_VALUE"""),FALSE)</f>
        <v>0</v>
      </c>
      <c r="L88" s="23" t="str">
        <f>IFERROR(__xludf.DUMMYFUNCTION("""COMPUTED_VALUE"""),"String;Dynamic Programming;")</f>
        <v>String;Dynamic Programming;</v>
      </c>
      <c r="M88" s="23" t="b">
        <f>IFERROR(__xludf.DUMMYFUNCTION("""COMPUTED_VALUE"""),FALSE)</f>
        <v>0</v>
      </c>
      <c r="N88" s="23" t="b">
        <f>IFERROR(__xludf.DUMMYFUNCTION("""COMPUTED_VALUE"""),FALSE)</f>
        <v>0</v>
      </c>
      <c r="O88" s="23">
        <f>IFERROR(__xludf.DUMMYFUNCTION("""COMPUTED_VALUE"""),35.5957256111752)</f>
        <v>35.59572561</v>
      </c>
      <c r="P88" s="23">
        <f>IFERROR(__xludf.DUMMYFUNCTION("""COMPUTED_VALUE"""),143769.0)</f>
        <v>143769</v>
      </c>
      <c r="Q88" s="23">
        <f>IFERROR(__xludf.DUMMYFUNCTION("""COMPUTED_VALUE"""),403894.0)</f>
        <v>403894</v>
      </c>
    </row>
    <row r="89">
      <c r="A89" s="23">
        <f>IFERROR(__xludf.DUMMYFUNCTION("""COMPUTED_VALUE"""),88.0)</f>
        <v>88</v>
      </c>
      <c r="B89" s="23" t="str">
        <f>IFERROR(__xludf.DUMMYFUNCTION("""COMPUTED_VALUE"""),"Merge Sorted Array")</f>
        <v>Merge Sorted Array</v>
      </c>
      <c r="C89" s="23" t="str">
        <f>IFERROR(__xludf.DUMMYFUNCTION("""COMPUTED_VALUE"""),"merge-sorted-array")</f>
        <v>merge-sorted-array</v>
      </c>
      <c r="D89" s="23" t="b">
        <f>IFERROR(__xludf.DUMMYFUNCTION("""COMPUTED_VALUE"""),FALSE)</f>
        <v>0</v>
      </c>
      <c r="E89" s="23" t="str">
        <f>IFERROR(__xludf.DUMMYFUNCTION("""COMPUTED_VALUE"""),"Easy")</f>
        <v>Easy</v>
      </c>
      <c r="F89" s="23">
        <f>IFERROR(__xludf.DUMMYFUNCTION("""COMPUTED_VALUE"""),4348.0)</f>
        <v>4348</v>
      </c>
      <c r="G89" s="23">
        <f>IFERROR(__xludf.DUMMYFUNCTION("""COMPUTED_VALUE"""),422.0)</f>
        <v>422</v>
      </c>
      <c r="H89" s="23" t="str">
        <f>IFERROR(__xludf.DUMMYFUNCTION("""COMPUTED_VALUE"""),"Algorithms")</f>
        <v>Algorithms</v>
      </c>
      <c r="I89" s="23">
        <f>IFERROR(__xludf.DUMMYFUNCTION("""COMPUTED_VALUE"""),0.438)</f>
        <v>0.438</v>
      </c>
      <c r="J89" s="23">
        <f>IFERROR(__xludf.DUMMYFUNCTION("""COMPUTED_VALUE"""),88.0)</f>
        <v>88</v>
      </c>
      <c r="K89" s="23" t="b">
        <f>IFERROR(__xludf.DUMMYFUNCTION("""COMPUTED_VALUE"""),FALSE)</f>
        <v>0</v>
      </c>
      <c r="L89" s="23" t="str">
        <f>IFERROR(__xludf.DUMMYFUNCTION("""COMPUTED_VALUE"""),"Array;Two Pointers;Sorting;")</f>
        <v>Array;Two Pointers;Sorting;</v>
      </c>
      <c r="M89" s="23" t="b">
        <f>IFERROR(__xludf.DUMMYFUNCTION("""COMPUTED_VALUE"""),TRUE)</f>
        <v>1</v>
      </c>
      <c r="N89" s="23" t="b">
        <f>IFERROR(__xludf.DUMMYFUNCTION("""COMPUTED_VALUE"""),FALSE)</f>
        <v>0</v>
      </c>
      <c r="O89" s="23">
        <f>IFERROR(__xludf.DUMMYFUNCTION("""COMPUTED_VALUE"""),43.813961667526)</f>
        <v>43.81396167</v>
      </c>
      <c r="P89" s="23">
        <f>IFERROR(__xludf.DUMMYFUNCTION("""COMPUTED_VALUE"""),1360369.0)</f>
        <v>1360369</v>
      </c>
      <c r="Q89" s="23">
        <f>IFERROR(__xludf.DUMMYFUNCTION("""COMPUTED_VALUE"""),3104879.0)</f>
        <v>3104879</v>
      </c>
    </row>
    <row r="90">
      <c r="A90" s="23">
        <f>IFERROR(__xludf.DUMMYFUNCTION("""COMPUTED_VALUE"""),89.0)</f>
        <v>89</v>
      </c>
      <c r="B90" s="23" t="str">
        <f>IFERROR(__xludf.DUMMYFUNCTION("""COMPUTED_VALUE"""),"Gray Code")</f>
        <v>Gray Code</v>
      </c>
      <c r="C90" s="23" t="str">
        <f>IFERROR(__xludf.DUMMYFUNCTION("""COMPUTED_VALUE"""),"gray-code")</f>
        <v>gray-code</v>
      </c>
      <c r="D90" s="23" t="b">
        <f>IFERROR(__xludf.DUMMYFUNCTION("""COMPUTED_VALUE"""),FALSE)</f>
        <v>0</v>
      </c>
      <c r="E90" s="23" t="str">
        <f>IFERROR(__xludf.DUMMYFUNCTION("""COMPUTED_VALUE"""),"Medium")</f>
        <v>Medium</v>
      </c>
      <c r="F90" s="23">
        <f>IFERROR(__xludf.DUMMYFUNCTION("""COMPUTED_VALUE"""),1428.0)</f>
        <v>1428</v>
      </c>
      <c r="G90" s="23">
        <f>IFERROR(__xludf.DUMMYFUNCTION("""COMPUTED_VALUE"""),2253.0)</f>
        <v>2253</v>
      </c>
      <c r="H90" s="23" t="str">
        <f>IFERROR(__xludf.DUMMYFUNCTION("""COMPUTED_VALUE"""),"Algorithms")</f>
        <v>Algorithms</v>
      </c>
      <c r="I90" s="23">
        <f>IFERROR(__xludf.DUMMYFUNCTION("""COMPUTED_VALUE"""),0.552)</f>
        <v>0.552</v>
      </c>
      <c r="J90" s="23">
        <f>IFERROR(__xludf.DUMMYFUNCTION("""COMPUTED_VALUE"""),89.0)</f>
        <v>89</v>
      </c>
      <c r="K90" s="23" t="b">
        <f>IFERROR(__xludf.DUMMYFUNCTION("""COMPUTED_VALUE"""),FALSE)</f>
        <v>0</v>
      </c>
      <c r="L90" s="23" t="str">
        <f>IFERROR(__xludf.DUMMYFUNCTION("""COMPUTED_VALUE"""),"Math;Backtracking;Bit Manipulation;")</f>
        <v>Math;Backtracking;Bit Manipulation;</v>
      </c>
      <c r="M90" s="23" t="b">
        <f>IFERROR(__xludf.DUMMYFUNCTION("""COMPUTED_VALUE"""),TRUE)</f>
        <v>1</v>
      </c>
      <c r="N90" s="23" t="b">
        <f>IFERROR(__xludf.DUMMYFUNCTION("""COMPUTED_VALUE"""),FALSE)</f>
        <v>0</v>
      </c>
      <c r="O90" s="23">
        <f>IFERROR(__xludf.DUMMYFUNCTION("""COMPUTED_VALUE"""),55.2381655993879)</f>
        <v>55.2381656</v>
      </c>
      <c r="P90" s="23">
        <f>IFERROR(__xludf.DUMMYFUNCTION("""COMPUTED_VALUE"""),231779.0)</f>
        <v>231779</v>
      </c>
      <c r="Q90" s="23">
        <f>IFERROR(__xludf.DUMMYFUNCTION("""COMPUTED_VALUE"""),419601.0)</f>
        <v>419601</v>
      </c>
    </row>
    <row r="91">
      <c r="A91" s="23">
        <f>IFERROR(__xludf.DUMMYFUNCTION("""COMPUTED_VALUE"""),90.0)</f>
        <v>90</v>
      </c>
      <c r="B91" s="23" t="str">
        <f>IFERROR(__xludf.DUMMYFUNCTION("""COMPUTED_VALUE"""),"Subsets II")</f>
        <v>Subsets II</v>
      </c>
      <c r="C91" s="23" t="str">
        <f>IFERROR(__xludf.DUMMYFUNCTION("""COMPUTED_VALUE"""),"subsets-ii")</f>
        <v>subsets-ii</v>
      </c>
      <c r="D91" s="23" t="b">
        <f>IFERROR(__xludf.DUMMYFUNCTION("""COMPUTED_VALUE"""),FALSE)</f>
        <v>0</v>
      </c>
      <c r="E91" s="23" t="str">
        <f>IFERROR(__xludf.DUMMYFUNCTION("""COMPUTED_VALUE"""),"Medium")</f>
        <v>Medium</v>
      </c>
      <c r="F91" s="23">
        <f>IFERROR(__xludf.DUMMYFUNCTION("""COMPUTED_VALUE"""),4913.0)</f>
        <v>4913</v>
      </c>
      <c r="G91" s="23">
        <f>IFERROR(__xludf.DUMMYFUNCTION("""COMPUTED_VALUE"""),150.0)</f>
        <v>150</v>
      </c>
      <c r="H91" s="23" t="str">
        <f>IFERROR(__xludf.DUMMYFUNCTION("""COMPUTED_VALUE"""),"Algorithms")</f>
        <v>Algorithms</v>
      </c>
      <c r="I91" s="23">
        <f>IFERROR(__xludf.DUMMYFUNCTION("""COMPUTED_VALUE"""),0.532)</f>
        <v>0.532</v>
      </c>
      <c r="J91" s="23">
        <f>IFERROR(__xludf.DUMMYFUNCTION("""COMPUTED_VALUE"""),90.0)</f>
        <v>90</v>
      </c>
      <c r="K91" s="23" t="b">
        <f>IFERROR(__xludf.DUMMYFUNCTION("""COMPUTED_VALUE"""),FALSE)</f>
        <v>0</v>
      </c>
      <c r="L91" s="23" t="str">
        <f>IFERROR(__xludf.DUMMYFUNCTION("""COMPUTED_VALUE"""),"Array;Backtracking;Bit Manipulation;")</f>
        <v>Array;Backtracking;Bit Manipulation;</v>
      </c>
      <c r="M91" s="23" t="b">
        <f>IFERROR(__xludf.DUMMYFUNCTION("""COMPUTED_VALUE"""),TRUE)</f>
        <v>1</v>
      </c>
      <c r="N91" s="23" t="b">
        <f>IFERROR(__xludf.DUMMYFUNCTION("""COMPUTED_VALUE"""),FALSE)</f>
        <v>0</v>
      </c>
      <c r="O91" s="23">
        <f>IFERROR(__xludf.DUMMYFUNCTION("""COMPUTED_VALUE"""),53.2044772934655)</f>
        <v>53.20447729</v>
      </c>
      <c r="P91" s="23">
        <f>IFERROR(__xludf.DUMMYFUNCTION("""COMPUTED_VALUE"""),496193.0)</f>
        <v>496193</v>
      </c>
      <c r="Q91" s="23">
        <f>IFERROR(__xludf.DUMMYFUNCTION("""COMPUTED_VALUE"""),932615.0)</f>
        <v>932615</v>
      </c>
    </row>
    <row r="92">
      <c r="A92" s="23">
        <f>IFERROR(__xludf.DUMMYFUNCTION("""COMPUTED_VALUE"""),91.0)</f>
        <v>91</v>
      </c>
      <c r="B92" s="23" t="str">
        <f>IFERROR(__xludf.DUMMYFUNCTION("""COMPUTED_VALUE"""),"Decode Ways")</f>
        <v>Decode Ways</v>
      </c>
      <c r="C92" s="23" t="str">
        <f>IFERROR(__xludf.DUMMYFUNCTION("""COMPUTED_VALUE"""),"decode-ways")</f>
        <v>decode-ways</v>
      </c>
      <c r="D92" s="23" t="b">
        <f>IFERROR(__xludf.DUMMYFUNCTION("""COMPUTED_VALUE"""),FALSE)</f>
        <v>0</v>
      </c>
      <c r="E92" s="23" t="str">
        <f>IFERROR(__xludf.DUMMYFUNCTION("""COMPUTED_VALUE"""),"Medium")</f>
        <v>Medium</v>
      </c>
      <c r="F92" s="23">
        <f>IFERROR(__xludf.DUMMYFUNCTION("""COMPUTED_VALUE"""),6750.0)</f>
        <v>6750</v>
      </c>
      <c r="G92" s="23">
        <f>IFERROR(__xludf.DUMMYFUNCTION("""COMPUTED_VALUE"""),3807.0)</f>
        <v>3807</v>
      </c>
      <c r="H92" s="23" t="str">
        <f>IFERROR(__xludf.DUMMYFUNCTION("""COMPUTED_VALUE"""),"Algorithms")</f>
        <v>Algorithms</v>
      </c>
      <c r="I92" s="23">
        <f>IFERROR(__xludf.DUMMYFUNCTION("""COMPUTED_VALUE"""),0.302)</f>
        <v>0.302</v>
      </c>
      <c r="J92" s="23">
        <f>IFERROR(__xludf.DUMMYFUNCTION("""COMPUTED_VALUE"""),91.0)</f>
        <v>91</v>
      </c>
      <c r="K92" s="23" t="b">
        <f>IFERROR(__xludf.DUMMYFUNCTION("""COMPUTED_VALUE"""),FALSE)</f>
        <v>0</v>
      </c>
      <c r="L92" s="23" t="str">
        <f>IFERROR(__xludf.DUMMYFUNCTION("""COMPUTED_VALUE"""),"String;Dynamic Programming;")</f>
        <v>String;Dynamic Programming;</v>
      </c>
      <c r="M92" s="23" t="b">
        <f>IFERROR(__xludf.DUMMYFUNCTION("""COMPUTED_VALUE"""),TRUE)</f>
        <v>1</v>
      </c>
      <c r="N92" s="23" t="b">
        <f>IFERROR(__xludf.DUMMYFUNCTION("""COMPUTED_VALUE"""),TRUE)</f>
        <v>1</v>
      </c>
      <c r="O92" s="23">
        <f>IFERROR(__xludf.DUMMYFUNCTION("""COMPUTED_VALUE"""),30.2186205493674)</f>
        <v>30.21862055</v>
      </c>
      <c r="P92" s="23">
        <f>IFERROR(__xludf.DUMMYFUNCTION("""COMPUTED_VALUE"""),770994.0)</f>
        <v>770994</v>
      </c>
      <c r="Q92" s="23">
        <f>IFERROR(__xludf.DUMMYFUNCTION("""COMPUTED_VALUE"""),2551396.0)</f>
        <v>2551396</v>
      </c>
    </row>
    <row r="93">
      <c r="A93" s="23">
        <f>IFERROR(__xludf.DUMMYFUNCTION("""COMPUTED_VALUE"""),92.0)</f>
        <v>92</v>
      </c>
      <c r="B93" s="23" t="str">
        <f>IFERROR(__xludf.DUMMYFUNCTION("""COMPUTED_VALUE"""),"Reverse Linked List II")</f>
        <v>Reverse Linked List II</v>
      </c>
      <c r="C93" s="23" t="str">
        <f>IFERROR(__xludf.DUMMYFUNCTION("""COMPUTED_VALUE"""),"reverse-linked-list-ii")</f>
        <v>reverse-linked-list-ii</v>
      </c>
      <c r="D93" s="23" t="b">
        <f>IFERROR(__xludf.DUMMYFUNCTION("""COMPUTED_VALUE"""),FALSE)</f>
        <v>0</v>
      </c>
      <c r="E93" s="23" t="str">
        <f>IFERROR(__xludf.DUMMYFUNCTION("""COMPUTED_VALUE"""),"Medium")</f>
        <v>Medium</v>
      </c>
      <c r="F93" s="23">
        <f>IFERROR(__xludf.DUMMYFUNCTION("""COMPUTED_VALUE"""),6013.0)</f>
        <v>6013</v>
      </c>
      <c r="G93" s="23">
        <f>IFERROR(__xludf.DUMMYFUNCTION("""COMPUTED_VALUE"""),284.0)</f>
        <v>284</v>
      </c>
      <c r="H93" s="23" t="str">
        <f>IFERROR(__xludf.DUMMYFUNCTION("""COMPUTED_VALUE"""),"Algorithms")</f>
        <v>Algorithms</v>
      </c>
      <c r="I93" s="23">
        <f>IFERROR(__xludf.DUMMYFUNCTION("""COMPUTED_VALUE"""),0.434)</f>
        <v>0.434</v>
      </c>
      <c r="J93" s="23">
        <f>IFERROR(__xludf.DUMMYFUNCTION("""COMPUTED_VALUE"""),92.0)</f>
        <v>92</v>
      </c>
      <c r="K93" s="23" t="b">
        <f>IFERROR(__xludf.DUMMYFUNCTION("""COMPUTED_VALUE"""),FALSE)</f>
        <v>0</v>
      </c>
      <c r="L93" s="23" t="str">
        <f>IFERROR(__xludf.DUMMYFUNCTION("""COMPUTED_VALUE"""),"Linked List;")</f>
        <v>Linked List;</v>
      </c>
      <c r="M93" s="23" t="b">
        <f>IFERROR(__xludf.DUMMYFUNCTION("""COMPUTED_VALUE"""),TRUE)</f>
        <v>1</v>
      </c>
      <c r="N93" s="23" t="b">
        <f>IFERROR(__xludf.DUMMYFUNCTION("""COMPUTED_VALUE"""),FALSE)</f>
        <v>0</v>
      </c>
      <c r="O93" s="23">
        <f>IFERROR(__xludf.DUMMYFUNCTION("""COMPUTED_VALUE"""),43.3762230790229)</f>
        <v>43.37622308</v>
      </c>
      <c r="P93" s="23">
        <f>IFERROR(__xludf.DUMMYFUNCTION("""COMPUTED_VALUE"""),475095.0)</f>
        <v>475095</v>
      </c>
      <c r="Q93" s="23">
        <f>IFERROR(__xludf.DUMMYFUNCTION("""COMPUTED_VALUE"""),1095286.0)</f>
        <v>1095286</v>
      </c>
    </row>
    <row r="94">
      <c r="A94" s="23">
        <f>IFERROR(__xludf.DUMMYFUNCTION("""COMPUTED_VALUE"""),93.0)</f>
        <v>93</v>
      </c>
      <c r="B94" s="23" t="str">
        <f>IFERROR(__xludf.DUMMYFUNCTION("""COMPUTED_VALUE"""),"Restore IP Addresses")</f>
        <v>Restore IP Addresses</v>
      </c>
      <c r="C94" s="23" t="str">
        <f>IFERROR(__xludf.DUMMYFUNCTION("""COMPUTED_VALUE"""),"restore-ip-addresses")</f>
        <v>restore-ip-addresses</v>
      </c>
      <c r="D94" s="23" t="b">
        <f>IFERROR(__xludf.DUMMYFUNCTION("""COMPUTED_VALUE"""),FALSE)</f>
        <v>0</v>
      </c>
      <c r="E94" s="23" t="str">
        <f>IFERROR(__xludf.DUMMYFUNCTION("""COMPUTED_VALUE"""),"Medium")</f>
        <v>Medium</v>
      </c>
      <c r="F94" s="23">
        <f>IFERROR(__xludf.DUMMYFUNCTION("""COMPUTED_VALUE"""),2671.0)</f>
        <v>2671</v>
      </c>
      <c r="G94" s="23">
        <f>IFERROR(__xludf.DUMMYFUNCTION("""COMPUTED_VALUE"""),627.0)</f>
        <v>627</v>
      </c>
      <c r="H94" s="23" t="str">
        <f>IFERROR(__xludf.DUMMYFUNCTION("""COMPUTED_VALUE"""),"Algorithms")</f>
        <v>Algorithms</v>
      </c>
      <c r="I94" s="23">
        <f>IFERROR(__xludf.DUMMYFUNCTION("""COMPUTED_VALUE"""),0.418)</f>
        <v>0.418</v>
      </c>
      <c r="J94" s="23">
        <f>IFERROR(__xludf.DUMMYFUNCTION("""COMPUTED_VALUE"""),93.0)</f>
        <v>93</v>
      </c>
      <c r="K94" s="23" t="b">
        <f>IFERROR(__xludf.DUMMYFUNCTION("""COMPUTED_VALUE"""),FALSE)</f>
        <v>0</v>
      </c>
      <c r="L94" s="23" t="str">
        <f>IFERROR(__xludf.DUMMYFUNCTION("""COMPUTED_VALUE"""),"String;Backtracking;")</f>
        <v>String;Backtracking;</v>
      </c>
      <c r="M94" s="23" t="b">
        <f>IFERROR(__xludf.DUMMYFUNCTION("""COMPUTED_VALUE"""),TRUE)</f>
        <v>1</v>
      </c>
      <c r="N94" s="23" t="b">
        <f>IFERROR(__xludf.DUMMYFUNCTION("""COMPUTED_VALUE"""),FALSE)</f>
        <v>0</v>
      </c>
      <c r="O94" s="23">
        <f>IFERROR(__xludf.DUMMYFUNCTION("""COMPUTED_VALUE"""),41.8054130495224)</f>
        <v>41.80541305</v>
      </c>
      <c r="P94" s="23">
        <f>IFERROR(__xludf.DUMMYFUNCTION("""COMPUTED_VALUE"""),296211.0)</f>
        <v>296211</v>
      </c>
      <c r="Q94" s="23">
        <f>IFERROR(__xludf.DUMMYFUNCTION("""COMPUTED_VALUE"""),708547.0)</f>
        <v>708547</v>
      </c>
    </row>
    <row r="95">
      <c r="A95" s="23">
        <f>IFERROR(__xludf.DUMMYFUNCTION("""COMPUTED_VALUE"""),94.0)</f>
        <v>94</v>
      </c>
      <c r="B95" s="23" t="str">
        <f>IFERROR(__xludf.DUMMYFUNCTION("""COMPUTED_VALUE"""),"Binary Tree Inorder Traversal")</f>
        <v>Binary Tree Inorder Traversal</v>
      </c>
      <c r="C95" s="23" t="str">
        <f>IFERROR(__xludf.DUMMYFUNCTION("""COMPUTED_VALUE"""),"binary-tree-inorder-traversal")</f>
        <v>binary-tree-inorder-traversal</v>
      </c>
      <c r="D95" s="23" t="b">
        <f>IFERROR(__xludf.DUMMYFUNCTION("""COMPUTED_VALUE"""),FALSE)</f>
        <v>0</v>
      </c>
      <c r="E95" s="23" t="str">
        <f>IFERROR(__xludf.DUMMYFUNCTION("""COMPUTED_VALUE"""),"Easy")</f>
        <v>Easy</v>
      </c>
      <c r="F95" s="23">
        <f>IFERROR(__xludf.DUMMYFUNCTION("""COMPUTED_VALUE"""),7520.0)</f>
        <v>7520</v>
      </c>
      <c r="G95" s="23">
        <f>IFERROR(__xludf.DUMMYFUNCTION("""COMPUTED_VALUE"""),341.0)</f>
        <v>341</v>
      </c>
      <c r="H95" s="23" t="str">
        <f>IFERROR(__xludf.DUMMYFUNCTION("""COMPUTED_VALUE"""),"Algorithms")</f>
        <v>Algorithms</v>
      </c>
      <c r="I95" s="23">
        <f>IFERROR(__xludf.DUMMYFUNCTION("""COMPUTED_VALUE"""),0.707)</f>
        <v>0.707</v>
      </c>
      <c r="J95" s="23">
        <f>IFERROR(__xludf.DUMMYFUNCTION("""COMPUTED_VALUE"""),94.0)</f>
        <v>94</v>
      </c>
      <c r="K95" s="23" t="b">
        <f>IFERROR(__xludf.DUMMYFUNCTION("""COMPUTED_VALUE"""),FALSE)</f>
        <v>0</v>
      </c>
      <c r="L95" s="23" t="str">
        <f>IFERROR(__xludf.DUMMYFUNCTION("""COMPUTED_VALUE"""),"Stack;Tree;Depth-First Search;Binary Tree;")</f>
        <v>Stack;Tree;Depth-First Search;Binary Tree;</v>
      </c>
      <c r="M95" s="23" t="b">
        <f>IFERROR(__xludf.DUMMYFUNCTION("""COMPUTED_VALUE"""),TRUE)</f>
        <v>1</v>
      </c>
      <c r="N95" s="23" t="b">
        <f>IFERROR(__xludf.DUMMYFUNCTION("""COMPUTED_VALUE"""),FALSE)</f>
        <v>0</v>
      </c>
      <c r="O95" s="23">
        <f>IFERROR(__xludf.DUMMYFUNCTION("""COMPUTED_VALUE"""),70.7190575791019)</f>
        <v>70.71905758</v>
      </c>
      <c r="P95" s="23">
        <f>IFERROR(__xludf.DUMMYFUNCTION("""COMPUTED_VALUE"""),1443040.0)</f>
        <v>1443040</v>
      </c>
      <c r="Q95" s="23">
        <f>IFERROR(__xludf.DUMMYFUNCTION("""COMPUTED_VALUE"""),2040525.0)</f>
        <v>2040525</v>
      </c>
    </row>
    <row r="96">
      <c r="A96" s="23">
        <f>IFERROR(__xludf.DUMMYFUNCTION("""COMPUTED_VALUE"""),95.0)</f>
        <v>95</v>
      </c>
      <c r="B96" s="23" t="str">
        <f>IFERROR(__xludf.DUMMYFUNCTION("""COMPUTED_VALUE"""),"Unique Binary Search Trees II")</f>
        <v>Unique Binary Search Trees II</v>
      </c>
      <c r="C96" s="23" t="str">
        <f>IFERROR(__xludf.DUMMYFUNCTION("""COMPUTED_VALUE"""),"unique-binary-search-trees-ii")</f>
        <v>unique-binary-search-trees-ii</v>
      </c>
      <c r="D96" s="23" t="b">
        <f>IFERROR(__xludf.DUMMYFUNCTION("""COMPUTED_VALUE"""),FALSE)</f>
        <v>0</v>
      </c>
      <c r="E96" s="23" t="str">
        <f>IFERROR(__xludf.DUMMYFUNCTION("""COMPUTED_VALUE"""),"Medium")</f>
        <v>Medium</v>
      </c>
      <c r="F96" s="23">
        <f>IFERROR(__xludf.DUMMYFUNCTION("""COMPUTED_VALUE"""),4663.0)</f>
        <v>4663</v>
      </c>
      <c r="G96" s="23">
        <f>IFERROR(__xludf.DUMMYFUNCTION("""COMPUTED_VALUE"""),306.0)</f>
        <v>306</v>
      </c>
      <c r="H96" s="23" t="str">
        <f>IFERROR(__xludf.DUMMYFUNCTION("""COMPUTED_VALUE"""),"Algorithms")</f>
        <v>Algorithms</v>
      </c>
      <c r="I96" s="23">
        <f>IFERROR(__xludf.DUMMYFUNCTION("""COMPUTED_VALUE"""),0.494)</f>
        <v>0.494</v>
      </c>
      <c r="J96" s="23">
        <f>IFERROR(__xludf.DUMMYFUNCTION("""COMPUTED_VALUE"""),95.0)</f>
        <v>95</v>
      </c>
      <c r="K96" s="23" t="b">
        <f>IFERROR(__xludf.DUMMYFUNCTION("""COMPUTED_VALUE"""),FALSE)</f>
        <v>0</v>
      </c>
      <c r="L96" s="23" t="str">
        <f>IFERROR(__xludf.DUMMYFUNCTION("""COMPUTED_VALUE"""),"Dynamic Programming;Backtracking;Tree;Binary Search Tree;Binary Tree;")</f>
        <v>Dynamic Programming;Backtracking;Tree;Binary Search Tree;Binary Tree;</v>
      </c>
      <c r="M96" s="23" t="b">
        <f>IFERROR(__xludf.DUMMYFUNCTION("""COMPUTED_VALUE"""),TRUE)</f>
        <v>1</v>
      </c>
      <c r="N96" s="23" t="b">
        <f>IFERROR(__xludf.DUMMYFUNCTION("""COMPUTED_VALUE"""),FALSE)</f>
        <v>0</v>
      </c>
      <c r="O96" s="23">
        <f>IFERROR(__xludf.DUMMYFUNCTION("""COMPUTED_VALUE"""),49.4211246767071)</f>
        <v>49.42112468</v>
      </c>
      <c r="P96" s="23">
        <f>IFERROR(__xludf.DUMMYFUNCTION("""COMPUTED_VALUE"""),303633.0)</f>
        <v>303633</v>
      </c>
      <c r="Q96" s="23">
        <f>IFERROR(__xludf.DUMMYFUNCTION("""COMPUTED_VALUE"""),614380.0)</f>
        <v>614380</v>
      </c>
    </row>
    <row r="97">
      <c r="A97" s="23">
        <f>IFERROR(__xludf.DUMMYFUNCTION("""COMPUTED_VALUE"""),96.0)</f>
        <v>96</v>
      </c>
      <c r="B97" s="23" t="str">
        <f>IFERROR(__xludf.DUMMYFUNCTION("""COMPUTED_VALUE"""),"Unique Binary Search Trees")</f>
        <v>Unique Binary Search Trees</v>
      </c>
      <c r="C97" s="23" t="str">
        <f>IFERROR(__xludf.DUMMYFUNCTION("""COMPUTED_VALUE"""),"unique-binary-search-trees")</f>
        <v>unique-binary-search-trees</v>
      </c>
      <c r="D97" s="23" t="b">
        <f>IFERROR(__xludf.DUMMYFUNCTION("""COMPUTED_VALUE"""),FALSE)</f>
        <v>0</v>
      </c>
      <c r="E97" s="23" t="str">
        <f>IFERROR(__xludf.DUMMYFUNCTION("""COMPUTED_VALUE"""),"Medium")</f>
        <v>Medium</v>
      </c>
      <c r="F97" s="23">
        <f>IFERROR(__xludf.DUMMYFUNCTION("""COMPUTED_VALUE"""),7117.0)</f>
        <v>7117</v>
      </c>
      <c r="G97" s="23">
        <f>IFERROR(__xludf.DUMMYFUNCTION("""COMPUTED_VALUE"""),289.0)</f>
        <v>289</v>
      </c>
      <c r="H97" s="23" t="str">
        <f>IFERROR(__xludf.DUMMYFUNCTION("""COMPUTED_VALUE"""),"Algorithms")</f>
        <v>Algorithms</v>
      </c>
      <c r="I97" s="23">
        <f>IFERROR(__xludf.DUMMYFUNCTION("""COMPUTED_VALUE"""),0.583)</f>
        <v>0.583</v>
      </c>
      <c r="J97" s="23">
        <f>IFERROR(__xludf.DUMMYFUNCTION("""COMPUTED_VALUE"""),96.0)</f>
        <v>96</v>
      </c>
      <c r="K97" s="23" t="b">
        <f>IFERROR(__xludf.DUMMYFUNCTION("""COMPUTED_VALUE"""),FALSE)</f>
        <v>0</v>
      </c>
      <c r="L97" s="23" t="str">
        <f>IFERROR(__xludf.DUMMYFUNCTION("""COMPUTED_VALUE"""),"Math;Dynamic Programming;Tree;Binary Search Tree;Binary Tree;")</f>
        <v>Math;Dynamic Programming;Tree;Binary Search Tree;Binary Tree;</v>
      </c>
      <c r="M97" s="23" t="b">
        <f>IFERROR(__xludf.DUMMYFUNCTION("""COMPUTED_VALUE"""),TRUE)</f>
        <v>1</v>
      </c>
      <c r="N97" s="23" t="b">
        <f>IFERROR(__xludf.DUMMYFUNCTION("""COMPUTED_VALUE"""),FALSE)</f>
        <v>0</v>
      </c>
      <c r="O97" s="23">
        <f>IFERROR(__xludf.DUMMYFUNCTION("""COMPUTED_VALUE"""),58.2811159007568)</f>
        <v>58.2811159</v>
      </c>
      <c r="P97" s="23">
        <f>IFERROR(__xludf.DUMMYFUNCTION("""COMPUTED_VALUE"""),478072.0)</f>
        <v>478072</v>
      </c>
      <c r="Q97" s="23">
        <f>IFERROR(__xludf.DUMMYFUNCTION("""COMPUTED_VALUE"""),820287.0)</f>
        <v>820287</v>
      </c>
    </row>
    <row r="98">
      <c r="A98" s="23">
        <f>IFERROR(__xludf.DUMMYFUNCTION("""COMPUTED_VALUE"""),97.0)</f>
        <v>97</v>
      </c>
      <c r="B98" s="23" t="str">
        <f>IFERROR(__xludf.DUMMYFUNCTION("""COMPUTED_VALUE"""),"Interleaving String")</f>
        <v>Interleaving String</v>
      </c>
      <c r="C98" s="23" t="str">
        <f>IFERROR(__xludf.DUMMYFUNCTION("""COMPUTED_VALUE"""),"interleaving-string")</f>
        <v>interleaving-string</v>
      </c>
      <c r="D98" s="23" t="b">
        <f>IFERROR(__xludf.DUMMYFUNCTION("""COMPUTED_VALUE"""),FALSE)</f>
        <v>0</v>
      </c>
      <c r="E98" s="23" t="str">
        <f>IFERROR(__xludf.DUMMYFUNCTION("""COMPUTED_VALUE"""),"Medium")</f>
        <v>Medium</v>
      </c>
      <c r="F98" s="23">
        <f>IFERROR(__xludf.DUMMYFUNCTION("""COMPUTED_VALUE"""),3819.0)</f>
        <v>3819</v>
      </c>
      <c r="G98" s="23">
        <f>IFERROR(__xludf.DUMMYFUNCTION("""COMPUTED_VALUE"""),206.0)</f>
        <v>206</v>
      </c>
      <c r="H98" s="23" t="str">
        <f>IFERROR(__xludf.DUMMYFUNCTION("""COMPUTED_VALUE"""),"Algorithms")</f>
        <v>Algorithms</v>
      </c>
      <c r="I98" s="23">
        <f>IFERROR(__xludf.DUMMYFUNCTION("""COMPUTED_VALUE"""),0.347)</f>
        <v>0.347</v>
      </c>
      <c r="J98" s="23">
        <f>IFERROR(__xludf.DUMMYFUNCTION("""COMPUTED_VALUE"""),97.0)</f>
        <v>97</v>
      </c>
      <c r="K98" s="23" t="b">
        <f>IFERROR(__xludf.DUMMYFUNCTION("""COMPUTED_VALUE"""),FALSE)</f>
        <v>0</v>
      </c>
      <c r="L98" s="23" t="str">
        <f>IFERROR(__xludf.DUMMYFUNCTION("""COMPUTED_VALUE"""),"String;Dynamic Programming;")</f>
        <v>String;Dynamic Programming;</v>
      </c>
      <c r="M98" s="23" t="b">
        <f>IFERROR(__xludf.DUMMYFUNCTION("""COMPUTED_VALUE"""),TRUE)</f>
        <v>1</v>
      </c>
      <c r="N98" s="23" t="b">
        <f>IFERROR(__xludf.DUMMYFUNCTION("""COMPUTED_VALUE"""),FALSE)</f>
        <v>0</v>
      </c>
      <c r="O98" s="23">
        <f>IFERROR(__xludf.DUMMYFUNCTION("""COMPUTED_VALUE"""),34.7469487517892)</f>
        <v>34.74694875</v>
      </c>
      <c r="P98" s="23">
        <f>IFERROR(__xludf.DUMMYFUNCTION("""COMPUTED_VALUE"""),261435.0)</f>
        <v>261435</v>
      </c>
      <c r="Q98" s="23">
        <f>IFERROR(__xludf.DUMMYFUNCTION("""COMPUTED_VALUE"""),752397.0)</f>
        <v>752397</v>
      </c>
    </row>
    <row r="99">
      <c r="A99" s="23">
        <f>IFERROR(__xludf.DUMMYFUNCTION("""COMPUTED_VALUE"""),98.0)</f>
        <v>98</v>
      </c>
      <c r="B99" s="23" t="str">
        <f>IFERROR(__xludf.DUMMYFUNCTION("""COMPUTED_VALUE"""),"Validate Binary Search Tree")</f>
        <v>Validate Binary Search Tree</v>
      </c>
      <c r="C99" s="23" t="str">
        <f>IFERROR(__xludf.DUMMYFUNCTION("""COMPUTED_VALUE"""),"validate-binary-search-tree")</f>
        <v>validate-binary-search-tree</v>
      </c>
      <c r="D99" s="23" t="b">
        <f>IFERROR(__xludf.DUMMYFUNCTION("""COMPUTED_VALUE"""),FALSE)</f>
        <v>0</v>
      </c>
      <c r="E99" s="23" t="str">
        <f>IFERROR(__xludf.DUMMYFUNCTION("""COMPUTED_VALUE"""),"Medium")</f>
        <v>Medium</v>
      </c>
      <c r="F99" s="23">
        <f>IFERROR(__xludf.DUMMYFUNCTION("""COMPUTED_VALUE"""),9548.0)</f>
        <v>9548</v>
      </c>
      <c r="G99" s="23">
        <f>IFERROR(__xludf.DUMMYFUNCTION("""COMPUTED_VALUE"""),877.0)</f>
        <v>877</v>
      </c>
      <c r="H99" s="23" t="str">
        <f>IFERROR(__xludf.DUMMYFUNCTION("""COMPUTED_VALUE"""),"Algorithms")</f>
        <v>Algorithms</v>
      </c>
      <c r="I99" s="23">
        <f>IFERROR(__xludf.DUMMYFUNCTION("""COMPUTED_VALUE"""),0.305)</f>
        <v>0.305</v>
      </c>
      <c r="J99" s="23">
        <f>IFERROR(__xludf.DUMMYFUNCTION("""COMPUTED_VALUE"""),98.0)</f>
        <v>98</v>
      </c>
      <c r="K99" s="23" t="b">
        <f>IFERROR(__xludf.DUMMYFUNCTION("""COMPUTED_VALUE"""),FALSE)</f>
        <v>0</v>
      </c>
      <c r="L99" s="23" t="str">
        <f>IFERROR(__xludf.DUMMYFUNCTION("""COMPUTED_VALUE"""),"Tree;Depth-First Search;Binary Search Tree;Binary Tree;")</f>
        <v>Tree;Depth-First Search;Binary Search Tree;Binary Tree;</v>
      </c>
      <c r="M99" s="23" t="b">
        <f>IFERROR(__xludf.DUMMYFUNCTION("""COMPUTED_VALUE"""),TRUE)</f>
        <v>1</v>
      </c>
      <c r="N99" s="23" t="b">
        <f>IFERROR(__xludf.DUMMYFUNCTION("""COMPUTED_VALUE"""),TRUE)</f>
        <v>1</v>
      </c>
      <c r="O99" s="23">
        <f>IFERROR(__xludf.DUMMYFUNCTION("""COMPUTED_VALUE"""),30.5088714316134)</f>
        <v>30.50887143</v>
      </c>
      <c r="P99" s="23">
        <f>IFERROR(__xludf.DUMMYFUNCTION("""COMPUTED_VALUE"""),1381168.0)</f>
        <v>1381168</v>
      </c>
      <c r="Q99" s="23">
        <f>IFERROR(__xludf.DUMMYFUNCTION("""COMPUTED_VALUE"""),4527095.0)</f>
        <v>4527095</v>
      </c>
    </row>
    <row r="100">
      <c r="A100" s="23">
        <f>IFERROR(__xludf.DUMMYFUNCTION("""COMPUTED_VALUE"""),99.0)</f>
        <v>99</v>
      </c>
      <c r="B100" s="23" t="str">
        <f>IFERROR(__xludf.DUMMYFUNCTION("""COMPUTED_VALUE"""),"Recover Binary Search Tree")</f>
        <v>Recover Binary Search Tree</v>
      </c>
      <c r="C100" s="23" t="str">
        <f>IFERROR(__xludf.DUMMYFUNCTION("""COMPUTED_VALUE"""),"recover-binary-search-tree")</f>
        <v>recover-binary-search-tree</v>
      </c>
      <c r="D100" s="23" t="b">
        <f>IFERROR(__xludf.DUMMYFUNCTION("""COMPUTED_VALUE"""),FALSE)</f>
        <v>0</v>
      </c>
      <c r="E100" s="23" t="str">
        <f>IFERROR(__xludf.DUMMYFUNCTION("""COMPUTED_VALUE"""),"Medium")</f>
        <v>Medium</v>
      </c>
      <c r="F100" s="23">
        <f>IFERROR(__xludf.DUMMYFUNCTION("""COMPUTED_VALUE"""),5220.0)</f>
        <v>5220</v>
      </c>
      <c r="G100" s="23">
        <f>IFERROR(__xludf.DUMMYFUNCTION("""COMPUTED_VALUE"""),177.0)</f>
        <v>177</v>
      </c>
      <c r="H100" s="23" t="str">
        <f>IFERROR(__xludf.DUMMYFUNCTION("""COMPUTED_VALUE"""),"Algorithms")</f>
        <v>Algorithms</v>
      </c>
      <c r="I100" s="23">
        <f>IFERROR(__xludf.DUMMYFUNCTION("""COMPUTED_VALUE"""),0.486)</f>
        <v>0.486</v>
      </c>
      <c r="J100" s="23">
        <f>IFERROR(__xludf.DUMMYFUNCTION("""COMPUTED_VALUE"""),99.0)</f>
        <v>99</v>
      </c>
      <c r="K100" s="23" t="b">
        <f>IFERROR(__xludf.DUMMYFUNCTION("""COMPUTED_VALUE"""),FALSE)</f>
        <v>0</v>
      </c>
      <c r="L100" s="23" t="str">
        <f>IFERROR(__xludf.DUMMYFUNCTION("""COMPUTED_VALUE"""),"Tree;Depth-First Search;Binary Search Tree;Binary Tree;")</f>
        <v>Tree;Depth-First Search;Binary Search Tree;Binary Tree;</v>
      </c>
      <c r="M100" s="23" t="b">
        <f>IFERROR(__xludf.DUMMYFUNCTION("""COMPUTED_VALUE"""),TRUE)</f>
        <v>1</v>
      </c>
      <c r="N100" s="23" t="b">
        <f>IFERROR(__xludf.DUMMYFUNCTION("""COMPUTED_VALUE"""),FALSE)</f>
        <v>0</v>
      </c>
      <c r="O100" s="23">
        <f>IFERROR(__xludf.DUMMYFUNCTION("""COMPUTED_VALUE"""),48.6393560555683)</f>
        <v>48.63935606</v>
      </c>
      <c r="P100" s="23">
        <f>IFERROR(__xludf.DUMMYFUNCTION("""COMPUTED_VALUE"""),321832.0)</f>
        <v>321832</v>
      </c>
      <c r="Q100" s="23">
        <f>IFERROR(__xludf.DUMMYFUNCTION("""COMPUTED_VALUE"""),661670.0)</f>
        <v>661670</v>
      </c>
    </row>
    <row r="101">
      <c r="A101" s="23">
        <f>IFERROR(__xludf.DUMMYFUNCTION("""COMPUTED_VALUE"""),100.0)</f>
        <v>100</v>
      </c>
      <c r="B101" s="23" t="str">
        <f>IFERROR(__xludf.DUMMYFUNCTION("""COMPUTED_VALUE"""),"Same Tree")</f>
        <v>Same Tree</v>
      </c>
      <c r="C101" s="23" t="str">
        <f>IFERROR(__xludf.DUMMYFUNCTION("""COMPUTED_VALUE"""),"same-tree")</f>
        <v>same-tree</v>
      </c>
      <c r="D101" s="23" t="b">
        <f>IFERROR(__xludf.DUMMYFUNCTION("""COMPUTED_VALUE"""),FALSE)</f>
        <v>0</v>
      </c>
      <c r="E101" s="23" t="str">
        <f>IFERROR(__xludf.DUMMYFUNCTION("""COMPUTED_VALUE"""),"Easy")</f>
        <v>Easy</v>
      </c>
      <c r="F101" s="23">
        <f>IFERROR(__xludf.DUMMYFUNCTION("""COMPUTED_VALUE"""),5557.0)</f>
        <v>5557</v>
      </c>
      <c r="G101" s="23">
        <f>IFERROR(__xludf.DUMMYFUNCTION("""COMPUTED_VALUE"""),133.0)</f>
        <v>133</v>
      </c>
      <c r="H101" s="23" t="str">
        <f>IFERROR(__xludf.DUMMYFUNCTION("""COMPUTED_VALUE"""),"Algorithms")</f>
        <v>Algorithms</v>
      </c>
      <c r="I101" s="23">
        <f>IFERROR(__xludf.DUMMYFUNCTION("""COMPUTED_VALUE"""),0.555)</f>
        <v>0.555</v>
      </c>
      <c r="J101" s="23">
        <f>IFERROR(__xludf.DUMMYFUNCTION("""COMPUTED_VALUE"""),100.0)</f>
        <v>100</v>
      </c>
      <c r="K101" s="23" t="b">
        <f>IFERROR(__xludf.DUMMYFUNCTION("""COMPUTED_VALUE"""),FALSE)</f>
        <v>0</v>
      </c>
      <c r="L101" s="23" t="str">
        <f>IFERROR(__xludf.DUMMYFUNCTION("""COMPUTED_VALUE"""),"Tree;Depth-First Search;Breadth-First Search;Binary Tree;")</f>
        <v>Tree;Depth-First Search;Breadth-First Search;Binary Tree;</v>
      </c>
      <c r="M101" s="23" t="b">
        <f>IFERROR(__xludf.DUMMYFUNCTION("""COMPUTED_VALUE"""),TRUE)</f>
        <v>1</v>
      </c>
      <c r="N101" s="23" t="b">
        <f>IFERROR(__xludf.DUMMYFUNCTION("""COMPUTED_VALUE"""),FALSE)</f>
        <v>0</v>
      </c>
      <c r="O101" s="23">
        <f>IFERROR(__xludf.DUMMYFUNCTION("""COMPUTED_VALUE"""),55.5163277558798)</f>
        <v>55.51632776</v>
      </c>
      <c r="P101" s="23">
        <f>IFERROR(__xludf.DUMMYFUNCTION("""COMPUTED_VALUE"""),1020843.0)</f>
        <v>1020843</v>
      </c>
      <c r="Q101" s="23">
        <f>IFERROR(__xludf.DUMMYFUNCTION("""COMPUTED_VALUE"""),1838820.0)</f>
        <v>1838820</v>
      </c>
    </row>
    <row r="102">
      <c r="A102" s="23">
        <f>IFERROR(__xludf.DUMMYFUNCTION("""COMPUTED_VALUE"""),101.0)</f>
        <v>101</v>
      </c>
      <c r="B102" s="23" t="str">
        <f>IFERROR(__xludf.DUMMYFUNCTION("""COMPUTED_VALUE"""),"Symmetric Tree")</f>
        <v>Symmetric Tree</v>
      </c>
      <c r="C102" s="23" t="str">
        <f>IFERROR(__xludf.DUMMYFUNCTION("""COMPUTED_VALUE"""),"symmetric-tree")</f>
        <v>symmetric-tree</v>
      </c>
      <c r="D102" s="23" t="b">
        <f>IFERROR(__xludf.DUMMYFUNCTION("""COMPUTED_VALUE"""),FALSE)</f>
        <v>0</v>
      </c>
      <c r="E102" s="23" t="str">
        <f>IFERROR(__xludf.DUMMYFUNCTION("""COMPUTED_VALUE"""),"Easy")</f>
        <v>Easy</v>
      </c>
      <c r="F102" s="23">
        <f>IFERROR(__xludf.DUMMYFUNCTION("""COMPUTED_VALUE"""),9256.0)</f>
        <v>9256</v>
      </c>
      <c r="G102" s="23">
        <f>IFERROR(__xludf.DUMMYFUNCTION("""COMPUTED_VALUE"""),230.0)</f>
        <v>230</v>
      </c>
      <c r="H102" s="23" t="str">
        <f>IFERROR(__xludf.DUMMYFUNCTION("""COMPUTED_VALUE"""),"Algorithms")</f>
        <v>Algorithms</v>
      </c>
      <c r="I102" s="23">
        <f>IFERROR(__xludf.DUMMYFUNCTION("""COMPUTED_VALUE"""),0.516)</f>
        <v>0.516</v>
      </c>
      <c r="J102" s="23">
        <f>IFERROR(__xludf.DUMMYFUNCTION("""COMPUTED_VALUE"""),101.0)</f>
        <v>101</v>
      </c>
      <c r="K102" s="23" t="b">
        <f>IFERROR(__xludf.DUMMYFUNCTION("""COMPUTED_VALUE"""),FALSE)</f>
        <v>0</v>
      </c>
      <c r="L102" s="23" t="str">
        <f>IFERROR(__xludf.DUMMYFUNCTION("""COMPUTED_VALUE"""),"Tree;Depth-First Search;Breadth-First Search;Binary Tree;")</f>
        <v>Tree;Depth-First Search;Breadth-First Search;Binary Tree;</v>
      </c>
      <c r="M102" s="23" t="b">
        <f>IFERROR(__xludf.DUMMYFUNCTION("""COMPUTED_VALUE"""),TRUE)</f>
        <v>1</v>
      </c>
      <c r="N102" s="23" t="b">
        <f>IFERROR(__xludf.DUMMYFUNCTION("""COMPUTED_VALUE"""),FALSE)</f>
        <v>0</v>
      </c>
      <c r="O102" s="23">
        <f>IFERROR(__xludf.DUMMYFUNCTION("""COMPUTED_VALUE"""),51.5646998104778)</f>
        <v>51.56469981</v>
      </c>
      <c r="P102" s="23">
        <f>IFERROR(__xludf.DUMMYFUNCTION("""COMPUTED_VALUE"""),1218898.0)</f>
        <v>1218898</v>
      </c>
      <c r="Q102" s="23">
        <f>IFERROR(__xludf.DUMMYFUNCTION("""COMPUTED_VALUE"""),2363829.0)</f>
        <v>2363829</v>
      </c>
    </row>
    <row r="103">
      <c r="A103" s="23">
        <f>IFERROR(__xludf.DUMMYFUNCTION("""COMPUTED_VALUE"""),102.0)</f>
        <v>102</v>
      </c>
      <c r="B103" s="23" t="str">
        <f>IFERROR(__xludf.DUMMYFUNCTION("""COMPUTED_VALUE"""),"Binary Tree Level Order Traversal")</f>
        <v>Binary Tree Level Order Traversal</v>
      </c>
      <c r="C103" s="23" t="str">
        <f>IFERROR(__xludf.DUMMYFUNCTION("""COMPUTED_VALUE"""),"binary-tree-level-order-traversal")</f>
        <v>binary-tree-level-order-traversal</v>
      </c>
      <c r="D103" s="23" t="b">
        <f>IFERROR(__xludf.DUMMYFUNCTION("""COMPUTED_VALUE"""),FALSE)</f>
        <v>0</v>
      </c>
      <c r="E103" s="23" t="str">
        <f>IFERROR(__xludf.DUMMYFUNCTION("""COMPUTED_VALUE"""),"Medium")</f>
        <v>Medium</v>
      </c>
      <c r="F103" s="23">
        <f>IFERROR(__xludf.DUMMYFUNCTION("""COMPUTED_VALUE"""),8004.0)</f>
        <v>8004</v>
      </c>
      <c r="G103" s="23">
        <f>IFERROR(__xludf.DUMMYFUNCTION("""COMPUTED_VALUE"""),158.0)</f>
        <v>158</v>
      </c>
      <c r="H103" s="23" t="str">
        <f>IFERROR(__xludf.DUMMYFUNCTION("""COMPUTED_VALUE"""),"Algorithms")</f>
        <v>Algorithms</v>
      </c>
      <c r="I103" s="23">
        <f>IFERROR(__xludf.DUMMYFUNCTION("""COMPUTED_VALUE"""),0.609)</f>
        <v>0.609</v>
      </c>
      <c r="J103" s="23">
        <f>IFERROR(__xludf.DUMMYFUNCTION("""COMPUTED_VALUE"""),102.0)</f>
        <v>102</v>
      </c>
      <c r="K103" s="23" t="b">
        <f>IFERROR(__xludf.DUMMYFUNCTION("""COMPUTED_VALUE"""),FALSE)</f>
        <v>0</v>
      </c>
      <c r="L103" s="23" t="str">
        <f>IFERROR(__xludf.DUMMYFUNCTION("""COMPUTED_VALUE"""),"Tree;Breadth-First Search;Binary Tree;")</f>
        <v>Tree;Breadth-First Search;Binary Tree;</v>
      </c>
      <c r="M103" s="23" t="b">
        <f>IFERROR(__xludf.DUMMYFUNCTION("""COMPUTED_VALUE"""),TRUE)</f>
        <v>1</v>
      </c>
      <c r="N103" s="23" t="b">
        <f>IFERROR(__xludf.DUMMYFUNCTION("""COMPUTED_VALUE"""),FALSE)</f>
        <v>0</v>
      </c>
      <c r="O103" s="23">
        <f>IFERROR(__xludf.DUMMYFUNCTION("""COMPUTED_VALUE"""),60.8786305362646)</f>
        <v>60.87863054</v>
      </c>
      <c r="P103" s="23">
        <f>IFERROR(__xludf.DUMMYFUNCTION("""COMPUTED_VALUE"""),1217259.0)</f>
        <v>1217259</v>
      </c>
      <c r="Q103" s="23">
        <f>IFERROR(__xludf.DUMMYFUNCTION("""COMPUTED_VALUE"""),1999484.0)</f>
        <v>1999484</v>
      </c>
    </row>
    <row r="104">
      <c r="A104" s="23">
        <f>IFERROR(__xludf.DUMMYFUNCTION("""COMPUTED_VALUE"""),103.0)</f>
        <v>103</v>
      </c>
      <c r="B104" s="23" t="str">
        <f>IFERROR(__xludf.DUMMYFUNCTION("""COMPUTED_VALUE"""),"Binary Tree Zigzag Level Order Traversal")</f>
        <v>Binary Tree Zigzag Level Order Traversal</v>
      </c>
      <c r="C104" s="23" t="str">
        <f>IFERROR(__xludf.DUMMYFUNCTION("""COMPUTED_VALUE"""),"binary-tree-zigzag-level-order-traversal")</f>
        <v>binary-tree-zigzag-level-order-traversal</v>
      </c>
      <c r="D104" s="23" t="b">
        <f>IFERROR(__xludf.DUMMYFUNCTION("""COMPUTED_VALUE"""),FALSE)</f>
        <v>0</v>
      </c>
      <c r="E104" s="23" t="str">
        <f>IFERROR(__xludf.DUMMYFUNCTION("""COMPUTED_VALUE"""),"Medium")</f>
        <v>Medium</v>
      </c>
      <c r="F104" s="23">
        <f>IFERROR(__xludf.DUMMYFUNCTION("""COMPUTED_VALUE"""),5755.0)</f>
        <v>5755</v>
      </c>
      <c r="G104" s="23">
        <f>IFERROR(__xludf.DUMMYFUNCTION("""COMPUTED_VALUE"""),169.0)</f>
        <v>169</v>
      </c>
      <c r="H104" s="23" t="str">
        <f>IFERROR(__xludf.DUMMYFUNCTION("""COMPUTED_VALUE"""),"Algorithms")</f>
        <v>Algorithms</v>
      </c>
      <c r="I104" s="23">
        <f>IFERROR(__xludf.DUMMYFUNCTION("""COMPUTED_VALUE"""),0.536)</f>
        <v>0.536</v>
      </c>
      <c r="J104" s="23">
        <f>IFERROR(__xludf.DUMMYFUNCTION("""COMPUTED_VALUE"""),103.0)</f>
        <v>103</v>
      </c>
      <c r="K104" s="23" t="b">
        <f>IFERROR(__xludf.DUMMYFUNCTION("""COMPUTED_VALUE"""),FALSE)</f>
        <v>0</v>
      </c>
      <c r="L104" s="23" t="str">
        <f>IFERROR(__xludf.DUMMYFUNCTION("""COMPUTED_VALUE"""),"Tree;Breadth-First Search;Binary Tree;")</f>
        <v>Tree;Breadth-First Search;Binary Tree;</v>
      </c>
      <c r="M104" s="23" t="b">
        <f>IFERROR(__xludf.DUMMYFUNCTION("""COMPUTED_VALUE"""),TRUE)</f>
        <v>1</v>
      </c>
      <c r="N104" s="23" t="b">
        <f>IFERROR(__xludf.DUMMYFUNCTION("""COMPUTED_VALUE"""),FALSE)</f>
        <v>0</v>
      </c>
      <c r="O104" s="23">
        <f>IFERROR(__xludf.DUMMYFUNCTION("""COMPUTED_VALUE"""),53.5756194129157)</f>
        <v>53.57561941</v>
      </c>
      <c r="P104" s="23">
        <f>IFERROR(__xludf.DUMMYFUNCTION("""COMPUTED_VALUE"""),701748.0)</f>
        <v>701748</v>
      </c>
      <c r="Q104" s="23">
        <f>IFERROR(__xludf.DUMMYFUNCTION("""COMPUTED_VALUE"""),1309828.0)</f>
        <v>1309828</v>
      </c>
    </row>
    <row r="105">
      <c r="A105" s="23">
        <f>IFERROR(__xludf.DUMMYFUNCTION("""COMPUTED_VALUE"""),104.0)</f>
        <v>104</v>
      </c>
      <c r="B105" s="23" t="str">
        <f>IFERROR(__xludf.DUMMYFUNCTION("""COMPUTED_VALUE"""),"Maximum Depth of Binary Tree")</f>
        <v>Maximum Depth of Binary Tree</v>
      </c>
      <c r="C105" s="23" t="str">
        <f>IFERROR(__xludf.DUMMYFUNCTION("""COMPUTED_VALUE"""),"maximum-depth-of-binary-tree")</f>
        <v>maximum-depth-of-binary-tree</v>
      </c>
      <c r="D105" s="23" t="b">
        <f>IFERROR(__xludf.DUMMYFUNCTION("""COMPUTED_VALUE"""),FALSE)</f>
        <v>0</v>
      </c>
      <c r="E105" s="23" t="str">
        <f>IFERROR(__xludf.DUMMYFUNCTION("""COMPUTED_VALUE"""),"Easy")</f>
        <v>Easy</v>
      </c>
      <c r="F105" s="23">
        <f>IFERROR(__xludf.DUMMYFUNCTION("""COMPUTED_VALUE"""),6845.0)</f>
        <v>6845</v>
      </c>
      <c r="G105" s="23">
        <f>IFERROR(__xludf.DUMMYFUNCTION("""COMPUTED_VALUE"""),124.0)</f>
        <v>124</v>
      </c>
      <c r="H105" s="23" t="str">
        <f>IFERROR(__xludf.DUMMYFUNCTION("""COMPUTED_VALUE"""),"Algorithms")</f>
        <v>Algorithms</v>
      </c>
      <c r="I105" s="23">
        <f>IFERROR(__xludf.DUMMYFUNCTION("""COMPUTED_VALUE"""),0.718)</f>
        <v>0.718</v>
      </c>
      <c r="J105" s="23">
        <f>IFERROR(__xludf.DUMMYFUNCTION("""COMPUTED_VALUE"""),104.0)</f>
        <v>104</v>
      </c>
      <c r="K105" s="23" t="b">
        <f>IFERROR(__xludf.DUMMYFUNCTION("""COMPUTED_VALUE"""),FALSE)</f>
        <v>0</v>
      </c>
      <c r="L105" s="23" t="str">
        <f>IFERROR(__xludf.DUMMYFUNCTION("""COMPUTED_VALUE"""),"Tree;Depth-First Search;Breadth-First Search;Binary Tree;")</f>
        <v>Tree;Depth-First Search;Breadth-First Search;Binary Tree;</v>
      </c>
      <c r="M105" s="23" t="b">
        <f>IFERROR(__xludf.DUMMYFUNCTION("""COMPUTED_VALUE"""),TRUE)</f>
        <v>1</v>
      </c>
      <c r="N105" s="23" t="b">
        <f>IFERROR(__xludf.DUMMYFUNCTION("""COMPUTED_VALUE"""),FALSE)</f>
        <v>0</v>
      </c>
      <c r="O105" s="23">
        <f>IFERROR(__xludf.DUMMYFUNCTION("""COMPUTED_VALUE"""),71.8309618645756)</f>
        <v>71.83096186</v>
      </c>
      <c r="P105" s="23">
        <f>IFERROR(__xludf.DUMMYFUNCTION("""COMPUTED_VALUE"""),1640521.0)</f>
        <v>1640521</v>
      </c>
      <c r="Q105" s="23">
        <f>IFERROR(__xludf.DUMMYFUNCTION("""COMPUTED_VALUE"""),2283867.0)</f>
        <v>2283867</v>
      </c>
    </row>
    <row r="106">
      <c r="A106" s="23">
        <f>IFERROR(__xludf.DUMMYFUNCTION("""COMPUTED_VALUE"""),105.0)</f>
        <v>105</v>
      </c>
      <c r="B106" s="23" t="str">
        <f>IFERROR(__xludf.DUMMYFUNCTION("""COMPUTED_VALUE"""),"Construct Binary Tree from Preorder and Inorder Traversal")</f>
        <v>Construct Binary Tree from Preorder and Inorder Traversal</v>
      </c>
      <c r="C106" s="23" t="str">
        <f>IFERROR(__xludf.DUMMYFUNCTION("""COMPUTED_VALUE"""),"construct-binary-tree-from-preorder-and-inorder-traversal")</f>
        <v>construct-binary-tree-from-preorder-and-inorder-traversal</v>
      </c>
      <c r="D106" s="23" t="b">
        <f>IFERROR(__xludf.DUMMYFUNCTION("""COMPUTED_VALUE"""),FALSE)</f>
        <v>0</v>
      </c>
      <c r="E106" s="23" t="str">
        <f>IFERROR(__xludf.DUMMYFUNCTION("""COMPUTED_VALUE"""),"Medium")</f>
        <v>Medium</v>
      </c>
      <c r="F106" s="23">
        <f>IFERROR(__xludf.DUMMYFUNCTION("""COMPUTED_VALUE"""),8301.0)</f>
        <v>8301</v>
      </c>
      <c r="G106" s="23">
        <f>IFERROR(__xludf.DUMMYFUNCTION("""COMPUTED_VALUE"""),221.0)</f>
        <v>221</v>
      </c>
      <c r="H106" s="23" t="str">
        <f>IFERROR(__xludf.DUMMYFUNCTION("""COMPUTED_VALUE"""),"Algorithms")</f>
        <v>Algorithms</v>
      </c>
      <c r="I106" s="23">
        <f>IFERROR(__xludf.DUMMYFUNCTION("""COMPUTED_VALUE"""),0.576)</f>
        <v>0.576</v>
      </c>
      <c r="J106" s="23">
        <f>IFERROR(__xludf.DUMMYFUNCTION("""COMPUTED_VALUE"""),105.0)</f>
        <v>105</v>
      </c>
      <c r="K106" s="23" t="b">
        <f>IFERROR(__xludf.DUMMYFUNCTION("""COMPUTED_VALUE"""),FALSE)</f>
        <v>0</v>
      </c>
      <c r="L106" s="23" t="str">
        <f>IFERROR(__xludf.DUMMYFUNCTION("""COMPUTED_VALUE"""),"Array;Hash Table;Divide and Conquer;Tree;Binary Tree;")</f>
        <v>Array;Hash Table;Divide and Conquer;Tree;Binary Tree;</v>
      </c>
      <c r="M106" s="23" t="b">
        <f>IFERROR(__xludf.DUMMYFUNCTION("""COMPUTED_VALUE"""),TRUE)</f>
        <v>1</v>
      </c>
      <c r="N106" s="23" t="b">
        <f>IFERROR(__xludf.DUMMYFUNCTION("""COMPUTED_VALUE"""),FALSE)</f>
        <v>0</v>
      </c>
      <c r="O106" s="23">
        <f>IFERROR(__xludf.DUMMYFUNCTION("""COMPUTED_VALUE"""),57.5909230145129)</f>
        <v>57.59092301</v>
      </c>
      <c r="P106" s="23">
        <f>IFERROR(__xludf.DUMMYFUNCTION("""COMPUTED_VALUE"""),695633.0)</f>
        <v>695633</v>
      </c>
      <c r="Q106" s="23">
        <f>IFERROR(__xludf.DUMMYFUNCTION("""COMPUTED_VALUE"""),1207887.0)</f>
        <v>1207887</v>
      </c>
    </row>
    <row r="107">
      <c r="A107" s="23">
        <f>IFERROR(__xludf.DUMMYFUNCTION("""COMPUTED_VALUE"""),106.0)</f>
        <v>106</v>
      </c>
      <c r="B107" s="23" t="str">
        <f>IFERROR(__xludf.DUMMYFUNCTION("""COMPUTED_VALUE"""),"Construct Binary Tree from Inorder and Postorder Traversal")</f>
        <v>Construct Binary Tree from Inorder and Postorder Traversal</v>
      </c>
      <c r="C107" s="23" t="str">
        <f>IFERROR(__xludf.DUMMYFUNCTION("""COMPUTED_VALUE"""),"construct-binary-tree-from-inorder-and-postorder-traversal")</f>
        <v>construct-binary-tree-from-inorder-and-postorder-traversal</v>
      </c>
      <c r="D107" s="23" t="b">
        <f>IFERROR(__xludf.DUMMYFUNCTION("""COMPUTED_VALUE"""),FALSE)</f>
        <v>0</v>
      </c>
      <c r="E107" s="23" t="str">
        <f>IFERROR(__xludf.DUMMYFUNCTION("""COMPUTED_VALUE"""),"Medium")</f>
        <v>Medium</v>
      </c>
      <c r="F107" s="23">
        <f>IFERROR(__xludf.DUMMYFUNCTION("""COMPUTED_VALUE"""),4398.0)</f>
        <v>4398</v>
      </c>
      <c r="G107" s="23">
        <f>IFERROR(__xludf.DUMMYFUNCTION("""COMPUTED_VALUE"""),73.0)</f>
        <v>73</v>
      </c>
      <c r="H107" s="23" t="str">
        <f>IFERROR(__xludf.DUMMYFUNCTION("""COMPUTED_VALUE"""),"Algorithms")</f>
        <v>Algorithms</v>
      </c>
      <c r="I107" s="23">
        <f>IFERROR(__xludf.DUMMYFUNCTION("""COMPUTED_VALUE"""),0.553)</f>
        <v>0.553</v>
      </c>
      <c r="J107" s="23">
        <f>IFERROR(__xludf.DUMMYFUNCTION("""COMPUTED_VALUE"""),106.0)</f>
        <v>106</v>
      </c>
      <c r="K107" s="23" t="b">
        <f>IFERROR(__xludf.DUMMYFUNCTION("""COMPUTED_VALUE"""),FALSE)</f>
        <v>0</v>
      </c>
      <c r="L107" s="23" t="str">
        <f>IFERROR(__xludf.DUMMYFUNCTION("""COMPUTED_VALUE"""),"Array;Hash Table;Divide and Conquer;Tree;Binary Tree;")</f>
        <v>Array;Hash Table;Divide and Conquer;Tree;Binary Tree;</v>
      </c>
      <c r="M107" s="23" t="b">
        <f>IFERROR(__xludf.DUMMYFUNCTION("""COMPUTED_VALUE"""),TRUE)</f>
        <v>1</v>
      </c>
      <c r="N107" s="23" t="b">
        <f>IFERROR(__xludf.DUMMYFUNCTION("""COMPUTED_VALUE"""),FALSE)</f>
        <v>0</v>
      </c>
      <c r="O107" s="23">
        <f>IFERROR(__xludf.DUMMYFUNCTION("""COMPUTED_VALUE"""),55.32130603521)</f>
        <v>55.32130604</v>
      </c>
      <c r="P107" s="23">
        <f>IFERROR(__xludf.DUMMYFUNCTION("""COMPUTED_VALUE"""),393422.0)</f>
        <v>393422</v>
      </c>
      <c r="Q107" s="23">
        <f>IFERROR(__xludf.DUMMYFUNCTION("""COMPUTED_VALUE"""),711159.0)</f>
        <v>711159</v>
      </c>
    </row>
    <row r="108">
      <c r="A108" s="23">
        <f>IFERROR(__xludf.DUMMYFUNCTION("""COMPUTED_VALUE"""),107.0)</f>
        <v>107</v>
      </c>
      <c r="B108" s="23" t="str">
        <f>IFERROR(__xludf.DUMMYFUNCTION("""COMPUTED_VALUE"""),"Binary Tree Level Order Traversal II")</f>
        <v>Binary Tree Level Order Traversal II</v>
      </c>
      <c r="C108" s="23" t="str">
        <f>IFERROR(__xludf.DUMMYFUNCTION("""COMPUTED_VALUE"""),"binary-tree-level-order-traversal-ii")</f>
        <v>binary-tree-level-order-traversal-ii</v>
      </c>
      <c r="D108" s="23" t="b">
        <f>IFERROR(__xludf.DUMMYFUNCTION("""COMPUTED_VALUE"""),FALSE)</f>
        <v>0</v>
      </c>
      <c r="E108" s="23" t="str">
        <f>IFERROR(__xludf.DUMMYFUNCTION("""COMPUTED_VALUE"""),"Medium")</f>
        <v>Medium</v>
      </c>
      <c r="F108" s="23">
        <f>IFERROR(__xludf.DUMMYFUNCTION("""COMPUTED_VALUE"""),3156.0)</f>
        <v>3156</v>
      </c>
      <c r="G108" s="23">
        <f>IFERROR(__xludf.DUMMYFUNCTION("""COMPUTED_VALUE"""),277.0)</f>
        <v>277</v>
      </c>
      <c r="H108" s="23" t="str">
        <f>IFERROR(__xludf.DUMMYFUNCTION("""COMPUTED_VALUE"""),"Algorithms")</f>
        <v>Algorithms</v>
      </c>
      <c r="I108" s="23">
        <f>IFERROR(__xludf.DUMMYFUNCTION("""COMPUTED_VALUE"""),0.587)</f>
        <v>0.587</v>
      </c>
      <c r="J108" s="23">
        <f>IFERROR(__xludf.DUMMYFUNCTION("""COMPUTED_VALUE"""),107.0)</f>
        <v>107</v>
      </c>
      <c r="K108" s="23" t="b">
        <f>IFERROR(__xludf.DUMMYFUNCTION("""COMPUTED_VALUE"""),FALSE)</f>
        <v>0</v>
      </c>
      <c r="L108" s="23" t="str">
        <f>IFERROR(__xludf.DUMMYFUNCTION("""COMPUTED_VALUE"""),"Tree;Breadth-First Search;Binary Tree;")</f>
        <v>Tree;Breadth-First Search;Binary Tree;</v>
      </c>
      <c r="M108" s="23" t="b">
        <f>IFERROR(__xludf.DUMMYFUNCTION("""COMPUTED_VALUE"""),TRUE)</f>
        <v>1</v>
      </c>
      <c r="N108" s="23" t="b">
        <f>IFERROR(__xludf.DUMMYFUNCTION("""COMPUTED_VALUE"""),FALSE)</f>
        <v>0</v>
      </c>
      <c r="O108" s="23">
        <f>IFERROR(__xludf.DUMMYFUNCTION("""COMPUTED_VALUE"""),58.6595701387443)</f>
        <v>58.65957014</v>
      </c>
      <c r="P108" s="23">
        <f>IFERROR(__xludf.DUMMYFUNCTION("""COMPUTED_VALUE"""),495847.0)</f>
        <v>495847</v>
      </c>
      <c r="Q108" s="23">
        <f>IFERROR(__xludf.DUMMYFUNCTION("""COMPUTED_VALUE"""),845296.0)</f>
        <v>845296</v>
      </c>
    </row>
    <row r="109">
      <c r="A109" s="23">
        <f>IFERROR(__xludf.DUMMYFUNCTION("""COMPUTED_VALUE"""),108.0)</f>
        <v>108</v>
      </c>
      <c r="B109" s="23" t="str">
        <f>IFERROR(__xludf.DUMMYFUNCTION("""COMPUTED_VALUE"""),"Convert Sorted Array to Binary Search Tree")</f>
        <v>Convert Sorted Array to Binary Search Tree</v>
      </c>
      <c r="C109" s="23" t="str">
        <f>IFERROR(__xludf.DUMMYFUNCTION("""COMPUTED_VALUE"""),"convert-sorted-array-to-binary-search-tree")</f>
        <v>convert-sorted-array-to-binary-search-tree</v>
      </c>
      <c r="D109" s="23" t="b">
        <f>IFERROR(__xludf.DUMMYFUNCTION("""COMPUTED_VALUE"""),FALSE)</f>
        <v>0</v>
      </c>
      <c r="E109" s="23" t="str">
        <f>IFERROR(__xludf.DUMMYFUNCTION("""COMPUTED_VALUE"""),"Easy")</f>
        <v>Easy</v>
      </c>
      <c r="F109" s="23">
        <f>IFERROR(__xludf.DUMMYFUNCTION("""COMPUTED_VALUE"""),6241.0)</f>
        <v>6241</v>
      </c>
      <c r="G109" s="23">
        <f>IFERROR(__xludf.DUMMYFUNCTION("""COMPUTED_VALUE"""),351.0)</f>
        <v>351</v>
      </c>
      <c r="H109" s="23" t="str">
        <f>IFERROR(__xludf.DUMMYFUNCTION("""COMPUTED_VALUE"""),"Algorithms")</f>
        <v>Algorithms</v>
      </c>
      <c r="I109" s="23">
        <f>IFERROR(__xludf.DUMMYFUNCTION("""COMPUTED_VALUE"""),0.66)</f>
        <v>0.66</v>
      </c>
      <c r="J109" s="23">
        <f>IFERROR(__xludf.DUMMYFUNCTION("""COMPUTED_VALUE"""),108.0)</f>
        <v>108</v>
      </c>
      <c r="K109" s="23" t="b">
        <f>IFERROR(__xludf.DUMMYFUNCTION("""COMPUTED_VALUE"""),FALSE)</f>
        <v>0</v>
      </c>
      <c r="L109" s="23" t="str">
        <f>IFERROR(__xludf.DUMMYFUNCTION("""COMPUTED_VALUE"""),"Array;Divide and Conquer;Tree;Binary Search Tree;Binary Tree;")</f>
        <v>Array;Divide and Conquer;Tree;Binary Search Tree;Binary Tree;</v>
      </c>
      <c r="M109" s="23" t="b">
        <f>IFERROR(__xludf.DUMMYFUNCTION("""COMPUTED_VALUE"""),TRUE)</f>
        <v>1</v>
      </c>
      <c r="N109" s="23" t="b">
        <f>IFERROR(__xludf.DUMMYFUNCTION("""COMPUTED_VALUE"""),FALSE)</f>
        <v>0</v>
      </c>
      <c r="O109" s="23">
        <f>IFERROR(__xludf.DUMMYFUNCTION("""COMPUTED_VALUE"""),65.9985489091003)</f>
        <v>65.99854891</v>
      </c>
      <c r="P109" s="23">
        <f>IFERROR(__xludf.DUMMYFUNCTION("""COMPUTED_VALUE"""),728621.0)</f>
        <v>728621</v>
      </c>
      <c r="Q109" s="23">
        <f>IFERROR(__xludf.DUMMYFUNCTION("""COMPUTED_VALUE"""),1103996.0)</f>
        <v>1103996</v>
      </c>
    </row>
    <row r="110">
      <c r="A110" s="23">
        <f>IFERROR(__xludf.DUMMYFUNCTION("""COMPUTED_VALUE"""),109.0)</f>
        <v>109</v>
      </c>
      <c r="B110" s="23" t="str">
        <f>IFERROR(__xludf.DUMMYFUNCTION("""COMPUTED_VALUE"""),"Convert Sorted List to Binary Search Tree")</f>
        <v>Convert Sorted List to Binary Search Tree</v>
      </c>
      <c r="C110" s="23" t="str">
        <f>IFERROR(__xludf.DUMMYFUNCTION("""COMPUTED_VALUE"""),"convert-sorted-list-to-binary-search-tree")</f>
        <v>convert-sorted-list-to-binary-search-tree</v>
      </c>
      <c r="D110" s="23" t="b">
        <f>IFERROR(__xludf.DUMMYFUNCTION("""COMPUTED_VALUE"""),FALSE)</f>
        <v>0</v>
      </c>
      <c r="E110" s="23" t="str">
        <f>IFERROR(__xludf.DUMMYFUNCTION("""COMPUTED_VALUE"""),"Medium")</f>
        <v>Medium</v>
      </c>
      <c r="F110" s="23">
        <f>IFERROR(__xludf.DUMMYFUNCTION("""COMPUTED_VALUE"""),4514.0)</f>
        <v>4514</v>
      </c>
      <c r="G110" s="23">
        <f>IFERROR(__xludf.DUMMYFUNCTION("""COMPUTED_VALUE"""),113.0)</f>
        <v>113</v>
      </c>
      <c r="H110" s="23" t="str">
        <f>IFERROR(__xludf.DUMMYFUNCTION("""COMPUTED_VALUE"""),"Algorithms")</f>
        <v>Algorithms</v>
      </c>
      <c r="I110" s="23">
        <f>IFERROR(__xludf.DUMMYFUNCTION("""COMPUTED_VALUE"""),0.555)</f>
        <v>0.555</v>
      </c>
      <c r="J110" s="23">
        <f>IFERROR(__xludf.DUMMYFUNCTION("""COMPUTED_VALUE"""),109.0)</f>
        <v>109</v>
      </c>
      <c r="K110" s="23" t="b">
        <f>IFERROR(__xludf.DUMMYFUNCTION("""COMPUTED_VALUE"""),FALSE)</f>
        <v>0</v>
      </c>
      <c r="L110" s="23" t="str">
        <f>IFERROR(__xludf.DUMMYFUNCTION("""COMPUTED_VALUE"""),"Linked List;Divide and Conquer;Tree;Binary Search Tree;Binary Tree;")</f>
        <v>Linked List;Divide and Conquer;Tree;Binary Search Tree;Binary Tree;</v>
      </c>
      <c r="M110" s="23" t="b">
        <f>IFERROR(__xludf.DUMMYFUNCTION("""COMPUTED_VALUE"""),TRUE)</f>
        <v>1</v>
      </c>
      <c r="N110" s="23" t="b">
        <f>IFERROR(__xludf.DUMMYFUNCTION("""COMPUTED_VALUE"""),FALSE)</f>
        <v>0</v>
      </c>
      <c r="O110" s="23">
        <f>IFERROR(__xludf.DUMMYFUNCTION("""COMPUTED_VALUE"""),55.519215658047)</f>
        <v>55.51921566</v>
      </c>
      <c r="P110" s="23">
        <f>IFERROR(__xludf.DUMMYFUNCTION("""COMPUTED_VALUE"""),370230.0)</f>
        <v>370230</v>
      </c>
      <c r="Q110" s="23">
        <f>IFERROR(__xludf.DUMMYFUNCTION("""COMPUTED_VALUE"""),666851.0)</f>
        <v>666851</v>
      </c>
    </row>
    <row r="111">
      <c r="A111" s="23">
        <f>IFERROR(__xludf.DUMMYFUNCTION("""COMPUTED_VALUE"""),110.0)</f>
        <v>110</v>
      </c>
      <c r="B111" s="23" t="str">
        <f>IFERROR(__xludf.DUMMYFUNCTION("""COMPUTED_VALUE"""),"Balanced Binary Tree")</f>
        <v>Balanced Binary Tree</v>
      </c>
      <c r="C111" s="23" t="str">
        <f>IFERROR(__xludf.DUMMYFUNCTION("""COMPUTED_VALUE"""),"balanced-binary-tree")</f>
        <v>balanced-binary-tree</v>
      </c>
      <c r="D111" s="23" t="b">
        <f>IFERROR(__xludf.DUMMYFUNCTION("""COMPUTED_VALUE"""),FALSE)</f>
        <v>0</v>
      </c>
      <c r="E111" s="23" t="str">
        <f>IFERROR(__xludf.DUMMYFUNCTION("""COMPUTED_VALUE"""),"Easy")</f>
        <v>Easy</v>
      </c>
      <c r="F111" s="23">
        <f>IFERROR(__xludf.DUMMYFUNCTION("""COMPUTED_VALUE"""),5664.0)</f>
        <v>5664</v>
      </c>
      <c r="G111" s="23">
        <f>IFERROR(__xludf.DUMMYFUNCTION("""COMPUTED_VALUE"""),312.0)</f>
        <v>312</v>
      </c>
      <c r="H111" s="23" t="str">
        <f>IFERROR(__xludf.DUMMYFUNCTION("""COMPUTED_VALUE"""),"Algorithms")</f>
        <v>Algorithms</v>
      </c>
      <c r="I111" s="23">
        <f>IFERROR(__xludf.DUMMYFUNCTION("""COMPUTED_VALUE"""),0.468)</f>
        <v>0.468</v>
      </c>
      <c r="J111" s="23">
        <f>IFERROR(__xludf.DUMMYFUNCTION("""COMPUTED_VALUE"""),110.0)</f>
        <v>110</v>
      </c>
      <c r="K111" s="23" t="b">
        <f>IFERROR(__xludf.DUMMYFUNCTION("""COMPUTED_VALUE"""),FALSE)</f>
        <v>0</v>
      </c>
      <c r="L111" s="23" t="str">
        <f>IFERROR(__xludf.DUMMYFUNCTION("""COMPUTED_VALUE"""),"Tree;Depth-First Search;Binary Tree;")</f>
        <v>Tree;Depth-First Search;Binary Tree;</v>
      </c>
      <c r="M111" s="23" t="b">
        <f>IFERROR(__xludf.DUMMYFUNCTION("""COMPUTED_VALUE"""),TRUE)</f>
        <v>1</v>
      </c>
      <c r="N111" s="23" t="b">
        <f>IFERROR(__xludf.DUMMYFUNCTION("""COMPUTED_VALUE"""),FALSE)</f>
        <v>0</v>
      </c>
      <c r="O111" s="23">
        <f>IFERROR(__xludf.DUMMYFUNCTION("""COMPUTED_VALUE"""),46.7616781094158)</f>
        <v>46.76167811</v>
      </c>
      <c r="P111" s="23">
        <f>IFERROR(__xludf.DUMMYFUNCTION("""COMPUTED_VALUE"""),751178.0)</f>
        <v>751178</v>
      </c>
      <c r="Q111" s="23">
        <f>IFERROR(__xludf.DUMMYFUNCTION("""COMPUTED_VALUE"""),1606398.0)</f>
        <v>1606398</v>
      </c>
    </row>
    <row r="112">
      <c r="A112" s="23">
        <f>IFERROR(__xludf.DUMMYFUNCTION("""COMPUTED_VALUE"""),111.0)</f>
        <v>111</v>
      </c>
      <c r="B112" s="23" t="str">
        <f>IFERROR(__xludf.DUMMYFUNCTION("""COMPUTED_VALUE"""),"Minimum Depth of Binary Tree")</f>
        <v>Minimum Depth of Binary Tree</v>
      </c>
      <c r="C112" s="23" t="str">
        <f>IFERROR(__xludf.DUMMYFUNCTION("""COMPUTED_VALUE"""),"minimum-depth-of-binary-tree")</f>
        <v>minimum-depth-of-binary-tree</v>
      </c>
      <c r="D112" s="23" t="b">
        <f>IFERROR(__xludf.DUMMYFUNCTION("""COMPUTED_VALUE"""),FALSE)</f>
        <v>0</v>
      </c>
      <c r="E112" s="23" t="str">
        <f>IFERROR(__xludf.DUMMYFUNCTION("""COMPUTED_VALUE"""),"Easy")</f>
        <v>Easy</v>
      </c>
      <c r="F112" s="23">
        <f>IFERROR(__xludf.DUMMYFUNCTION("""COMPUTED_VALUE"""),4010.0)</f>
        <v>4010</v>
      </c>
      <c r="G112" s="23">
        <f>IFERROR(__xludf.DUMMYFUNCTION("""COMPUTED_VALUE"""),944.0)</f>
        <v>944</v>
      </c>
      <c r="H112" s="23" t="str">
        <f>IFERROR(__xludf.DUMMYFUNCTION("""COMPUTED_VALUE"""),"Algorithms")</f>
        <v>Algorithms</v>
      </c>
      <c r="I112" s="23">
        <f>IFERROR(__xludf.DUMMYFUNCTION("""COMPUTED_VALUE"""),0.425)</f>
        <v>0.425</v>
      </c>
      <c r="J112" s="23">
        <f>IFERROR(__xludf.DUMMYFUNCTION("""COMPUTED_VALUE"""),111.0)</f>
        <v>111</v>
      </c>
      <c r="K112" s="23" t="b">
        <f>IFERROR(__xludf.DUMMYFUNCTION("""COMPUTED_VALUE"""),FALSE)</f>
        <v>0</v>
      </c>
      <c r="L112" s="23" t="str">
        <f>IFERROR(__xludf.DUMMYFUNCTION("""COMPUTED_VALUE"""),"Tree;Depth-First Search;Breadth-First Search;Binary Tree;")</f>
        <v>Tree;Depth-First Search;Breadth-First Search;Binary Tree;</v>
      </c>
      <c r="M112" s="23" t="b">
        <f>IFERROR(__xludf.DUMMYFUNCTION("""COMPUTED_VALUE"""),TRUE)</f>
        <v>1</v>
      </c>
      <c r="N112" s="23" t="b">
        <f>IFERROR(__xludf.DUMMYFUNCTION("""COMPUTED_VALUE"""),FALSE)</f>
        <v>0</v>
      </c>
      <c r="O112" s="23">
        <f>IFERROR(__xludf.DUMMYFUNCTION("""COMPUTED_VALUE"""),42.4784622933236)</f>
        <v>42.47846229</v>
      </c>
      <c r="P112" s="23">
        <f>IFERROR(__xludf.DUMMYFUNCTION("""COMPUTED_VALUE"""),744537.0)</f>
        <v>744537</v>
      </c>
      <c r="Q112" s="23">
        <f>IFERROR(__xludf.DUMMYFUNCTION("""COMPUTED_VALUE"""),1752737.0)</f>
        <v>1752737</v>
      </c>
    </row>
    <row r="113">
      <c r="A113" s="23">
        <f>IFERROR(__xludf.DUMMYFUNCTION("""COMPUTED_VALUE"""),112.0)</f>
        <v>112</v>
      </c>
      <c r="B113" s="23" t="str">
        <f>IFERROR(__xludf.DUMMYFUNCTION("""COMPUTED_VALUE"""),"Path Sum")</f>
        <v>Path Sum</v>
      </c>
      <c r="C113" s="23" t="str">
        <f>IFERROR(__xludf.DUMMYFUNCTION("""COMPUTED_VALUE"""),"path-sum")</f>
        <v>path-sum</v>
      </c>
      <c r="D113" s="23" t="b">
        <f>IFERROR(__xludf.DUMMYFUNCTION("""COMPUTED_VALUE"""),FALSE)</f>
        <v>0</v>
      </c>
      <c r="E113" s="23" t="str">
        <f>IFERROR(__xludf.DUMMYFUNCTION("""COMPUTED_VALUE"""),"Easy")</f>
        <v>Easy</v>
      </c>
      <c r="F113" s="23">
        <f>IFERROR(__xludf.DUMMYFUNCTION("""COMPUTED_VALUE"""),5359.0)</f>
        <v>5359</v>
      </c>
      <c r="G113" s="23">
        <f>IFERROR(__xludf.DUMMYFUNCTION("""COMPUTED_VALUE"""),780.0)</f>
        <v>780</v>
      </c>
      <c r="H113" s="23" t="str">
        <f>IFERROR(__xludf.DUMMYFUNCTION("""COMPUTED_VALUE"""),"Algorithms")</f>
        <v>Algorithms</v>
      </c>
      <c r="I113" s="23">
        <f>IFERROR(__xludf.DUMMYFUNCTION("""COMPUTED_VALUE"""),0.455)</f>
        <v>0.455</v>
      </c>
      <c r="J113" s="23">
        <f>IFERROR(__xludf.DUMMYFUNCTION("""COMPUTED_VALUE"""),112.0)</f>
        <v>112</v>
      </c>
      <c r="K113" s="23" t="b">
        <f>IFERROR(__xludf.DUMMYFUNCTION("""COMPUTED_VALUE"""),FALSE)</f>
        <v>0</v>
      </c>
      <c r="L113" s="23" t="str">
        <f>IFERROR(__xludf.DUMMYFUNCTION("""COMPUTED_VALUE"""),"Tree;Depth-First Search;Breadth-First Search;Binary Tree;")</f>
        <v>Tree;Depth-First Search;Breadth-First Search;Binary Tree;</v>
      </c>
      <c r="M113" s="23" t="b">
        <f>IFERROR(__xludf.DUMMYFUNCTION("""COMPUTED_VALUE"""),TRUE)</f>
        <v>1</v>
      </c>
      <c r="N113" s="23" t="b">
        <f>IFERROR(__xludf.DUMMYFUNCTION("""COMPUTED_VALUE"""),FALSE)</f>
        <v>0</v>
      </c>
      <c r="O113" s="23">
        <f>IFERROR(__xludf.DUMMYFUNCTION("""COMPUTED_VALUE"""),45.5010305675384)</f>
        <v>45.50103057</v>
      </c>
      <c r="P113" s="23">
        <f>IFERROR(__xludf.DUMMYFUNCTION("""COMPUTED_VALUE"""),864482.0)</f>
        <v>864482</v>
      </c>
      <c r="Q113" s="23">
        <f>IFERROR(__xludf.DUMMYFUNCTION("""COMPUTED_VALUE"""),1899918.0)</f>
        <v>1899918</v>
      </c>
    </row>
    <row r="114">
      <c r="A114" s="23">
        <f>IFERROR(__xludf.DUMMYFUNCTION("""COMPUTED_VALUE"""),113.0)</f>
        <v>113</v>
      </c>
      <c r="B114" s="23" t="str">
        <f>IFERROR(__xludf.DUMMYFUNCTION("""COMPUTED_VALUE"""),"Path Sum II")</f>
        <v>Path Sum II</v>
      </c>
      <c r="C114" s="23" t="str">
        <f>IFERROR(__xludf.DUMMYFUNCTION("""COMPUTED_VALUE"""),"path-sum-ii")</f>
        <v>path-sum-ii</v>
      </c>
      <c r="D114" s="23" t="b">
        <f>IFERROR(__xludf.DUMMYFUNCTION("""COMPUTED_VALUE"""),FALSE)</f>
        <v>0</v>
      </c>
      <c r="E114" s="23" t="str">
        <f>IFERROR(__xludf.DUMMYFUNCTION("""COMPUTED_VALUE"""),"Medium")</f>
        <v>Medium</v>
      </c>
      <c r="F114" s="23">
        <f>IFERROR(__xludf.DUMMYFUNCTION("""COMPUTED_VALUE"""),4657.0)</f>
        <v>4657</v>
      </c>
      <c r="G114" s="23">
        <f>IFERROR(__xludf.DUMMYFUNCTION("""COMPUTED_VALUE"""),109.0)</f>
        <v>109</v>
      </c>
      <c r="H114" s="23" t="str">
        <f>IFERROR(__xludf.DUMMYFUNCTION("""COMPUTED_VALUE"""),"Algorithms")</f>
        <v>Algorithms</v>
      </c>
      <c r="I114" s="23">
        <f>IFERROR(__xludf.DUMMYFUNCTION("""COMPUTED_VALUE"""),0.54)</f>
        <v>0.54</v>
      </c>
      <c r="J114" s="23">
        <f>IFERROR(__xludf.DUMMYFUNCTION("""COMPUTED_VALUE"""),113.0)</f>
        <v>113</v>
      </c>
      <c r="K114" s="23" t="b">
        <f>IFERROR(__xludf.DUMMYFUNCTION("""COMPUTED_VALUE"""),FALSE)</f>
        <v>0</v>
      </c>
      <c r="L114" s="23" t="str">
        <f>IFERROR(__xludf.DUMMYFUNCTION("""COMPUTED_VALUE"""),"Backtracking;Tree;Depth-First Search;Binary Tree;")</f>
        <v>Backtracking;Tree;Depth-First Search;Binary Tree;</v>
      </c>
      <c r="M114" s="23" t="b">
        <f>IFERROR(__xludf.DUMMYFUNCTION("""COMPUTED_VALUE"""),TRUE)</f>
        <v>1</v>
      </c>
      <c r="N114" s="23" t="b">
        <f>IFERROR(__xludf.DUMMYFUNCTION("""COMPUTED_VALUE"""),FALSE)</f>
        <v>0</v>
      </c>
      <c r="O114" s="23">
        <f>IFERROR(__xludf.DUMMYFUNCTION("""COMPUTED_VALUE"""),53.978352864737)</f>
        <v>53.97835286</v>
      </c>
      <c r="P114" s="23">
        <f>IFERROR(__xludf.DUMMYFUNCTION("""COMPUTED_VALUE"""),571573.0)</f>
        <v>571573</v>
      </c>
      <c r="Q114" s="23">
        <f>IFERROR(__xludf.DUMMYFUNCTION("""COMPUTED_VALUE"""),1058893.0)</f>
        <v>1058893</v>
      </c>
    </row>
    <row r="115">
      <c r="A115" s="23">
        <f>IFERROR(__xludf.DUMMYFUNCTION("""COMPUTED_VALUE"""),114.0)</f>
        <v>114</v>
      </c>
      <c r="B115" s="23" t="str">
        <f>IFERROR(__xludf.DUMMYFUNCTION("""COMPUTED_VALUE"""),"Flatten Binary Tree to Linked List")</f>
        <v>Flatten Binary Tree to Linked List</v>
      </c>
      <c r="C115" s="23" t="str">
        <f>IFERROR(__xludf.DUMMYFUNCTION("""COMPUTED_VALUE"""),"flatten-binary-tree-to-linked-list")</f>
        <v>flatten-binary-tree-to-linked-list</v>
      </c>
      <c r="D115" s="23" t="b">
        <f>IFERROR(__xludf.DUMMYFUNCTION("""COMPUTED_VALUE"""),FALSE)</f>
        <v>0</v>
      </c>
      <c r="E115" s="23" t="str">
        <f>IFERROR(__xludf.DUMMYFUNCTION("""COMPUTED_VALUE"""),"Medium")</f>
        <v>Medium</v>
      </c>
      <c r="F115" s="23">
        <f>IFERROR(__xludf.DUMMYFUNCTION("""COMPUTED_VALUE"""),6972.0)</f>
        <v>6972</v>
      </c>
      <c r="G115" s="23">
        <f>IFERROR(__xludf.DUMMYFUNCTION("""COMPUTED_VALUE"""),463.0)</f>
        <v>463</v>
      </c>
      <c r="H115" s="23" t="str">
        <f>IFERROR(__xludf.DUMMYFUNCTION("""COMPUTED_VALUE"""),"Algorithms")</f>
        <v>Algorithms</v>
      </c>
      <c r="I115" s="23">
        <f>IFERROR(__xludf.DUMMYFUNCTION("""COMPUTED_VALUE"""),0.578)</f>
        <v>0.578</v>
      </c>
      <c r="J115" s="23">
        <f>IFERROR(__xludf.DUMMYFUNCTION("""COMPUTED_VALUE"""),114.0)</f>
        <v>114</v>
      </c>
      <c r="K115" s="23" t="b">
        <f>IFERROR(__xludf.DUMMYFUNCTION("""COMPUTED_VALUE"""),FALSE)</f>
        <v>0</v>
      </c>
      <c r="L115" s="23" t="str">
        <f>IFERROR(__xludf.DUMMYFUNCTION("""COMPUTED_VALUE"""),"Linked List;Stack;Tree;Depth-First Search;Binary Tree;")</f>
        <v>Linked List;Stack;Tree;Depth-First Search;Binary Tree;</v>
      </c>
      <c r="M115" s="23" t="b">
        <f>IFERROR(__xludf.DUMMYFUNCTION("""COMPUTED_VALUE"""),TRUE)</f>
        <v>1</v>
      </c>
      <c r="N115" s="23" t="b">
        <f>IFERROR(__xludf.DUMMYFUNCTION("""COMPUTED_VALUE"""),FALSE)</f>
        <v>0</v>
      </c>
      <c r="O115" s="23">
        <f>IFERROR(__xludf.DUMMYFUNCTION("""COMPUTED_VALUE"""),57.7711558495045)</f>
        <v>57.77115585</v>
      </c>
      <c r="P115" s="23">
        <f>IFERROR(__xludf.DUMMYFUNCTION("""COMPUTED_VALUE"""),596154.0)</f>
        <v>596154</v>
      </c>
      <c r="Q115" s="23">
        <f>IFERROR(__xludf.DUMMYFUNCTION("""COMPUTED_VALUE"""),1031924.0)</f>
        <v>1031924</v>
      </c>
    </row>
    <row r="116">
      <c r="A116" s="23">
        <f>IFERROR(__xludf.DUMMYFUNCTION("""COMPUTED_VALUE"""),115.0)</f>
        <v>115</v>
      </c>
      <c r="B116" s="23" t="str">
        <f>IFERROR(__xludf.DUMMYFUNCTION("""COMPUTED_VALUE"""),"Distinct Subsequences")</f>
        <v>Distinct Subsequences</v>
      </c>
      <c r="C116" s="23" t="str">
        <f>IFERROR(__xludf.DUMMYFUNCTION("""COMPUTED_VALUE"""),"distinct-subsequences")</f>
        <v>distinct-subsequences</v>
      </c>
      <c r="D116" s="23" t="b">
        <f>IFERROR(__xludf.DUMMYFUNCTION("""COMPUTED_VALUE"""),FALSE)</f>
        <v>0</v>
      </c>
      <c r="E116" s="23" t="str">
        <f>IFERROR(__xludf.DUMMYFUNCTION("""COMPUTED_VALUE"""),"Hard")</f>
        <v>Hard</v>
      </c>
      <c r="F116" s="23">
        <f>IFERROR(__xludf.DUMMYFUNCTION("""COMPUTED_VALUE"""),3367.0)</f>
        <v>3367</v>
      </c>
      <c r="G116" s="23">
        <f>IFERROR(__xludf.DUMMYFUNCTION("""COMPUTED_VALUE"""),146.0)</f>
        <v>146</v>
      </c>
      <c r="H116" s="23" t="str">
        <f>IFERROR(__xludf.DUMMYFUNCTION("""COMPUTED_VALUE"""),"Algorithms")</f>
        <v>Algorithms</v>
      </c>
      <c r="I116" s="23">
        <f>IFERROR(__xludf.DUMMYFUNCTION("""COMPUTED_VALUE"""),0.423)</f>
        <v>0.423</v>
      </c>
      <c r="J116" s="23">
        <f>IFERROR(__xludf.DUMMYFUNCTION("""COMPUTED_VALUE"""),115.0)</f>
        <v>115</v>
      </c>
      <c r="K116" s="23" t="b">
        <f>IFERROR(__xludf.DUMMYFUNCTION("""COMPUTED_VALUE"""),FALSE)</f>
        <v>0</v>
      </c>
      <c r="L116" s="23" t="str">
        <f>IFERROR(__xludf.DUMMYFUNCTION("""COMPUTED_VALUE"""),"String;Dynamic Programming;")</f>
        <v>String;Dynamic Programming;</v>
      </c>
      <c r="M116" s="23" t="b">
        <f>IFERROR(__xludf.DUMMYFUNCTION("""COMPUTED_VALUE"""),TRUE)</f>
        <v>1</v>
      </c>
      <c r="N116" s="23" t="b">
        <f>IFERROR(__xludf.DUMMYFUNCTION("""COMPUTED_VALUE"""),FALSE)</f>
        <v>0</v>
      </c>
      <c r="O116" s="23">
        <f>IFERROR(__xludf.DUMMYFUNCTION("""COMPUTED_VALUE"""),42.2866080186903)</f>
        <v>42.28660802</v>
      </c>
      <c r="P116" s="23">
        <f>IFERROR(__xludf.DUMMYFUNCTION("""COMPUTED_VALUE"""),216836.0)</f>
        <v>216836</v>
      </c>
      <c r="Q116" s="23">
        <f>IFERROR(__xludf.DUMMYFUNCTION("""COMPUTED_VALUE"""),512777.0)</f>
        <v>512777</v>
      </c>
    </row>
    <row r="117">
      <c r="A117" s="23">
        <f>IFERROR(__xludf.DUMMYFUNCTION("""COMPUTED_VALUE"""),116.0)</f>
        <v>116</v>
      </c>
      <c r="B117" s="23" t="str">
        <f>IFERROR(__xludf.DUMMYFUNCTION("""COMPUTED_VALUE"""),"Populating Next Right Pointers in Each Node")</f>
        <v>Populating Next Right Pointers in Each Node</v>
      </c>
      <c r="C117" s="23" t="str">
        <f>IFERROR(__xludf.DUMMYFUNCTION("""COMPUTED_VALUE"""),"populating-next-right-pointers-in-each-node")</f>
        <v>populating-next-right-pointers-in-each-node</v>
      </c>
      <c r="D117" s="23" t="b">
        <f>IFERROR(__xludf.DUMMYFUNCTION("""COMPUTED_VALUE"""),FALSE)</f>
        <v>0</v>
      </c>
      <c r="E117" s="23" t="str">
        <f>IFERROR(__xludf.DUMMYFUNCTION("""COMPUTED_VALUE"""),"Medium")</f>
        <v>Medium</v>
      </c>
      <c r="F117" s="23">
        <f>IFERROR(__xludf.DUMMYFUNCTION("""COMPUTED_VALUE"""),6370.0)</f>
        <v>6370</v>
      </c>
      <c r="G117" s="23">
        <f>IFERROR(__xludf.DUMMYFUNCTION("""COMPUTED_VALUE"""),230.0)</f>
        <v>230</v>
      </c>
      <c r="H117" s="23" t="str">
        <f>IFERROR(__xludf.DUMMYFUNCTION("""COMPUTED_VALUE"""),"Algorithms")</f>
        <v>Algorithms</v>
      </c>
      <c r="I117" s="23">
        <f>IFERROR(__xludf.DUMMYFUNCTION("""COMPUTED_VALUE"""),0.57)</f>
        <v>0.57</v>
      </c>
      <c r="J117" s="23">
        <f>IFERROR(__xludf.DUMMYFUNCTION("""COMPUTED_VALUE"""),116.0)</f>
        <v>116</v>
      </c>
      <c r="K117" s="23" t="b">
        <f>IFERROR(__xludf.DUMMYFUNCTION("""COMPUTED_VALUE"""),FALSE)</f>
        <v>0</v>
      </c>
      <c r="L117" s="23" t="str">
        <f>IFERROR(__xludf.DUMMYFUNCTION("""COMPUTED_VALUE"""),"Linked List;Tree;Depth-First Search;Breadth-First Search;Binary Tree;")</f>
        <v>Linked List;Tree;Depth-First Search;Breadth-First Search;Binary Tree;</v>
      </c>
      <c r="M117" s="23" t="b">
        <f>IFERROR(__xludf.DUMMYFUNCTION("""COMPUTED_VALUE"""),TRUE)</f>
        <v>1</v>
      </c>
      <c r="N117" s="23" t="b">
        <f>IFERROR(__xludf.DUMMYFUNCTION("""COMPUTED_VALUE"""),FALSE)</f>
        <v>0</v>
      </c>
      <c r="O117" s="23">
        <f>IFERROR(__xludf.DUMMYFUNCTION("""COMPUTED_VALUE"""),56.9577625659353)</f>
        <v>56.95776257</v>
      </c>
      <c r="P117" s="23">
        <f>IFERROR(__xludf.DUMMYFUNCTION("""COMPUTED_VALUE"""),734048.0)</f>
        <v>734048</v>
      </c>
      <c r="Q117" s="23">
        <f>IFERROR(__xludf.DUMMYFUNCTION("""COMPUTED_VALUE"""),1288760.0)</f>
        <v>1288760</v>
      </c>
    </row>
    <row r="118">
      <c r="A118" s="23">
        <f>IFERROR(__xludf.DUMMYFUNCTION("""COMPUTED_VALUE"""),117.0)</f>
        <v>117</v>
      </c>
      <c r="B118" s="23" t="str">
        <f>IFERROR(__xludf.DUMMYFUNCTION("""COMPUTED_VALUE"""),"Populating Next Right Pointers in Each Node II")</f>
        <v>Populating Next Right Pointers in Each Node II</v>
      </c>
      <c r="C118" s="23" t="str">
        <f>IFERROR(__xludf.DUMMYFUNCTION("""COMPUTED_VALUE"""),"populating-next-right-pointers-in-each-node-ii")</f>
        <v>populating-next-right-pointers-in-each-node-ii</v>
      </c>
      <c r="D118" s="23" t="b">
        <f>IFERROR(__xludf.DUMMYFUNCTION("""COMPUTED_VALUE"""),FALSE)</f>
        <v>0</v>
      </c>
      <c r="E118" s="23" t="str">
        <f>IFERROR(__xludf.DUMMYFUNCTION("""COMPUTED_VALUE"""),"Medium")</f>
        <v>Medium</v>
      </c>
      <c r="F118" s="23">
        <f>IFERROR(__xludf.DUMMYFUNCTION("""COMPUTED_VALUE"""),3643.0)</f>
        <v>3643</v>
      </c>
      <c r="G118" s="23">
        <f>IFERROR(__xludf.DUMMYFUNCTION("""COMPUTED_VALUE"""),237.0)</f>
        <v>237</v>
      </c>
      <c r="H118" s="23" t="str">
        <f>IFERROR(__xludf.DUMMYFUNCTION("""COMPUTED_VALUE"""),"Algorithms")</f>
        <v>Algorithms</v>
      </c>
      <c r="I118" s="23">
        <f>IFERROR(__xludf.DUMMYFUNCTION("""COMPUTED_VALUE"""),0.466)</f>
        <v>0.466</v>
      </c>
      <c r="J118" s="23">
        <f>IFERROR(__xludf.DUMMYFUNCTION("""COMPUTED_VALUE"""),117.0)</f>
        <v>117</v>
      </c>
      <c r="K118" s="23" t="b">
        <f>IFERROR(__xludf.DUMMYFUNCTION("""COMPUTED_VALUE"""),FALSE)</f>
        <v>0</v>
      </c>
      <c r="L118" s="23" t="str">
        <f>IFERROR(__xludf.DUMMYFUNCTION("""COMPUTED_VALUE"""),"Linked List;Tree;Depth-First Search;Breadth-First Search;Binary Tree;")</f>
        <v>Linked List;Tree;Depth-First Search;Breadth-First Search;Binary Tree;</v>
      </c>
      <c r="M118" s="23" t="b">
        <f>IFERROR(__xludf.DUMMYFUNCTION("""COMPUTED_VALUE"""),TRUE)</f>
        <v>1</v>
      </c>
      <c r="N118" s="23" t="b">
        <f>IFERROR(__xludf.DUMMYFUNCTION("""COMPUTED_VALUE"""),FALSE)</f>
        <v>0</v>
      </c>
      <c r="O118" s="23">
        <f>IFERROR(__xludf.DUMMYFUNCTION("""COMPUTED_VALUE"""),46.5764411783071)</f>
        <v>46.57644118</v>
      </c>
      <c r="P118" s="23">
        <f>IFERROR(__xludf.DUMMYFUNCTION("""COMPUTED_VALUE"""),432629.0)</f>
        <v>432629</v>
      </c>
      <c r="Q118" s="23">
        <f>IFERROR(__xludf.DUMMYFUNCTION("""COMPUTED_VALUE"""),928858.0)</f>
        <v>928858</v>
      </c>
    </row>
    <row r="119">
      <c r="A119" s="23">
        <f>IFERROR(__xludf.DUMMYFUNCTION("""COMPUTED_VALUE"""),118.0)</f>
        <v>118</v>
      </c>
      <c r="B119" s="23" t="str">
        <f>IFERROR(__xludf.DUMMYFUNCTION("""COMPUTED_VALUE"""),"Pascal's Triangle")</f>
        <v>Pascal's Triangle</v>
      </c>
      <c r="C119" s="23" t="str">
        <f>IFERROR(__xludf.DUMMYFUNCTION("""COMPUTED_VALUE"""),"pascals-triangle")</f>
        <v>pascals-triangle</v>
      </c>
      <c r="D119" s="23" t="b">
        <f>IFERROR(__xludf.DUMMYFUNCTION("""COMPUTED_VALUE"""),FALSE)</f>
        <v>0</v>
      </c>
      <c r="E119" s="23" t="str">
        <f>IFERROR(__xludf.DUMMYFUNCTION("""COMPUTED_VALUE"""),"Easy")</f>
        <v>Easy</v>
      </c>
      <c r="F119" s="23">
        <f>IFERROR(__xludf.DUMMYFUNCTION("""COMPUTED_VALUE"""),5587.0)</f>
        <v>5587</v>
      </c>
      <c r="G119" s="23">
        <f>IFERROR(__xludf.DUMMYFUNCTION("""COMPUTED_VALUE"""),206.0)</f>
        <v>206</v>
      </c>
      <c r="H119" s="23" t="str">
        <f>IFERROR(__xludf.DUMMYFUNCTION("""COMPUTED_VALUE"""),"Algorithms")</f>
        <v>Algorithms</v>
      </c>
      <c r="I119" s="23">
        <f>IFERROR(__xludf.DUMMYFUNCTION("""COMPUTED_VALUE"""),0.644)</f>
        <v>0.644</v>
      </c>
      <c r="J119" s="23">
        <f>IFERROR(__xludf.DUMMYFUNCTION("""COMPUTED_VALUE"""),118.0)</f>
        <v>118</v>
      </c>
      <c r="K119" s="23" t="b">
        <f>IFERROR(__xludf.DUMMYFUNCTION("""COMPUTED_VALUE"""),FALSE)</f>
        <v>0</v>
      </c>
      <c r="L119" s="23" t="str">
        <f>IFERROR(__xludf.DUMMYFUNCTION("""COMPUTED_VALUE"""),"Array;Dynamic Programming;")</f>
        <v>Array;Dynamic Programming;</v>
      </c>
      <c r="M119" s="23" t="b">
        <f>IFERROR(__xludf.DUMMYFUNCTION("""COMPUTED_VALUE"""),TRUE)</f>
        <v>1</v>
      </c>
      <c r="N119" s="23" t="b">
        <f>IFERROR(__xludf.DUMMYFUNCTION("""COMPUTED_VALUE"""),TRUE)</f>
        <v>1</v>
      </c>
      <c r="O119" s="23">
        <f>IFERROR(__xludf.DUMMYFUNCTION("""COMPUTED_VALUE"""),64.4287030361622)</f>
        <v>64.42870304</v>
      </c>
      <c r="P119" s="23">
        <f>IFERROR(__xludf.DUMMYFUNCTION("""COMPUTED_VALUE"""),778383.0)</f>
        <v>778383</v>
      </c>
      <c r="Q119" s="23">
        <f>IFERROR(__xludf.DUMMYFUNCTION("""COMPUTED_VALUE"""),1208133.0)</f>
        <v>1208133</v>
      </c>
    </row>
    <row r="120">
      <c r="A120" s="23">
        <f>IFERROR(__xludf.DUMMYFUNCTION("""COMPUTED_VALUE"""),119.0)</f>
        <v>119</v>
      </c>
      <c r="B120" s="23" t="str">
        <f>IFERROR(__xludf.DUMMYFUNCTION("""COMPUTED_VALUE"""),"Pascal's Triangle II")</f>
        <v>Pascal's Triangle II</v>
      </c>
      <c r="C120" s="23" t="str">
        <f>IFERROR(__xludf.DUMMYFUNCTION("""COMPUTED_VALUE"""),"pascals-triangle-ii")</f>
        <v>pascals-triangle-ii</v>
      </c>
      <c r="D120" s="23" t="b">
        <f>IFERROR(__xludf.DUMMYFUNCTION("""COMPUTED_VALUE"""),FALSE)</f>
        <v>0</v>
      </c>
      <c r="E120" s="23" t="str">
        <f>IFERROR(__xludf.DUMMYFUNCTION("""COMPUTED_VALUE"""),"Easy")</f>
        <v>Easy</v>
      </c>
      <c r="F120" s="23">
        <f>IFERROR(__xludf.DUMMYFUNCTION("""COMPUTED_VALUE"""),2511.0)</f>
        <v>2511</v>
      </c>
      <c r="G120" s="23">
        <f>IFERROR(__xludf.DUMMYFUNCTION("""COMPUTED_VALUE"""),265.0)</f>
        <v>265</v>
      </c>
      <c r="H120" s="23" t="str">
        <f>IFERROR(__xludf.DUMMYFUNCTION("""COMPUTED_VALUE"""),"Algorithms")</f>
        <v>Algorithms</v>
      </c>
      <c r="I120" s="23">
        <f>IFERROR(__xludf.DUMMYFUNCTION("""COMPUTED_VALUE"""),0.575)</f>
        <v>0.575</v>
      </c>
      <c r="J120" s="23">
        <f>IFERROR(__xludf.DUMMYFUNCTION("""COMPUTED_VALUE"""),119.0)</f>
        <v>119</v>
      </c>
      <c r="K120" s="23" t="b">
        <f>IFERROR(__xludf.DUMMYFUNCTION("""COMPUTED_VALUE"""),FALSE)</f>
        <v>0</v>
      </c>
      <c r="L120" s="23" t="str">
        <f>IFERROR(__xludf.DUMMYFUNCTION("""COMPUTED_VALUE"""),"Array;Dynamic Programming;")</f>
        <v>Array;Dynamic Programming;</v>
      </c>
      <c r="M120" s="23" t="b">
        <f>IFERROR(__xludf.DUMMYFUNCTION("""COMPUTED_VALUE"""),TRUE)</f>
        <v>1</v>
      </c>
      <c r="N120" s="23" t="b">
        <f>IFERROR(__xludf.DUMMYFUNCTION("""COMPUTED_VALUE"""),FALSE)</f>
        <v>0</v>
      </c>
      <c r="O120" s="23">
        <f>IFERROR(__xludf.DUMMYFUNCTION("""COMPUTED_VALUE"""),57.4659961049017)</f>
        <v>57.4659961</v>
      </c>
      <c r="P120" s="23">
        <f>IFERROR(__xludf.DUMMYFUNCTION("""COMPUTED_VALUE"""),514303.0)</f>
        <v>514303</v>
      </c>
      <c r="Q120" s="23">
        <f>IFERROR(__xludf.DUMMYFUNCTION("""COMPUTED_VALUE"""),894970.0)</f>
        <v>894970</v>
      </c>
    </row>
    <row r="121">
      <c r="A121" s="23">
        <f>IFERROR(__xludf.DUMMYFUNCTION("""COMPUTED_VALUE"""),120.0)</f>
        <v>120</v>
      </c>
      <c r="B121" s="23" t="str">
        <f>IFERROR(__xludf.DUMMYFUNCTION("""COMPUTED_VALUE"""),"Triangle")</f>
        <v>Triangle</v>
      </c>
      <c r="C121" s="23" t="str">
        <f>IFERROR(__xludf.DUMMYFUNCTION("""COMPUTED_VALUE"""),"triangle")</f>
        <v>triangle</v>
      </c>
      <c r="D121" s="23" t="b">
        <f>IFERROR(__xludf.DUMMYFUNCTION("""COMPUTED_VALUE"""),FALSE)</f>
        <v>0</v>
      </c>
      <c r="E121" s="23" t="str">
        <f>IFERROR(__xludf.DUMMYFUNCTION("""COMPUTED_VALUE"""),"Medium")</f>
        <v>Medium</v>
      </c>
      <c r="F121" s="23">
        <f>IFERROR(__xludf.DUMMYFUNCTION("""COMPUTED_VALUE"""),4827.0)</f>
        <v>4827</v>
      </c>
      <c r="G121" s="23">
        <f>IFERROR(__xludf.DUMMYFUNCTION("""COMPUTED_VALUE"""),380.0)</f>
        <v>380</v>
      </c>
      <c r="H121" s="23" t="str">
        <f>IFERROR(__xludf.DUMMYFUNCTION("""COMPUTED_VALUE"""),"Algorithms")</f>
        <v>Algorithms</v>
      </c>
      <c r="I121" s="23">
        <f>IFERROR(__xludf.DUMMYFUNCTION("""COMPUTED_VALUE"""),0.508)</f>
        <v>0.508</v>
      </c>
      <c r="J121" s="23">
        <f>IFERROR(__xludf.DUMMYFUNCTION("""COMPUTED_VALUE"""),120.0)</f>
        <v>120</v>
      </c>
      <c r="K121" s="23" t="b">
        <f>IFERROR(__xludf.DUMMYFUNCTION("""COMPUTED_VALUE"""),FALSE)</f>
        <v>0</v>
      </c>
      <c r="L121" s="23" t="str">
        <f>IFERROR(__xludf.DUMMYFUNCTION("""COMPUTED_VALUE"""),"Array;Dynamic Programming;")</f>
        <v>Array;Dynamic Programming;</v>
      </c>
      <c r="M121" s="23" t="b">
        <f>IFERROR(__xludf.DUMMYFUNCTION("""COMPUTED_VALUE"""),TRUE)</f>
        <v>1</v>
      </c>
      <c r="N121" s="23" t="b">
        <f>IFERROR(__xludf.DUMMYFUNCTION("""COMPUTED_VALUE"""),FALSE)</f>
        <v>0</v>
      </c>
      <c r="O121" s="23">
        <f>IFERROR(__xludf.DUMMYFUNCTION("""COMPUTED_VALUE"""),50.763092527045)</f>
        <v>50.76309253</v>
      </c>
      <c r="P121" s="23">
        <f>IFERROR(__xludf.DUMMYFUNCTION("""COMPUTED_VALUE"""),412607.0)</f>
        <v>412607</v>
      </c>
      <c r="Q121" s="23">
        <f>IFERROR(__xludf.DUMMYFUNCTION("""COMPUTED_VALUE"""),812810.0)</f>
        <v>812810</v>
      </c>
    </row>
    <row r="122">
      <c r="A122" s="23">
        <f>IFERROR(__xludf.DUMMYFUNCTION("""COMPUTED_VALUE"""),121.0)</f>
        <v>121</v>
      </c>
      <c r="B122" s="23" t="str">
        <f>IFERROR(__xludf.DUMMYFUNCTION("""COMPUTED_VALUE"""),"Best Time to Buy and Sell Stock")</f>
        <v>Best Time to Buy and Sell Stock</v>
      </c>
      <c r="C122" s="23" t="str">
        <f>IFERROR(__xludf.DUMMYFUNCTION("""COMPUTED_VALUE"""),"best-time-to-buy-and-sell-stock")</f>
        <v>best-time-to-buy-and-sell-stock</v>
      </c>
      <c r="D122" s="23" t="b">
        <f>IFERROR(__xludf.DUMMYFUNCTION("""COMPUTED_VALUE"""),FALSE)</f>
        <v>0</v>
      </c>
      <c r="E122" s="23" t="str">
        <f>IFERROR(__xludf.DUMMYFUNCTION("""COMPUTED_VALUE"""),"Easy")</f>
        <v>Easy</v>
      </c>
      <c r="F122" s="23">
        <f>IFERROR(__xludf.DUMMYFUNCTION("""COMPUTED_VALUE"""),15703.0)</f>
        <v>15703</v>
      </c>
      <c r="G122" s="23">
        <f>IFERROR(__xludf.DUMMYFUNCTION("""COMPUTED_VALUE"""),528.0)</f>
        <v>528</v>
      </c>
      <c r="H122" s="23" t="str">
        <f>IFERROR(__xludf.DUMMYFUNCTION("""COMPUTED_VALUE"""),"Algorithms")</f>
        <v>Algorithms</v>
      </c>
      <c r="I122" s="23">
        <f>IFERROR(__xludf.DUMMYFUNCTION("""COMPUTED_VALUE"""),0.54)</f>
        <v>0.54</v>
      </c>
      <c r="J122" s="23">
        <f>IFERROR(__xludf.DUMMYFUNCTION("""COMPUTED_VALUE"""),121.0)</f>
        <v>121</v>
      </c>
      <c r="K122" s="23" t="b">
        <f>IFERROR(__xludf.DUMMYFUNCTION("""COMPUTED_VALUE"""),FALSE)</f>
        <v>0</v>
      </c>
      <c r="L122" s="23" t="str">
        <f>IFERROR(__xludf.DUMMYFUNCTION("""COMPUTED_VALUE"""),"Array;Dynamic Programming;")</f>
        <v>Array;Dynamic Programming;</v>
      </c>
      <c r="M122" s="23" t="b">
        <f>IFERROR(__xludf.DUMMYFUNCTION("""COMPUTED_VALUE"""),TRUE)</f>
        <v>1</v>
      </c>
      <c r="N122" s="23" t="b">
        <f>IFERROR(__xludf.DUMMYFUNCTION("""COMPUTED_VALUE"""),TRUE)</f>
        <v>1</v>
      </c>
      <c r="O122" s="23">
        <f>IFERROR(__xludf.DUMMYFUNCTION("""COMPUTED_VALUE"""),54.0372426393085)</f>
        <v>54.03724264</v>
      </c>
      <c r="P122" s="23">
        <f>IFERROR(__xludf.DUMMYFUNCTION("""COMPUTED_VALUE"""),2114745.0)</f>
        <v>2114745</v>
      </c>
      <c r="Q122" s="23">
        <f>IFERROR(__xludf.DUMMYFUNCTION("""COMPUTED_VALUE"""),3913502.0)</f>
        <v>3913502</v>
      </c>
    </row>
    <row r="123">
      <c r="A123" s="23">
        <f>IFERROR(__xludf.DUMMYFUNCTION("""COMPUTED_VALUE"""),122.0)</f>
        <v>122</v>
      </c>
      <c r="B123" s="23" t="str">
        <f>IFERROR(__xludf.DUMMYFUNCTION("""COMPUTED_VALUE"""),"Best Time to Buy and Sell Stock II")</f>
        <v>Best Time to Buy and Sell Stock II</v>
      </c>
      <c r="C123" s="23" t="str">
        <f>IFERROR(__xludf.DUMMYFUNCTION("""COMPUTED_VALUE"""),"best-time-to-buy-and-sell-stock-ii")</f>
        <v>best-time-to-buy-and-sell-stock-ii</v>
      </c>
      <c r="D123" s="23" t="b">
        <f>IFERROR(__xludf.DUMMYFUNCTION("""COMPUTED_VALUE"""),FALSE)</f>
        <v>0</v>
      </c>
      <c r="E123" s="23" t="str">
        <f>IFERROR(__xludf.DUMMYFUNCTION("""COMPUTED_VALUE"""),"Medium")</f>
        <v>Medium</v>
      </c>
      <c r="F123" s="23">
        <f>IFERROR(__xludf.DUMMYFUNCTION("""COMPUTED_VALUE"""),7395.0)</f>
        <v>7395</v>
      </c>
      <c r="G123" s="23">
        <f>IFERROR(__xludf.DUMMYFUNCTION("""COMPUTED_VALUE"""),2361.0)</f>
        <v>2361</v>
      </c>
      <c r="H123" s="23" t="str">
        <f>IFERROR(__xludf.DUMMYFUNCTION("""COMPUTED_VALUE"""),"Algorithms")</f>
        <v>Algorithms</v>
      </c>
      <c r="I123" s="23">
        <f>IFERROR(__xludf.DUMMYFUNCTION("""COMPUTED_VALUE"""),0.62)</f>
        <v>0.62</v>
      </c>
      <c r="J123" s="23">
        <f>IFERROR(__xludf.DUMMYFUNCTION("""COMPUTED_VALUE"""),122.0)</f>
        <v>122</v>
      </c>
      <c r="K123" s="23" t="b">
        <f>IFERROR(__xludf.DUMMYFUNCTION("""COMPUTED_VALUE"""),FALSE)</f>
        <v>0</v>
      </c>
      <c r="L123" s="23" t="str">
        <f>IFERROR(__xludf.DUMMYFUNCTION("""COMPUTED_VALUE"""),"Array;Dynamic Programming;Greedy;")</f>
        <v>Array;Dynamic Programming;Greedy;</v>
      </c>
      <c r="M123" s="23" t="b">
        <f>IFERROR(__xludf.DUMMYFUNCTION("""COMPUTED_VALUE"""),TRUE)</f>
        <v>1</v>
      </c>
      <c r="N123" s="23" t="b">
        <f>IFERROR(__xludf.DUMMYFUNCTION("""COMPUTED_VALUE"""),TRUE)</f>
        <v>1</v>
      </c>
      <c r="O123" s="23">
        <f>IFERROR(__xludf.DUMMYFUNCTION("""COMPUTED_VALUE"""),61.967563128721)</f>
        <v>61.96756313</v>
      </c>
      <c r="P123" s="23">
        <f>IFERROR(__xludf.DUMMYFUNCTION("""COMPUTED_VALUE"""),1131914.0)</f>
        <v>1131914</v>
      </c>
      <c r="Q123" s="23">
        <f>IFERROR(__xludf.DUMMYFUNCTION("""COMPUTED_VALUE"""),1826623.0)</f>
        <v>1826623</v>
      </c>
    </row>
    <row r="124">
      <c r="A124" s="23">
        <f>IFERROR(__xludf.DUMMYFUNCTION("""COMPUTED_VALUE"""),123.0)</f>
        <v>123</v>
      </c>
      <c r="B124" s="23" t="str">
        <f>IFERROR(__xludf.DUMMYFUNCTION("""COMPUTED_VALUE"""),"Best Time to Buy and Sell Stock III")</f>
        <v>Best Time to Buy and Sell Stock III</v>
      </c>
      <c r="C124" s="23" t="str">
        <f>IFERROR(__xludf.DUMMYFUNCTION("""COMPUTED_VALUE"""),"best-time-to-buy-and-sell-stock-iii")</f>
        <v>best-time-to-buy-and-sell-stock-iii</v>
      </c>
      <c r="D124" s="23" t="b">
        <f>IFERROR(__xludf.DUMMYFUNCTION("""COMPUTED_VALUE"""),FALSE)</f>
        <v>0</v>
      </c>
      <c r="E124" s="23" t="str">
        <f>IFERROR(__xludf.DUMMYFUNCTION("""COMPUTED_VALUE"""),"Hard")</f>
        <v>Hard</v>
      </c>
      <c r="F124" s="23">
        <f>IFERROR(__xludf.DUMMYFUNCTION("""COMPUTED_VALUE"""),5712.0)</f>
        <v>5712</v>
      </c>
      <c r="G124" s="23">
        <f>IFERROR(__xludf.DUMMYFUNCTION("""COMPUTED_VALUE"""),117.0)</f>
        <v>117</v>
      </c>
      <c r="H124" s="23" t="str">
        <f>IFERROR(__xludf.DUMMYFUNCTION("""COMPUTED_VALUE"""),"Algorithms")</f>
        <v>Algorithms</v>
      </c>
      <c r="I124" s="23">
        <f>IFERROR(__xludf.DUMMYFUNCTION("""COMPUTED_VALUE"""),0.432)</f>
        <v>0.432</v>
      </c>
      <c r="J124" s="23">
        <f>IFERROR(__xludf.DUMMYFUNCTION("""COMPUTED_VALUE"""),123.0)</f>
        <v>123</v>
      </c>
      <c r="K124" s="23" t="b">
        <f>IFERROR(__xludf.DUMMYFUNCTION("""COMPUTED_VALUE"""),FALSE)</f>
        <v>0</v>
      </c>
      <c r="L124" s="23" t="str">
        <f>IFERROR(__xludf.DUMMYFUNCTION("""COMPUTED_VALUE"""),"Array;Dynamic Programming;")</f>
        <v>Array;Dynamic Programming;</v>
      </c>
      <c r="M124" s="23" t="b">
        <f>IFERROR(__xludf.DUMMYFUNCTION("""COMPUTED_VALUE"""),TRUE)</f>
        <v>1</v>
      </c>
      <c r="N124" s="23" t="b">
        <f>IFERROR(__xludf.DUMMYFUNCTION("""COMPUTED_VALUE"""),FALSE)</f>
        <v>0</v>
      </c>
      <c r="O124" s="23">
        <f>IFERROR(__xludf.DUMMYFUNCTION("""COMPUTED_VALUE"""),43.168880347063)</f>
        <v>43.16888035</v>
      </c>
      <c r="P124" s="23">
        <f>IFERROR(__xludf.DUMMYFUNCTION("""COMPUTED_VALUE"""),378026.0)</f>
        <v>378026</v>
      </c>
      <c r="Q124" s="23">
        <f>IFERROR(__xludf.DUMMYFUNCTION("""COMPUTED_VALUE"""),875691.0)</f>
        <v>875691</v>
      </c>
    </row>
    <row r="125">
      <c r="A125" s="23">
        <f>IFERROR(__xludf.DUMMYFUNCTION("""COMPUTED_VALUE"""),124.0)</f>
        <v>124</v>
      </c>
      <c r="B125" s="23" t="str">
        <f>IFERROR(__xludf.DUMMYFUNCTION("""COMPUTED_VALUE"""),"Binary Tree Maximum Path Sum")</f>
        <v>Binary Tree Maximum Path Sum</v>
      </c>
      <c r="C125" s="23" t="str">
        <f>IFERROR(__xludf.DUMMYFUNCTION("""COMPUTED_VALUE"""),"binary-tree-maximum-path-sum")</f>
        <v>binary-tree-maximum-path-sum</v>
      </c>
      <c r="D125" s="23" t="b">
        <f>IFERROR(__xludf.DUMMYFUNCTION("""COMPUTED_VALUE"""),FALSE)</f>
        <v>0</v>
      </c>
      <c r="E125" s="23" t="str">
        <f>IFERROR(__xludf.DUMMYFUNCTION("""COMPUTED_VALUE"""),"Hard")</f>
        <v>Hard</v>
      </c>
      <c r="F125" s="23">
        <f>IFERROR(__xludf.DUMMYFUNCTION("""COMPUTED_VALUE"""),9275.0)</f>
        <v>9275</v>
      </c>
      <c r="G125" s="23">
        <f>IFERROR(__xludf.DUMMYFUNCTION("""COMPUTED_VALUE"""),536.0)</f>
        <v>536</v>
      </c>
      <c r="H125" s="23" t="str">
        <f>IFERROR(__xludf.DUMMYFUNCTION("""COMPUTED_VALUE"""),"Algorithms")</f>
        <v>Algorithms</v>
      </c>
      <c r="I125" s="23">
        <f>IFERROR(__xludf.DUMMYFUNCTION("""COMPUTED_VALUE"""),0.377)</f>
        <v>0.377</v>
      </c>
      <c r="J125" s="23">
        <f>IFERROR(__xludf.DUMMYFUNCTION("""COMPUTED_VALUE"""),124.0)</f>
        <v>124</v>
      </c>
      <c r="K125" s="23" t="b">
        <f>IFERROR(__xludf.DUMMYFUNCTION("""COMPUTED_VALUE"""),FALSE)</f>
        <v>0</v>
      </c>
      <c r="L125" s="23" t="str">
        <f>IFERROR(__xludf.DUMMYFUNCTION("""COMPUTED_VALUE"""),"Dynamic Programming;Tree;Depth-First Search;Binary Tree;")</f>
        <v>Dynamic Programming;Tree;Depth-First Search;Binary Tree;</v>
      </c>
      <c r="M125" s="23" t="b">
        <f>IFERROR(__xludf.DUMMYFUNCTION("""COMPUTED_VALUE"""),TRUE)</f>
        <v>1</v>
      </c>
      <c r="N125" s="23" t="b">
        <f>IFERROR(__xludf.DUMMYFUNCTION("""COMPUTED_VALUE"""),FALSE)</f>
        <v>0</v>
      </c>
      <c r="O125" s="23">
        <f>IFERROR(__xludf.DUMMYFUNCTION("""COMPUTED_VALUE"""),37.6561247527323)</f>
        <v>37.65612475</v>
      </c>
      <c r="P125" s="23">
        <f>IFERROR(__xludf.DUMMYFUNCTION("""COMPUTED_VALUE"""),722036.0)</f>
        <v>722036</v>
      </c>
      <c r="Q125" s="23">
        <f>IFERROR(__xludf.DUMMYFUNCTION("""COMPUTED_VALUE"""),1917450.0)</f>
        <v>1917450</v>
      </c>
    </row>
    <row r="126">
      <c r="A126" s="23">
        <f>IFERROR(__xludf.DUMMYFUNCTION("""COMPUTED_VALUE"""),125.0)</f>
        <v>125</v>
      </c>
      <c r="B126" s="23" t="str">
        <f>IFERROR(__xludf.DUMMYFUNCTION("""COMPUTED_VALUE"""),"Valid Palindrome")</f>
        <v>Valid Palindrome</v>
      </c>
      <c r="C126" s="23" t="str">
        <f>IFERROR(__xludf.DUMMYFUNCTION("""COMPUTED_VALUE"""),"valid-palindrome")</f>
        <v>valid-palindrome</v>
      </c>
      <c r="D126" s="23" t="b">
        <f>IFERROR(__xludf.DUMMYFUNCTION("""COMPUTED_VALUE"""),FALSE)</f>
        <v>0</v>
      </c>
      <c r="E126" s="23" t="str">
        <f>IFERROR(__xludf.DUMMYFUNCTION("""COMPUTED_VALUE"""),"Easy")</f>
        <v>Easy</v>
      </c>
      <c r="F126" s="23">
        <f>IFERROR(__xludf.DUMMYFUNCTION("""COMPUTED_VALUE"""),3538.0)</f>
        <v>3538</v>
      </c>
      <c r="G126" s="23">
        <f>IFERROR(__xludf.DUMMYFUNCTION("""COMPUTED_VALUE"""),5123.0)</f>
        <v>5123</v>
      </c>
      <c r="H126" s="23" t="str">
        <f>IFERROR(__xludf.DUMMYFUNCTION("""COMPUTED_VALUE"""),"Algorithms")</f>
        <v>Algorithms</v>
      </c>
      <c r="I126" s="23">
        <f>IFERROR(__xludf.DUMMYFUNCTION("""COMPUTED_VALUE"""),0.416)</f>
        <v>0.416</v>
      </c>
      <c r="J126" s="23">
        <f>IFERROR(__xludf.DUMMYFUNCTION("""COMPUTED_VALUE"""),125.0)</f>
        <v>125</v>
      </c>
      <c r="K126" s="23" t="b">
        <f>IFERROR(__xludf.DUMMYFUNCTION("""COMPUTED_VALUE"""),FALSE)</f>
        <v>0</v>
      </c>
      <c r="L126" s="23" t="str">
        <f>IFERROR(__xludf.DUMMYFUNCTION("""COMPUTED_VALUE"""),"Two Pointers;String;")</f>
        <v>Two Pointers;String;</v>
      </c>
      <c r="M126" s="23" t="b">
        <f>IFERROR(__xludf.DUMMYFUNCTION("""COMPUTED_VALUE"""),TRUE)</f>
        <v>1</v>
      </c>
      <c r="N126" s="23" t="b">
        <f>IFERROR(__xludf.DUMMYFUNCTION("""COMPUTED_VALUE"""),FALSE)</f>
        <v>0</v>
      </c>
      <c r="O126" s="23">
        <f>IFERROR(__xludf.DUMMYFUNCTION("""COMPUTED_VALUE"""),41.6020219812037)</f>
        <v>41.60202198</v>
      </c>
      <c r="P126" s="23">
        <f>IFERROR(__xludf.DUMMYFUNCTION("""COMPUTED_VALUE"""),1241393.0)</f>
        <v>1241393</v>
      </c>
      <c r="Q126" s="23">
        <f>IFERROR(__xludf.DUMMYFUNCTION("""COMPUTED_VALUE"""),2983991.0)</f>
        <v>2983991</v>
      </c>
    </row>
    <row r="127">
      <c r="A127" s="23">
        <f>IFERROR(__xludf.DUMMYFUNCTION("""COMPUTED_VALUE"""),126.0)</f>
        <v>126</v>
      </c>
      <c r="B127" s="23" t="str">
        <f>IFERROR(__xludf.DUMMYFUNCTION("""COMPUTED_VALUE"""),"Word Ladder II")</f>
        <v>Word Ladder II</v>
      </c>
      <c r="C127" s="23" t="str">
        <f>IFERROR(__xludf.DUMMYFUNCTION("""COMPUTED_VALUE"""),"word-ladder-ii")</f>
        <v>word-ladder-ii</v>
      </c>
      <c r="D127" s="23" t="b">
        <f>IFERROR(__xludf.DUMMYFUNCTION("""COMPUTED_VALUE"""),FALSE)</f>
        <v>0</v>
      </c>
      <c r="E127" s="23" t="str">
        <f>IFERROR(__xludf.DUMMYFUNCTION("""COMPUTED_VALUE"""),"Hard")</f>
        <v>Hard</v>
      </c>
      <c r="F127" s="23">
        <f>IFERROR(__xludf.DUMMYFUNCTION("""COMPUTED_VALUE"""),3590.0)</f>
        <v>3590</v>
      </c>
      <c r="G127" s="23">
        <f>IFERROR(__xludf.DUMMYFUNCTION("""COMPUTED_VALUE"""),334.0)</f>
        <v>334</v>
      </c>
      <c r="H127" s="23" t="str">
        <f>IFERROR(__xludf.DUMMYFUNCTION("""COMPUTED_VALUE"""),"Algorithms")</f>
        <v>Algorithms</v>
      </c>
      <c r="I127" s="23">
        <f>IFERROR(__xludf.DUMMYFUNCTION("""COMPUTED_VALUE"""),0.27)</f>
        <v>0.27</v>
      </c>
      <c r="J127" s="23">
        <f>IFERROR(__xludf.DUMMYFUNCTION("""COMPUTED_VALUE"""),126.0)</f>
        <v>126</v>
      </c>
      <c r="K127" s="23" t="b">
        <f>IFERROR(__xludf.DUMMYFUNCTION("""COMPUTED_VALUE"""),FALSE)</f>
        <v>0</v>
      </c>
      <c r="L127" s="23" t="str">
        <f>IFERROR(__xludf.DUMMYFUNCTION("""COMPUTED_VALUE"""),"Hash Table;String;Backtracking;Breadth-First Search;")</f>
        <v>Hash Table;String;Backtracking;Breadth-First Search;</v>
      </c>
      <c r="M127" s="23" t="b">
        <f>IFERROR(__xludf.DUMMYFUNCTION("""COMPUTED_VALUE"""),TRUE)</f>
        <v>1</v>
      </c>
      <c r="N127" s="23" t="b">
        <f>IFERROR(__xludf.DUMMYFUNCTION("""COMPUTED_VALUE"""),FALSE)</f>
        <v>0</v>
      </c>
      <c r="O127" s="23">
        <f>IFERROR(__xludf.DUMMYFUNCTION("""COMPUTED_VALUE"""),26.9555336589079)</f>
        <v>26.95553366</v>
      </c>
      <c r="P127" s="23">
        <f>IFERROR(__xludf.DUMMYFUNCTION("""COMPUTED_VALUE"""),287515.0)</f>
        <v>287515</v>
      </c>
      <c r="Q127" s="23">
        <f>IFERROR(__xludf.DUMMYFUNCTION("""COMPUTED_VALUE"""),1066627.0)</f>
        <v>1066627</v>
      </c>
    </row>
    <row r="128">
      <c r="A128" s="23">
        <f>IFERROR(__xludf.DUMMYFUNCTION("""COMPUTED_VALUE"""),127.0)</f>
        <v>127</v>
      </c>
      <c r="B128" s="23" t="str">
        <f>IFERROR(__xludf.DUMMYFUNCTION("""COMPUTED_VALUE"""),"Word Ladder")</f>
        <v>Word Ladder</v>
      </c>
      <c r="C128" s="23" t="str">
        <f>IFERROR(__xludf.DUMMYFUNCTION("""COMPUTED_VALUE"""),"word-ladder")</f>
        <v>word-ladder</v>
      </c>
      <c r="D128" s="23" t="b">
        <f>IFERROR(__xludf.DUMMYFUNCTION("""COMPUTED_VALUE"""),FALSE)</f>
        <v>0</v>
      </c>
      <c r="E128" s="23" t="str">
        <f>IFERROR(__xludf.DUMMYFUNCTION("""COMPUTED_VALUE"""),"Hard")</f>
        <v>Hard</v>
      </c>
      <c r="F128" s="23">
        <f>IFERROR(__xludf.DUMMYFUNCTION("""COMPUTED_VALUE"""),7806.0)</f>
        <v>7806</v>
      </c>
      <c r="G128" s="23">
        <f>IFERROR(__xludf.DUMMYFUNCTION("""COMPUTED_VALUE"""),1637.0)</f>
        <v>1637</v>
      </c>
      <c r="H128" s="23" t="str">
        <f>IFERROR(__xludf.DUMMYFUNCTION("""COMPUTED_VALUE"""),"Algorithms")</f>
        <v>Algorithms</v>
      </c>
      <c r="I128" s="23">
        <f>IFERROR(__xludf.DUMMYFUNCTION("""COMPUTED_VALUE"""),0.354)</f>
        <v>0.354</v>
      </c>
      <c r="J128" s="23">
        <f>IFERROR(__xludf.DUMMYFUNCTION("""COMPUTED_VALUE"""),127.0)</f>
        <v>127</v>
      </c>
      <c r="K128" s="23" t="b">
        <f>IFERROR(__xludf.DUMMYFUNCTION("""COMPUTED_VALUE"""),FALSE)</f>
        <v>0</v>
      </c>
      <c r="L128" s="23" t="str">
        <f>IFERROR(__xludf.DUMMYFUNCTION("""COMPUTED_VALUE"""),"Hash Table;String;Breadth-First Search;")</f>
        <v>Hash Table;String;Breadth-First Search;</v>
      </c>
      <c r="M128" s="23" t="b">
        <f>IFERROR(__xludf.DUMMYFUNCTION("""COMPUTED_VALUE"""),TRUE)</f>
        <v>1</v>
      </c>
      <c r="N128" s="23" t="b">
        <f>IFERROR(__xludf.DUMMYFUNCTION("""COMPUTED_VALUE"""),TRUE)</f>
        <v>1</v>
      </c>
      <c r="O128" s="23">
        <f>IFERROR(__xludf.DUMMYFUNCTION("""COMPUTED_VALUE"""),35.4189201790376)</f>
        <v>35.41892018</v>
      </c>
      <c r="P128" s="23">
        <f>IFERROR(__xludf.DUMMYFUNCTION("""COMPUTED_VALUE"""),759665.0)</f>
        <v>759665</v>
      </c>
      <c r="Q128" s="23">
        <f>IFERROR(__xludf.DUMMYFUNCTION("""COMPUTED_VALUE"""),2144800.0)</f>
        <v>2144800</v>
      </c>
    </row>
    <row r="129">
      <c r="A129" s="23">
        <f>IFERROR(__xludf.DUMMYFUNCTION("""COMPUTED_VALUE"""),128.0)</f>
        <v>128</v>
      </c>
      <c r="B129" s="23" t="str">
        <f>IFERROR(__xludf.DUMMYFUNCTION("""COMPUTED_VALUE"""),"Longest Consecutive Sequence")</f>
        <v>Longest Consecutive Sequence</v>
      </c>
      <c r="C129" s="23" t="str">
        <f>IFERROR(__xludf.DUMMYFUNCTION("""COMPUTED_VALUE"""),"longest-consecutive-sequence")</f>
        <v>longest-consecutive-sequence</v>
      </c>
      <c r="D129" s="23" t="b">
        <f>IFERROR(__xludf.DUMMYFUNCTION("""COMPUTED_VALUE"""),FALSE)</f>
        <v>0</v>
      </c>
      <c r="E129" s="23" t="str">
        <f>IFERROR(__xludf.DUMMYFUNCTION("""COMPUTED_VALUE"""),"Medium")</f>
        <v>Medium</v>
      </c>
      <c r="F129" s="23">
        <f>IFERROR(__xludf.DUMMYFUNCTION("""COMPUTED_VALUE"""),9165.0)</f>
        <v>9165</v>
      </c>
      <c r="G129" s="23">
        <f>IFERROR(__xludf.DUMMYFUNCTION("""COMPUTED_VALUE"""),405.0)</f>
        <v>405</v>
      </c>
      <c r="H129" s="23" t="str">
        <f>IFERROR(__xludf.DUMMYFUNCTION("""COMPUTED_VALUE"""),"Algorithms")</f>
        <v>Algorithms</v>
      </c>
      <c r="I129" s="23">
        <f>IFERROR(__xludf.DUMMYFUNCTION("""COMPUTED_VALUE"""),0.487)</f>
        <v>0.487</v>
      </c>
      <c r="J129" s="23">
        <f>IFERROR(__xludf.DUMMYFUNCTION("""COMPUTED_VALUE"""),128.0)</f>
        <v>128</v>
      </c>
      <c r="K129" s="23" t="b">
        <f>IFERROR(__xludf.DUMMYFUNCTION("""COMPUTED_VALUE"""),FALSE)</f>
        <v>0</v>
      </c>
      <c r="L129" s="23" t="str">
        <f>IFERROR(__xludf.DUMMYFUNCTION("""COMPUTED_VALUE"""),"Array;Hash Table;Union Find;")</f>
        <v>Array;Hash Table;Union Find;</v>
      </c>
      <c r="M129" s="23" t="b">
        <f>IFERROR(__xludf.DUMMYFUNCTION("""COMPUTED_VALUE"""),TRUE)</f>
        <v>1</v>
      </c>
      <c r="N129" s="23" t="b">
        <f>IFERROR(__xludf.DUMMYFUNCTION("""COMPUTED_VALUE"""),FALSE)</f>
        <v>0</v>
      </c>
      <c r="O129" s="23">
        <f>IFERROR(__xludf.DUMMYFUNCTION("""COMPUTED_VALUE"""),48.6831685012385)</f>
        <v>48.6831685</v>
      </c>
      <c r="P129" s="23">
        <f>IFERROR(__xludf.DUMMYFUNCTION("""COMPUTED_VALUE"""),653458.0)</f>
        <v>653458</v>
      </c>
      <c r="Q129" s="23">
        <f>IFERROR(__xludf.DUMMYFUNCTION("""COMPUTED_VALUE"""),1342260.0)</f>
        <v>1342260</v>
      </c>
    </row>
    <row r="130">
      <c r="A130" s="23">
        <f>IFERROR(__xludf.DUMMYFUNCTION("""COMPUTED_VALUE"""),129.0)</f>
        <v>129</v>
      </c>
      <c r="B130" s="23" t="str">
        <f>IFERROR(__xludf.DUMMYFUNCTION("""COMPUTED_VALUE"""),"Sum Root to Leaf Numbers")</f>
        <v>Sum Root to Leaf Numbers</v>
      </c>
      <c r="C130" s="23" t="str">
        <f>IFERROR(__xludf.DUMMYFUNCTION("""COMPUTED_VALUE"""),"sum-root-to-leaf-numbers")</f>
        <v>sum-root-to-leaf-numbers</v>
      </c>
      <c r="D130" s="23" t="b">
        <f>IFERROR(__xludf.DUMMYFUNCTION("""COMPUTED_VALUE"""),FALSE)</f>
        <v>0</v>
      </c>
      <c r="E130" s="23" t="str">
        <f>IFERROR(__xludf.DUMMYFUNCTION("""COMPUTED_VALUE"""),"Medium")</f>
        <v>Medium</v>
      </c>
      <c r="F130" s="23">
        <f>IFERROR(__xludf.DUMMYFUNCTION("""COMPUTED_VALUE"""),4145.0)</f>
        <v>4145</v>
      </c>
      <c r="G130" s="23">
        <f>IFERROR(__xludf.DUMMYFUNCTION("""COMPUTED_VALUE"""),80.0)</f>
        <v>80</v>
      </c>
      <c r="H130" s="23" t="str">
        <f>IFERROR(__xludf.DUMMYFUNCTION("""COMPUTED_VALUE"""),"Algorithms")</f>
        <v>Algorithms</v>
      </c>
      <c r="I130" s="23">
        <f>IFERROR(__xludf.DUMMYFUNCTION("""COMPUTED_VALUE"""),0.569)</f>
        <v>0.569</v>
      </c>
      <c r="J130" s="23">
        <f>IFERROR(__xludf.DUMMYFUNCTION("""COMPUTED_VALUE"""),129.0)</f>
        <v>129</v>
      </c>
      <c r="K130" s="23" t="b">
        <f>IFERROR(__xludf.DUMMYFUNCTION("""COMPUTED_VALUE"""),FALSE)</f>
        <v>0</v>
      </c>
      <c r="L130" s="23" t="str">
        <f>IFERROR(__xludf.DUMMYFUNCTION("""COMPUTED_VALUE"""),"Tree;Depth-First Search;Binary Tree;")</f>
        <v>Tree;Depth-First Search;Binary Tree;</v>
      </c>
      <c r="M130" s="23" t="b">
        <f>IFERROR(__xludf.DUMMYFUNCTION("""COMPUTED_VALUE"""),TRUE)</f>
        <v>1</v>
      </c>
      <c r="N130" s="23" t="b">
        <f>IFERROR(__xludf.DUMMYFUNCTION("""COMPUTED_VALUE"""),FALSE)</f>
        <v>0</v>
      </c>
      <c r="O130" s="23">
        <f>IFERROR(__xludf.DUMMYFUNCTION("""COMPUTED_VALUE"""),56.9136740832231)</f>
        <v>56.91367408</v>
      </c>
      <c r="P130" s="23">
        <f>IFERROR(__xludf.DUMMYFUNCTION("""COMPUTED_VALUE"""),455264.0)</f>
        <v>455264</v>
      </c>
      <c r="Q130" s="23">
        <f>IFERROR(__xludf.DUMMYFUNCTION("""COMPUTED_VALUE"""),799921.0)</f>
        <v>799921</v>
      </c>
    </row>
    <row r="131">
      <c r="A131" s="23">
        <f>IFERROR(__xludf.DUMMYFUNCTION("""COMPUTED_VALUE"""),130.0)</f>
        <v>130</v>
      </c>
      <c r="B131" s="23" t="str">
        <f>IFERROR(__xludf.DUMMYFUNCTION("""COMPUTED_VALUE"""),"Surrounded Regions")</f>
        <v>Surrounded Regions</v>
      </c>
      <c r="C131" s="23" t="str">
        <f>IFERROR(__xludf.DUMMYFUNCTION("""COMPUTED_VALUE"""),"surrounded-regions")</f>
        <v>surrounded-regions</v>
      </c>
      <c r="D131" s="23" t="b">
        <f>IFERROR(__xludf.DUMMYFUNCTION("""COMPUTED_VALUE"""),FALSE)</f>
        <v>0</v>
      </c>
      <c r="E131" s="23" t="str">
        <f>IFERROR(__xludf.DUMMYFUNCTION("""COMPUTED_VALUE"""),"Medium")</f>
        <v>Medium</v>
      </c>
      <c r="F131" s="23">
        <f>IFERROR(__xludf.DUMMYFUNCTION("""COMPUTED_VALUE"""),4733.0)</f>
        <v>4733</v>
      </c>
      <c r="G131" s="23">
        <f>IFERROR(__xludf.DUMMYFUNCTION("""COMPUTED_VALUE"""),1186.0)</f>
        <v>1186</v>
      </c>
      <c r="H131" s="23" t="str">
        <f>IFERROR(__xludf.DUMMYFUNCTION("""COMPUTED_VALUE"""),"Algorithms")</f>
        <v>Algorithms</v>
      </c>
      <c r="I131" s="23">
        <f>IFERROR(__xludf.DUMMYFUNCTION("""COMPUTED_VALUE"""),0.34)</f>
        <v>0.34</v>
      </c>
      <c r="J131" s="23">
        <f>IFERROR(__xludf.DUMMYFUNCTION("""COMPUTED_VALUE"""),130.0)</f>
        <v>130</v>
      </c>
      <c r="K131" s="23" t="b">
        <f>IFERROR(__xludf.DUMMYFUNCTION("""COMPUTED_VALUE"""),FALSE)</f>
        <v>0</v>
      </c>
      <c r="L131" s="23" t="str">
        <f>IFERROR(__xludf.DUMMYFUNCTION("""COMPUTED_VALUE"""),"Array;Depth-First Search;Breadth-First Search;Union Find;Matrix;")</f>
        <v>Array;Depth-First Search;Breadth-First Search;Union Find;Matrix;</v>
      </c>
      <c r="M131" s="23" t="b">
        <f>IFERROR(__xludf.DUMMYFUNCTION("""COMPUTED_VALUE"""),TRUE)</f>
        <v>1</v>
      </c>
      <c r="N131" s="23" t="b">
        <f>IFERROR(__xludf.DUMMYFUNCTION("""COMPUTED_VALUE"""),FALSE)</f>
        <v>0</v>
      </c>
      <c r="O131" s="23">
        <f>IFERROR(__xludf.DUMMYFUNCTION("""COMPUTED_VALUE"""),33.9764744227735)</f>
        <v>33.97647442</v>
      </c>
      <c r="P131" s="23">
        <f>IFERROR(__xludf.DUMMYFUNCTION("""COMPUTED_VALUE"""),408631.0)</f>
        <v>408631</v>
      </c>
      <c r="Q131" s="23">
        <f>IFERROR(__xludf.DUMMYFUNCTION("""COMPUTED_VALUE"""),1202689.0)</f>
        <v>1202689</v>
      </c>
    </row>
    <row r="132">
      <c r="A132" s="23">
        <f>IFERROR(__xludf.DUMMYFUNCTION("""COMPUTED_VALUE"""),131.0)</f>
        <v>131</v>
      </c>
      <c r="B132" s="23" t="str">
        <f>IFERROR(__xludf.DUMMYFUNCTION("""COMPUTED_VALUE"""),"Palindrome Partitioning")</f>
        <v>Palindrome Partitioning</v>
      </c>
      <c r="C132" s="23" t="str">
        <f>IFERROR(__xludf.DUMMYFUNCTION("""COMPUTED_VALUE"""),"palindrome-partitioning")</f>
        <v>palindrome-partitioning</v>
      </c>
      <c r="D132" s="23" t="b">
        <f>IFERROR(__xludf.DUMMYFUNCTION("""COMPUTED_VALUE"""),FALSE)</f>
        <v>0</v>
      </c>
      <c r="E132" s="23" t="str">
        <f>IFERROR(__xludf.DUMMYFUNCTION("""COMPUTED_VALUE"""),"Medium")</f>
        <v>Medium</v>
      </c>
      <c r="F132" s="23">
        <f>IFERROR(__xludf.DUMMYFUNCTION("""COMPUTED_VALUE"""),6541.0)</f>
        <v>6541</v>
      </c>
      <c r="G132" s="23">
        <f>IFERROR(__xludf.DUMMYFUNCTION("""COMPUTED_VALUE"""),208.0)</f>
        <v>208</v>
      </c>
      <c r="H132" s="23" t="str">
        <f>IFERROR(__xludf.DUMMYFUNCTION("""COMPUTED_VALUE"""),"Algorithms")</f>
        <v>Algorithms</v>
      </c>
      <c r="I132" s="23">
        <f>IFERROR(__xludf.DUMMYFUNCTION("""COMPUTED_VALUE"""),0.594)</f>
        <v>0.594</v>
      </c>
      <c r="J132" s="23">
        <f>IFERROR(__xludf.DUMMYFUNCTION("""COMPUTED_VALUE"""),131.0)</f>
        <v>131</v>
      </c>
      <c r="K132" s="23" t="b">
        <f>IFERROR(__xludf.DUMMYFUNCTION("""COMPUTED_VALUE"""),FALSE)</f>
        <v>0</v>
      </c>
      <c r="L132" s="23" t="str">
        <f>IFERROR(__xludf.DUMMYFUNCTION("""COMPUTED_VALUE"""),"String;Dynamic Programming;Backtracking;")</f>
        <v>String;Dynamic Programming;Backtracking;</v>
      </c>
      <c r="M132" s="23" t="b">
        <f>IFERROR(__xludf.DUMMYFUNCTION("""COMPUTED_VALUE"""),TRUE)</f>
        <v>1</v>
      </c>
      <c r="N132" s="23" t="b">
        <f>IFERROR(__xludf.DUMMYFUNCTION("""COMPUTED_VALUE"""),FALSE)</f>
        <v>0</v>
      </c>
      <c r="O132" s="23">
        <f>IFERROR(__xludf.DUMMYFUNCTION("""COMPUTED_VALUE"""),59.4077081807894)</f>
        <v>59.40770818</v>
      </c>
      <c r="P132" s="23">
        <f>IFERROR(__xludf.DUMMYFUNCTION("""COMPUTED_VALUE"""),446240.0)</f>
        <v>446240</v>
      </c>
      <c r="Q132" s="23">
        <f>IFERROR(__xludf.DUMMYFUNCTION("""COMPUTED_VALUE"""),751149.0)</f>
        <v>751149</v>
      </c>
    </row>
    <row r="133">
      <c r="A133" s="23">
        <f>IFERROR(__xludf.DUMMYFUNCTION("""COMPUTED_VALUE"""),132.0)</f>
        <v>132</v>
      </c>
      <c r="B133" s="23" t="str">
        <f>IFERROR(__xludf.DUMMYFUNCTION("""COMPUTED_VALUE"""),"Palindrome Partitioning II")</f>
        <v>Palindrome Partitioning II</v>
      </c>
      <c r="C133" s="23" t="str">
        <f>IFERROR(__xludf.DUMMYFUNCTION("""COMPUTED_VALUE"""),"palindrome-partitioning-ii")</f>
        <v>palindrome-partitioning-ii</v>
      </c>
      <c r="D133" s="23" t="b">
        <f>IFERROR(__xludf.DUMMYFUNCTION("""COMPUTED_VALUE"""),FALSE)</f>
        <v>0</v>
      </c>
      <c r="E133" s="23" t="str">
        <f>IFERROR(__xludf.DUMMYFUNCTION("""COMPUTED_VALUE"""),"Hard")</f>
        <v>Hard</v>
      </c>
      <c r="F133" s="23">
        <f>IFERROR(__xludf.DUMMYFUNCTION("""COMPUTED_VALUE"""),3296.0)</f>
        <v>3296</v>
      </c>
      <c r="G133" s="23">
        <f>IFERROR(__xludf.DUMMYFUNCTION("""COMPUTED_VALUE"""),79.0)</f>
        <v>79</v>
      </c>
      <c r="H133" s="23" t="str">
        <f>IFERROR(__xludf.DUMMYFUNCTION("""COMPUTED_VALUE"""),"Algorithms")</f>
        <v>Algorithms</v>
      </c>
      <c r="I133" s="23">
        <f>IFERROR(__xludf.DUMMYFUNCTION("""COMPUTED_VALUE"""),0.331)</f>
        <v>0.331</v>
      </c>
      <c r="J133" s="23">
        <f>IFERROR(__xludf.DUMMYFUNCTION("""COMPUTED_VALUE"""),132.0)</f>
        <v>132</v>
      </c>
      <c r="K133" s="23" t="b">
        <f>IFERROR(__xludf.DUMMYFUNCTION("""COMPUTED_VALUE"""),FALSE)</f>
        <v>0</v>
      </c>
      <c r="L133" s="23" t="str">
        <f>IFERROR(__xludf.DUMMYFUNCTION("""COMPUTED_VALUE"""),"String;Dynamic Programming;")</f>
        <v>String;Dynamic Programming;</v>
      </c>
      <c r="M133" s="23" t="b">
        <f>IFERROR(__xludf.DUMMYFUNCTION("""COMPUTED_VALUE"""),TRUE)</f>
        <v>1</v>
      </c>
      <c r="N133" s="23" t="b">
        <f>IFERROR(__xludf.DUMMYFUNCTION("""COMPUTED_VALUE"""),FALSE)</f>
        <v>0</v>
      </c>
      <c r="O133" s="23">
        <f>IFERROR(__xludf.DUMMYFUNCTION("""COMPUTED_VALUE"""),33.1478359736721)</f>
        <v>33.14783597</v>
      </c>
      <c r="P133" s="23">
        <f>IFERROR(__xludf.DUMMYFUNCTION("""COMPUTED_VALUE"""),201749.0)</f>
        <v>201749</v>
      </c>
      <c r="Q133" s="23">
        <f>IFERROR(__xludf.DUMMYFUNCTION("""COMPUTED_VALUE"""),608634.0)</f>
        <v>608634</v>
      </c>
    </row>
    <row r="134">
      <c r="A134" s="23">
        <f>IFERROR(__xludf.DUMMYFUNCTION("""COMPUTED_VALUE"""),133.0)</f>
        <v>133</v>
      </c>
      <c r="B134" s="23" t="str">
        <f>IFERROR(__xludf.DUMMYFUNCTION("""COMPUTED_VALUE"""),"Clone Graph")</f>
        <v>Clone Graph</v>
      </c>
      <c r="C134" s="23" t="str">
        <f>IFERROR(__xludf.DUMMYFUNCTION("""COMPUTED_VALUE"""),"clone-graph")</f>
        <v>clone-graph</v>
      </c>
      <c r="D134" s="23" t="b">
        <f>IFERROR(__xludf.DUMMYFUNCTION("""COMPUTED_VALUE"""),FALSE)</f>
        <v>0</v>
      </c>
      <c r="E134" s="23" t="str">
        <f>IFERROR(__xludf.DUMMYFUNCTION("""COMPUTED_VALUE"""),"Medium")</f>
        <v>Medium</v>
      </c>
      <c r="F134" s="23">
        <f>IFERROR(__xludf.DUMMYFUNCTION("""COMPUTED_VALUE"""),5600.0)</f>
        <v>5600</v>
      </c>
      <c r="G134" s="23">
        <f>IFERROR(__xludf.DUMMYFUNCTION("""COMPUTED_VALUE"""),2483.0)</f>
        <v>2483</v>
      </c>
      <c r="H134" s="23" t="str">
        <f>IFERROR(__xludf.DUMMYFUNCTION("""COMPUTED_VALUE"""),"Algorithms")</f>
        <v>Algorithms</v>
      </c>
      <c r="I134" s="23">
        <f>IFERROR(__xludf.DUMMYFUNCTION("""COMPUTED_VALUE"""),0.476)</f>
        <v>0.476</v>
      </c>
      <c r="J134" s="23">
        <f>IFERROR(__xludf.DUMMYFUNCTION("""COMPUTED_VALUE"""),133.0)</f>
        <v>133</v>
      </c>
      <c r="K134" s="23" t="b">
        <f>IFERROR(__xludf.DUMMYFUNCTION("""COMPUTED_VALUE"""),FALSE)</f>
        <v>0</v>
      </c>
      <c r="L134" s="23" t="str">
        <f>IFERROR(__xludf.DUMMYFUNCTION("""COMPUTED_VALUE"""),"Hash Table;Depth-First Search;Breadth-First Search;Graph;")</f>
        <v>Hash Table;Depth-First Search;Breadth-First Search;Graph;</v>
      </c>
      <c r="M134" s="23" t="b">
        <f>IFERROR(__xludf.DUMMYFUNCTION("""COMPUTED_VALUE"""),TRUE)</f>
        <v>1</v>
      </c>
      <c r="N134" s="23" t="b">
        <f>IFERROR(__xludf.DUMMYFUNCTION("""COMPUTED_VALUE"""),FALSE)</f>
        <v>0</v>
      </c>
      <c r="O134" s="23">
        <f>IFERROR(__xludf.DUMMYFUNCTION("""COMPUTED_VALUE"""),47.6037982004277)</f>
        <v>47.6037982</v>
      </c>
      <c r="P134" s="23">
        <f>IFERROR(__xludf.DUMMYFUNCTION("""COMPUTED_VALUE"""),707877.0)</f>
        <v>707877</v>
      </c>
      <c r="Q134" s="23">
        <f>IFERROR(__xludf.DUMMYFUNCTION("""COMPUTED_VALUE"""),1487019.0)</f>
        <v>1487019</v>
      </c>
    </row>
    <row r="135">
      <c r="A135" s="23">
        <f>IFERROR(__xludf.DUMMYFUNCTION("""COMPUTED_VALUE"""),134.0)</f>
        <v>134</v>
      </c>
      <c r="B135" s="23" t="str">
        <f>IFERROR(__xludf.DUMMYFUNCTION("""COMPUTED_VALUE"""),"Gas Station")</f>
        <v>Gas Station</v>
      </c>
      <c r="C135" s="23" t="str">
        <f>IFERROR(__xludf.DUMMYFUNCTION("""COMPUTED_VALUE"""),"gas-station")</f>
        <v>gas-station</v>
      </c>
      <c r="D135" s="23" t="b">
        <f>IFERROR(__xludf.DUMMYFUNCTION("""COMPUTED_VALUE"""),FALSE)</f>
        <v>0</v>
      </c>
      <c r="E135" s="23" t="str">
        <f>IFERROR(__xludf.DUMMYFUNCTION("""COMPUTED_VALUE"""),"Medium")</f>
        <v>Medium</v>
      </c>
      <c r="F135" s="23">
        <f>IFERROR(__xludf.DUMMYFUNCTION("""COMPUTED_VALUE"""),5759.0)</f>
        <v>5759</v>
      </c>
      <c r="G135" s="23">
        <f>IFERROR(__xludf.DUMMYFUNCTION("""COMPUTED_VALUE"""),600.0)</f>
        <v>600</v>
      </c>
      <c r="H135" s="23" t="str">
        <f>IFERROR(__xludf.DUMMYFUNCTION("""COMPUTED_VALUE"""),"Algorithms")</f>
        <v>Algorithms</v>
      </c>
      <c r="I135" s="23">
        <f>IFERROR(__xludf.DUMMYFUNCTION("""COMPUTED_VALUE"""),0.444)</f>
        <v>0.444</v>
      </c>
      <c r="J135" s="23">
        <f>IFERROR(__xludf.DUMMYFUNCTION("""COMPUTED_VALUE"""),134.0)</f>
        <v>134</v>
      </c>
      <c r="K135" s="23" t="b">
        <f>IFERROR(__xludf.DUMMYFUNCTION("""COMPUTED_VALUE"""),FALSE)</f>
        <v>0</v>
      </c>
      <c r="L135" s="23" t="str">
        <f>IFERROR(__xludf.DUMMYFUNCTION("""COMPUTED_VALUE"""),"Array;Greedy;")</f>
        <v>Array;Greedy;</v>
      </c>
      <c r="M135" s="23" t="b">
        <f>IFERROR(__xludf.DUMMYFUNCTION("""COMPUTED_VALUE"""),TRUE)</f>
        <v>1</v>
      </c>
      <c r="N135" s="23" t="b">
        <f>IFERROR(__xludf.DUMMYFUNCTION("""COMPUTED_VALUE"""),FALSE)</f>
        <v>0</v>
      </c>
      <c r="O135" s="23">
        <f>IFERROR(__xludf.DUMMYFUNCTION("""COMPUTED_VALUE"""),44.4370896726869)</f>
        <v>44.43708967</v>
      </c>
      <c r="P135" s="23">
        <f>IFERROR(__xludf.DUMMYFUNCTION("""COMPUTED_VALUE"""),402795.0)</f>
        <v>402795</v>
      </c>
      <c r="Q135" s="23">
        <f>IFERROR(__xludf.DUMMYFUNCTION("""COMPUTED_VALUE"""),906439.0)</f>
        <v>906439</v>
      </c>
    </row>
    <row r="136">
      <c r="A136" s="23">
        <f>IFERROR(__xludf.DUMMYFUNCTION("""COMPUTED_VALUE"""),135.0)</f>
        <v>135</v>
      </c>
      <c r="B136" s="23" t="str">
        <f>IFERROR(__xludf.DUMMYFUNCTION("""COMPUTED_VALUE"""),"Candy")</f>
        <v>Candy</v>
      </c>
      <c r="C136" s="23" t="str">
        <f>IFERROR(__xludf.DUMMYFUNCTION("""COMPUTED_VALUE"""),"candy")</f>
        <v>candy</v>
      </c>
      <c r="D136" s="23" t="b">
        <f>IFERROR(__xludf.DUMMYFUNCTION("""COMPUTED_VALUE"""),FALSE)</f>
        <v>0</v>
      </c>
      <c r="E136" s="23" t="str">
        <f>IFERROR(__xludf.DUMMYFUNCTION("""COMPUTED_VALUE"""),"Hard")</f>
        <v>Hard</v>
      </c>
      <c r="F136" s="23">
        <f>IFERROR(__xludf.DUMMYFUNCTION("""COMPUTED_VALUE"""),2737.0)</f>
        <v>2737</v>
      </c>
      <c r="G136" s="23">
        <f>IFERROR(__xludf.DUMMYFUNCTION("""COMPUTED_VALUE"""),248.0)</f>
        <v>248</v>
      </c>
      <c r="H136" s="23" t="str">
        <f>IFERROR(__xludf.DUMMYFUNCTION("""COMPUTED_VALUE"""),"Algorithms")</f>
        <v>Algorithms</v>
      </c>
      <c r="I136" s="23">
        <f>IFERROR(__xludf.DUMMYFUNCTION("""COMPUTED_VALUE"""),0.37)</f>
        <v>0.37</v>
      </c>
      <c r="J136" s="23">
        <f>IFERROR(__xludf.DUMMYFUNCTION("""COMPUTED_VALUE"""),135.0)</f>
        <v>135</v>
      </c>
      <c r="K136" s="23" t="b">
        <f>IFERROR(__xludf.DUMMYFUNCTION("""COMPUTED_VALUE"""),FALSE)</f>
        <v>0</v>
      </c>
      <c r="L136" s="23" t="str">
        <f>IFERROR(__xludf.DUMMYFUNCTION("""COMPUTED_VALUE"""),"Array;Greedy;")</f>
        <v>Array;Greedy;</v>
      </c>
      <c r="M136" s="23" t="b">
        <f>IFERROR(__xludf.DUMMYFUNCTION("""COMPUTED_VALUE"""),TRUE)</f>
        <v>1</v>
      </c>
      <c r="N136" s="23" t="b">
        <f>IFERROR(__xludf.DUMMYFUNCTION("""COMPUTED_VALUE"""),FALSE)</f>
        <v>0</v>
      </c>
      <c r="O136" s="23">
        <f>IFERROR(__xludf.DUMMYFUNCTION("""COMPUTED_VALUE"""),37.0190007577953)</f>
        <v>37.01900076</v>
      </c>
      <c r="P136" s="23">
        <f>IFERROR(__xludf.DUMMYFUNCTION("""COMPUTED_VALUE"""),212011.0)</f>
        <v>212011</v>
      </c>
      <c r="Q136" s="23">
        <f>IFERROR(__xludf.DUMMYFUNCTION("""COMPUTED_VALUE"""),572712.0)</f>
        <v>572712</v>
      </c>
    </row>
    <row r="137">
      <c r="A137" s="23">
        <f>IFERROR(__xludf.DUMMYFUNCTION("""COMPUTED_VALUE"""),136.0)</f>
        <v>136</v>
      </c>
      <c r="B137" s="23" t="str">
        <f>IFERROR(__xludf.DUMMYFUNCTION("""COMPUTED_VALUE"""),"Single Number")</f>
        <v>Single Number</v>
      </c>
      <c r="C137" s="23" t="str">
        <f>IFERROR(__xludf.DUMMYFUNCTION("""COMPUTED_VALUE"""),"single-number")</f>
        <v>single-number</v>
      </c>
      <c r="D137" s="23" t="b">
        <f>IFERROR(__xludf.DUMMYFUNCTION("""COMPUTED_VALUE"""),FALSE)</f>
        <v>0</v>
      </c>
      <c r="E137" s="23" t="str">
        <f>IFERROR(__xludf.DUMMYFUNCTION("""COMPUTED_VALUE"""),"Easy")</f>
        <v>Easy</v>
      </c>
      <c r="F137" s="23">
        <f>IFERROR(__xludf.DUMMYFUNCTION("""COMPUTED_VALUE"""),9660.0)</f>
        <v>9660</v>
      </c>
      <c r="G137" s="23">
        <f>IFERROR(__xludf.DUMMYFUNCTION("""COMPUTED_VALUE"""),347.0)</f>
        <v>347</v>
      </c>
      <c r="H137" s="23" t="str">
        <f>IFERROR(__xludf.DUMMYFUNCTION("""COMPUTED_VALUE"""),"Algorithms")</f>
        <v>Algorithms</v>
      </c>
      <c r="I137" s="23">
        <f>IFERROR(__xludf.DUMMYFUNCTION("""COMPUTED_VALUE"""),0.693)</f>
        <v>0.693</v>
      </c>
      <c r="J137" s="23">
        <f>IFERROR(__xludf.DUMMYFUNCTION("""COMPUTED_VALUE"""),136.0)</f>
        <v>136</v>
      </c>
      <c r="K137" s="23" t="b">
        <f>IFERROR(__xludf.DUMMYFUNCTION("""COMPUTED_VALUE"""),FALSE)</f>
        <v>0</v>
      </c>
      <c r="L137" s="23" t="str">
        <f>IFERROR(__xludf.DUMMYFUNCTION("""COMPUTED_VALUE"""),"Array;Bit Manipulation;")</f>
        <v>Array;Bit Manipulation;</v>
      </c>
      <c r="M137" s="23" t="b">
        <f>IFERROR(__xludf.DUMMYFUNCTION("""COMPUTED_VALUE"""),TRUE)</f>
        <v>1</v>
      </c>
      <c r="N137" s="23" t="b">
        <f>IFERROR(__xludf.DUMMYFUNCTION("""COMPUTED_VALUE"""),FALSE)</f>
        <v>0</v>
      </c>
      <c r="O137" s="23">
        <f>IFERROR(__xludf.DUMMYFUNCTION("""COMPUTED_VALUE"""),69.3436794526907)</f>
        <v>69.34367945</v>
      </c>
      <c r="P137" s="23">
        <f>IFERROR(__xludf.DUMMYFUNCTION("""COMPUTED_VALUE"""),1622149.0)</f>
        <v>1622149</v>
      </c>
      <c r="Q137" s="23">
        <f>IFERROR(__xludf.DUMMYFUNCTION("""COMPUTED_VALUE"""),2339289.0)</f>
        <v>2339289</v>
      </c>
    </row>
    <row r="138">
      <c r="A138" s="23">
        <f>IFERROR(__xludf.DUMMYFUNCTION("""COMPUTED_VALUE"""),137.0)</f>
        <v>137</v>
      </c>
      <c r="B138" s="23" t="str">
        <f>IFERROR(__xludf.DUMMYFUNCTION("""COMPUTED_VALUE"""),"Single Number II")</f>
        <v>Single Number II</v>
      </c>
      <c r="C138" s="23" t="str">
        <f>IFERROR(__xludf.DUMMYFUNCTION("""COMPUTED_VALUE"""),"single-number-ii")</f>
        <v>single-number-ii</v>
      </c>
      <c r="D138" s="23" t="b">
        <f>IFERROR(__xludf.DUMMYFUNCTION("""COMPUTED_VALUE"""),FALSE)</f>
        <v>0</v>
      </c>
      <c r="E138" s="23" t="str">
        <f>IFERROR(__xludf.DUMMYFUNCTION("""COMPUTED_VALUE"""),"Medium")</f>
        <v>Medium</v>
      </c>
      <c r="F138" s="23">
        <f>IFERROR(__xludf.DUMMYFUNCTION("""COMPUTED_VALUE"""),4048.0)</f>
        <v>4048</v>
      </c>
      <c r="G138" s="23">
        <f>IFERROR(__xludf.DUMMYFUNCTION("""COMPUTED_VALUE"""),477.0)</f>
        <v>477</v>
      </c>
      <c r="H138" s="23" t="str">
        <f>IFERROR(__xludf.DUMMYFUNCTION("""COMPUTED_VALUE"""),"Algorithms")</f>
        <v>Algorithms</v>
      </c>
      <c r="I138" s="23">
        <f>IFERROR(__xludf.DUMMYFUNCTION("""COMPUTED_VALUE"""),0.566)</f>
        <v>0.566</v>
      </c>
      <c r="J138" s="23">
        <f>IFERROR(__xludf.DUMMYFUNCTION("""COMPUTED_VALUE"""),137.0)</f>
        <v>137</v>
      </c>
      <c r="K138" s="23" t="b">
        <f>IFERROR(__xludf.DUMMYFUNCTION("""COMPUTED_VALUE"""),FALSE)</f>
        <v>0</v>
      </c>
      <c r="L138" s="23" t="str">
        <f>IFERROR(__xludf.DUMMYFUNCTION("""COMPUTED_VALUE"""),"Array;Bit Manipulation;")</f>
        <v>Array;Bit Manipulation;</v>
      </c>
      <c r="M138" s="23" t="b">
        <f>IFERROR(__xludf.DUMMYFUNCTION("""COMPUTED_VALUE"""),TRUE)</f>
        <v>1</v>
      </c>
      <c r="N138" s="23" t="b">
        <f>IFERROR(__xludf.DUMMYFUNCTION("""COMPUTED_VALUE"""),FALSE)</f>
        <v>0</v>
      </c>
      <c r="O138" s="23">
        <f>IFERROR(__xludf.DUMMYFUNCTION("""COMPUTED_VALUE"""),56.5873834566426)</f>
        <v>56.58738346</v>
      </c>
      <c r="P138" s="23">
        <f>IFERROR(__xludf.DUMMYFUNCTION("""COMPUTED_VALUE"""),343950.0)</f>
        <v>343950</v>
      </c>
      <c r="Q138" s="23">
        <f>IFERROR(__xludf.DUMMYFUNCTION("""COMPUTED_VALUE"""),607821.0)</f>
        <v>607821</v>
      </c>
    </row>
    <row r="139">
      <c r="A139" s="23">
        <f>IFERROR(__xludf.DUMMYFUNCTION("""COMPUTED_VALUE"""),138.0)</f>
        <v>138</v>
      </c>
      <c r="B139" s="23" t="str">
        <f>IFERROR(__xludf.DUMMYFUNCTION("""COMPUTED_VALUE"""),"Copy List with Random Pointer")</f>
        <v>Copy List with Random Pointer</v>
      </c>
      <c r="C139" s="23" t="str">
        <f>IFERROR(__xludf.DUMMYFUNCTION("""COMPUTED_VALUE"""),"copy-list-with-random-pointer")</f>
        <v>copy-list-with-random-pointer</v>
      </c>
      <c r="D139" s="23" t="b">
        <f>IFERROR(__xludf.DUMMYFUNCTION("""COMPUTED_VALUE"""),FALSE)</f>
        <v>0</v>
      </c>
      <c r="E139" s="23" t="str">
        <f>IFERROR(__xludf.DUMMYFUNCTION("""COMPUTED_VALUE"""),"Medium")</f>
        <v>Medium</v>
      </c>
      <c r="F139" s="23">
        <f>IFERROR(__xludf.DUMMYFUNCTION("""COMPUTED_VALUE"""),8404.0)</f>
        <v>8404</v>
      </c>
      <c r="G139" s="23">
        <f>IFERROR(__xludf.DUMMYFUNCTION("""COMPUTED_VALUE"""),970.0)</f>
        <v>970</v>
      </c>
      <c r="H139" s="23" t="str">
        <f>IFERROR(__xludf.DUMMYFUNCTION("""COMPUTED_VALUE"""),"Algorithms")</f>
        <v>Algorithms</v>
      </c>
      <c r="I139" s="23">
        <f>IFERROR(__xludf.DUMMYFUNCTION("""COMPUTED_VALUE"""),0.481)</f>
        <v>0.481</v>
      </c>
      <c r="J139" s="23">
        <f>IFERROR(__xludf.DUMMYFUNCTION("""COMPUTED_VALUE"""),138.0)</f>
        <v>138</v>
      </c>
      <c r="K139" s="23" t="b">
        <f>IFERROR(__xludf.DUMMYFUNCTION("""COMPUTED_VALUE"""),FALSE)</f>
        <v>0</v>
      </c>
      <c r="L139" s="23" t="str">
        <f>IFERROR(__xludf.DUMMYFUNCTION("""COMPUTED_VALUE"""),"Hash Table;Linked List;")</f>
        <v>Hash Table;Linked List;</v>
      </c>
      <c r="M139" s="23" t="b">
        <f>IFERROR(__xludf.DUMMYFUNCTION("""COMPUTED_VALUE"""),TRUE)</f>
        <v>1</v>
      </c>
      <c r="N139" s="23" t="b">
        <f>IFERROR(__xludf.DUMMYFUNCTION("""COMPUTED_VALUE"""),FALSE)</f>
        <v>0</v>
      </c>
      <c r="O139" s="23">
        <f>IFERROR(__xludf.DUMMYFUNCTION("""COMPUTED_VALUE"""),48.1005178160586)</f>
        <v>48.10051782</v>
      </c>
      <c r="P139" s="23">
        <f>IFERROR(__xludf.DUMMYFUNCTION("""COMPUTED_VALUE"""),778984.0)</f>
        <v>778984</v>
      </c>
      <c r="Q139" s="23">
        <f>IFERROR(__xludf.DUMMYFUNCTION("""COMPUTED_VALUE"""),1619493.0)</f>
        <v>1619493</v>
      </c>
    </row>
    <row r="140">
      <c r="A140" s="23">
        <f>IFERROR(__xludf.DUMMYFUNCTION("""COMPUTED_VALUE"""),139.0)</f>
        <v>139</v>
      </c>
      <c r="B140" s="23" t="str">
        <f>IFERROR(__xludf.DUMMYFUNCTION("""COMPUTED_VALUE"""),"Word Break")</f>
        <v>Word Break</v>
      </c>
      <c r="C140" s="23" t="str">
        <f>IFERROR(__xludf.DUMMYFUNCTION("""COMPUTED_VALUE"""),"word-break")</f>
        <v>word-break</v>
      </c>
      <c r="D140" s="23" t="b">
        <f>IFERROR(__xludf.DUMMYFUNCTION("""COMPUTED_VALUE"""),FALSE)</f>
        <v>0</v>
      </c>
      <c r="E140" s="23" t="str">
        <f>IFERROR(__xludf.DUMMYFUNCTION("""COMPUTED_VALUE"""),"Medium")</f>
        <v>Medium</v>
      </c>
      <c r="F140" s="23">
        <f>IFERROR(__xludf.DUMMYFUNCTION("""COMPUTED_VALUE"""),10293.0)</f>
        <v>10293</v>
      </c>
      <c r="G140" s="23">
        <f>IFERROR(__xludf.DUMMYFUNCTION("""COMPUTED_VALUE"""),453.0)</f>
        <v>453</v>
      </c>
      <c r="H140" s="23" t="str">
        <f>IFERROR(__xludf.DUMMYFUNCTION("""COMPUTED_VALUE"""),"Algorithms")</f>
        <v>Algorithms</v>
      </c>
      <c r="I140" s="23">
        <f>IFERROR(__xludf.DUMMYFUNCTION("""COMPUTED_VALUE"""),0.445)</f>
        <v>0.445</v>
      </c>
      <c r="J140" s="23">
        <f>IFERROR(__xludf.DUMMYFUNCTION("""COMPUTED_VALUE"""),139.0)</f>
        <v>139</v>
      </c>
      <c r="K140" s="23" t="b">
        <f>IFERROR(__xludf.DUMMYFUNCTION("""COMPUTED_VALUE"""),FALSE)</f>
        <v>0</v>
      </c>
      <c r="L140" s="23" t="str">
        <f>IFERROR(__xludf.DUMMYFUNCTION("""COMPUTED_VALUE"""),"Hash Table;String;Dynamic Programming;Trie;Memoization;")</f>
        <v>Hash Table;String;Dynamic Programming;Trie;Memoization;</v>
      </c>
      <c r="M140" s="23" t="b">
        <f>IFERROR(__xludf.DUMMYFUNCTION("""COMPUTED_VALUE"""),TRUE)</f>
        <v>1</v>
      </c>
      <c r="N140" s="23" t="b">
        <f>IFERROR(__xludf.DUMMYFUNCTION("""COMPUTED_VALUE"""),TRUE)</f>
        <v>1</v>
      </c>
      <c r="O140" s="23">
        <f>IFERROR(__xludf.DUMMYFUNCTION("""COMPUTED_VALUE"""),44.5275183903799)</f>
        <v>44.52751839</v>
      </c>
      <c r="P140" s="23">
        <f>IFERROR(__xludf.DUMMYFUNCTION("""COMPUTED_VALUE"""),1060501.0)</f>
        <v>1060501</v>
      </c>
      <c r="Q140" s="23">
        <f>IFERROR(__xludf.DUMMYFUNCTION("""COMPUTED_VALUE"""),2381676.0)</f>
        <v>2381676</v>
      </c>
    </row>
    <row r="141">
      <c r="A141" s="23">
        <f>IFERROR(__xludf.DUMMYFUNCTION("""COMPUTED_VALUE"""),140.0)</f>
        <v>140</v>
      </c>
      <c r="B141" s="23" t="str">
        <f>IFERROR(__xludf.DUMMYFUNCTION("""COMPUTED_VALUE"""),"Word Break II")</f>
        <v>Word Break II</v>
      </c>
      <c r="C141" s="23" t="str">
        <f>IFERROR(__xludf.DUMMYFUNCTION("""COMPUTED_VALUE"""),"word-break-ii")</f>
        <v>word-break-ii</v>
      </c>
      <c r="D141" s="23" t="b">
        <f>IFERROR(__xludf.DUMMYFUNCTION("""COMPUTED_VALUE"""),FALSE)</f>
        <v>0</v>
      </c>
      <c r="E141" s="23" t="str">
        <f>IFERROR(__xludf.DUMMYFUNCTION("""COMPUTED_VALUE"""),"Hard")</f>
        <v>Hard</v>
      </c>
      <c r="F141" s="23">
        <f>IFERROR(__xludf.DUMMYFUNCTION("""COMPUTED_VALUE"""),4628.0)</f>
        <v>4628</v>
      </c>
      <c r="G141" s="23">
        <f>IFERROR(__xludf.DUMMYFUNCTION("""COMPUTED_VALUE"""),478.0)</f>
        <v>478</v>
      </c>
      <c r="H141" s="23" t="str">
        <f>IFERROR(__xludf.DUMMYFUNCTION("""COMPUTED_VALUE"""),"Algorithms")</f>
        <v>Algorithms</v>
      </c>
      <c r="I141" s="23">
        <f>IFERROR(__xludf.DUMMYFUNCTION("""COMPUTED_VALUE"""),0.421)</f>
        <v>0.421</v>
      </c>
      <c r="J141" s="23">
        <f>IFERROR(__xludf.DUMMYFUNCTION("""COMPUTED_VALUE"""),140.0)</f>
        <v>140</v>
      </c>
      <c r="K141" s="23" t="b">
        <f>IFERROR(__xludf.DUMMYFUNCTION("""COMPUTED_VALUE"""),FALSE)</f>
        <v>0</v>
      </c>
      <c r="L141" s="23" t="str">
        <f>IFERROR(__xludf.DUMMYFUNCTION("""COMPUTED_VALUE"""),"Hash Table;String;Dynamic Programming;Backtracking;Trie;Memoization;")</f>
        <v>Hash Table;String;Dynamic Programming;Backtracking;Trie;Memoization;</v>
      </c>
      <c r="M141" s="23" t="b">
        <f>IFERROR(__xludf.DUMMYFUNCTION("""COMPUTED_VALUE"""),TRUE)</f>
        <v>1</v>
      </c>
      <c r="N141" s="23" t="b">
        <f>IFERROR(__xludf.DUMMYFUNCTION("""COMPUTED_VALUE"""),FALSE)</f>
        <v>0</v>
      </c>
      <c r="O141" s="23">
        <f>IFERROR(__xludf.DUMMYFUNCTION("""COMPUTED_VALUE"""),42.0869078594381)</f>
        <v>42.08690786</v>
      </c>
      <c r="P141" s="23">
        <f>IFERROR(__xludf.DUMMYFUNCTION("""COMPUTED_VALUE"""),437703.0)</f>
        <v>437703</v>
      </c>
      <c r="Q141" s="23">
        <f>IFERROR(__xludf.DUMMYFUNCTION("""COMPUTED_VALUE"""),1039996.0)</f>
        <v>1039996</v>
      </c>
    </row>
    <row r="142">
      <c r="A142" s="23">
        <f>IFERROR(__xludf.DUMMYFUNCTION("""COMPUTED_VALUE"""),141.0)</f>
        <v>141</v>
      </c>
      <c r="B142" s="23" t="str">
        <f>IFERROR(__xludf.DUMMYFUNCTION("""COMPUTED_VALUE"""),"Linked List Cycle")</f>
        <v>Linked List Cycle</v>
      </c>
      <c r="C142" s="23" t="str">
        <f>IFERROR(__xludf.DUMMYFUNCTION("""COMPUTED_VALUE"""),"linked-list-cycle")</f>
        <v>linked-list-cycle</v>
      </c>
      <c r="D142" s="23" t="b">
        <f>IFERROR(__xludf.DUMMYFUNCTION("""COMPUTED_VALUE"""),FALSE)</f>
        <v>0</v>
      </c>
      <c r="E142" s="23" t="str">
        <f>IFERROR(__xludf.DUMMYFUNCTION("""COMPUTED_VALUE"""),"Easy")</f>
        <v>Easy</v>
      </c>
      <c r="F142" s="23">
        <f>IFERROR(__xludf.DUMMYFUNCTION("""COMPUTED_VALUE"""),7936.0)</f>
        <v>7936</v>
      </c>
      <c r="G142" s="23">
        <f>IFERROR(__xludf.DUMMYFUNCTION("""COMPUTED_VALUE"""),781.0)</f>
        <v>781</v>
      </c>
      <c r="H142" s="23" t="str">
        <f>IFERROR(__xludf.DUMMYFUNCTION("""COMPUTED_VALUE"""),"Algorithms")</f>
        <v>Algorithms</v>
      </c>
      <c r="I142" s="23">
        <f>IFERROR(__xludf.DUMMYFUNCTION("""COMPUTED_VALUE"""),0.458)</f>
        <v>0.458</v>
      </c>
      <c r="J142" s="23">
        <f>IFERROR(__xludf.DUMMYFUNCTION("""COMPUTED_VALUE"""),141.0)</f>
        <v>141</v>
      </c>
      <c r="K142" s="23" t="b">
        <f>IFERROR(__xludf.DUMMYFUNCTION("""COMPUTED_VALUE"""),FALSE)</f>
        <v>0</v>
      </c>
      <c r="L142" s="23" t="str">
        <f>IFERROR(__xludf.DUMMYFUNCTION("""COMPUTED_VALUE"""),"Hash Table;Linked List;Two Pointers;")</f>
        <v>Hash Table;Linked List;Two Pointers;</v>
      </c>
      <c r="M142" s="23" t="b">
        <f>IFERROR(__xludf.DUMMYFUNCTION("""COMPUTED_VALUE"""),TRUE)</f>
        <v>1</v>
      </c>
      <c r="N142" s="23" t="b">
        <f>IFERROR(__xludf.DUMMYFUNCTION("""COMPUTED_VALUE"""),TRUE)</f>
        <v>1</v>
      </c>
      <c r="O142" s="23">
        <f>IFERROR(__xludf.DUMMYFUNCTION("""COMPUTED_VALUE"""),45.838941487706)</f>
        <v>45.83894149</v>
      </c>
      <c r="P142" s="23">
        <f>IFERROR(__xludf.DUMMYFUNCTION("""COMPUTED_VALUE"""),1412327.0)</f>
        <v>1412327</v>
      </c>
      <c r="Q142" s="23">
        <f>IFERROR(__xludf.DUMMYFUNCTION("""COMPUTED_VALUE"""),3081065.0)</f>
        <v>3081065</v>
      </c>
    </row>
    <row r="143">
      <c r="A143" s="23">
        <f>IFERROR(__xludf.DUMMYFUNCTION("""COMPUTED_VALUE"""),142.0)</f>
        <v>142</v>
      </c>
      <c r="B143" s="23" t="str">
        <f>IFERROR(__xludf.DUMMYFUNCTION("""COMPUTED_VALUE"""),"Linked List Cycle II")</f>
        <v>Linked List Cycle II</v>
      </c>
      <c r="C143" s="23" t="str">
        <f>IFERROR(__xludf.DUMMYFUNCTION("""COMPUTED_VALUE"""),"linked-list-cycle-ii")</f>
        <v>linked-list-cycle-ii</v>
      </c>
      <c r="D143" s="23" t="b">
        <f>IFERROR(__xludf.DUMMYFUNCTION("""COMPUTED_VALUE"""),FALSE)</f>
        <v>0</v>
      </c>
      <c r="E143" s="23" t="str">
        <f>IFERROR(__xludf.DUMMYFUNCTION("""COMPUTED_VALUE"""),"Medium")</f>
        <v>Medium</v>
      </c>
      <c r="F143" s="23">
        <f>IFERROR(__xludf.DUMMYFUNCTION("""COMPUTED_VALUE"""),7134.0)</f>
        <v>7134</v>
      </c>
      <c r="G143" s="23">
        <f>IFERROR(__xludf.DUMMYFUNCTION("""COMPUTED_VALUE"""),465.0)</f>
        <v>465</v>
      </c>
      <c r="H143" s="23" t="str">
        <f>IFERROR(__xludf.DUMMYFUNCTION("""COMPUTED_VALUE"""),"Algorithms")</f>
        <v>Algorithms</v>
      </c>
      <c r="I143" s="23">
        <f>IFERROR(__xludf.DUMMYFUNCTION("""COMPUTED_VALUE"""),0.442)</f>
        <v>0.442</v>
      </c>
      <c r="J143" s="23">
        <f>IFERROR(__xludf.DUMMYFUNCTION("""COMPUTED_VALUE"""),142.0)</f>
        <v>142</v>
      </c>
      <c r="K143" s="23" t="b">
        <f>IFERROR(__xludf.DUMMYFUNCTION("""COMPUTED_VALUE"""),FALSE)</f>
        <v>0</v>
      </c>
      <c r="L143" s="23" t="str">
        <f>IFERROR(__xludf.DUMMYFUNCTION("""COMPUTED_VALUE"""),"Hash Table;Linked List;Two Pointers;")</f>
        <v>Hash Table;Linked List;Two Pointers;</v>
      </c>
      <c r="M143" s="23" t="b">
        <f>IFERROR(__xludf.DUMMYFUNCTION("""COMPUTED_VALUE"""),TRUE)</f>
        <v>1</v>
      </c>
      <c r="N143" s="23" t="b">
        <f>IFERROR(__xludf.DUMMYFUNCTION("""COMPUTED_VALUE"""),FALSE)</f>
        <v>0</v>
      </c>
      <c r="O143" s="23">
        <f>IFERROR(__xludf.DUMMYFUNCTION("""COMPUTED_VALUE"""),44.2027989387201)</f>
        <v>44.20279894</v>
      </c>
      <c r="P143" s="23">
        <f>IFERROR(__xludf.DUMMYFUNCTION("""COMPUTED_VALUE"""),662402.0)</f>
        <v>662402</v>
      </c>
      <c r="Q143" s="23">
        <f>IFERROR(__xludf.DUMMYFUNCTION("""COMPUTED_VALUE"""),1498559.0)</f>
        <v>1498559</v>
      </c>
    </row>
    <row r="144">
      <c r="A144" s="23">
        <f>IFERROR(__xludf.DUMMYFUNCTION("""COMPUTED_VALUE"""),143.0)</f>
        <v>143</v>
      </c>
      <c r="B144" s="23" t="str">
        <f>IFERROR(__xludf.DUMMYFUNCTION("""COMPUTED_VALUE"""),"Reorder List")</f>
        <v>Reorder List</v>
      </c>
      <c r="C144" s="23" t="str">
        <f>IFERROR(__xludf.DUMMYFUNCTION("""COMPUTED_VALUE"""),"reorder-list")</f>
        <v>reorder-list</v>
      </c>
      <c r="D144" s="23" t="b">
        <f>IFERROR(__xludf.DUMMYFUNCTION("""COMPUTED_VALUE"""),FALSE)</f>
        <v>0</v>
      </c>
      <c r="E144" s="23" t="str">
        <f>IFERROR(__xludf.DUMMYFUNCTION("""COMPUTED_VALUE"""),"Medium")</f>
        <v>Medium</v>
      </c>
      <c r="F144" s="23">
        <f>IFERROR(__xludf.DUMMYFUNCTION("""COMPUTED_VALUE"""),5761.0)</f>
        <v>5761</v>
      </c>
      <c r="G144" s="23">
        <f>IFERROR(__xludf.DUMMYFUNCTION("""COMPUTED_VALUE"""),210.0)</f>
        <v>210</v>
      </c>
      <c r="H144" s="23" t="str">
        <f>IFERROR(__xludf.DUMMYFUNCTION("""COMPUTED_VALUE"""),"Algorithms")</f>
        <v>Algorithms</v>
      </c>
      <c r="I144" s="23">
        <f>IFERROR(__xludf.DUMMYFUNCTION("""COMPUTED_VALUE"""),0.478)</f>
        <v>0.478</v>
      </c>
      <c r="J144" s="23">
        <f>IFERROR(__xludf.DUMMYFUNCTION("""COMPUTED_VALUE"""),143.0)</f>
        <v>143</v>
      </c>
      <c r="K144" s="23" t="b">
        <f>IFERROR(__xludf.DUMMYFUNCTION("""COMPUTED_VALUE"""),FALSE)</f>
        <v>0</v>
      </c>
      <c r="L144" s="23" t="str">
        <f>IFERROR(__xludf.DUMMYFUNCTION("""COMPUTED_VALUE"""),"Linked List;Two Pointers;Stack;Recursion;")</f>
        <v>Linked List;Two Pointers;Stack;Recursion;</v>
      </c>
      <c r="M144" s="23" t="b">
        <f>IFERROR(__xludf.DUMMYFUNCTION("""COMPUTED_VALUE"""),TRUE)</f>
        <v>1</v>
      </c>
      <c r="N144" s="23" t="b">
        <f>IFERROR(__xludf.DUMMYFUNCTION("""COMPUTED_VALUE"""),FALSE)</f>
        <v>0</v>
      </c>
      <c r="O144" s="23">
        <f>IFERROR(__xludf.DUMMYFUNCTION("""COMPUTED_VALUE"""),47.8372881629377)</f>
        <v>47.83728816</v>
      </c>
      <c r="P144" s="23">
        <f>IFERROR(__xludf.DUMMYFUNCTION("""COMPUTED_VALUE"""),474421.0)</f>
        <v>474421</v>
      </c>
      <c r="Q144" s="23">
        <f>IFERROR(__xludf.DUMMYFUNCTION("""COMPUTED_VALUE"""),991740.0)</f>
        <v>991740</v>
      </c>
    </row>
    <row r="145">
      <c r="A145" s="23">
        <f>IFERROR(__xludf.DUMMYFUNCTION("""COMPUTED_VALUE"""),144.0)</f>
        <v>144</v>
      </c>
      <c r="B145" s="23" t="str">
        <f>IFERROR(__xludf.DUMMYFUNCTION("""COMPUTED_VALUE"""),"Binary Tree Preorder Traversal")</f>
        <v>Binary Tree Preorder Traversal</v>
      </c>
      <c r="C145" s="23" t="str">
        <f>IFERROR(__xludf.DUMMYFUNCTION("""COMPUTED_VALUE"""),"binary-tree-preorder-traversal")</f>
        <v>binary-tree-preorder-traversal</v>
      </c>
      <c r="D145" s="23" t="b">
        <f>IFERROR(__xludf.DUMMYFUNCTION("""COMPUTED_VALUE"""),FALSE)</f>
        <v>0</v>
      </c>
      <c r="E145" s="23" t="str">
        <f>IFERROR(__xludf.DUMMYFUNCTION("""COMPUTED_VALUE"""),"Easy")</f>
        <v>Easy</v>
      </c>
      <c r="F145" s="23">
        <f>IFERROR(__xludf.DUMMYFUNCTION("""COMPUTED_VALUE"""),3993.0)</f>
        <v>3993</v>
      </c>
      <c r="G145" s="23">
        <f>IFERROR(__xludf.DUMMYFUNCTION("""COMPUTED_VALUE"""),129.0)</f>
        <v>129</v>
      </c>
      <c r="H145" s="23" t="str">
        <f>IFERROR(__xludf.DUMMYFUNCTION("""COMPUTED_VALUE"""),"Algorithms")</f>
        <v>Algorithms</v>
      </c>
      <c r="I145" s="23">
        <f>IFERROR(__xludf.DUMMYFUNCTION("""COMPUTED_VALUE"""),0.625)</f>
        <v>0.625</v>
      </c>
      <c r="J145" s="23">
        <f>IFERROR(__xludf.DUMMYFUNCTION("""COMPUTED_VALUE"""),144.0)</f>
        <v>144</v>
      </c>
      <c r="K145" s="23" t="b">
        <f>IFERROR(__xludf.DUMMYFUNCTION("""COMPUTED_VALUE"""),FALSE)</f>
        <v>0</v>
      </c>
      <c r="L145" s="23" t="str">
        <f>IFERROR(__xludf.DUMMYFUNCTION("""COMPUTED_VALUE"""),"Stack;Tree;Depth-First Search;Binary Tree;")</f>
        <v>Stack;Tree;Depth-First Search;Binary Tree;</v>
      </c>
      <c r="M145" s="23" t="b">
        <f>IFERROR(__xludf.DUMMYFUNCTION("""COMPUTED_VALUE"""),TRUE)</f>
        <v>1</v>
      </c>
      <c r="N145" s="23" t="b">
        <f>IFERROR(__xludf.DUMMYFUNCTION("""COMPUTED_VALUE"""),FALSE)</f>
        <v>0</v>
      </c>
      <c r="O145" s="23">
        <f>IFERROR(__xludf.DUMMYFUNCTION("""COMPUTED_VALUE"""),62.4846392494935)</f>
        <v>62.48463925</v>
      </c>
      <c r="P145" s="23">
        <f>IFERROR(__xludf.DUMMYFUNCTION("""COMPUTED_VALUE"""),928473.0)</f>
        <v>928473</v>
      </c>
      <c r="Q145" s="23">
        <f>IFERROR(__xludf.DUMMYFUNCTION("""COMPUTED_VALUE"""),1485924.0)</f>
        <v>1485924</v>
      </c>
    </row>
    <row r="146">
      <c r="A146" s="23">
        <f>IFERROR(__xludf.DUMMYFUNCTION("""COMPUTED_VALUE"""),145.0)</f>
        <v>145</v>
      </c>
      <c r="B146" s="23" t="str">
        <f>IFERROR(__xludf.DUMMYFUNCTION("""COMPUTED_VALUE"""),"Binary Tree Postorder Traversal")</f>
        <v>Binary Tree Postorder Traversal</v>
      </c>
      <c r="C146" s="23" t="str">
        <f>IFERROR(__xludf.DUMMYFUNCTION("""COMPUTED_VALUE"""),"binary-tree-postorder-traversal")</f>
        <v>binary-tree-postorder-traversal</v>
      </c>
      <c r="D146" s="23" t="b">
        <f>IFERROR(__xludf.DUMMYFUNCTION("""COMPUTED_VALUE"""),FALSE)</f>
        <v>0</v>
      </c>
      <c r="E146" s="23" t="str">
        <f>IFERROR(__xludf.DUMMYFUNCTION("""COMPUTED_VALUE"""),"Easy")</f>
        <v>Easy</v>
      </c>
      <c r="F146" s="23">
        <f>IFERROR(__xludf.DUMMYFUNCTION("""COMPUTED_VALUE"""),4080.0)</f>
        <v>4080</v>
      </c>
      <c r="G146" s="23">
        <f>IFERROR(__xludf.DUMMYFUNCTION("""COMPUTED_VALUE"""),140.0)</f>
        <v>140</v>
      </c>
      <c r="H146" s="23" t="str">
        <f>IFERROR(__xludf.DUMMYFUNCTION("""COMPUTED_VALUE"""),"Algorithms")</f>
        <v>Algorithms</v>
      </c>
      <c r="I146" s="23">
        <f>IFERROR(__xludf.DUMMYFUNCTION("""COMPUTED_VALUE"""),0.64)</f>
        <v>0.64</v>
      </c>
      <c r="J146" s="23">
        <f>IFERROR(__xludf.DUMMYFUNCTION("""COMPUTED_VALUE"""),145.0)</f>
        <v>145</v>
      </c>
      <c r="K146" s="23" t="b">
        <f>IFERROR(__xludf.DUMMYFUNCTION("""COMPUTED_VALUE"""),FALSE)</f>
        <v>0</v>
      </c>
      <c r="L146" s="23" t="str">
        <f>IFERROR(__xludf.DUMMYFUNCTION("""COMPUTED_VALUE"""),"Stack;Tree;Depth-First Search;Binary Tree;")</f>
        <v>Stack;Tree;Depth-First Search;Binary Tree;</v>
      </c>
      <c r="M146" s="23" t="b">
        <f>IFERROR(__xludf.DUMMYFUNCTION("""COMPUTED_VALUE"""),FALSE)</f>
        <v>0</v>
      </c>
      <c r="N146" s="23" t="b">
        <f>IFERROR(__xludf.DUMMYFUNCTION("""COMPUTED_VALUE"""),FALSE)</f>
        <v>0</v>
      </c>
      <c r="O146" s="23">
        <f>IFERROR(__xludf.DUMMYFUNCTION("""COMPUTED_VALUE"""),64.0332081860946)</f>
        <v>64.03320819</v>
      </c>
      <c r="P146" s="23">
        <f>IFERROR(__xludf.DUMMYFUNCTION("""COMPUTED_VALUE"""),707968.0)</f>
        <v>707968</v>
      </c>
      <c r="Q146" s="23">
        <f>IFERROR(__xludf.DUMMYFUNCTION("""COMPUTED_VALUE"""),1105627.0)</f>
        <v>1105627</v>
      </c>
    </row>
    <row r="147">
      <c r="A147" s="23">
        <f>IFERROR(__xludf.DUMMYFUNCTION("""COMPUTED_VALUE"""),146.0)</f>
        <v>146</v>
      </c>
      <c r="B147" s="23" t="str">
        <f>IFERROR(__xludf.DUMMYFUNCTION("""COMPUTED_VALUE"""),"LRU Cache")</f>
        <v>LRU Cache</v>
      </c>
      <c r="C147" s="23" t="str">
        <f>IFERROR(__xludf.DUMMYFUNCTION("""COMPUTED_VALUE"""),"lru-cache")</f>
        <v>lru-cache</v>
      </c>
      <c r="D147" s="23" t="b">
        <f>IFERROR(__xludf.DUMMYFUNCTION("""COMPUTED_VALUE"""),FALSE)</f>
        <v>0</v>
      </c>
      <c r="E147" s="23" t="str">
        <f>IFERROR(__xludf.DUMMYFUNCTION("""COMPUTED_VALUE"""),"Medium")</f>
        <v>Medium</v>
      </c>
      <c r="F147" s="23">
        <f>IFERROR(__xludf.DUMMYFUNCTION("""COMPUTED_VALUE"""),12938.0)</f>
        <v>12938</v>
      </c>
      <c r="G147" s="23">
        <f>IFERROR(__xludf.DUMMYFUNCTION("""COMPUTED_VALUE"""),507.0)</f>
        <v>507</v>
      </c>
      <c r="H147" s="23" t="str">
        <f>IFERROR(__xludf.DUMMYFUNCTION("""COMPUTED_VALUE"""),"Algorithms")</f>
        <v>Algorithms</v>
      </c>
      <c r="I147" s="23">
        <f>IFERROR(__xludf.DUMMYFUNCTION("""COMPUTED_VALUE"""),0.398)</f>
        <v>0.398</v>
      </c>
      <c r="J147" s="23">
        <f>IFERROR(__xludf.DUMMYFUNCTION("""COMPUTED_VALUE"""),146.0)</f>
        <v>146</v>
      </c>
      <c r="K147" s="23" t="b">
        <f>IFERROR(__xludf.DUMMYFUNCTION("""COMPUTED_VALUE"""),FALSE)</f>
        <v>0</v>
      </c>
      <c r="L147" s="23" t="str">
        <f>IFERROR(__xludf.DUMMYFUNCTION("""COMPUTED_VALUE"""),"Hash Table;Linked List;Design;Doubly-Linked List;")</f>
        <v>Hash Table;Linked List;Design;Doubly-Linked List;</v>
      </c>
      <c r="M147" s="23" t="b">
        <f>IFERROR(__xludf.DUMMYFUNCTION("""COMPUTED_VALUE"""),TRUE)</f>
        <v>1</v>
      </c>
      <c r="N147" s="23" t="b">
        <f>IFERROR(__xludf.DUMMYFUNCTION("""COMPUTED_VALUE"""),FALSE)</f>
        <v>0</v>
      </c>
      <c r="O147" s="23">
        <f>IFERROR(__xludf.DUMMYFUNCTION("""COMPUTED_VALUE"""),39.8215741043217)</f>
        <v>39.8215741</v>
      </c>
      <c r="P147" s="23">
        <f>IFERROR(__xludf.DUMMYFUNCTION("""COMPUTED_VALUE"""),1051992.0)</f>
        <v>1051992</v>
      </c>
      <c r="Q147" s="23">
        <f>IFERROR(__xludf.DUMMYFUNCTION("""COMPUTED_VALUE"""),2641767.0)</f>
        <v>2641767</v>
      </c>
    </row>
    <row r="148">
      <c r="A148" s="23">
        <f>IFERROR(__xludf.DUMMYFUNCTION("""COMPUTED_VALUE"""),147.0)</f>
        <v>147</v>
      </c>
      <c r="B148" s="23" t="str">
        <f>IFERROR(__xludf.DUMMYFUNCTION("""COMPUTED_VALUE"""),"Insertion Sort List")</f>
        <v>Insertion Sort List</v>
      </c>
      <c r="C148" s="23" t="str">
        <f>IFERROR(__xludf.DUMMYFUNCTION("""COMPUTED_VALUE"""),"insertion-sort-list")</f>
        <v>insertion-sort-list</v>
      </c>
      <c r="D148" s="23" t="b">
        <f>IFERROR(__xludf.DUMMYFUNCTION("""COMPUTED_VALUE"""),FALSE)</f>
        <v>0</v>
      </c>
      <c r="E148" s="23" t="str">
        <f>IFERROR(__xludf.DUMMYFUNCTION("""COMPUTED_VALUE"""),"Medium")</f>
        <v>Medium</v>
      </c>
      <c r="F148" s="23">
        <f>IFERROR(__xludf.DUMMYFUNCTION("""COMPUTED_VALUE"""),1986.0)</f>
        <v>1986</v>
      </c>
      <c r="G148" s="23">
        <f>IFERROR(__xludf.DUMMYFUNCTION("""COMPUTED_VALUE"""),788.0)</f>
        <v>788</v>
      </c>
      <c r="H148" s="23" t="str">
        <f>IFERROR(__xludf.DUMMYFUNCTION("""COMPUTED_VALUE"""),"Algorithms")</f>
        <v>Algorithms</v>
      </c>
      <c r="I148" s="23">
        <f>IFERROR(__xludf.DUMMYFUNCTION("""COMPUTED_VALUE"""),0.488)</f>
        <v>0.488</v>
      </c>
      <c r="J148" s="23">
        <f>IFERROR(__xludf.DUMMYFUNCTION("""COMPUTED_VALUE"""),147.0)</f>
        <v>147</v>
      </c>
      <c r="K148" s="23" t="b">
        <f>IFERROR(__xludf.DUMMYFUNCTION("""COMPUTED_VALUE"""),FALSE)</f>
        <v>0</v>
      </c>
      <c r="L148" s="23" t="str">
        <f>IFERROR(__xludf.DUMMYFUNCTION("""COMPUTED_VALUE"""),"Linked List;Sorting;")</f>
        <v>Linked List;Sorting;</v>
      </c>
      <c r="M148" s="23" t="b">
        <f>IFERROR(__xludf.DUMMYFUNCTION("""COMPUTED_VALUE"""),TRUE)</f>
        <v>1</v>
      </c>
      <c r="N148" s="23" t="b">
        <f>IFERROR(__xludf.DUMMYFUNCTION("""COMPUTED_VALUE"""),TRUE)</f>
        <v>1</v>
      </c>
      <c r="O148" s="23">
        <f>IFERROR(__xludf.DUMMYFUNCTION("""COMPUTED_VALUE"""),48.8270508065211)</f>
        <v>48.82705081</v>
      </c>
      <c r="P148" s="23">
        <f>IFERROR(__xludf.DUMMYFUNCTION("""COMPUTED_VALUE"""),283026.0)</f>
        <v>283026</v>
      </c>
      <c r="Q148" s="23">
        <f>IFERROR(__xludf.DUMMYFUNCTION("""COMPUTED_VALUE"""),579650.0)</f>
        <v>579650</v>
      </c>
    </row>
    <row r="149">
      <c r="A149" s="23">
        <f>IFERROR(__xludf.DUMMYFUNCTION("""COMPUTED_VALUE"""),148.0)</f>
        <v>148</v>
      </c>
      <c r="B149" s="23" t="str">
        <f>IFERROR(__xludf.DUMMYFUNCTION("""COMPUTED_VALUE"""),"Sort List")</f>
        <v>Sort List</v>
      </c>
      <c r="C149" s="23" t="str">
        <f>IFERROR(__xludf.DUMMYFUNCTION("""COMPUTED_VALUE"""),"sort-list")</f>
        <v>sort-list</v>
      </c>
      <c r="D149" s="23" t="b">
        <f>IFERROR(__xludf.DUMMYFUNCTION("""COMPUTED_VALUE"""),FALSE)</f>
        <v>0</v>
      </c>
      <c r="E149" s="23" t="str">
        <f>IFERROR(__xludf.DUMMYFUNCTION("""COMPUTED_VALUE"""),"Medium")</f>
        <v>Medium</v>
      </c>
      <c r="F149" s="23">
        <f>IFERROR(__xludf.DUMMYFUNCTION("""COMPUTED_VALUE"""),7047.0)</f>
        <v>7047</v>
      </c>
      <c r="G149" s="23">
        <f>IFERROR(__xludf.DUMMYFUNCTION("""COMPUTED_VALUE"""),230.0)</f>
        <v>230</v>
      </c>
      <c r="H149" s="23" t="str">
        <f>IFERROR(__xludf.DUMMYFUNCTION("""COMPUTED_VALUE"""),"Algorithms")</f>
        <v>Algorithms</v>
      </c>
      <c r="I149" s="23">
        <f>IFERROR(__xludf.DUMMYFUNCTION("""COMPUTED_VALUE"""),0.521)</f>
        <v>0.521</v>
      </c>
      <c r="J149" s="23">
        <f>IFERROR(__xludf.DUMMYFUNCTION("""COMPUTED_VALUE"""),148.0)</f>
        <v>148</v>
      </c>
      <c r="K149" s="23" t="b">
        <f>IFERROR(__xludf.DUMMYFUNCTION("""COMPUTED_VALUE"""),FALSE)</f>
        <v>0</v>
      </c>
      <c r="L149" s="23" t="str">
        <f>IFERROR(__xludf.DUMMYFUNCTION("""COMPUTED_VALUE"""),"Linked List;Two Pointers;Divide and Conquer;Sorting;Merge Sort;")</f>
        <v>Linked List;Two Pointers;Divide and Conquer;Sorting;Merge Sort;</v>
      </c>
      <c r="M149" s="23" t="b">
        <f>IFERROR(__xludf.DUMMYFUNCTION("""COMPUTED_VALUE"""),TRUE)</f>
        <v>1</v>
      </c>
      <c r="N149" s="23" t="b">
        <f>IFERROR(__xludf.DUMMYFUNCTION("""COMPUTED_VALUE"""),FALSE)</f>
        <v>0</v>
      </c>
      <c r="O149" s="23">
        <f>IFERROR(__xludf.DUMMYFUNCTION("""COMPUTED_VALUE"""),52.0538756502141)</f>
        <v>52.05387565</v>
      </c>
      <c r="P149" s="23">
        <f>IFERROR(__xludf.DUMMYFUNCTION("""COMPUTED_VALUE"""),487343.0)</f>
        <v>487343</v>
      </c>
      <c r="Q149" s="23">
        <f>IFERROR(__xludf.DUMMYFUNCTION("""COMPUTED_VALUE"""),936229.0)</f>
        <v>936229</v>
      </c>
    </row>
    <row r="150">
      <c r="A150" s="23">
        <f>IFERROR(__xludf.DUMMYFUNCTION("""COMPUTED_VALUE"""),149.0)</f>
        <v>149</v>
      </c>
      <c r="B150" s="23" t="str">
        <f>IFERROR(__xludf.DUMMYFUNCTION("""COMPUTED_VALUE"""),"Max Points on a Line")</f>
        <v>Max Points on a Line</v>
      </c>
      <c r="C150" s="23" t="str">
        <f>IFERROR(__xludf.DUMMYFUNCTION("""COMPUTED_VALUE"""),"max-points-on-a-line")</f>
        <v>max-points-on-a-line</v>
      </c>
      <c r="D150" s="23" t="b">
        <f>IFERROR(__xludf.DUMMYFUNCTION("""COMPUTED_VALUE"""),FALSE)</f>
        <v>0</v>
      </c>
      <c r="E150" s="23" t="str">
        <f>IFERROR(__xludf.DUMMYFUNCTION("""COMPUTED_VALUE"""),"Hard")</f>
        <v>Hard</v>
      </c>
      <c r="F150" s="23">
        <f>IFERROR(__xludf.DUMMYFUNCTION("""COMPUTED_VALUE"""),1032.0)</f>
        <v>1032</v>
      </c>
      <c r="G150" s="23">
        <f>IFERROR(__xludf.DUMMYFUNCTION("""COMPUTED_VALUE"""),180.0)</f>
        <v>180</v>
      </c>
      <c r="H150" s="23" t="str">
        <f>IFERROR(__xludf.DUMMYFUNCTION("""COMPUTED_VALUE"""),"Algorithms")</f>
        <v>Algorithms</v>
      </c>
      <c r="I150" s="23">
        <f>IFERROR(__xludf.DUMMYFUNCTION("""COMPUTED_VALUE"""),0.205)</f>
        <v>0.205</v>
      </c>
      <c r="J150" s="23">
        <f>IFERROR(__xludf.DUMMYFUNCTION("""COMPUTED_VALUE"""),149.0)</f>
        <v>149</v>
      </c>
      <c r="K150" s="23" t="b">
        <f>IFERROR(__xludf.DUMMYFUNCTION("""COMPUTED_VALUE"""),FALSE)</f>
        <v>0</v>
      </c>
      <c r="L150" s="23" t="str">
        <f>IFERROR(__xludf.DUMMYFUNCTION("""COMPUTED_VALUE"""),"Array;Hash Table;Math;Geometry;")</f>
        <v>Array;Hash Table;Math;Geometry;</v>
      </c>
      <c r="M150" s="23" t="b">
        <f>IFERROR(__xludf.DUMMYFUNCTION("""COMPUTED_VALUE"""),TRUE)</f>
        <v>1</v>
      </c>
      <c r="N150" s="23" t="b">
        <f>IFERROR(__xludf.DUMMYFUNCTION("""COMPUTED_VALUE"""),FALSE)</f>
        <v>0</v>
      </c>
      <c r="O150" s="23">
        <f>IFERROR(__xludf.DUMMYFUNCTION("""COMPUTED_VALUE"""),20.4562616534787)</f>
        <v>20.45626165</v>
      </c>
      <c r="P150" s="23">
        <f>IFERROR(__xludf.DUMMYFUNCTION("""COMPUTED_VALUE"""),228638.0)</f>
        <v>228638</v>
      </c>
      <c r="Q150" s="23">
        <f>IFERROR(__xludf.DUMMYFUNCTION("""COMPUTED_VALUE"""),1117691.0)</f>
        <v>1117691</v>
      </c>
    </row>
    <row r="151">
      <c r="A151" s="23">
        <f>IFERROR(__xludf.DUMMYFUNCTION("""COMPUTED_VALUE"""),150.0)</f>
        <v>150</v>
      </c>
      <c r="B151" s="23" t="str">
        <f>IFERROR(__xludf.DUMMYFUNCTION("""COMPUTED_VALUE"""),"Evaluate Reverse Polish Notation")</f>
        <v>Evaluate Reverse Polish Notation</v>
      </c>
      <c r="C151" s="23" t="str">
        <f>IFERROR(__xludf.DUMMYFUNCTION("""COMPUTED_VALUE"""),"evaluate-reverse-polish-notation")</f>
        <v>evaluate-reverse-polish-notation</v>
      </c>
      <c r="D151" s="23" t="b">
        <f>IFERROR(__xludf.DUMMYFUNCTION("""COMPUTED_VALUE"""),FALSE)</f>
        <v>0</v>
      </c>
      <c r="E151" s="23" t="str">
        <f>IFERROR(__xludf.DUMMYFUNCTION("""COMPUTED_VALUE"""),"Medium")</f>
        <v>Medium</v>
      </c>
      <c r="F151" s="23">
        <f>IFERROR(__xludf.DUMMYFUNCTION("""COMPUTED_VALUE"""),2947.0)</f>
        <v>2947</v>
      </c>
      <c r="G151" s="23">
        <f>IFERROR(__xludf.DUMMYFUNCTION("""COMPUTED_VALUE"""),624.0)</f>
        <v>624</v>
      </c>
      <c r="H151" s="23" t="str">
        <f>IFERROR(__xludf.DUMMYFUNCTION("""COMPUTED_VALUE"""),"Algorithms")</f>
        <v>Algorithms</v>
      </c>
      <c r="I151" s="23">
        <f>IFERROR(__xludf.DUMMYFUNCTION("""COMPUTED_VALUE"""),0.425)</f>
        <v>0.425</v>
      </c>
      <c r="J151" s="23">
        <f>IFERROR(__xludf.DUMMYFUNCTION("""COMPUTED_VALUE"""),150.0)</f>
        <v>150</v>
      </c>
      <c r="K151" s="23" t="b">
        <f>IFERROR(__xludf.DUMMYFUNCTION("""COMPUTED_VALUE"""),FALSE)</f>
        <v>0</v>
      </c>
      <c r="L151" s="23" t="str">
        <f>IFERROR(__xludf.DUMMYFUNCTION("""COMPUTED_VALUE"""),"Array;Math;Stack;")</f>
        <v>Array;Math;Stack;</v>
      </c>
      <c r="M151" s="23" t="b">
        <f>IFERROR(__xludf.DUMMYFUNCTION("""COMPUTED_VALUE"""),TRUE)</f>
        <v>1</v>
      </c>
      <c r="N151" s="23" t="b">
        <f>IFERROR(__xludf.DUMMYFUNCTION("""COMPUTED_VALUE"""),FALSE)</f>
        <v>0</v>
      </c>
      <c r="O151" s="23">
        <f>IFERROR(__xludf.DUMMYFUNCTION("""COMPUTED_VALUE"""),42.4882317352103)</f>
        <v>42.48823174</v>
      </c>
      <c r="P151" s="23">
        <f>IFERROR(__xludf.DUMMYFUNCTION("""COMPUTED_VALUE"""),403099.0)</f>
        <v>403099</v>
      </c>
      <c r="Q151" s="23">
        <f>IFERROR(__xludf.DUMMYFUNCTION("""COMPUTED_VALUE"""),948734.0)</f>
        <v>948734</v>
      </c>
    </row>
    <row r="152">
      <c r="A152" s="23">
        <f>IFERROR(__xludf.DUMMYFUNCTION("""COMPUTED_VALUE"""),151.0)</f>
        <v>151</v>
      </c>
      <c r="B152" s="23" t="str">
        <f>IFERROR(__xludf.DUMMYFUNCTION("""COMPUTED_VALUE"""),"Reverse Words in a String")</f>
        <v>Reverse Words in a String</v>
      </c>
      <c r="C152" s="23" t="str">
        <f>IFERROR(__xludf.DUMMYFUNCTION("""COMPUTED_VALUE"""),"reverse-words-in-a-string")</f>
        <v>reverse-words-in-a-string</v>
      </c>
      <c r="D152" s="23" t="b">
        <f>IFERROR(__xludf.DUMMYFUNCTION("""COMPUTED_VALUE"""),FALSE)</f>
        <v>0</v>
      </c>
      <c r="E152" s="23" t="str">
        <f>IFERROR(__xludf.DUMMYFUNCTION("""COMPUTED_VALUE"""),"Medium")</f>
        <v>Medium</v>
      </c>
      <c r="F152" s="23">
        <f>IFERROR(__xludf.DUMMYFUNCTION("""COMPUTED_VALUE"""),3044.0)</f>
        <v>3044</v>
      </c>
      <c r="G152" s="23">
        <f>IFERROR(__xludf.DUMMYFUNCTION("""COMPUTED_VALUE"""),3865.0)</f>
        <v>3865</v>
      </c>
      <c r="H152" s="23" t="str">
        <f>IFERROR(__xludf.DUMMYFUNCTION("""COMPUTED_VALUE"""),"Algorithms")</f>
        <v>Algorithms</v>
      </c>
      <c r="I152" s="23">
        <f>IFERROR(__xludf.DUMMYFUNCTION("""COMPUTED_VALUE"""),0.285)</f>
        <v>0.285</v>
      </c>
      <c r="J152" s="23">
        <f>IFERROR(__xludf.DUMMYFUNCTION("""COMPUTED_VALUE"""),151.0)</f>
        <v>151</v>
      </c>
      <c r="K152" s="23" t="b">
        <f>IFERROR(__xludf.DUMMYFUNCTION("""COMPUTED_VALUE"""),FALSE)</f>
        <v>0</v>
      </c>
      <c r="L152" s="23" t="str">
        <f>IFERROR(__xludf.DUMMYFUNCTION("""COMPUTED_VALUE"""),"Two Pointers;String;")</f>
        <v>Two Pointers;String;</v>
      </c>
      <c r="M152" s="23" t="b">
        <f>IFERROR(__xludf.DUMMYFUNCTION("""COMPUTED_VALUE"""),TRUE)</f>
        <v>1</v>
      </c>
      <c r="N152" s="23" t="b">
        <f>IFERROR(__xludf.DUMMYFUNCTION("""COMPUTED_VALUE"""),FALSE)</f>
        <v>0</v>
      </c>
      <c r="O152" s="23">
        <f>IFERROR(__xludf.DUMMYFUNCTION("""COMPUTED_VALUE"""),28.4623732089549)</f>
        <v>28.46237321</v>
      </c>
      <c r="P152" s="23">
        <f>IFERROR(__xludf.DUMMYFUNCTION("""COMPUTED_VALUE"""),695054.0)</f>
        <v>695054</v>
      </c>
      <c r="Q152" s="23">
        <f>IFERROR(__xludf.DUMMYFUNCTION("""COMPUTED_VALUE"""),2442010.0)</f>
        <v>2442010</v>
      </c>
    </row>
    <row r="153">
      <c r="A153" s="23">
        <f>IFERROR(__xludf.DUMMYFUNCTION("""COMPUTED_VALUE"""),152.0)</f>
        <v>152</v>
      </c>
      <c r="B153" s="23" t="str">
        <f>IFERROR(__xludf.DUMMYFUNCTION("""COMPUTED_VALUE"""),"Maximum Product Subarray")</f>
        <v>Maximum Product Subarray</v>
      </c>
      <c r="C153" s="23" t="str">
        <f>IFERROR(__xludf.DUMMYFUNCTION("""COMPUTED_VALUE"""),"maximum-product-subarray")</f>
        <v>maximum-product-subarray</v>
      </c>
      <c r="D153" s="23" t="b">
        <f>IFERROR(__xludf.DUMMYFUNCTION("""COMPUTED_VALUE"""),FALSE)</f>
        <v>0</v>
      </c>
      <c r="E153" s="23" t="str">
        <f>IFERROR(__xludf.DUMMYFUNCTION("""COMPUTED_VALUE"""),"Medium")</f>
        <v>Medium</v>
      </c>
      <c r="F153" s="23">
        <f>IFERROR(__xludf.DUMMYFUNCTION("""COMPUTED_VALUE"""),11256.0)</f>
        <v>11256</v>
      </c>
      <c r="G153" s="23">
        <f>IFERROR(__xludf.DUMMYFUNCTION("""COMPUTED_VALUE"""),348.0)</f>
        <v>348</v>
      </c>
      <c r="H153" s="23" t="str">
        <f>IFERROR(__xludf.DUMMYFUNCTION("""COMPUTED_VALUE"""),"Algorithms")</f>
        <v>Algorithms</v>
      </c>
      <c r="I153" s="23">
        <f>IFERROR(__xludf.DUMMYFUNCTION("""COMPUTED_VALUE"""),0.345)</f>
        <v>0.345</v>
      </c>
      <c r="J153" s="23">
        <f>IFERROR(__xludf.DUMMYFUNCTION("""COMPUTED_VALUE"""),152.0)</f>
        <v>152</v>
      </c>
      <c r="K153" s="23" t="b">
        <f>IFERROR(__xludf.DUMMYFUNCTION("""COMPUTED_VALUE"""),FALSE)</f>
        <v>0</v>
      </c>
      <c r="L153" s="23" t="str">
        <f>IFERROR(__xludf.DUMMYFUNCTION("""COMPUTED_VALUE"""),"Array;Dynamic Programming;")</f>
        <v>Array;Dynamic Programming;</v>
      </c>
      <c r="M153" s="23" t="b">
        <f>IFERROR(__xludf.DUMMYFUNCTION("""COMPUTED_VALUE"""),TRUE)</f>
        <v>1</v>
      </c>
      <c r="N153" s="23" t="b">
        <f>IFERROR(__xludf.DUMMYFUNCTION("""COMPUTED_VALUE"""),FALSE)</f>
        <v>0</v>
      </c>
      <c r="O153" s="23">
        <f>IFERROR(__xludf.DUMMYFUNCTION("""COMPUTED_VALUE"""),34.5491109611264)</f>
        <v>34.54911096</v>
      </c>
      <c r="P153" s="23">
        <f>IFERROR(__xludf.DUMMYFUNCTION("""COMPUTED_VALUE"""),727904.0)</f>
        <v>727904</v>
      </c>
      <c r="Q153" s="23">
        <f>IFERROR(__xludf.DUMMYFUNCTION("""COMPUTED_VALUE"""),2106867.0)</f>
        <v>2106867</v>
      </c>
    </row>
    <row r="154">
      <c r="A154" s="23">
        <f>IFERROR(__xludf.DUMMYFUNCTION("""COMPUTED_VALUE"""),153.0)</f>
        <v>153</v>
      </c>
      <c r="B154" s="23" t="str">
        <f>IFERROR(__xludf.DUMMYFUNCTION("""COMPUTED_VALUE"""),"Find Minimum in Rotated Sorted Array")</f>
        <v>Find Minimum in Rotated Sorted Array</v>
      </c>
      <c r="C154" s="23" t="str">
        <f>IFERROR(__xludf.DUMMYFUNCTION("""COMPUTED_VALUE"""),"find-minimum-in-rotated-sorted-array")</f>
        <v>find-minimum-in-rotated-sorted-array</v>
      </c>
      <c r="D154" s="23" t="b">
        <f>IFERROR(__xludf.DUMMYFUNCTION("""COMPUTED_VALUE"""),FALSE)</f>
        <v>0</v>
      </c>
      <c r="E154" s="23" t="str">
        <f>IFERROR(__xludf.DUMMYFUNCTION("""COMPUTED_VALUE"""),"Medium")</f>
        <v>Medium</v>
      </c>
      <c r="F154" s="23">
        <f>IFERROR(__xludf.DUMMYFUNCTION("""COMPUTED_VALUE"""),6624.0)</f>
        <v>6624</v>
      </c>
      <c r="G154" s="23">
        <f>IFERROR(__xludf.DUMMYFUNCTION("""COMPUTED_VALUE"""),388.0)</f>
        <v>388</v>
      </c>
      <c r="H154" s="23" t="str">
        <f>IFERROR(__xludf.DUMMYFUNCTION("""COMPUTED_VALUE"""),"Algorithms")</f>
        <v>Algorithms</v>
      </c>
      <c r="I154" s="23">
        <f>IFERROR(__xludf.DUMMYFUNCTION("""COMPUTED_VALUE"""),0.479)</f>
        <v>0.479</v>
      </c>
      <c r="J154" s="23">
        <f>IFERROR(__xludf.DUMMYFUNCTION("""COMPUTED_VALUE"""),153.0)</f>
        <v>153</v>
      </c>
      <c r="K154" s="23" t="b">
        <f>IFERROR(__xludf.DUMMYFUNCTION("""COMPUTED_VALUE"""),FALSE)</f>
        <v>0</v>
      </c>
      <c r="L154" s="23" t="str">
        <f>IFERROR(__xludf.DUMMYFUNCTION("""COMPUTED_VALUE"""),"Array;Binary Search;")</f>
        <v>Array;Binary Search;</v>
      </c>
      <c r="M154" s="23" t="b">
        <f>IFERROR(__xludf.DUMMYFUNCTION("""COMPUTED_VALUE"""),TRUE)</f>
        <v>1</v>
      </c>
      <c r="N154" s="23" t="b">
        <f>IFERROR(__xludf.DUMMYFUNCTION("""COMPUTED_VALUE"""),FALSE)</f>
        <v>0</v>
      </c>
      <c r="O154" s="23">
        <f>IFERROR(__xludf.DUMMYFUNCTION("""COMPUTED_VALUE"""),47.9138048317887)</f>
        <v>47.91380483</v>
      </c>
      <c r="P154" s="23">
        <f>IFERROR(__xludf.DUMMYFUNCTION("""COMPUTED_VALUE"""),907917.0)</f>
        <v>907917</v>
      </c>
      <c r="Q154" s="23">
        <f>IFERROR(__xludf.DUMMYFUNCTION("""COMPUTED_VALUE"""),1894898.0)</f>
        <v>1894898</v>
      </c>
    </row>
    <row r="155">
      <c r="A155" s="23">
        <f>IFERROR(__xludf.DUMMYFUNCTION("""COMPUTED_VALUE"""),154.0)</f>
        <v>154</v>
      </c>
      <c r="B155" s="23" t="str">
        <f>IFERROR(__xludf.DUMMYFUNCTION("""COMPUTED_VALUE"""),"Find Minimum in Rotated Sorted Array II")</f>
        <v>Find Minimum in Rotated Sorted Array II</v>
      </c>
      <c r="C155" s="23" t="str">
        <f>IFERROR(__xludf.DUMMYFUNCTION("""COMPUTED_VALUE"""),"find-minimum-in-rotated-sorted-array-ii")</f>
        <v>find-minimum-in-rotated-sorted-array-ii</v>
      </c>
      <c r="D155" s="23" t="b">
        <f>IFERROR(__xludf.DUMMYFUNCTION("""COMPUTED_VALUE"""),FALSE)</f>
        <v>0</v>
      </c>
      <c r="E155" s="23" t="str">
        <f>IFERROR(__xludf.DUMMYFUNCTION("""COMPUTED_VALUE"""),"Hard")</f>
        <v>Hard</v>
      </c>
      <c r="F155" s="23">
        <f>IFERROR(__xludf.DUMMYFUNCTION("""COMPUTED_VALUE"""),2859.0)</f>
        <v>2859</v>
      </c>
      <c r="G155" s="23">
        <f>IFERROR(__xludf.DUMMYFUNCTION("""COMPUTED_VALUE"""),370.0)</f>
        <v>370</v>
      </c>
      <c r="H155" s="23" t="str">
        <f>IFERROR(__xludf.DUMMYFUNCTION("""COMPUTED_VALUE"""),"Algorithms")</f>
        <v>Algorithms</v>
      </c>
      <c r="I155" s="23">
        <f>IFERROR(__xludf.DUMMYFUNCTION("""COMPUTED_VALUE"""),0.433)</f>
        <v>0.433</v>
      </c>
      <c r="J155" s="23">
        <f>IFERROR(__xludf.DUMMYFUNCTION("""COMPUTED_VALUE"""),154.0)</f>
        <v>154</v>
      </c>
      <c r="K155" s="23" t="b">
        <f>IFERROR(__xludf.DUMMYFUNCTION("""COMPUTED_VALUE"""),FALSE)</f>
        <v>0</v>
      </c>
      <c r="L155" s="23" t="str">
        <f>IFERROR(__xludf.DUMMYFUNCTION("""COMPUTED_VALUE"""),"Array;Binary Search;")</f>
        <v>Array;Binary Search;</v>
      </c>
      <c r="M155" s="23" t="b">
        <f>IFERROR(__xludf.DUMMYFUNCTION("""COMPUTED_VALUE"""),TRUE)</f>
        <v>1</v>
      </c>
      <c r="N155" s="23" t="b">
        <f>IFERROR(__xludf.DUMMYFUNCTION("""COMPUTED_VALUE"""),FALSE)</f>
        <v>0</v>
      </c>
      <c r="O155" s="23">
        <f>IFERROR(__xludf.DUMMYFUNCTION("""COMPUTED_VALUE"""),43.2689727897058)</f>
        <v>43.26897279</v>
      </c>
      <c r="P155" s="23">
        <f>IFERROR(__xludf.DUMMYFUNCTION("""COMPUTED_VALUE"""),324155.0)</f>
        <v>324155</v>
      </c>
      <c r="Q155" s="23">
        <f>IFERROR(__xludf.DUMMYFUNCTION("""COMPUTED_VALUE"""),749163.0)</f>
        <v>749163</v>
      </c>
    </row>
    <row r="156">
      <c r="A156" s="23">
        <f>IFERROR(__xludf.DUMMYFUNCTION("""COMPUTED_VALUE"""),155.0)</f>
        <v>155</v>
      </c>
      <c r="B156" s="23" t="str">
        <f>IFERROR(__xludf.DUMMYFUNCTION("""COMPUTED_VALUE"""),"Min Stack")</f>
        <v>Min Stack</v>
      </c>
      <c r="C156" s="23" t="str">
        <f>IFERROR(__xludf.DUMMYFUNCTION("""COMPUTED_VALUE"""),"min-stack")</f>
        <v>min-stack</v>
      </c>
      <c r="D156" s="23" t="b">
        <f>IFERROR(__xludf.DUMMYFUNCTION("""COMPUTED_VALUE"""),FALSE)</f>
        <v>0</v>
      </c>
      <c r="E156" s="23" t="str">
        <f>IFERROR(__xludf.DUMMYFUNCTION("""COMPUTED_VALUE"""),"Easy")</f>
        <v>Easy</v>
      </c>
      <c r="F156" s="23">
        <f>IFERROR(__xludf.DUMMYFUNCTION("""COMPUTED_VALUE"""),7894.0)</f>
        <v>7894</v>
      </c>
      <c r="G156" s="23">
        <f>IFERROR(__xludf.DUMMYFUNCTION("""COMPUTED_VALUE"""),613.0)</f>
        <v>613</v>
      </c>
      <c r="H156" s="23" t="str">
        <f>IFERROR(__xludf.DUMMYFUNCTION("""COMPUTED_VALUE"""),"Algorithms")</f>
        <v>Algorithms</v>
      </c>
      <c r="I156" s="23">
        <f>IFERROR(__xludf.DUMMYFUNCTION("""COMPUTED_VALUE"""),0.502)</f>
        <v>0.502</v>
      </c>
      <c r="J156" s="23">
        <f>IFERROR(__xludf.DUMMYFUNCTION("""COMPUTED_VALUE"""),155.0)</f>
        <v>155</v>
      </c>
      <c r="K156" s="23" t="b">
        <f>IFERROR(__xludf.DUMMYFUNCTION("""COMPUTED_VALUE"""),FALSE)</f>
        <v>0</v>
      </c>
      <c r="L156" s="23" t="str">
        <f>IFERROR(__xludf.DUMMYFUNCTION("""COMPUTED_VALUE"""),"Stack;Design;")</f>
        <v>Stack;Design;</v>
      </c>
      <c r="M156" s="23" t="b">
        <f>IFERROR(__xludf.DUMMYFUNCTION("""COMPUTED_VALUE"""),TRUE)</f>
        <v>1</v>
      </c>
      <c r="N156" s="23" t="b">
        <f>IFERROR(__xludf.DUMMYFUNCTION("""COMPUTED_VALUE"""),FALSE)</f>
        <v>0</v>
      </c>
      <c r="O156" s="23">
        <f>IFERROR(__xludf.DUMMYFUNCTION("""COMPUTED_VALUE"""),50.170591796083)</f>
        <v>50.1705918</v>
      </c>
      <c r="P156" s="23">
        <f>IFERROR(__xludf.DUMMYFUNCTION("""COMPUTED_VALUE"""),963901.0)</f>
        <v>963901</v>
      </c>
      <c r="Q156" s="23">
        <f>IFERROR(__xludf.DUMMYFUNCTION("""COMPUTED_VALUE"""),1921249.0)</f>
        <v>1921249</v>
      </c>
    </row>
    <row r="157">
      <c r="A157" s="23">
        <f>IFERROR(__xludf.DUMMYFUNCTION("""COMPUTED_VALUE"""),156.0)</f>
        <v>156</v>
      </c>
      <c r="B157" s="23" t="str">
        <f>IFERROR(__xludf.DUMMYFUNCTION("""COMPUTED_VALUE"""),"Binary Tree Upside Down")</f>
        <v>Binary Tree Upside Down</v>
      </c>
      <c r="C157" s="23" t="str">
        <f>IFERROR(__xludf.DUMMYFUNCTION("""COMPUTED_VALUE"""),"binary-tree-upside-down")</f>
        <v>binary-tree-upside-down</v>
      </c>
      <c r="D157" s="23" t="b">
        <f>IFERROR(__xludf.DUMMYFUNCTION("""COMPUTED_VALUE"""),TRUE)</f>
        <v>1</v>
      </c>
      <c r="E157" s="23" t="str">
        <f>IFERROR(__xludf.DUMMYFUNCTION("""COMPUTED_VALUE"""),"Medium")</f>
        <v>Medium</v>
      </c>
      <c r="F157" s="23">
        <f>IFERROR(__xludf.DUMMYFUNCTION("""COMPUTED_VALUE"""),124.0)</f>
        <v>124</v>
      </c>
      <c r="G157" s="23">
        <f>IFERROR(__xludf.DUMMYFUNCTION("""COMPUTED_VALUE"""),219.0)</f>
        <v>219</v>
      </c>
      <c r="H157" s="23" t="str">
        <f>IFERROR(__xludf.DUMMYFUNCTION("""COMPUTED_VALUE"""),"Algorithms")</f>
        <v>Algorithms</v>
      </c>
      <c r="I157" s="23">
        <f>IFERROR(__xludf.DUMMYFUNCTION("""COMPUTED_VALUE"""),0.603)</f>
        <v>0.603</v>
      </c>
      <c r="J157" s="23">
        <f>IFERROR(__xludf.DUMMYFUNCTION("""COMPUTED_VALUE"""),156.0)</f>
        <v>156</v>
      </c>
      <c r="K157" s="23" t="b">
        <f>IFERROR(__xludf.DUMMYFUNCTION("""COMPUTED_VALUE"""),TRUE)</f>
        <v>1</v>
      </c>
      <c r="L157" s="23" t="str">
        <f>IFERROR(__xludf.DUMMYFUNCTION("""COMPUTED_VALUE"""),"Tree;Depth-First Search;Binary Tree;")</f>
        <v>Tree;Depth-First Search;Binary Tree;</v>
      </c>
      <c r="M157" s="23" t="b">
        <f>IFERROR(__xludf.DUMMYFUNCTION("""COMPUTED_VALUE"""),FALSE)</f>
        <v>0</v>
      </c>
      <c r="N157" s="23" t="b">
        <f>IFERROR(__xludf.DUMMYFUNCTION("""COMPUTED_VALUE"""),FALSE)</f>
        <v>0</v>
      </c>
      <c r="O157" s="23">
        <f>IFERROR(__xludf.DUMMYFUNCTION("""COMPUTED_VALUE"""),60.3397753436126)</f>
        <v>60.33977534</v>
      </c>
      <c r="P157" s="23">
        <f>IFERROR(__xludf.DUMMYFUNCTION("""COMPUTED_VALUE"""),86485.0)</f>
        <v>86485</v>
      </c>
      <c r="Q157" s="23">
        <f>IFERROR(__xludf.DUMMYFUNCTION("""COMPUTED_VALUE"""),143330.0)</f>
        <v>143330</v>
      </c>
    </row>
    <row r="158">
      <c r="A158" s="23">
        <f>IFERROR(__xludf.DUMMYFUNCTION("""COMPUTED_VALUE"""),157.0)</f>
        <v>157</v>
      </c>
      <c r="B158" s="23" t="str">
        <f>IFERROR(__xludf.DUMMYFUNCTION("""COMPUTED_VALUE"""),"Read N Characters Given Read4")</f>
        <v>Read N Characters Given Read4</v>
      </c>
      <c r="C158" s="23" t="str">
        <f>IFERROR(__xludf.DUMMYFUNCTION("""COMPUTED_VALUE"""),"read-n-characters-given-read4")</f>
        <v>read-n-characters-given-read4</v>
      </c>
      <c r="D158" s="23" t="b">
        <f>IFERROR(__xludf.DUMMYFUNCTION("""COMPUTED_VALUE"""),TRUE)</f>
        <v>1</v>
      </c>
      <c r="E158" s="23" t="str">
        <f>IFERROR(__xludf.DUMMYFUNCTION("""COMPUTED_VALUE"""),"Easy")</f>
        <v>Easy</v>
      </c>
      <c r="F158" s="23">
        <f>IFERROR(__xludf.DUMMYFUNCTION("""COMPUTED_VALUE"""),495.0)</f>
        <v>495</v>
      </c>
      <c r="G158" s="23">
        <f>IFERROR(__xludf.DUMMYFUNCTION("""COMPUTED_VALUE"""),2978.0)</f>
        <v>2978</v>
      </c>
      <c r="H158" s="23" t="str">
        <f>IFERROR(__xludf.DUMMYFUNCTION("""COMPUTED_VALUE"""),"Algorithms")</f>
        <v>Algorithms</v>
      </c>
      <c r="I158" s="23">
        <f>IFERROR(__xludf.DUMMYFUNCTION("""COMPUTED_VALUE"""),0.403)</f>
        <v>0.403</v>
      </c>
      <c r="J158" s="23">
        <f>IFERROR(__xludf.DUMMYFUNCTION("""COMPUTED_VALUE"""),157.0)</f>
        <v>157</v>
      </c>
      <c r="K158" s="23" t="b">
        <f>IFERROR(__xludf.DUMMYFUNCTION("""COMPUTED_VALUE"""),TRUE)</f>
        <v>1</v>
      </c>
      <c r="L158" s="23" t="str">
        <f>IFERROR(__xludf.DUMMYFUNCTION("""COMPUTED_VALUE"""),"String;Simulation;Interactive;")</f>
        <v>String;Simulation;Interactive;</v>
      </c>
      <c r="M158" s="23" t="b">
        <f>IFERROR(__xludf.DUMMYFUNCTION("""COMPUTED_VALUE"""),TRUE)</f>
        <v>1</v>
      </c>
      <c r="N158" s="23" t="b">
        <f>IFERROR(__xludf.DUMMYFUNCTION("""COMPUTED_VALUE"""),FALSE)</f>
        <v>0</v>
      </c>
      <c r="O158" s="23">
        <f>IFERROR(__xludf.DUMMYFUNCTION("""COMPUTED_VALUE"""),40.3182415482021)</f>
        <v>40.31824155</v>
      </c>
      <c r="P158" s="23">
        <f>IFERROR(__xludf.DUMMYFUNCTION("""COMPUTED_VALUE"""),168752.0)</f>
        <v>168752</v>
      </c>
      <c r="Q158" s="23">
        <f>IFERROR(__xludf.DUMMYFUNCTION("""COMPUTED_VALUE"""),418550.0)</f>
        <v>418550</v>
      </c>
    </row>
    <row r="159">
      <c r="A159" s="23">
        <f>IFERROR(__xludf.DUMMYFUNCTION("""COMPUTED_VALUE"""),158.0)</f>
        <v>158</v>
      </c>
      <c r="B159" s="23" t="str">
        <f>IFERROR(__xludf.DUMMYFUNCTION("""COMPUTED_VALUE"""),"Read N Characters Given read4 II - Call Multiple Times")</f>
        <v>Read N Characters Given read4 II - Call Multiple Times</v>
      </c>
      <c r="C159" s="23" t="str">
        <f>IFERROR(__xludf.DUMMYFUNCTION("""COMPUTED_VALUE"""),"read-n-characters-given-read4-ii-call-multiple-times")</f>
        <v>read-n-characters-given-read4-ii-call-multiple-times</v>
      </c>
      <c r="D159" s="23" t="b">
        <f>IFERROR(__xludf.DUMMYFUNCTION("""COMPUTED_VALUE"""),TRUE)</f>
        <v>1</v>
      </c>
      <c r="E159" s="23" t="str">
        <f>IFERROR(__xludf.DUMMYFUNCTION("""COMPUTED_VALUE"""),"Hard")</f>
        <v>Hard</v>
      </c>
      <c r="F159" s="23">
        <f>IFERROR(__xludf.DUMMYFUNCTION("""COMPUTED_VALUE"""),801.0)</f>
        <v>801</v>
      </c>
      <c r="G159" s="23">
        <f>IFERROR(__xludf.DUMMYFUNCTION("""COMPUTED_VALUE"""),1657.0)</f>
        <v>1657</v>
      </c>
      <c r="H159" s="23" t="str">
        <f>IFERROR(__xludf.DUMMYFUNCTION("""COMPUTED_VALUE"""),"Algorithms")</f>
        <v>Algorithms</v>
      </c>
      <c r="I159" s="23">
        <f>IFERROR(__xludf.DUMMYFUNCTION("""COMPUTED_VALUE"""),0.409)</f>
        <v>0.409</v>
      </c>
      <c r="J159" s="23">
        <f>IFERROR(__xludf.DUMMYFUNCTION("""COMPUTED_VALUE"""),158.0)</f>
        <v>158</v>
      </c>
      <c r="K159" s="23" t="b">
        <f>IFERROR(__xludf.DUMMYFUNCTION("""COMPUTED_VALUE"""),TRUE)</f>
        <v>1</v>
      </c>
      <c r="L159" s="23" t="str">
        <f>IFERROR(__xludf.DUMMYFUNCTION("""COMPUTED_VALUE"""),"String;Simulation;Interactive;")</f>
        <v>String;Simulation;Interactive;</v>
      </c>
      <c r="M159" s="23" t="b">
        <f>IFERROR(__xludf.DUMMYFUNCTION("""COMPUTED_VALUE"""),FALSE)</f>
        <v>0</v>
      </c>
      <c r="N159" s="23" t="b">
        <f>IFERROR(__xludf.DUMMYFUNCTION("""COMPUTED_VALUE"""),FALSE)</f>
        <v>0</v>
      </c>
      <c r="O159" s="23">
        <f>IFERROR(__xludf.DUMMYFUNCTION("""COMPUTED_VALUE"""),40.8521111273101)</f>
        <v>40.85211113</v>
      </c>
      <c r="P159" s="23">
        <f>IFERROR(__xludf.DUMMYFUNCTION("""COMPUTED_VALUE"""),165324.0)</f>
        <v>165324</v>
      </c>
      <c r="Q159" s="23">
        <f>IFERROR(__xludf.DUMMYFUNCTION("""COMPUTED_VALUE"""),404689.0)</f>
        <v>404689</v>
      </c>
    </row>
    <row r="160">
      <c r="A160" s="23">
        <f>IFERROR(__xludf.DUMMYFUNCTION("""COMPUTED_VALUE"""),159.0)</f>
        <v>159</v>
      </c>
      <c r="B160" s="23" t="str">
        <f>IFERROR(__xludf.DUMMYFUNCTION("""COMPUTED_VALUE"""),"Longest Substring with At Most Two Distinct Characters")</f>
        <v>Longest Substring with At Most Two Distinct Characters</v>
      </c>
      <c r="C160" s="23" t="str">
        <f>IFERROR(__xludf.DUMMYFUNCTION("""COMPUTED_VALUE"""),"longest-substring-with-at-most-two-distinct-characters")</f>
        <v>longest-substring-with-at-most-two-distinct-characters</v>
      </c>
      <c r="D160" s="23" t="b">
        <f>IFERROR(__xludf.DUMMYFUNCTION("""COMPUTED_VALUE"""),TRUE)</f>
        <v>1</v>
      </c>
      <c r="E160" s="23" t="str">
        <f>IFERROR(__xludf.DUMMYFUNCTION("""COMPUTED_VALUE"""),"Medium")</f>
        <v>Medium</v>
      </c>
      <c r="F160" s="23">
        <f>IFERROR(__xludf.DUMMYFUNCTION("""COMPUTED_VALUE"""),1690.0)</f>
        <v>1690</v>
      </c>
      <c r="G160" s="23">
        <f>IFERROR(__xludf.DUMMYFUNCTION("""COMPUTED_VALUE"""),25.0)</f>
        <v>25</v>
      </c>
      <c r="H160" s="23" t="str">
        <f>IFERROR(__xludf.DUMMYFUNCTION("""COMPUTED_VALUE"""),"Algorithms")</f>
        <v>Algorithms</v>
      </c>
      <c r="I160" s="23">
        <f>IFERROR(__xludf.DUMMYFUNCTION("""COMPUTED_VALUE"""),0.527)</f>
        <v>0.527</v>
      </c>
      <c r="J160" s="23">
        <f>IFERROR(__xludf.DUMMYFUNCTION("""COMPUTED_VALUE"""),159.0)</f>
        <v>159</v>
      </c>
      <c r="K160" s="23" t="b">
        <f>IFERROR(__xludf.DUMMYFUNCTION("""COMPUTED_VALUE"""),TRUE)</f>
        <v>1</v>
      </c>
      <c r="L160" s="23" t="str">
        <f>IFERROR(__xludf.DUMMYFUNCTION("""COMPUTED_VALUE"""),"Hash Table;String;Sliding Window;")</f>
        <v>Hash Table;String;Sliding Window;</v>
      </c>
      <c r="M160" s="23" t="b">
        <f>IFERROR(__xludf.DUMMYFUNCTION("""COMPUTED_VALUE"""),TRUE)</f>
        <v>1</v>
      </c>
      <c r="N160" s="23" t="b">
        <f>IFERROR(__xludf.DUMMYFUNCTION("""COMPUTED_VALUE"""),TRUE)</f>
        <v>1</v>
      </c>
      <c r="O160" s="23">
        <f>IFERROR(__xludf.DUMMYFUNCTION("""COMPUTED_VALUE"""),52.663779625607)</f>
        <v>52.66377963</v>
      </c>
      <c r="P160" s="23">
        <f>IFERROR(__xludf.DUMMYFUNCTION("""COMPUTED_VALUE"""),190319.0)</f>
        <v>190319</v>
      </c>
      <c r="Q160" s="23">
        <f>IFERROR(__xludf.DUMMYFUNCTION("""COMPUTED_VALUE"""),361385.0)</f>
        <v>361385</v>
      </c>
    </row>
    <row r="161">
      <c r="A161" s="23">
        <f>IFERROR(__xludf.DUMMYFUNCTION("""COMPUTED_VALUE"""),160.0)</f>
        <v>160</v>
      </c>
      <c r="B161" s="23" t="str">
        <f>IFERROR(__xludf.DUMMYFUNCTION("""COMPUTED_VALUE"""),"Intersection of Two Linked Lists")</f>
        <v>Intersection of Two Linked Lists</v>
      </c>
      <c r="C161" s="23" t="str">
        <f>IFERROR(__xludf.DUMMYFUNCTION("""COMPUTED_VALUE"""),"intersection-of-two-linked-lists")</f>
        <v>intersection-of-two-linked-lists</v>
      </c>
      <c r="D161" s="23" t="b">
        <f>IFERROR(__xludf.DUMMYFUNCTION("""COMPUTED_VALUE"""),FALSE)</f>
        <v>0</v>
      </c>
      <c r="E161" s="23" t="str">
        <f>IFERROR(__xludf.DUMMYFUNCTION("""COMPUTED_VALUE"""),"Easy")</f>
        <v>Easy</v>
      </c>
      <c r="F161" s="23">
        <f>IFERROR(__xludf.DUMMYFUNCTION("""COMPUTED_VALUE"""),8632.0)</f>
        <v>8632</v>
      </c>
      <c r="G161" s="23">
        <f>IFERROR(__xludf.DUMMYFUNCTION("""COMPUTED_VALUE"""),865.0)</f>
        <v>865</v>
      </c>
      <c r="H161" s="23" t="str">
        <f>IFERROR(__xludf.DUMMYFUNCTION("""COMPUTED_VALUE"""),"Algorithms")</f>
        <v>Algorithms</v>
      </c>
      <c r="I161" s="23">
        <f>IFERROR(__xludf.DUMMYFUNCTION("""COMPUTED_VALUE"""),0.499)</f>
        <v>0.499</v>
      </c>
      <c r="J161" s="23">
        <f>IFERROR(__xludf.DUMMYFUNCTION("""COMPUTED_VALUE"""),160.0)</f>
        <v>160</v>
      </c>
      <c r="K161" s="23" t="b">
        <f>IFERROR(__xludf.DUMMYFUNCTION("""COMPUTED_VALUE"""),FALSE)</f>
        <v>0</v>
      </c>
      <c r="L161" s="23" t="str">
        <f>IFERROR(__xludf.DUMMYFUNCTION("""COMPUTED_VALUE"""),"Hash Table;Linked List;Two Pointers;")</f>
        <v>Hash Table;Linked List;Two Pointers;</v>
      </c>
      <c r="M161" s="23" t="b">
        <f>IFERROR(__xludf.DUMMYFUNCTION("""COMPUTED_VALUE"""),TRUE)</f>
        <v>1</v>
      </c>
      <c r="N161" s="23" t="b">
        <f>IFERROR(__xludf.DUMMYFUNCTION("""COMPUTED_VALUE"""),TRUE)</f>
        <v>1</v>
      </c>
      <c r="O161" s="23">
        <f>IFERROR(__xludf.DUMMYFUNCTION("""COMPUTED_VALUE"""),49.8651449644291)</f>
        <v>49.86514496</v>
      </c>
      <c r="P161" s="23">
        <f>IFERROR(__xludf.DUMMYFUNCTION("""COMPUTED_VALUE"""),921646.0)</f>
        <v>921646</v>
      </c>
      <c r="Q161" s="23">
        <f>IFERROR(__xludf.DUMMYFUNCTION("""COMPUTED_VALUE"""),1848279.0)</f>
        <v>1848279</v>
      </c>
    </row>
    <row r="162">
      <c r="A162" s="23">
        <f>IFERROR(__xludf.DUMMYFUNCTION("""COMPUTED_VALUE"""),161.0)</f>
        <v>161</v>
      </c>
      <c r="B162" s="23" t="str">
        <f>IFERROR(__xludf.DUMMYFUNCTION("""COMPUTED_VALUE"""),"One Edit Distance")</f>
        <v>One Edit Distance</v>
      </c>
      <c r="C162" s="23" t="str">
        <f>IFERROR(__xludf.DUMMYFUNCTION("""COMPUTED_VALUE"""),"one-edit-distance")</f>
        <v>one-edit-distance</v>
      </c>
      <c r="D162" s="23" t="b">
        <f>IFERROR(__xludf.DUMMYFUNCTION("""COMPUTED_VALUE"""),TRUE)</f>
        <v>1</v>
      </c>
      <c r="E162" s="23" t="str">
        <f>IFERROR(__xludf.DUMMYFUNCTION("""COMPUTED_VALUE"""),"Medium")</f>
        <v>Medium</v>
      </c>
      <c r="F162" s="23">
        <f>IFERROR(__xludf.DUMMYFUNCTION("""COMPUTED_VALUE"""),1120.0)</f>
        <v>1120</v>
      </c>
      <c r="G162" s="23">
        <f>IFERROR(__xludf.DUMMYFUNCTION("""COMPUTED_VALUE"""),165.0)</f>
        <v>165</v>
      </c>
      <c r="H162" s="23" t="str">
        <f>IFERROR(__xludf.DUMMYFUNCTION("""COMPUTED_VALUE"""),"Algorithms")</f>
        <v>Algorithms</v>
      </c>
      <c r="I162" s="23">
        <f>IFERROR(__xludf.DUMMYFUNCTION("""COMPUTED_VALUE"""),0.339)</f>
        <v>0.339</v>
      </c>
      <c r="J162" s="23">
        <f>IFERROR(__xludf.DUMMYFUNCTION("""COMPUTED_VALUE"""),161.0)</f>
        <v>161</v>
      </c>
      <c r="K162" s="23" t="b">
        <f>IFERROR(__xludf.DUMMYFUNCTION("""COMPUTED_VALUE"""),TRUE)</f>
        <v>1</v>
      </c>
      <c r="L162" s="23" t="str">
        <f>IFERROR(__xludf.DUMMYFUNCTION("""COMPUTED_VALUE"""),"Two Pointers;String;")</f>
        <v>Two Pointers;String;</v>
      </c>
      <c r="M162" s="23" t="b">
        <f>IFERROR(__xludf.DUMMYFUNCTION("""COMPUTED_VALUE"""),TRUE)</f>
        <v>1</v>
      </c>
      <c r="N162" s="23" t="b">
        <f>IFERROR(__xludf.DUMMYFUNCTION("""COMPUTED_VALUE"""),FALSE)</f>
        <v>0</v>
      </c>
      <c r="O162" s="23">
        <f>IFERROR(__xludf.DUMMYFUNCTION("""COMPUTED_VALUE"""),33.929797974828)</f>
        <v>33.92979797</v>
      </c>
      <c r="P162" s="23">
        <f>IFERROR(__xludf.DUMMYFUNCTION("""COMPUTED_VALUE"""),172399.0)</f>
        <v>172399</v>
      </c>
      <c r="Q162" s="23">
        <f>IFERROR(__xludf.DUMMYFUNCTION("""COMPUTED_VALUE"""),508105.0)</f>
        <v>508105</v>
      </c>
    </row>
    <row r="163">
      <c r="A163" s="23">
        <f>IFERROR(__xludf.DUMMYFUNCTION("""COMPUTED_VALUE"""),162.0)</f>
        <v>162</v>
      </c>
      <c r="B163" s="23" t="str">
        <f>IFERROR(__xludf.DUMMYFUNCTION("""COMPUTED_VALUE"""),"Find Peak Element")</f>
        <v>Find Peak Element</v>
      </c>
      <c r="C163" s="23" t="str">
        <f>IFERROR(__xludf.DUMMYFUNCTION("""COMPUTED_VALUE"""),"find-peak-element")</f>
        <v>find-peak-element</v>
      </c>
      <c r="D163" s="23" t="b">
        <f>IFERROR(__xludf.DUMMYFUNCTION("""COMPUTED_VALUE"""),FALSE)</f>
        <v>0</v>
      </c>
      <c r="E163" s="23" t="str">
        <f>IFERROR(__xludf.DUMMYFUNCTION("""COMPUTED_VALUE"""),"Medium")</f>
        <v>Medium</v>
      </c>
      <c r="F163" s="23">
        <f>IFERROR(__xludf.DUMMYFUNCTION("""COMPUTED_VALUE"""),5903.0)</f>
        <v>5903</v>
      </c>
      <c r="G163" s="23">
        <f>IFERROR(__xludf.DUMMYFUNCTION("""COMPUTED_VALUE"""),3691.0)</f>
        <v>3691</v>
      </c>
      <c r="H163" s="23" t="str">
        <f>IFERROR(__xludf.DUMMYFUNCTION("""COMPUTED_VALUE"""),"Algorithms")</f>
        <v>Algorithms</v>
      </c>
      <c r="I163" s="23">
        <f>IFERROR(__xludf.DUMMYFUNCTION("""COMPUTED_VALUE"""),0.459)</f>
        <v>0.459</v>
      </c>
      <c r="J163" s="23">
        <f>IFERROR(__xludf.DUMMYFUNCTION("""COMPUTED_VALUE"""),162.0)</f>
        <v>162</v>
      </c>
      <c r="K163" s="23" t="b">
        <f>IFERROR(__xludf.DUMMYFUNCTION("""COMPUTED_VALUE"""),FALSE)</f>
        <v>0</v>
      </c>
      <c r="L163" s="23" t="str">
        <f>IFERROR(__xludf.DUMMYFUNCTION("""COMPUTED_VALUE"""),"Array;Binary Search;")</f>
        <v>Array;Binary Search;</v>
      </c>
      <c r="M163" s="23" t="b">
        <f>IFERROR(__xludf.DUMMYFUNCTION("""COMPUTED_VALUE"""),TRUE)</f>
        <v>1</v>
      </c>
      <c r="N163" s="23" t="b">
        <f>IFERROR(__xludf.DUMMYFUNCTION("""COMPUTED_VALUE"""),FALSE)</f>
        <v>0</v>
      </c>
      <c r="O163" s="23">
        <f>IFERROR(__xludf.DUMMYFUNCTION("""COMPUTED_VALUE"""),45.9445739439588)</f>
        <v>45.94457394</v>
      </c>
      <c r="P163" s="23">
        <f>IFERROR(__xludf.DUMMYFUNCTION("""COMPUTED_VALUE"""),773824.0)</f>
        <v>773824</v>
      </c>
      <c r="Q163" s="23">
        <f>IFERROR(__xludf.DUMMYFUNCTION("""COMPUTED_VALUE"""),1684259.0)</f>
        <v>1684259</v>
      </c>
    </row>
    <row r="164">
      <c r="A164" s="23">
        <f>IFERROR(__xludf.DUMMYFUNCTION("""COMPUTED_VALUE"""),163.0)</f>
        <v>163</v>
      </c>
      <c r="B164" s="23" t="str">
        <f>IFERROR(__xludf.DUMMYFUNCTION("""COMPUTED_VALUE"""),"Missing Ranges")</f>
        <v>Missing Ranges</v>
      </c>
      <c r="C164" s="23" t="str">
        <f>IFERROR(__xludf.DUMMYFUNCTION("""COMPUTED_VALUE"""),"missing-ranges")</f>
        <v>missing-ranges</v>
      </c>
      <c r="D164" s="23" t="b">
        <f>IFERROR(__xludf.DUMMYFUNCTION("""COMPUTED_VALUE"""),TRUE)</f>
        <v>1</v>
      </c>
      <c r="E164" s="23" t="str">
        <f>IFERROR(__xludf.DUMMYFUNCTION("""COMPUTED_VALUE"""),"Easy")</f>
        <v>Easy</v>
      </c>
      <c r="F164" s="23">
        <f>IFERROR(__xludf.DUMMYFUNCTION("""COMPUTED_VALUE"""),767.0)</f>
        <v>767</v>
      </c>
      <c r="G164" s="23">
        <f>IFERROR(__xludf.DUMMYFUNCTION("""COMPUTED_VALUE"""),2511.0)</f>
        <v>2511</v>
      </c>
      <c r="H164" s="23" t="str">
        <f>IFERROR(__xludf.DUMMYFUNCTION("""COMPUTED_VALUE"""),"Algorithms")</f>
        <v>Algorithms</v>
      </c>
      <c r="I164" s="23">
        <f>IFERROR(__xludf.DUMMYFUNCTION("""COMPUTED_VALUE"""),0.312)</f>
        <v>0.312</v>
      </c>
      <c r="J164" s="23">
        <f>IFERROR(__xludf.DUMMYFUNCTION("""COMPUTED_VALUE"""),163.0)</f>
        <v>163</v>
      </c>
      <c r="K164" s="23" t="b">
        <f>IFERROR(__xludf.DUMMYFUNCTION("""COMPUTED_VALUE"""),TRUE)</f>
        <v>1</v>
      </c>
      <c r="L164" s="23" t="str">
        <f>IFERROR(__xludf.DUMMYFUNCTION("""COMPUTED_VALUE"""),"Array;")</f>
        <v>Array;</v>
      </c>
      <c r="M164" s="23" t="b">
        <f>IFERROR(__xludf.DUMMYFUNCTION("""COMPUTED_VALUE"""),TRUE)</f>
        <v>1</v>
      </c>
      <c r="N164" s="23" t="b">
        <f>IFERROR(__xludf.DUMMYFUNCTION("""COMPUTED_VALUE"""),TRUE)</f>
        <v>1</v>
      </c>
      <c r="O164" s="23">
        <f>IFERROR(__xludf.DUMMYFUNCTION("""COMPUTED_VALUE"""),31.2451287316937)</f>
        <v>31.24512873</v>
      </c>
      <c r="P164" s="23">
        <f>IFERROR(__xludf.DUMMYFUNCTION("""COMPUTED_VALUE"""),167971.0)</f>
        <v>167971</v>
      </c>
      <c r="Q164" s="23">
        <f>IFERROR(__xludf.DUMMYFUNCTION("""COMPUTED_VALUE"""),537591.0)</f>
        <v>537591</v>
      </c>
    </row>
    <row r="165">
      <c r="A165" s="23">
        <f>IFERROR(__xludf.DUMMYFUNCTION("""COMPUTED_VALUE"""),164.0)</f>
        <v>164</v>
      </c>
      <c r="B165" s="23" t="str">
        <f>IFERROR(__xludf.DUMMYFUNCTION("""COMPUTED_VALUE"""),"Maximum Gap")</f>
        <v>Maximum Gap</v>
      </c>
      <c r="C165" s="23" t="str">
        <f>IFERROR(__xludf.DUMMYFUNCTION("""COMPUTED_VALUE"""),"maximum-gap")</f>
        <v>maximum-gap</v>
      </c>
      <c r="D165" s="23" t="b">
        <f>IFERROR(__xludf.DUMMYFUNCTION("""COMPUTED_VALUE"""),FALSE)</f>
        <v>0</v>
      </c>
      <c r="E165" s="23" t="str">
        <f>IFERROR(__xludf.DUMMYFUNCTION("""COMPUTED_VALUE"""),"Hard")</f>
        <v>Hard</v>
      </c>
      <c r="F165" s="23">
        <f>IFERROR(__xludf.DUMMYFUNCTION("""COMPUTED_VALUE"""),2069.0)</f>
        <v>2069</v>
      </c>
      <c r="G165" s="23">
        <f>IFERROR(__xludf.DUMMYFUNCTION("""COMPUTED_VALUE"""),282.0)</f>
        <v>282</v>
      </c>
      <c r="H165" s="23" t="str">
        <f>IFERROR(__xludf.DUMMYFUNCTION("""COMPUTED_VALUE"""),"Algorithms")</f>
        <v>Algorithms</v>
      </c>
      <c r="I165" s="23">
        <f>IFERROR(__xludf.DUMMYFUNCTION("""COMPUTED_VALUE"""),0.414)</f>
        <v>0.414</v>
      </c>
      <c r="J165" s="23">
        <f>IFERROR(__xludf.DUMMYFUNCTION("""COMPUTED_VALUE"""),164.0)</f>
        <v>164</v>
      </c>
      <c r="K165" s="23" t="b">
        <f>IFERROR(__xludf.DUMMYFUNCTION("""COMPUTED_VALUE"""),FALSE)</f>
        <v>0</v>
      </c>
      <c r="L165" s="23" t="str">
        <f>IFERROR(__xludf.DUMMYFUNCTION("""COMPUTED_VALUE"""),"Array;Sorting;Bucket Sort;Radix Sort;")</f>
        <v>Array;Sorting;Bucket Sort;Radix Sort;</v>
      </c>
      <c r="M165" s="23" t="b">
        <f>IFERROR(__xludf.DUMMYFUNCTION("""COMPUTED_VALUE"""),TRUE)</f>
        <v>1</v>
      </c>
      <c r="N165" s="23" t="b">
        <f>IFERROR(__xludf.DUMMYFUNCTION("""COMPUTED_VALUE"""),FALSE)</f>
        <v>0</v>
      </c>
      <c r="O165" s="23">
        <f>IFERROR(__xludf.DUMMYFUNCTION("""COMPUTED_VALUE"""),41.3662023602822)</f>
        <v>41.36620236</v>
      </c>
      <c r="P165" s="23">
        <f>IFERROR(__xludf.DUMMYFUNCTION("""COMPUTED_VALUE"""),138420.0)</f>
        <v>138420</v>
      </c>
      <c r="Q165" s="23">
        <f>IFERROR(__xludf.DUMMYFUNCTION("""COMPUTED_VALUE"""),334621.0)</f>
        <v>334621</v>
      </c>
    </row>
    <row r="166">
      <c r="A166" s="23">
        <f>IFERROR(__xludf.DUMMYFUNCTION("""COMPUTED_VALUE"""),165.0)</f>
        <v>165</v>
      </c>
      <c r="B166" s="23" t="str">
        <f>IFERROR(__xludf.DUMMYFUNCTION("""COMPUTED_VALUE"""),"Compare Version Numbers")</f>
        <v>Compare Version Numbers</v>
      </c>
      <c r="C166" s="23" t="str">
        <f>IFERROR(__xludf.DUMMYFUNCTION("""COMPUTED_VALUE"""),"compare-version-numbers")</f>
        <v>compare-version-numbers</v>
      </c>
      <c r="D166" s="23" t="b">
        <f>IFERROR(__xludf.DUMMYFUNCTION("""COMPUTED_VALUE"""),FALSE)</f>
        <v>0</v>
      </c>
      <c r="E166" s="23" t="str">
        <f>IFERROR(__xludf.DUMMYFUNCTION("""COMPUTED_VALUE"""),"Medium")</f>
        <v>Medium</v>
      </c>
      <c r="F166" s="23">
        <f>IFERROR(__xludf.DUMMYFUNCTION("""COMPUTED_VALUE"""),1571.0)</f>
        <v>1571</v>
      </c>
      <c r="G166" s="23">
        <f>IFERROR(__xludf.DUMMYFUNCTION("""COMPUTED_VALUE"""),2240.0)</f>
        <v>2240</v>
      </c>
      <c r="H166" s="23" t="str">
        <f>IFERROR(__xludf.DUMMYFUNCTION("""COMPUTED_VALUE"""),"Algorithms")</f>
        <v>Algorithms</v>
      </c>
      <c r="I166" s="23">
        <f>IFERROR(__xludf.DUMMYFUNCTION("""COMPUTED_VALUE"""),0.345)</f>
        <v>0.345</v>
      </c>
      <c r="J166" s="23">
        <f>IFERROR(__xludf.DUMMYFUNCTION("""COMPUTED_VALUE"""),165.0)</f>
        <v>165</v>
      </c>
      <c r="K166" s="23" t="b">
        <f>IFERROR(__xludf.DUMMYFUNCTION("""COMPUTED_VALUE"""),FALSE)</f>
        <v>0</v>
      </c>
      <c r="L166" s="23" t="str">
        <f>IFERROR(__xludf.DUMMYFUNCTION("""COMPUTED_VALUE"""),"Two Pointers;String;")</f>
        <v>Two Pointers;String;</v>
      </c>
      <c r="M166" s="23" t="b">
        <f>IFERROR(__xludf.DUMMYFUNCTION("""COMPUTED_VALUE"""),TRUE)</f>
        <v>1</v>
      </c>
      <c r="N166" s="23" t="b">
        <f>IFERROR(__xludf.DUMMYFUNCTION("""COMPUTED_VALUE"""),FALSE)</f>
        <v>0</v>
      </c>
      <c r="O166" s="23">
        <f>IFERROR(__xludf.DUMMYFUNCTION("""COMPUTED_VALUE"""),34.5205551668806)</f>
        <v>34.52055517</v>
      </c>
      <c r="P166" s="23">
        <f>IFERROR(__xludf.DUMMYFUNCTION("""COMPUTED_VALUE"""),314310.0)</f>
        <v>314310</v>
      </c>
      <c r="Q166" s="23">
        <f>IFERROR(__xludf.DUMMYFUNCTION("""COMPUTED_VALUE"""),910501.0)</f>
        <v>910501</v>
      </c>
    </row>
    <row r="167">
      <c r="A167" s="23">
        <f>IFERROR(__xludf.DUMMYFUNCTION("""COMPUTED_VALUE"""),166.0)</f>
        <v>166</v>
      </c>
      <c r="B167" s="23" t="str">
        <f>IFERROR(__xludf.DUMMYFUNCTION("""COMPUTED_VALUE"""),"Fraction to Recurring Decimal")</f>
        <v>Fraction to Recurring Decimal</v>
      </c>
      <c r="C167" s="23" t="str">
        <f>IFERROR(__xludf.DUMMYFUNCTION("""COMPUTED_VALUE"""),"fraction-to-recurring-decimal")</f>
        <v>fraction-to-recurring-decimal</v>
      </c>
      <c r="D167" s="23" t="b">
        <f>IFERROR(__xludf.DUMMYFUNCTION("""COMPUTED_VALUE"""),FALSE)</f>
        <v>0</v>
      </c>
      <c r="E167" s="23" t="str">
        <f>IFERROR(__xludf.DUMMYFUNCTION("""COMPUTED_VALUE"""),"Medium")</f>
        <v>Medium</v>
      </c>
      <c r="F167" s="23">
        <f>IFERROR(__xludf.DUMMYFUNCTION("""COMPUTED_VALUE"""),1569.0)</f>
        <v>1569</v>
      </c>
      <c r="G167" s="23">
        <f>IFERROR(__xludf.DUMMYFUNCTION("""COMPUTED_VALUE"""),2936.0)</f>
        <v>2936</v>
      </c>
      <c r="H167" s="23" t="str">
        <f>IFERROR(__xludf.DUMMYFUNCTION("""COMPUTED_VALUE"""),"Algorithms")</f>
        <v>Algorithms</v>
      </c>
      <c r="I167" s="23">
        <f>IFERROR(__xludf.DUMMYFUNCTION("""COMPUTED_VALUE"""),0.236)</f>
        <v>0.236</v>
      </c>
      <c r="J167" s="23">
        <f>IFERROR(__xludf.DUMMYFUNCTION("""COMPUTED_VALUE"""),166.0)</f>
        <v>166</v>
      </c>
      <c r="K167" s="23" t="b">
        <f>IFERROR(__xludf.DUMMYFUNCTION("""COMPUTED_VALUE"""),FALSE)</f>
        <v>0</v>
      </c>
      <c r="L167" s="23" t="str">
        <f>IFERROR(__xludf.DUMMYFUNCTION("""COMPUTED_VALUE"""),"Hash Table;Math;String;")</f>
        <v>Hash Table;Math;String;</v>
      </c>
      <c r="M167" s="23" t="b">
        <f>IFERROR(__xludf.DUMMYFUNCTION("""COMPUTED_VALUE"""),TRUE)</f>
        <v>1</v>
      </c>
      <c r="N167" s="23" t="b">
        <f>IFERROR(__xludf.DUMMYFUNCTION("""COMPUTED_VALUE"""),FALSE)</f>
        <v>0</v>
      </c>
      <c r="O167" s="23">
        <f>IFERROR(__xludf.DUMMYFUNCTION("""COMPUTED_VALUE"""),23.5810076114534)</f>
        <v>23.58100761</v>
      </c>
      <c r="P167" s="23">
        <f>IFERROR(__xludf.DUMMYFUNCTION("""COMPUTED_VALUE"""),182168.0)</f>
        <v>182168</v>
      </c>
      <c r="Q167" s="23">
        <f>IFERROR(__xludf.DUMMYFUNCTION("""COMPUTED_VALUE"""),772518.0)</f>
        <v>772518</v>
      </c>
    </row>
    <row r="168">
      <c r="A168" s="23">
        <f>IFERROR(__xludf.DUMMYFUNCTION("""COMPUTED_VALUE"""),167.0)</f>
        <v>167</v>
      </c>
      <c r="B168" s="23" t="str">
        <f>IFERROR(__xludf.DUMMYFUNCTION("""COMPUTED_VALUE"""),"Two Sum II - Input Array Is Sorted")</f>
        <v>Two Sum II - Input Array Is Sorted</v>
      </c>
      <c r="C168" s="23" t="str">
        <f>IFERROR(__xludf.DUMMYFUNCTION("""COMPUTED_VALUE"""),"two-sum-ii-input-array-is-sorted")</f>
        <v>two-sum-ii-input-array-is-sorted</v>
      </c>
      <c r="D168" s="23" t="b">
        <f>IFERROR(__xludf.DUMMYFUNCTION("""COMPUTED_VALUE"""),FALSE)</f>
        <v>0</v>
      </c>
      <c r="E168" s="23" t="str">
        <f>IFERROR(__xludf.DUMMYFUNCTION("""COMPUTED_VALUE"""),"Medium")</f>
        <v>Medium</v>
      </c>
      <c r="F168" s="23">
        <f>IFERROR(__xludf.DUMMYFUNCTION("""COMPUTED_VALUE"""),5268.0)</f>
        <v>5268</v>
      </c>
      <c r="G168" s="23">
        <f>IFERROR(__xludf.DUMMYFUNCTION("""COMPUTED_VALUE"""),929.0)</f>
        <v>929</v>
      </c>
      <c r="H168" s="23" t="str">
        <f>IFERROR(__xludf.DUMMYFUNCTION("""COMPUTED_VALUE"""),"Algorithms")</f>
        <v>Algorithms</v>
      </c>
      <c r="I168" s="23">
        <f>IFERROR(__xludf.DUMMYFUNCTION("""COMPUTED_VALUE"""),0.587)</f>
        <v>0.587</v>
      </c>
      <c r="J168" s="23">
        <f>IFERROR(__xludf.DUMMYFUNCTION("""COMPUTED_VALUE"""),167.0)</f>
        <v>167</v>
      </c>
      <c r="K168" s="23" t="b">
        <f>IFERROR(__xludf.DUMMYFUNCTION("""COMPUTED_VALUE"""),FALSE)</f>
        <v>0</v>
      </c>
      <c r="L168" s="23" t="str">
        <f>IFERROR(__xludf.DUMMYFUNCTION("""COMPUTED_VALUE"""),"Array;Two Pointers;Binary Search;")</f>
        <v>Array;Two Pointers;Binary Search;</v>
      </c>
      <c r="M168" s="23" t="b">
        <f>IFERROR(__xludf.DUMMYFUNCTION("""COMPUTED_VALUE"""),TRUE)</f>
        <v>1</v>
      </c>
      <c r="N168" s="23" t="b">
        <f>IFERROR(__xludf.DUMMYFUNCTION("""COMPUTED_VALUE"""),FALSE)</f>
        <v>0</v>
      </c>
      <c r="O168" s="23">
        <f>IFERROR(__xludf.DUMMYFUNCTION("""COMPUTED_VALUE"""),58.7013292465984)</f>
        <v>58.70132925</v>
      </c>
      <c r="P168" s="23">
        <f>IFERROR(__xludf.DUMMYFUNCTION("""COMPUTED_VALUE"""),943414.0)</f>
        <v>943414</v>
      </c>
      <c r="Q168" s="23">
        <f>IFERROR(__xludf.DUMMYFUNCTION("""COMPUTED_VALUE"""),1607143.0)</f>
        <v>1607143</v>
      </c>
    </row>
    <row r="169">
      <c r="A169" s="23">
        <f>IFERROR(__xludf.DUMMYFUNCTION("""COMPUTED_VALUE"""),168.0)</f>
        <v>168</v>
      </c>
      <c r="B169" s="23" t="str">
        <f>IFERROR(__xludf.DUMMYFUNCTION("""COMPUTED_VALUE"""),"Excel Sheet Column Title")</f>
        <v>Excel Sheet Column Title</v>
      </c>
      <c r="C169" s="23" t="str">
        <f>IFERROR(__xludf.DUMMYFUNCTION("""COMPUTED_VALUE"""),"excel-sheet-column-title")</f>
        <v>excel-sheet-column-title</v>
      </c>
      <c r="D169" s="23" t="b">
        <f>IFERROR(__xludf.DUMMYFUNCTION("""COMPUTED_VALUE"""),FALSE)</f>
        <v>0</v>
      </c>
      <c r="E169" s="23" t="str">
        <f>IFERROR(__xludf.DUMMYFUNCTION("""COMPUTED_VALUE"""),"Easy")</f>
        <v>Easy</v>
      </c>
      <c r="F169" s="23">
        <f>IFERROR(__xludf.DUMMYFUNCTION("""COMPUTED_VALUE"""),2738.0)</f>
        <v>2738</v>
      </c>
      <c r="G169" s="23">
        <f>IFERROR(__xludf.DUMMYFUNCTION("""COMPUTED_VALUE"""),409.0)</f>
        <v>409</v>
      </c>
      <c r="H169" s="23" t="str">
        <f>IFERROR(__xludf.DUMMYFUNCTION("""COMPUTED_VALUE"""),"Algorithms")</f>
        <v>Algorithms</v>
      </c>
      <c r="I169" s="23">
        <f>IFERROR(__xludf.DUMMYFUNCTION("""COMPUTED_VALUE"""),0.339)</f>
        <v>0.339</v>
      </c>
      <c r="J169" s="23">
        <f>IFERROR(__xludf.DUMMYFUNCTION("""COMPUTED_VALUE"""),168.0)</f>
        <v>168</v>
      </c>
      <c r="K169" s="23" t="b">
        <f>IFERROR(__xludf.DUMMYFUNCTION("""COMPUTED_VALUE"""),FALSE)</f>
        <v>0</v>
      </c>
      <c r="L169" s="23" t="str">
        <f>IFERROR(__xludf.DUMMYFUNCTION("""COMPUTED_VALUE"""),"Math;String;")</f>
        <v>Math;String;</v>
      </c>
      <c r="M169" s="23" t="b">
        <f>IFERROR(__xludf.DUMMYFUNCTION("""COMPUTED_VALUE"""),FALSE)</f>
        <v>0</v>
      </c>
      <c r="N169" s="23" t="b">
        <f>IFERROR(__xludf.DUMMYFUNCTION("""COMPUTED_VALUE"""),FALSE)</f>
        <v>0</v>
      </c>
      <c r="O169" s="23">
        <f>IFERROR(__xludf.DUMMYFUNCTION("""COMPUTED_VALUE"""),33.888545874332)</f>
        <v>33.88854587</v>
      </c>
      <c r="P169" s="23">
        <f>IFERROR(__xludf.DUMMYFUNCTION("""COMPUTED_VALUE"""),311757.0)</f>
        <v>311757</v>
      </c>
      <c r="Q169" s="23">
        <f>IFERROR(__xludf.DUMMYFUNCTION("""COMPUTED_VALUE"""),919947.0)</f>
        <v>919947</v>
      </c>
    </row>
    <row r="170">
      <c r="A170" s="23">
        <f>IFERROR(__xludf.DUMMYFUNCTION("""COMPUTED_VALUE"""),169.0)</f>
        <v>169</v>
      </c>
      <c r="B170" s="23" t="str">
        <f>IFERROR(__xludf.DUMMYFUNCTION("""COMPUTED_VALUE"""),"Majority Element")</f>
        <v>Majority Element</v>
      </c>
      <c r="C170" s="23" t="str">
        <f>IFERROR(__xludf.DUMMYFUNCTION("""COMPUTED_VALUE"""),"majority-element")</f>
        <v>majority-element</v>
      </c>
      <c r="D170" s="23" t="b">
        <f>IFERROR(__xludf.DUMMYFUNCTION("""COMPUTED_VALUE"""),FALSE)</f>
        <v>0</v>
      </c>
      <c r="E170" s="23" t="str">
        <f>IFERROR(__xludf.DUMMYFUNCTION("""COMPUTED_VALUE"""),"Easy")</f>
        <v>Easy</v>
      </c>
      <c r="F170" s="23">
        <f>IFERROR(__xludf.DUMMYFUNCTION("""COMPUTED_VALUE"""),9449.0)</f>
        <v>9449</v>
      </c>
      <c r="G170" s="23">
        <f>IFERROR(__xludf.DUMMYFUNCTION("""COMPUTED_VALUE"""),335.0)</f>
        <v>335</v>
      </c>
      <c r="H170" s="23" t="str">
        <f>IFERROR(__xludf.DUMMYFUNCTION("""COMPUTED_VALUE"""),"Algorithms")</f>
        <v>Algorithms</v>
      </c>
      <c r="I170" s="23">
        <f>IFERROR(__xludf.DUMMYFUNCTION("""COMPUTED_VALUE"""),0.629)</f>
        <v>0.629</v>
      </c>
      <c r="J170" s="23">
        <f>IFERROR(__xludf.DUMMYFUNCTION("""COMPUTED_VALUE"""),169.0)</f>
        <v>169</v>
      </c>
      <c r="K170" s="23" t="b">
        <f>IFERROR(__xludf.DUMMYFUNCTION("""COMPUTED_VALUE"""),FALSE)</f>
        <v>0</v>
      </c>
      <c r="L170" s="23" t="str">
        <f>IFERROR(__xludf.DUMMYFUNCTION("""COMPUTED_VALUE"""),"Array;Hash Table;Divide and Conquer;Sorting;Counting;")</f>
        <v>Array;Hash Table;Divide and Conquer;Sorting;Counting;</v>
      </c>
      <c r="M170" s="23" t="b">
        <f>IFERROR(__xludf.DUMMYFUNCTION("""COMPUTED_VALUE"""),TRUE)</f>
        <v>1</v>
      </c>
      <c r="N170" s="23" t="b">
        <f>IFERROR(__xludf.DUMMYFUNCTION("""COMPUTED_VALUE"""),FALSE)</f>
        <v>0</v>
      </c>
      <c r="O170" s="23">
        <f>IFERROR(__xludf.DUMMYFUNCTION("""COMPUTED_VALUE"""),62.89586549295)</f>
        <v>62.89586549</v>
      </c>
      <c r="P170" s="23">
        <f>IFERROR(__xludf.DUMMYFUNCTION("""COMPUTED_VALUE"""),1209700.0)</f>
        <v>1209700</v>
      </c>
      <c r="Q170" s="23">
        <f>IFERROR(__xludf.DUMMYFUNCTION("""COMPUTED_VALUE"""),1923340.0)</f>
        <v>1923340</v>
      </c>
    </row>
    <row r="171">
      <c r="A171" s="23">
        <f>IFERROR(__xludf.DUMMYFUNCTION("""COMPUTED_VALUE"""),170.0)</f>
        <v>170</v>
      </c>
      <c r="B171" s="23" t="str">
        <f>IFERROR(__xludf.DUMMYFUNCTION("""COMPUTED_VALUE"""),"Two Sum III - Data structure design")</f>
        <v>Two Sum III - Data structure design</v>
      </c>
      <c r="C171" s="23" t="str">
        <f>IFERROR(__xludf.DUMMYFUNCTION("""COMPUTED_VALUE"""),"two-sum-iii-data-structure-design")</f>
        <v>two-sum-iii-data-structure-design</v>
      </c>
      <c r="D171" s="23" t="b">
        <f>IFERROR(__xludf.DUMMYFUNCTION("""COMPUTED_VALUE"""),TRUE)</f>
        <v>1</v>
      </c>
      <c r="E171" s="23" t="str">
        <f>IFERROR(__xludf.DUMMYFUNCTION("""COMPUTED_VALUE"""),"Easy")</f>
        <v>Easy</v>
      </c>
      <c r="F171" s="23">
        <f>IFERROR(__xludf.DUMMYFUNCTION("""COMPUTED_VALUE"""),535.0)</f>
        <v>535</v>
      </c>
      <c r="G171" s="23">
        <f>IFERROR(__xludf.DUMMYFUNCTION("""COMPUTED_VALUE"""),371.0)</f>
        <v>371</v>
      </c>
      <c r="H171" s="23" t="str">
        <f>IFERROR(__xludf.DUMMYFUNCTION("""COMPUTED_VALUE"""),"Algorithms")</f>
        <v>Algorithms</v>
      </c>
      <c r="I171" s="23">
        <f>IFERROR(__xludf.DUMMYFUNCTION("""COMPUTED_VALUE"""),0.367)</f>
        <v>0.367</v>
      </c>
      <c r="J171" s="23">
        <f>IFERROR(__xludf.DUMMYFUNCTION("""COMPUTED_VALUE"""),170.0)</f>
        <v>170</v>
      </c>
      <c r="K171" s="23" t="b">
        <f>IFERROR(__xludf.DUMMYFUNCTION("""COMPUTED_VALUE"""),TRUE)</f>
        <v>1</v>
      </c>
      <c r="L171" s="23" t="str">
        <f>IFERROR(__xludf.DUMMYFUNCTION("""COMPUTED_VALUE"""),"Array;Hash Table;Two Pointers;Design;Data Stream;")</f>
        <v>Array;Hash Table;Two Pointers;Design;Data Stream;</v>
      </c>
      <c r="M171" s="23" t="b">
        <f>IFERROR(__xludf.DUMMYFUNCTION("""COMPUTED_VALUE"""),TRUE)</f>
        <v>1</v>
      </c>
      <c r="N171" s="23" t="b">
        <f>IFERROR(__xludf.DUMMYFUNCTION("""COMPUTED_VALUE"""),FALSE)</f>
        <v>0</v>
      </c>
      <c r="O171" s="23">
        <f>IFERROR(__xludf.DUMMYFUNCTION("""COMPUTED_VALUE"""),36.7290229595316)</f>
        <v>36.72902296</v>
      </c>
      <c r="P171" s="23">
        <f>IFERROR(__xludf.DUMMYFUNCTION("""COMPUTED_VALUE"""),123851.0)</f>
        <v>123851</v>
      </c>
      <c r="Q171" s="23">
        <f>IFERROR(__xludf.DUMMYFUNCTION("""COMPUTED_VALUE"""),337202.0)</f>
        <v>337202</v>
      </c>
    </row>
    <row r="172">
      <c r="A172" s="23">
        <f>IFERROR(__xludf.DUMMYFUNCTION("""COMPUTED_VALUE"""),171.0)</f>
        <v>171</v>
      </c>
      <c r="B172" s="23" t="str">
        <f>IFERROR(__xludf.DUMMYFUNCTION("""COMPUTED_VALUE"""),"Excel Sheet Column Number")</f>
        <v>Excel Sheet Column Number</v>
      </c>
      <c r="C172" s="23" t="str">
        <f>IFERROR(__xludf.DUMMYFUNCTION("""COMPUTED_VALUE"""),"excel-sheet-column-number")</f>
        <v>excel-sheet-column-number</v>
      </c>
      <c r="D172" s="23" t="b">
        <f>IFERROR(__xludf.DUMMYFUNCTION("""COMPUTED_VALUE"""),FALSE)</f>
        <v>0</v>
      </c>
      <c r="E172" s="23" t="str">
        <f>IFERROR(__xludf.DUMMYFUNCTION("""COMPUTED_VALUE"""),"Easy")</f>
        <v>Easy</v>
      </c>
      <c r="F172" s="23">
        <f>IFERROR(__xludf.DUMMYFUNCTION("""COMPUTED_VALUE"""),3244.0)</f>
        <v>3244</v>
      </c>
      <c r="G172" s="23">
        <f>IFERROR(__xludf.DUMMYFUNCTION("""COMPUTED_VALUE"""),272.0)</f>
        <v>272</v>
      </c>
      <c r="H172" s="23" t="str">
        <f>IFERROR(__xludf.DUMMYFUNCTION("""COMPUTED_VALUE"""),"Algorithms")</f>
        <v>Algorithms</v>
      </c>
      <c r="I172" s="23">
        <f>IFERROR(__xludf.DUMMYFUNCTION("""COMPUTED_VALUE"""),0.606)</f>
        <v>0.606</v>
      </c>
      <c r="J172" s="23">
        <f>IFERROR(__xludf.DUMMYFUNCTION("""COMPUTED_VALUE"""),171.0)</f>
        <v>171</v>
      </c>
      <c r="K172" s="23" t="b">
        <f>IFERROR(__xludf.DUMMYFUNCTION("""COMPUTED_VALUE"""),FALSE)</f>
        <v>0</v>
      </c>
      <c r="L172" s="23" t="str">
        <f>IFERROR(__xludf.DUMMYFUNCTION("""COMPUTED_VALUE"""),"Math;String;")</f>
        <v>Math;String;</v>
      </c>
      <c r="M172" s="23" t="b">
        <f>IFERROR(__xludf.DUMMYFUNCTION("""COMPUTED_VALUE"""),TRUE)</f>
        <v>1</v>
      </c>
      <c r="N172" s="23" t="b">
        <f>IFERROR(__xludf.DUMMYFUNCTION("""COMPUTED_VALUE"""),FALSE)</f>
        <v>0</v>
      </c>
      <c r="O172" s="23">
        <f>IFERROR(__xludf.DUMMYFUNCTION("""COMPUTED_VALUE"""),60.6292426040106)</f>
        <v>60.6292426</v>
      </c>
      <c r="P172" s="23">
        <f>IFERROR(__xludf.DUMMYFUNCTION("""COMPUTED_VALUE"""),498741.0)</f>
        <v>498741</v>
      </c>
      <c r="Q172" s="23">
        <f>IFERROR(__xludf.DUMMYFUNCTION("""COMPUTED_VALUE"""),822608.0)</f>
        <v>822608</v>
      </c>
    </row>
    <row r="173">
      <c r="A173" s="23">
        <f>IFERROR(__xludf.DUMMYFUNCTION("""COMPUTED_VALUE"""),172.0)</f>
        <v>172</v>
      </c>
      <c r="B173" s="23" t="str">
        <f>IFERROR(__xludf.DUMMYFUNCTION("""COMPUTED_VALUE"""),"Factorial Trailing Zeroes")</f>
        <v>Factorial Trailing Zeroes</v>
      </c>
      <c r="C173" s="23" t="str">
        <f>IFERROR(__xludf.DUMMYFUNCTION("""COMPUTED_VALUE"""),"factorial-trailing-zeroes")</f>
        <v>factorial-trailing-zeroes</v>
      </c>
      <c r="D173" s="23" t="b">
        <f>IFERROR(__xludf.DUMMYFUNCTION("""COMPUTED_VALUE"""),FALSE)</f>
        <v>0</v>
      </c>
      <c r="E173" s="23" t="str">
        <f>IFERROR(__xludf.DUMMYFUNCTION("""COMPUTED_VALUE"""),"Medium")</f>
        <v>Medium</v>
      </c>
      <c r="F173" s="23">
        <f>IFERROR(__xludf.DUMMYFUNCTION("""COMPUTED_VALUE"""),1962.0)</f>
        <v>1962</v>
      </c>
      <c r="G173" s="23">
        <f>IFERROR(__xludf.DUMMYFUNCTION("""COMPUTED_VALUE"""),1662.0)</f>
        <v>1662</v>
      </c>
      <c r="H173" s="23" t="str">
        <f>IFERROR(__xludf.DUMMYFUNCTION("""COMPUTED_VALUE"""),"Algorithms")</f>
        <v>Algorithms</v>
      </c>
      <c r="I173" s="23">
        <f>IFERROR(__xludf.DUMMYFUNCTION("""COMPUTED_VALUE"""),0.408)</f>
        <v>0.408</v>
      </c>
      <c r="J173" s="23">
        <f>IFERROR(__xludf.DUMMYFUNCTION("""COMPUTED_VALUE"""),172.0)</f>
        <v>172</v>
      </c>
      <c r="K173" s="23" t="b">
        <f>IFERROR(__xludf.DUMMYFUNCTION("""COMPUTED_VALUE"""),FALSE)</f>
        <v>0</v>
      </c>
      <c r="L173" s="23" t="str">
        <f>IFERROR(__xludf.DUMMYFUNCTION("""COMPUTED_VALUE"""),"Math;")</f>
        <v>Math;</v>
      </c>
      <c r="M173" s="23" t="b">
        <f>IFERROR(__xludf.DUMMYFUNCTION("""COMPUTED_VALUE"""),TRUE)</f>
        <v>1</v>
      </c>
      <c r="N173" s="23" t="b">
        <f>IFERROR(__xludf.DUMMYFUNCTION("""COMPUTED_VALUE"""),FALSE)</f>
        <v>0</v>
      </c>
      <c r="O173" s="23">
        <f>IFERROR(__xludf.DUMMYFUNCTION("""COMPUTED_VALUE"""),40.7789041081691)</f>
        <v>40.77890411</v>
      </c>
      <c r="P173" s="23">
        <f>IFERROR(__xludf.DUMMYFUNCTION("""COMPUTED_VALUE"""),314742.0)</f>
        <v>314742</v>
      </c>
      <c r="Q173" s="23">
        <f>IFERROR(__xludf.DUMMYFUNCTION("""COMPUTED_VALUE"""),771827.0)</f>
        <v>771827</v>
      </c>
    </row>
    <row r="174">
      <c r="A174" s="23">
        <f>IFERROR(__xludf.DUMMYFUNCTION("""COMPUTED_VALUE"""),173.0)</f>
        <v>173</v>
      </c>
      <c r="B174" s="23" t="str">
        <f>IFERROR(__xludf.DUMMYFUNCTION("""COMPUTED_VALUE"""),"Binary Search Tree Iterator")</f>
        <v>Binary Search Tree Iterator</v>
      </c>
      <c r="C174" s="23" t="str">
        <f>IFERROR(__xludf.DUMMYFUNCTION("""COMPUTED_VALUE"""),"binary-search-tree-iterator")</f>
        <v>binary-search-tree-iterator</v>
      </c>
      <c r="D174" s="23" t="b">
        <f>IFERROR(__xludf.DUMMYFUNCTION("""COMPUTED_VALUE"""),FALSE)</f>
        <v>0</v>
      </c>
      <c r="E174" s="23" t="str">
        <f>IFERROR(__xludf.DUMMYFUNCTION("""COMPUTED_VALUE"""),"Medium")</f>
        <v>Medium</v>
      </c>
      <c r="F174" s="23">
        <f>IFERROR(__xludf.DUMMYFUNCTION("""COMPUTED_VALUE"""),5930.0)</f>
        <v>5930</v>
      </c>
      <c r="G174" s="23">
        <f>IFERROR(__xludf.DUMMYFUNCTION("""COMPUTED_VALUE"""),393.0)</f>
        <v>393</v>
      </c>
      <c r="H174" s="23" t="str">
        <f>IFERROR(__xludf.DUMMYFUNCTION("""COMPUTED_VALUE"""),"Algorithms")</f>
        <v>Algorithms</v>
      </c>
      <c r="I174" s="23">
        <f>IFERROR(__xludf.DUMMYFUNCTION("""COMPUTED_VALUE"""),0.673)</f>
        <v>0.673</v>
      </c>
      <c r="J174" s="23">
        <f>IFERROR(__xludf.DUMMYFUNCTION("""COMPUTED_VALUE"""),173.0)</f>
        <v>173</v>
      </c>
      <c r="K174" s="23" t="b">
        <f>IFERROR(__xludf.DUMMYFUNCTION("""COMPUTED_VALUE"""),FALSE)</f>
        <v>0</v>
      </c>
      <c r="L174" s="23" t="str">
        <f>IFERROR(__xludf.DUMMYFUNCTION("""COMPUTED_VALUE"""),"Stack;Tree;Design;Binary Search Tree;Binary Tree;Iterator;")</f>
        <v>Stack;Tree;Design;Binary Search Tree;Binary Tree;Iterator;</v>
      </c>
      <c r="M174" s="23" t="b">
        <f>IFERROR(__xludf.DUMMYFUNCTION("""COMPUTED_VALUE"""),TRUE)</f>
        <v>1</v>
      </c>
      <c r="N174" s="23" t="b">
        <f>IFERROR(__xludf.DUMMYFUNCTION("""COMPUTED_VALUE"""),FALSE)</f>
        <v>0</v>
      </c>
      <c r="O174" s="23">
        <f>IFERROR(__xludf.DUMMYFUNCTION("""COMPUTED_VALUE"""),67.2582550851041)</f>
        <v>67.25825509</v>
      </c>
      <c r="P174" s="23">
        <f>IFERROR(__xludf.DUMMYFUNCTION("""COMPUTED_VALUE"""),570955.0)</f>
        <v>570955</v>
      </c>
      <c r="Q174" s="23">
        <f>IFERROR(__xludf.DUMMYFUNCTION("""COMPUTED_VALUE"""),848900.0)</f>
        <v>848900</v>
      </c>
    </row>
    <row r="175">
      <c r="A175" s="23">
        <f>IFERROR(__xludf.DUMMYFUNCTION("""COMPUTED_VALUE"""),174.0)</f>
        <v>174</v>
      </c>
      <c r="B175" s="23" t="str">
        <f>IFERROR(__xludf.DUMMYFUNCTION("""COMPUTED_VALUE"""),"Dungeon Game")</f>
        <v>Dungeon Game</v>
      </c>
      <c r="C175" s="23" t="str">
        <f>IFERROR(__xludf.DUMMYFUNCTION("""COMPUTED_VALUE"""),"dungeon-game")</f>
        <v>dungeon-game</v>
      </c>
      <c r="D175" s="23" t="b">
        <f>IFERROR(__xludf.DUMMYFUNCTION("""COMPUTED_VALUE"""),FALSE)</f>
        <v>0</v>
      </c>
      <c r="E175" s="23" t="str">
        <f>IFERROR(__xludf.DUMMYFUNCTION("""COMPUTED_VALUE"""),"Hard")</f>
        <v>Hard</v>
      </c>
      <c r="F175" s="23">
        <f>IFERROR(__xludf.DUMMYFUNCTION("""COMPUTED_VALUE"""),4013.0)</f>
        <v>4013</v>
      </c>
      <c r="G175" s="23">
        <f>IFERROR(__xludf.DUMMYFUNCTION("""COMPUTED_VALUE"""),80.0)</f>
        <v>80</v>
      </c>
      <c r="H175" s="23" t="str">
        <f>IFERROR(__xludf.DUMMYFUNCTION("""COMPUTED_VALUE"""),"Algorithms")</f>
        <v>Algorithms</v>
      </c>
      <c r="I175" s="23">
        <f>IFERROR(__xludf.DUMMYFUNCTION("""COMPUTED_VALUE"""),0.365)</f>
        <v>0.365</v>
      </c>
      <c r="J175" s="23">
        <f>IFERROR(__xludf.DUMMYFUNCTION("""COMPUTED_VALUE"""),174.0)</f>
        <v>174</v>
      </c>
      <c r="K175" s="23" t="b">
        <f>IFERROR(__xludf.DUMMYFUNCTION("""COMPUTED_VALUE"""),FALSE)</f>
        <v>0</v>
      </c>
      <c r="L175" s="23" t="str">
        <f>IFERROR(__xludf.DUMMYFUNCTION("""COMPUTED_VALUE"""),"Array;Dynamic Programming;Matrix;")</f>
        <v>Array;Dynamic Programming;Matrix;</v>
      </c>
      <c r="M175" s="23" t="b">
        <f>IFERROR(__xludf.DUMMYFUNCTION("""COMPUTED_VALUE"""),TRUE)</f>
        <v>1</v>
      </c>
      <c r="N175" s="23" t="b">
        <f>IFERROR(__xludf.DUMMYFUNCTION("""COMPUTED_VALUE"""),FALSE)</f>
        <v>0</v>
      </c>
      <c r="O175" s="23">
        <f>IFERROR(__xludf.DUMMYFUNCTION("""COMPUTED_VALUE"""),36.4953090395757)</f>
        <v>36.49530904</v>
      </c>
      <c r="P175" s="23">
        <f>IFERROR(__xludf.DUMMYFUNCTION("""COMPUTED_VALUE"""),170886.0)</f>
        <v>170886</v>
      </c>
      <c r="Q175" s="23">
        <f>IFERROR(__xludf.DUMMYFUNCTION("""COMPUTED_VALUE"""),468241.0)</f>
        <v>468241</v>
      </c>
    </row>
    <row r="176">
      <c r="A176" s="23">
        <f>IFERROR(__xludf.DUMMYFUNCTION("""COMPUTED_VALUE"""),175.0)</f>
        <v>175</v>
      </c>
      <c r="B176" s="23" t="str">
        <f>IFERROR(__xludf.DUMMYFUNCTION("""COMPUTED_VALUE"""),"Combine Two Tables")</f>
        <v>Combine Two Tables</v>
      </c>
      <c r="C176" s="23" t="str">
        <f>IFERROR(__xludf.DUMMYFUNCTION("""COMPUTED_VALUE"""),"combine-two-tables")</f>
        <v>combine-two-tables</v>
      </c>
      <c r="D176" s="23" t="b">
        <f>IFERROR(__xludf.DUMMYFUNCTION("""COMPUTED_VALUE"""),FALSE)</f>
        <v>0</v>
      </c>
      <c r="E176" s="23" t="str">
        <f>IFERROR(__xludf.DUMMYFUNCTION("""COMPUTED_VALUE"""),"Easy")</f>
        <v>Easy</v>
      </c>
      <c r="F176" s="23">
        <f>IFERROR(__xludf.DUMMYFUNCTION("""COMPUTED_VALUE"""),1892.0)</f>
        <v>1892</v>
      </c>
      <c r="G176" s="23">
        <f>IFERROR(__xludf.DUMMYFUNCTION("""COMPUTED_VALUE"""),184.0)</f>
        <v>184</v>
      </c>
      <c r="H176" s="23" t="str">
        <f>IFERROR(__xludf.DUMMYFUNCTION("""COMPUTED_VALUE"""),"Database")</f>
        <v>Database</v>
      </c>
      <c r="I176" s="23">
        <f>IFERROR(__xludf.DUMMYFUNCTION("""COMPUTED_VALUE"""),0.701)</f>
        <v>0.701</v>
      </c>
      <c r="J176" s="23">
        <f>IFERROR(__xludf.DUMMYFUNCTION("""COMPUTED_VALUE"""),175.0)</f>
        <v>175</v>
      </c>
      <c r="K176" s="23" t="b">
        <f>IFERROR(__xludf.DUMMYFUNCTION("""COMPUTED_VALUE"""),FALSE)</f>
        <v>0</v>
      </c>
      <c r="L176" s="23" t="str">
        <f>IFERROR(__xludf.DUMMYFUNCTION("""COMPUTED_VALUE"""),"Database;")</f>
        <v>Database;</v>
      </c>
      <c r="M176" s="23" t="b">
        <f>IFERROR(__xludf.DUMMYFUNCTION("""COMPUTED_VALUE"""),TRUE)</f>
        <v>1</v>
      </c>
      <c r="N176" s="23" t="b">
        <f>IFERROR(__xludf.DUMMYFUNCTION("""COMPUTED_VALUE"""),FALSE)</f>
        <v>0</v>
      </c>
      <c r="O176" s="23">
        <f>IFERROR(__xludf.DUMMYFUNCTION("""COMPUTED_VALUE"""),70.1333687566418)</f>
        <v>70.13336876</v>
      </c>
      <c r="P176" s="23">
        <f>IFERROR(__xludf.DUMMYFUNCTION("""COMPUTED_VALUE"""),527959.0)</f>
        <v>527959</v>
      </c>
      <c r="Q176" s="23">
        <f>IFERROR(__xludf.DUMMYFUNCTION("""COMPUTED_VALUE"""),752795.0)</f>
        <v>752795</v>
      </c>
    </row>
    <row r="177">
      <c r="A177" s="23">
        <f>IFERROR(__xludf.DUMMYFUNCTION("""COMPUTED_VALUE"""),176.0)</f>
        <v>176</v>
      </c>
      <c r="B177" s="23" t="str">
        <f>IFERROR(__xludf.DUMMYFUNCTION("""COMPUTED_VALUE"""),"Second Highest Salary")</f>
        <v>Second Highest Salary</v>
      </c>
      <c r="C177" s="23" t="str">
        <f>IFERROR(__xludf.DUMMYFUNCTION("""COMPUTED_VALUE"""),"second-highest-salary")</f>
        <v>second-highest-salary</v>
      </c>
      <c r="D177" s="23" t="b">
        <f>IFERROR(__xludf.DUMMYFUNCTION("""COMPUTED_VALUE"""),FALSE)</f>
        <v>0</v>
      </c>
      <c r="E177" s="23" t="str">
        <f>IFERROR(__xludf.DUMMYFUNCTION("""COMPUTED_VALUE"""),"Medium")</f>
        <v>Medium</v>
      </c>
      <c r="F177" s="23">
        <f>IFERROR(__xludf.DUMMYFUNCTION("""COMPUTED_VALUE"""),1790.0)</f>
        <v>1790</v>
      </c>
      <c r="G177" s="23">
        <f>IFERROR(__xludf.DUMMYFUNCTION("""COMPUTED_VALUE"""),713.0)</f>
        <v>713</v>
      </c>
      <c r="H177" s="23" t="str">
        <f>IFERROR(__xludf.DUMMYFUNCTION("""COMPUTED_VALUE"""),"Database")</f>
        <v>Database</v>
      </c>
      <c r="I177" s="23">
        <f>IFERROR(__xludf.DUMMYFUNCTION("""COMPUTED_VALUE"""),0.353)</f>
        <v>0.353</v>
      </c>
      <c r="J177" s="23">
        <f>IFERROR(__xludf.DUMMYFUNCTION("""COMPUTED_VALUE"""),176.0)</f>
        <v>176</v>
      </c>
      <c r="K177" s="23" t="b">
        <f>IFERROR(__xludf.DUMMYFUNCTION("""COMPUTED_VALUE"""),FALSE)</f>
        <v>0</v>
      </c>
      <c r="L177" s="23" t="str">
        <f>IFERROR(__xludf.DUMMYFUNCTION("""COMPUTED_VALUE"""),"Database;")</f>
        <v>Database;</v>
      </c>
      <c r="M177" s="23" t="b">
        <f>IFERROR(__xludf.DUMMYFUNCTION("""COMPUTED_VALUE"""),TRUE)</f>
        <v>1</v>
      </c>
      <c r="N177" s="23" t="b">
        <f>IFERROR(__xludf.DUMMYFUNCTION("""COMPUTED_VALUE"""),FALSE)</f>
        <v>0</v>
      </c>
      <c r="O177" s="23">
        <f>IFERROR(__xludf.DUMMYFUNCTION("""COMPUTED_VALUE"""),35.2912594255844)</f>
        <v>35.29125943</v>
      </c>
      <c r="P177" s="23">
        <f>IFERROR(__xludf.DUMMYFUNCTION("""COMPUTED_VALUE"""),467739.0)</f>
        <v>467739</v>
      </c>
      <c r="Q177" s="23">
        <f>IFERROR(__xludf.DUMMYFUNCTION("""COMPUTED_VALUE"""),1325369.0)</f>
        <v>1325369</v>
      </c>
    </row>
    <row r="178">
      <c r="A178" s="23">
        <f>IFERROR(__xludf.DUMMYFUNCTION("""COMPUTED_VALUE"""),177.0)</f>
        <v>177</v>
      </c>
      <c r="B178" s="23" t="str">
        <f>IFERROR(__xludf.DUMMYFUNCTION("""COMPUTED_VALUE"""),"Nth Highest Salary")</f>
        <v>Nth Highest Salary</v>
      </c>
      <c r="C178" s="23" t="str">
        <f>IFERROR(__xludf.DUMMYFUNCTION("""COMPUTED_VALUE"""),"nth-highest-salary")</f>
        <v>nth-highest-salary</v>
      </c>
      <c r="D178" s="23" t="b">
        <f>IFERROR(__xludf.DUMMYFUNCTION("""COMPUTED_VALUE"""),FALSE)</f>
        <v>0</v>
      </c>
      <c r="E178" s="23" t="str">
        <f>IFERROR(__xludf.DUMMYFUNCTION("""COMPUTED_VALUE"""),"Medium")</f>
        <v>Medium</v>
      </c>
      <c r="F178" s="23">
        <f>IFERROR(__xludf.DUMMYFUNCTION("""COMPUTED_VALUE"""),1030.0)</f>
        <v>1030</v>
      </c>
      <c r="G178" s="23">
        <f>IFERROR(__xludf.DUMMYFUNCTION("""COMPUTED_VALUE"""),650.0)</f>
        <v>650</v>
      </c>
      <c r="H178" s="23" t="str">
        <f>IFERROR(__xludf.DUMMYFUNCTION("""COMPUTED_VALUE"""),"Database")</f>
        <v>Database</v>
      </c>
      <c r="I178" s="23">
        <f>IFERROR(__xludf.DUMMYFUNCTION("""COMPUTED_VALUE"""),0.361)</f>
        <v>0.361</v>
      </c>
      <c r="J178" s="23">
        <f>IFERROR(__xludf.DUMMYFUNCTION("""COMPUTED_VALUE"""),177.0)</f>
        <v>177</v>
      </c>
      <c r="K178" s="23" t="b">
        <f>IFERROR(__xludf.DUMMYFUNCTION("""COMPUTED_VALUE"""),FALSE)</f>
        <v>0</v>
      </c>
      <c r="L178" s="23" t="str">
        <f>IFERROR(__xludf.DUMMYFUNCTION("""COMPUTED_VALUE"""),"Database;")</f>
        <v>Database;</v>
      </c>
      <c r="M178" s="23" t="b">
        <f>IFERROR(__xludf.DUMMYFUNCTION("""COMPUTED_VALUE"""),FALSE)</f>
        <v>0</v>
      </c>
      <c r="N178" s="23" t="b">
        <f>IFERROR(__xludf.DUMMYFUNCTION("""COMPUTED_VALUE"""),FALSE)</f>
        <v>0</v>
      </c>
      <c r="O178" s="23">
        <f>IFERROR(__xludf.DUMMYFUNCTION("""COMPUTED_VALUE"""),36.0726388684249)</f>
        <v>36.07263887</v>
      </c>
      <c r="P178" s="23">
        <f>IFERROR(__xludf.DUMMYFUNCTION("""COMPUTED_VALUE"""),235029.0)</f>
        <v>235029</v>
      </c>
      <c r="Q178" s="23">
        <f>IFERROR(__xludf.DUMMYFUNCTION("""COMPUTED_VALUE"""),651548.0)</f>
        <v>651548</v>
      </c>
    </row>
    <row r="179">
      <c r="A179" s="23">
        <f>IFERROR(__xludf.DUMMYFUNCTION("""COMPUTED_VALUE"""),178.0)</f>
        <v>178</v>
      </c>
      <c r="B179" s="23" t="str">
        <f>IFERROR(__xludf.DUMMYFUNCTION("""COMPUTED_VALUE"""),"Rank Scores")</f>
        <v>Rank Scores</v>
      </c>
      <c r="C179" s="23" t="str">
        <f>IFERROR(__xludf.DUMMYFUNCTION("""COMPUTED_VALUE"""),"rank-scores")</f>
        <v>rank-scores</v>
      </c>
      <c r="D179" s="23" t="b">
        <f>IFERROR(__xludf.DUMMYFUNCTION("""COMPUTED_VALUE"""),FALSE)</f>
        <v>0</v>
      </c>
      <c r="E179" s="23" t="str">
        <f>IFERROR(__xludf.DUMMYFUNCTION("""COMPUTED_VALUE"""),"Medium")</f>
        <v>Medium</v>
      </c>
      <c r="F179" s="23">
        <f>IFERROR(__xludf.DUMMYFUNCTION("""COMPUTED_VALUE"""),1294.0)</f>
        <v>1294</v>
      </c>
      <c r="G179" s="23">
        <f>IFERROR(__xludf.DUMMYFUNCTION("""COMPUTED_VALUE"""),205.0)</f>
        <v>205</v>
      </c>
      <c r="H179" s="23" t="str">
        <f>IFERROR(__xludf.DUMMYFUNCTION("""COMPUTED_VALUE"""),"Database")</f>
        <v>Database</v>
      </c>
      <c r="I179" s="23">
        <f>IFERROR(__xludf.DUMMYFUNCTION("""COMPUTED_VALUE"""),0.574)</f>
        <v>0.574</v>
      </c>
      <c r="J179" s="23">
        <f>IFERROR(__xludf.DUMMYFUNCTION("""COMPUTED_VALUE"""),178.0)</f>
        <v>178</v>
      </c>
      <c r="K179" s="23" t="b">
        <f>IFERROR(__xludf.DUMMYFUNCTION("""COMPUTED_VALUE"""),FALSE)</f>
        <v>0</v>
      </c>
      <c r="L179" s="23" t="str">
        <f>IFERROR(__xludf.DUMMYFUNCTION("""COMPUTED_VALUE"""),"Database;")</f>
        <v>Database;</v>
      </c>
      <c r="M179" s="23" t="b">
        <f>IFERROR(__xludf.DUMMYFUNCTION("""COMPUTED_VALUE"""),FALSE)</f>
        <v>0</v>
      </c>
      <c r="N179" s="23" t="b">
        <f>IFERROR(__xludf.DUMMYFUNCTION("""COMPUTED_VALUE"""),FALSE)</f>
        <v>0</v>
      </c>
      <c r="O179" s="23">
        <f>IFERROR(__xludf.DUMMYFUNCTION("""COMPUTED_VALUE"""),57.3821239216333)</f>
        <v>57.38212392</v>
      </c>
      <c r="P179" s="23">
        <f>IFERROR(__xludf.DUMMYFUNCTION("""COMPUTED_VALUE"""),222626.0)</f>
        <v>222626</v>
      </c>
      <c r="Q179" s="23">
        <f>IFERROR(__xludf.DUMMYFUNCTION("""COMPUTED_VALUE"""),387971.0)</f>
        <v>387971</v>
      </c>
    </row>
    <row r="180">
      <c r="A180" s="23">
        <f>IFERROR(__xludf.DUMMYFUNCTION("""COMPUTED_VALUE"""),179.0)</f>
        <v>179</v>
      </c>
      <c r="B180" s="23" t="str">
        <f>IFERROR(__xludf.DUMMYFUNCTION("""COMPUTED_VALUE"""),"Largest Number")</f>
        <v>Largest Number</v>
      </c>
      <c r="C180" s="23" t="str">
        <f>IFERROR(__xludf.DUMMYFUNCTION("""COMPUTED_VALUE"""),"largest-number")</f>
        <v>largest-number</v>
      </c>
      <c r="D180" s="23" t="b">
        <f>IFERROR(__xludf.DUMMYFUNCTION("""COMPUTED_VALUE"""),FALSE)</f>
        <v>0</v>
      </c>
      <c r="E180" s="23" t="str">
        <f>IFERROR(__xludf.DUMMYFUNCTION("""COMPUTED_VALUE"""),"Medium")</f>
        <v>Medium</v>
      </c>
      <c r="F180" s="23">
        <f>IFERROR(__xludf.DUMMYFUNCTION("""COMPUTED_VALUE"""),4793.0)</f>
        <v>4793</v>
      </c>
      <c r="G180" s="23">
        <f>IFERROR(__xludf.DUMMYFUNCTION("""COMPUTED_VALUE"""),403.0)</f>
        <v>403</v>
      </c>
      <c r="H180" s="23" t="str">
        <f>IFERROR(__xludf.DUMMYFUNCTION("""COMPUTED_VALUE"""),"Algorithms")</f>
        <v>Algorithms</v>
      </c>
      <c r="I180" s="23">
        <f>IFERROR(__xludf.DUMMYFUNCTION("""COMPUTED_VALUE"""),0.329)</f>
        <v>0.329</v>
      </c>
      <c r="J180" s="23">
        <f>IFERROR(__xludf.DUMMYFUNCTION("""COMPUTED_VALUE"""),179.0)</f>
        <v>179</v>
      </c>
      <c r="K180" s="23" t="b">
        <f>IFERROR(__xludf.DUMMYFUNCTION("""COMPUTED_VALUE"""),FALSE)</f>
        <v>0</v>
      </c>
      <c r="L180" s="23" t="str">
        <f>IFERROR(__xludf.DUMMYFUNCTION("""COMPUTED_VALUE"""),"String;Greedy;Sorting;")</f>
        <v>String;Greedy;Sorting;</v>
      </c>
      <c r="M180" s="23" t="b">
        <f>IFERROR(__xludf.DUMMYFUNCTION("""COMPUTED_VALUE"""),TRUE)</f>
        <v>1</v>
      </c>
      <c r="N180" s="23" t="b">
        <f>IFERROR(__xludf.DUMMYFUNCTION("""COMPUTED_VALUE"""),FALSE)</f>
        <v>0</v>
      </c>
      <c r="O180" s="23">
        <f>IFERROR(__xludf.DUMMYFUNCTION("""COMPUTED_VALUE"""),32.8963436647485)</f>
        <v>32.89634366</v>
      </c>
      <c r="P180" s="23">
        <f>IFERROR(__xludf.DUMMYFUNCTION("""COMPUTED_VALUE"""),314366.0)</f>
        <v>314366</v>
      </c>
      <c r="Q180" s="23">
        <f>IFERROR(__xludf.DUMMYFUNCTION("""COMPUTED_VALUE"""),955626.0)</f>
        <v>955626</v>
      </c>
    </row>
    <row r="181">
      <c r="A181" s="23">
        <f>IFERROR(__xludf.DUMMYFUNCTION("""COMPUTED_VALUE"""),180.0)</f>
        <v>180</v>
      </c>
      <c r="B181" s="23" t="str">
        <f>IFERROR(__xludf.DUMMYFUNCTION("""COMPUTED_VALUE"""),"Consecutive Numbers")</f>
        <v>Consecutive Numbers</v>
      </c>
      <c r="C181" s="23" t="str">
        <f>IFERROR(__xludf.DUMMYFUNCTION("""COMPUTED_VALUE"""),"consecutive-numbers")</f>
        <v>consecutive-numbers</v>
      </c>
      <c r="D181" s="23" t="b">
        <f>IFERROR(__xludf.DUMMYFUNCTION("""COMPUTED_VALUE"""),FALSE)</f>
        <v>0</v>
      </c>
      <c r="E181" s="23" t="str">
        <f>IFERROR(__xludf.DUMMYFUNCTION("""COMPUTED_VALUE"""),"Medium")</f>
        <v>Medium</v>
      </c>
      <c r="F181" s="23">
        <f>IFERROR(__xludf.DUMMYFUNCTION("""COMPUTED_VALUE"""),980.0)</f>
        <v>980</v>
      </c>
      <c r="G181" s="23">
        <f>IFERROR(__xludf.DUMMYFUNCTION("""COMPUTED_VALUE"""),187.0)</f>
        <v>187</v>
      </c>
      <c r="H181" s="23" t="str">
        <f>IFERROR(__xludf.DUMMYFUNCTION("""COMPUTED_VALUE"""),"Database")</f>
        <v>Database</v>
      </c>
      <c r="I181" s="23">
        <f>IFERROR(__xludf.DUMMYFUNCTION("""COMPUTED_VALUE"""),0.456)</f>
        <v>0.456</v>
      </c>
      <c r="J181" s="23">
        <f>IFERROR(__xludf.DUMMYFUNCTION("""COMPUTED_VALUE"""),180.0)</f>
        <v>180</v>
      </c>
      <c r="K181" s="23" t="b">
        <f>IFERROR(__xludf.DUMMYFUNCTION("""COMPUTED_VALUE"""),FALSE)</f>
        <v>0</v>
      </c>
      <c r="L181" s="23" t="str">
        <f>IFERROR(__xludf.DUMMYFUNCTION("""COMPUTED_VALUE"""),"Database;")</f>
        <v>Database;</v>
      </c>
      <c r="M181" s="23" t="b">
        <f>IFERROR(__xludf.DUMMYFUNCTION("""COMPUTED_VALUE"""),TRUE)</f>
        <v>1</v>
      </c>
      <c r="N181" s="23" t="b">
        <f>IFERROR(__xludf.DUMMYFUNCTION("""COMPUTED_VALUE"""),FALSE)</f>
        <v>0</v>
      </c>
      <c r="O181" s="23">
        <f>IFERROR(__xludf.DUMMYFUNCTION("""COMPUTED_VALUE"""),45.5975703318559)</f>
        <v>45.59757033</v>
      </c>
      <c r="P181" s="23">
        <f>IFERROR(__xludf.DUMMYFUNCTION("""COMPUTED_VALUE"""),186619.0)</f>
        <v>186619</v>
      </c>
      <c r="Q181" s="23">
        <f>IFERROR(__xludf.DUMMYFUNCTION("""COMPUTED_VALUE"""),409274.0)</f>
        <v>409274</v>
      </c>
    </row>
    <row r="182">
      <c r="A182" s="23">
        <f>IFERROR(__xludf.DUMMYFUNCTION("""COMPUTED_VALUE"""),181.0)</f>
        <v>181</v>
      </c>
      <c r="B182" s="23" t="str">
        <f>IFERROR(__xludf.DUMMYFUNCTION("""COMPUTED_VALUE"""),"Employees Earning More Than Their Managers")</f>
        <v>Employees Earning More Than Their Managers</v>
      </c>
      <c r="C182" s="23" t="str">
        <f>IFERROR(__xludf.DUMMYFUNCTION("""COMPUTED_VALUE"""),"employees-earning-more-than-their-managers")</f>
        <v>employees-earning-more-than-their-managers</v>
      </c>
      <c r="D182" s="23" t="b">
        <f>IFERROR(__xludf.DUMMYFUNCTION("""COMPUTED_VALUE"""),FALSE)</f>
        <v>0</v>
      </c>
      <c r="E182" s="23" t="str">
        <f>IFERROR(__xludf.DUMMYFUNCTION("""COMPUTED_VALUE"""),"Easy")</f>
        <v>Easy</v>
      </c>
      <c r="F182" s="23">
        <f>IFERROR(__xludf.DUMMYFUNCTION("""COMPUTED_VALUE"""),1356.0)</f>
        <v>1356</v>
      </c>
      <c r="G182" s="23">
        <f>IFERROR(__xludf.DUMMYFUNCTION("""COMPUTED_VALUE"""),152.0)</f>
        <v>152</v>
      </c>
      <c r="H182" s="23" t="str">
        <f>IFERROR(__xludf.DUMMYFUNCTION("""COMPUTED_VALUE"""),"Database")</f>
        <v>Database</v>
      </c>
      <c r="I182" s="23">
        <f>IFERROR(__xludf.DUMMYFUNCTION("""COMPUTED_VALUE"""),0.663)</f>
        <v>0.663</v>
      </c>
      <c r="J182" s="23">
        <f>IFERROR(__xludf.DUMMYFUNCTION("""COMPUTED_VALUE"""),181.0)</f>
        <v>181</v>
      </c>
      <c r="K182" s="23" t="b">
        <f>IFERROR(__xludf.DUMMYFUNCTION("""COMPUTED_VALUE"""),FALSE)</f>
        <v>0</v>
      </c>
      <c r="L182" s="23" t="str">
        <f>IFERROR(__xludf.DUMMYFUNCTION("""COMPUTED_VALUE"""),"Database;")</f>
        <v>Database;</v>
      </c>
      <c r="M182" s="23" t="b">
        <f>IFERROR(__xludf.DUMMYFUNCTION("""COMPUTED_VALUE"""),TRUE)</f>
        <v>1</v>
      </c>
      <c r="N182" s="23" t="b">
        <f>IFERROR(__xludf.DUMMYFUNCTION("""COMPUTED_VALUE"""),FALSE)</f>
        <v>0</v>
      </c>
      <c r="O182" s="23">
        <f>IFERROR(__xludf.DUMMYFUNCTION("""COMPUTED_VALUE"""),66.3193253367973)</f>
        <v>66.31932534</v>
      </c>
      <c r="P182" s="23">
        <f>IFERROR(__xludf.DUMMYFUNCTION("""COMPUTED_VALUE"""),353801.0)</f>
        <v>353801</v>
      </c>
      <c r="Q182" s="23">
        <f>IFERROR(__xludf.DUMMYFUNCTION("""COMPUTED_VALUE"""),533481.0)</f>
        <v>533481</v>
      </c>
    </row>
    <row r="183">
      <c r="A183" s="23">
        <f>IFERROR(__xludf.DUMMYFUNCTION("""COMPUTED_VALUE"""),182.0)</f>
        <v>182</v>
      </c>
      <c r="B183" s="23" t="str">
        <f>IFERROR(__xludf.DUMMYFUNCTION("""COMPUTED_VALUE"""),"Duplicate Emails")</f>
        <v>Duplicate Emails</v>
      </c>
      <c r="C183" s="23" t="str">
        <f>IFERROR(__xludf.DUMMYFUNCTION("""COMPUTED_VALUE"""),"duplicate-emails")</f>
        <v>duplicate-emails</v>
      </c>
      <c r="D183" s="23" t="b">
        <f>IFERROR(__xludf.DUMMYFUNCTION("""COMPUTED_VALUE"""),FALSE)</f>
        <v>0</v>
      </c>
      <c r="E183" s="23" t="str">
        <f>IFERROR(__xludf.DUMMYFUNCTION("""COMPUTED_VALUE"""),"Easy")</f>
        <v>Easy</v>
      </c>
      <c r="F183" s="23">
        <f>IFERROR(__xludf.DUMMYFUNCTION("""COMPUTED_VALUE"""),1050.0)</f>
        <v>1050</v>
      </c>
      <c r="G183" s="23">
        <f>IFERROR(__xludf.DUMMYFUNCTION("""COMPUTED_VALUE"""),46.0)</f>
        <v>46</v>
      </c>
      <c r="H183" s="23" t="str">
        <f>IFERROR(__xludf.DUMMYFUNCTION("""COMPUTED_VALUE"""),"Database")</f>
        <v>Database</v>
      </c>
      <c r="I183" s="23">
        <f>IFERROR(__xludf.DUMMYFUNCTION("""COMPUTED_VALUE"""),0.689)</f>
        <v>0.689</v>
      </c>
      <c r="J183" s="23">
        <f>IFERROR(__xludf.DUMMYFUNCTION("""COMPUTED_VALUE"""),182.0)</f>
        <v>182</v>
      </c>
      <c r="K183" s="23" t="b">
        <f>IFERROR(__xludf.DUMMYFUNCTION("""COMPUTED_VALUE"""),FALSE)</f>
        <v>0</v>
      </c>
      <c r="L183" s="23" t="str">
        <f>IFERROR(__xludf.DUMMYFUNCTION("""COMPUTED_VALUE"""),"Database;")</f>
        <v>Database;</v>
      </c>
      <c r="M183" s="23" t="b">
        <f>IFERROR(__xludf.DUMMYFUNCTION("""COMPUTED_VALUE"""),TRUE)</f>
        <v>1</v>
      </c>
      <c r="N183" s="23" t="b">
        <f>IFERROR(__xludf.DUMMYFUNCTION("""COMPUTED_VALUE"""),FALSE)</f>
        <v>0</v>
      </c>
      <c r="O183" s="23">
        <f>IFERROR(__xludf.DUMMYFUNCTION("""COMPUTED_VALUE"""),68.9068989089932)</f>
        <v>68.90689891</v>
      </c>
      <c r="P183" s="23">
        <f>IFERROR(__xludf.DUMMYFUNCTION("""COMPUTED_VALUE"""),348761.0)</f>
        <v>348761</v>
      </c>
      <c r="Q183" s="23">
        <f>IFERROR(__xludf.DUMMYFUNCTION("""COMPUTED_VALUE"""),506134.0)</f>
        <v>506134</v>
      </c>
    </row>
    <row r="184">
      <c r="A184" s="23">
        <f>IFERROR(__xludf.DUMMYFUNCTION("""COMPUTED_VALUE"""),183.0)</f>
        <v>183</v>
      </c>
      <c r="B184" s="23" t="str">
        <f>IFERROR(__xludf.DUMMYFUNCTION("""COMPUTED_VALUE"""),"Customers Who Never Order")</f>
        <v>Customers Who Never Order</v>
      </c>
      <c r="C184" s="23" t="str">
        <f>IFERROR(__xludf.DUMMYFUNCTION("""COMPUTED_VALUE"""),"customers-who-never-order")</f>
        <v>customers-who-never-order</v>
      </c>
      <c r="D184" s="23" t="b">
        <f>IFERROR(__xludf.DUMMYFUNCTION("""COMPUTED_VALUE"""),FALSE)</f>
        <v>0</v>
      </c>
      <c r="E184" s="23" t="str">
        <f>IFERROR(__xludf.DUMMYFUNCTION("""COMPUTED_VALUE"""),"Easy")</f>
        <v>Easy</v>
      </c>
      <c r="F184" s="23">
        <f>IFERROR(__xludf.DUMMYFUNCTION("""COMPUTED_VALUE"""),940.0)</f>
        <v>940</v>
      </c>
      <c r="G184" s="23">
        <f>IFERROR(__xludf.DUMMYFUNCTION("""COMPUTED_VALUE"""),72.0)</f>
        <v>72</v>
      </c>
      <c r="H184" s="23" t="str">
        <f>IFERROR(__xludf.DUMMYFUNCTION("""COMPUTED_VALUE"""),"Database")</f>
        <v>Database</v>
      </c>
      <c r="I184" s="23">
        <f>IFERROR(__xludf.DUMMYFUNCTION("""COMPUTED_VALUE"""),0.632)</f>
        <v>0.632</v>
      </c>
      <c r="J184" s="23">
        <f>IFERROR(__xludf.DUMMYFUNCTION("""COMPUTED_VALUE"""),183.0)</f>
        <v>183</v>
      </c>
      <c r="K184" s="23" t="b">
        <f>IFERROR(__xludf.DUMMYFUNCTION("""COMPUTED_VALUE"""),FALSE)</f>
        <v>0</v>
      </c>
      <c r="L184" s="23" t="str">
        <f>IFERROR(__xludf.DUMMYFUNCTION("""COMPUTED_VALUE"""),"Database;")</f>
        <v>Database;</v>
      </c>
      <c r="M184" s="23" t="b">
        <f>IFERROR(__xludf.DUMMYFUNCTION("""COMPUTED_VALUE"""),TRUE)</f>
        <v>1</v>
      </c>
      <c r="N184" s="23" t="b">
        <f>IFERROR(__xludf.DUMMYFUNCTION("""COMPUTED_VALUE"""),FALSE)</f>
        <v>0</v>
      </c>
      <c r="O184" s="23">
        <f>IFERROR(__xludf.DUMMYFUNCTION("""COMPUTED_VALUE"""),63.2003442027977)</f>
        <v>63.2003442</v>
      </c>
      <c r="P184" s="23">
        <f>IFERROR(__xludf.DUMMYFUNCTION("""COMPUTED_VALUE"""),340783.0)</f>
        <v>340783</v>
      </c>
      <c r="Q184" s="23">
        <f>IFERROR(__xludf.DUMMYFUNCTION("""COMPUTED_VALUE"""),539213.0)</f>
        <v>539213</v>
      </c>
    </row>
    <row r="185">
      <c r="A185" s="23">
        <f>IFERROR(__xludf.DUMMYFUNCTION("""COMPUTED_VALUE"""),184.0)</f>
        <v>184</v>
      </c>
      <c r="B185" s="23" t="str">
        <f>IFERROR(__xludf.DUMMYFUNCTION("""COMPUTED_VALUE"""),"Department Highest Salary")</f>
        <v>Department Highest Salary</v>
      </c>
      <c r="C185" s="23" t="str">
        <f>IFERROR(__xludf.DUMMYFUNCTION("""COMPUTED_VALUE"""),"department-highest-salary")</f>
        <v>department-highest-salary</v>
      </c>
      <c r="D185" s="23" t="b">
        <f>IFERROR(__xludf.DUMMYFUNCTION("""COMPUTED_VALUE"""),FALSE)</f>
        <v>0</v>
      </c>
      <c r="E185" s="23" t="str">
        <f>IFERROR(__xludf.DUMMYFUNCTION("""COMPUTED_VALUE"""),"Medium")</f>
        <v>Medium</v>
      </c>
      <c r="F185" s="23">
        <f>IFERROR(__xludf.DUMMYFUNCTION("""COMPUTED_VALUE"""),1098.0)</f>
        <v>1098</v>
      </c>
      <c r="G185" s="23">
        <f>IFERROR(__xludf.DUMMYFUNCTION("""COMPUTED_VALUE"""),163.0)</f>
        <v>163</v>
      </c>
      <c r="H185" s="23" t="str">
        <f>IFERROR(__xludf.DUMMYFUNCTION("""COMPUTED_VALUE"""),"Database")</f>
        <v>Database</v>
      </c>
      <c r="I185" s="23">
        <f>IFERROR(__xludf.DUMMYFUNCTION("""COMPUTED_VALUE"""),0.469)</f>
        <v>0.469</v>
      </c>
      <c r="J185" s="23">
        <f>IFERROR(__xludf.DUMMYFUNCTION("""COMPUTED_VALUE"""),184.0)</f>
        <v>184</v>
      </c>
      <c r="K185" s="23" t="b">
        <f>IFERROR(__xludf.DUMMYFUNCTION("""COMPUTED_VALUE"""),FALSE)</f>
        <v>0</v>
      </c>
      <c r="L185" s="23" t="str">
        <f>IFERROR(__xludf.DUMMYFUNCTION("""COMPUTED_VALUE"""),"Database;")</f>
        <v>Database;</v>
      </c>
      <c r="M185" s="23" t="b">
        <f>IFERROR(__xludf.DUMMYFUNCTION("""COMPUTED_VALUE"""),TRUE)</f>
        <v>1</v>
      </c>
      <c r="N185" s="23" t="b">
        <f>IFERROR(__xludf.DUMMYFUNCTION("""COMPUTED_VALUE"""),FALSE)</f>
        <v>0</v>
      </c>
      <c r="O185" s="23">
        <f>IFERROR(__xludf.DUMMYFUNCTION("""COMPUTED_VALUE"""),46.8882141659063)</f>
        <v>46.88821417</v>
      </c>
      <c r="P185" s="23">
        <f>IFERROR(__xludf.DUMMYFUNCTION("""COMPUTED_VALUE"""),219442.0)</f>
        <v>219442</v>
      </c>
      <c r="Q185" s="23">
        <f>IFERROR(__xludf.DUMMYFUNCTION("""COMPUTED_VALUE"""),468011.0)</f>
        <v>468011</v>
      </c>
    </row>
    <row r="186">
      <c r="A186" s="23">
        <f>IFERROR(__xludf.DUMMYFUNCTION("""COMPUTED_VALUE"""),185.0)</f>
        <v>185</v>
      </c>
      <c r="B186" s="23" t="str">
        <f>IFERROR(__xludf.DUMMYFUNCTION("""COMPUTED_VALUE"""),"Department Top Three Salaries")</f>
        <v>Department Top Three Salaries</v>
      </c>
      <c r="C186" s="23" t="str">
        <f>IFERROR(__xludf.DUMMYFUNCTION("""COMPUTED_VALUE"""),"department-top-three-salaries")</f>
        <v>department-top-three-salaries</v>
      </c>
      <c r="D186" s="23" t="b">
        <f>IFERROR(__xludf.DUMMYFUNCTION("""COMPUTED_VALUE"""),FALSE)</f>
        <v>0</v>
      </c>
      <c r="E186" s="23" t="str">
        <f>IFERROR(__xludf.DUMMYFUNCTION("""COMPUTED_VALUE"""),"Hard")</f>
        <v>Hard</v>
      </c>
      <c r="F186" s="23">
        <f>IFERROR(__xludf.DUMMYFUNCTION("""COMPUTED_VALUE"""),1069.0)</f>
        <v>1069</v>
      </c>
      <c r="G186" s="23">
        <f>IFERROR(__xludf.DUMMYFUNCTION("""COMPUTED_VALUE"""),182.0)</f>
        <v>182</v>
      </c>
      <c r="H186" s="23" t="str">
        <f>IFERROR(__xludf.DUMMYFUNCTION("""COMPUTED_VALUE"""),"Database")</f>
        <v>Database</v>
      </c>
      <c r="I186" s="23">
        <f>IFERROR(__xludf.DUMMYFUNCTION("""COMPUTED_VALUE"""),0.471)</f>
        <v>0.471</v>
      </c>
      <c r="J186" s="23">
        <f>IFERROR(__xludf.DUMMYFUNCTION("""COMPUTED_VALUE"""),185.0)</f>
        <v>185</v>
      </c>
      <c r="K186" s="23" t="b">
        <f>IFERROR(__xludf.DUMMYFUNCTION("""COMPUTED_VALUE"""),FALSE)</f>
        <v>0</v>
      </c>
      <c r="L186" s="23" t="str">
        <f>IFERROR(__xludf.DUMMYFUNCTION("""COMPUTED_VALUE"""),"Database;")</f>
        <v>Database;</v>
      </c>
      <c r="M186" s="23" t="b">
        <f>IFERROR(__xludf.DUMMYFUNCTION("""COMPUTED_VALUE"""),TRUE)</f>
        <v>1</v>
      </c>
      <c r="N186" s="23" t="b">
        <f>IFERROR(__xludf.DUMMYFUNCTION("""COMPUTED_VALUE"""),FALSE)</f>
        <v>0</v>
      </c>
      <c r="O186" s="23">
        <f>IFERROR(__xludf.DUMMYFUNCTION("""COMPUTED_VALUE"""),47.1187765030641)</f>
        <v>47.1187765</v>
      </c>
      <c r="P186" s="23">
        <f>IFERROR(__xludf.DUMMYFUNCTION("""COMPUTED_VALUE"""),165230.0)</f>
        <v>165230</v>
      </c>
      <c r="Q186" s="23">
        <f>IFERROR(__xludf.DUMMYFUNCTION("""COMPUTED_VALUE"""),350667.0)</f>
        <v>350667</v>
      </c>
    </row>
    <row r="187">
      <c r="A187" s="23">
        <f>IFERROR(__xludf.DUMMYFUNCTION("""COMPUTED_VALUE"""),186.0)</f>
        <v>186</v>
      </c>
      <c r="B187" s="23" t="str">
        <f>IFERROR(__xludf.DUMMYFUNCTION("""COMPUTED_VALUE"""),"Reverse Words in a String II")</f>
        <v>Reverse Words in a String II</v>
      </c>
      <c r="C187" s="23" t="str">
        <f>IFERROR(__xludf.DUMMYFUNCTION("""COMPUTED_VALUE"""),"reverse-words-in-a-string-ii")</f>
        <v>reverse-words-in-a-string-ii</v>
      </c>
      <c r="D187" s="23" t="b">
        <f>IFERROR(__xludf.DUMMYFUNCTION("""COMPUTED_VALUE"""),TRUE)</f>
        <v>1</v>
      </c>
      <c r="E187" s="23" t="str">
        <f>IFERROR(__xludf.DUMMYFUNCTION("""COMPUTED_VALUE"""),"Medium")</f>
        <v>Medium</v>
      </c>
      <c r="F187" s="23">
        <f>IFERROR(__xludf.DUMMYFUNCTION("""COMPUTED_VALUE"""),844.0)</f>
        <v>844</v>
      </c>
      <c r="G187" s="23">
        <f>IFERROR(__xludf.DUMMYFUNCTION("""COMPUTED_VALUE"""),127.0)</f>
        <v>127</v>
      </c>
      <c r="H187" s="23" t="str">
        <f>IFERROR(__xludf.DUMMYFUNCTION("""COMPUTED_VALUE"""),"Algorithms")</f>
        <v>Algorithms</v>
      </c>
      <c r="I187" s="23">
        <f>IFERROR(__xludf.DUMMYFUNCTION("""COMPUTED_VALUE"""),0.51)</f>
        <v>0.51</v>
      </c>
      <c r="J187" s="23">
        <f>IFERROR(__xludf.DUMMYFUNCTION("""COMPUTED_VALUE"""),186.0)</f>
        <v>186</v>
      </c>
      <c r="K187" s="23" t="b">
        <f>IFERROR(__xludf.DUMMYFUNCTION("""COMPUTED_VALUE"""),TRUE)</f>
        <v>1</v>
      </c>
      <c r="L187" s="23" t="str">
        <f>IFERROR(__xludf.DUMMYFUNCTION("""COMPUTED_VALUE"""),"Two Pointers;String;")</f>
        <v>Two Pointers;String;</v>
      </c>
      <c r="M187" s="23" t="b">
        <f>IFERROR(__xludf.DUMMYFUNCTION("""COMPUTED_VALUE"""),TRUE)</f>
        <v>1</v>
      </c>
      <c r="N187" s="23" t="b">
        <f>IFERROR(__xludf.DUMMYFUNCTION("""COMPUTED_VALUE"""),FALSE)</f>
        <v>0</v>
      </c>
      <c r="O187" s="23">
        <f>IFERROR(__xludf.DUMMYFUNCTION("""COMPUTED_VALUE"""),50.9656619376258)</f>
        <v>50.96566194</v>
      </c>
      <c r="P187" s="23">
        <f>IFERROR(__xludf.DUMMYFUNCTION("""COMPUTED_VALUE"""),132631.0)</f>
        <v>132631</v>
      </c>
      <c r="Q187" s="23">
        <f>IFERROR(__xludf.DUMMYFUNCTION("""COMPUTED_VALUE"""),260236.0)</f>
        <v>260236</v>
      </c>
    </row>
    <row r="188">
      <c r="A188" s="23">
        <f>IFERROR(__xludf.DUMMYFUNCTION("""COMPUTED_VALUE"""),187.0)</f>
        <v>187</v>
      </c>
      <c r="B188" s="23" t="str">
        <f>IFERROR(__xludf.DUMMYFUNCTION("""COMPUTED_VALUE"""),"Repeated DNA Sequences")</f>
        <v>Repeated DNA Sequences</v>
      </c>
      <c r="C188" s="23" t="str">
        <f>IFERROR(__xludf.DUMMYFUNCTION("""COMPUTED_VALUE"""),"repeated-dna-sequences")</f>
        <v>repeated-dna-sequences</v>
      </c>
      <c r="D188" s="23" t="b">
        <f>IFERROR(__xludf.DUMMYFUNCTION("""COMPUTED_VALUE"""),FALSE)</f>
        <v>0</v>
      </c>
      <c r="E188" s="23" t="str">
        <f>IFERROR(__xludf.DUMMYFUNCTION("""COMPUTED_VALUE"""),"Medium")</f>
        <v>Medium</v>
      </c>
      <c r="F188" s="23">
        <f>IFERROR(__xludf.DUMMYFUNCTION("""COMPUTED_VALUE"""),1964.0)</f>
        <v>1964</v>
      </c>
      <c r="G188" s="23">
        <f>IFERROR(__xludf.DUMMYFUNCTION("""COMPUTED_VALUE"""),406.0)</f>
        <v>406</v>
      </c>
      <c r="H188" s="23" t="str">
        <f>IFERROR(__xludf.DUMMYFUNCTION("""COMPUTED_VALUE"""),"Algorithms")</f>
        <v>Algorithms</v>
      </c>
      <c r="I188" s="23">
        <f>IFERROR(__xludf.DUMMYFUNCTION("""COMPUTED_VALUE"""),0.447)</f>
        <v>0.447</v>
      </c>
      <c r="J188" s="23">
        <f>IFERROR(__xludf.DUMMYFUNCTION("""COMPUTED_VALUE"""),187.0)</f>
        <v>187</v>
      </c>
      <c r="K188" s="23" t="b">
        <f>IFERROR(__xludf.DUMMYFUNCTION("""COMPUTED_VALUE"""),FALSE)</f>
        <v>0</v>
      </c>
      <c r="L188" s="23" t="str">
        <f>IFERROR(__xludf.DUMMYFUNCTION("""COMPUTED_VALUE"""),"Hash Table;String;Bit Manipulation;Sliding Window;Rolling Hash;Hash Function;")</f>
        <v>Hash Table;String;Bit Manipulation;Sliding Window;Rolling Hash;Hash Function;</v>
      </c>
      <c r="M188" s="23" t="b">
        <f>IFERROR(__xludf.DUMMYFUNCTION("""COMPUTED_VALUE"""),TRUE)</f>
        <v>1</v>
      </c>
      <c r="N188" s="23" t="b">
        <f>IFERROR(__xludf.DUMMYFUNCTION("""COMPUTED_VALUE"""),FALSE)</f>
        <v>0</v>
      </c>
      <c r="O188" s="23">
        <f>IFERROR(__xludf.DUMMYFUNCTION("""COMPUTED_VALUE"""),44.677969663944)</f>
        <v>44.67796966</v>
      </c>
      <c r="P188" s="23">
        <f>IFERROR(__xludf.DUMMYFUNCTION("""COMPUTED_VALUE"""),263596.0)</f>
        <v>263596</v>
      </c>
      <c r="Q188" s="23">
        <f>IFERROR(__xludf.DUMMYFUNCTION("""COMPUTED_VALUE"""),589991.0)</f>
        <v>589991</v>
      </c>
    </row>
    <row r="189">
      <c r="A189" s="23">
        <f>IFERROR(__xludf.DUMMYFUNCTION("""COMPUTED_VALUE"""),188.0)</f>
        <v>188</v>
      </c>
      <c r="B189" s="23" t="str">
        <f>IFERROR(__xludf.DUMMYFUNCTION("""COMPUTED_VALUE"""),"Best Time to Buy and Sell Stock IV")</f>
        <v>Best Time to Buy and Sell Stock IV</v>
      </c>
      <c r="C189" s="23" t="str">
        <f>IFERROR(__xludf.DUMMYFUNCTION("""COMPUTED_VALUE"""),"best-time-to-buy-and-sell-stock-iv")</f>
        <v>best-time-to-buy-and-sell-stock-iv</v>
      </c>
      <c r="D189" s="23" t="b">
        <f>IFERROR(__xludf.DUMMYFUNCTION("""COMPUTED_VALUE"""),FALSE)</f>
        <v>0</v>
      </c>
      <c r="E189" s="23" t="str">
        <f>IFERROR(__xludf.DUMMYFUNCTION("""COMPUTED_VALUE"""),"Hard")</f>
        <v>Hard</v>
      </c>
      <c r="F189" s="23">
        <f>IFERROR(__xludf.DUMMYFUNCTION("""COMPUTED_VALUE"""),3832.0)</f>
        <v>3832</v>
      </c>
      <c r="G189" s="23">
        <f>IFERROR(__xludf.DUMMYFUNCTION("""COMPUTED_VALUE"""),152.0)</f>
        <v>152</v>
      </c>
      <c r="H189" s="23" t="str">
        <f>IFERROR(__xludf.DUMMYFUNCTION("""COMPUTED_VALUE"""),"Algorithms")</f>
        <v>Algorithms</v>
      </c>
      <c r="I189" s="23">
        <f>IFERROR(__xludf.DUMMYFUNCTION("""COMPUTED_VALUE"""),0.336)</f>
        <v>0.336</v>
      </c>
      <c r="J189" s="23">
        <f>IFERROR(__xludf.DUMMYFUNCTION("""COMPUTED_VALUE"""),188.0)</f>
        <v>188</v>
      </c>
      <c r="K189" s="23" t="b">
        <f>IFERROR(__xludf.DUMMYFUNCTION("""COMPUTED_VALUE"""),FALSE)</f>
        <v>0</v>
      </c>
      <c r="L189" s="23" t="str">
        <f>IFERROR(__xludf.DUMMYFUNCTION("""COMPUTED_VALUE"""),"Array;Dynamic Programming;")</f>
        <v>Array;Dynamic Programming;</v>
      </c>
      <c r="M189" s="23" t="b">
        <f>IFERROR(__xludf.DUMMYFUNCTION("""COMPUTED_VALUE"""),TRUE)</f>
        <v>1</v>
      </c>
      <c r="N189" s="23" t="b">
        <f>IFERROR(__xludf.DUMMYFUNCTION("""COMPUTED_VALUE"""),FALSE)</f>
        <v>0</v>
      </c>
      <c r="O189" s="23">
        <f>IFERROR(__xludf.DUMMYFUNCTION("""COMPUTED_VALUE"""),33.591960485436)</f>
        <v>33.59196049</v>
      </c>
      <c r="P189" s="23">
        <f>IFERROR(__xludf.DUMMYFUNCTION("""COMPUTED_VALUE"""),241977.0)</f>
        <v>241977</v>
      </c>
      <c r="Q189" s="23">
        <f>IFERROR(__xludf.DUMMYFUNCTION("""COMPUTED_VALUE"""),720342.0)</f>
        <v>720342</v>
      </c>
    </row>
    <row r="190">
      <c r="A190" s="23">
        <f>IFERROR(__xludf.DUMMYFUNCTION("""COMPUTED_VALUE"""),189.0)</f>
        <v>189</v>
      </c>
      <c r="B190" s="23" t="str">
        <f>IFERROR(__xludf.DUMMYFUNCTION("""COMPUTED_VALUE"""),"Rotate Array")</f>
        <v>Rotate Array</v>
      </c>
      <c r="C190" s="23" t="str">
        <f>IFERROR(__xludf.DUMMYFUNCTION("""COMPUTED_VALUE"""),"rotate-array")</f>
        <v>rotate-array</v>
      </c>
      <c r="D190" s="23" t="b">
        <f>IFERROR(__xludf.DUMMYFUNCTION("""COMPUTED_VALUE"""),FALSE)</f>
        <v>0</v>
      </c>
      <c r="E190" s="23" t="str">
        <f>IFERROR(__xludf.DUMMYFUNCTION("""COMPUTED_VALUE"""),"Medium")</f>
        <v>Medium</v>
      </c>
      <c r="F190" s="23">
        <f>IFERROR(__xludf.DUMMYFUNCTION("""COMPUTED_VALUE"""),9223.0)</f>
        <v>9223</v>
      </c>
      <c r="G190" s="23">
        <f>IFERROR(__xludf.DUMMYFUNCTION("""COMPUTED_VALUE"""),1278.0)</f>
        <v>1278</v>
      </c>
      <c r="H190" s="23" t="str">
        <f>IFERROR(__xludf.DUMMYFUNCTION("""COMPUTED_VALUE"""),"Algorithms")</f>
        <v>Algorithms</v>
      </c>
      <c r="I190" s="23">
        <f>IFERROR(__xludf.DUMMYFUNCTION("""COMPUTED_VALUE"""),0.386)</f>
        <v>0.386</v>
      </c>
      <c r="J190" s="23">
        <f>IFERROR(__xludf.DUMMYFUNCTION("""COMPUTED_VALUE"""),189.0)</f>
        <v>189</v>
      </c>
      <c r="K190" s="23" t="b">
        <f>IFERROR(__xludf.DUMMYFUNCTION("""COMPUTED_VALUE"""),FALSE)</f>
        <v>0</v>
      </c>
      <c r="L190" s="23" t="str">
        <f>IFERROR(__xludf.DUMMYFUNCTION("""COMPUTED_VALUE"""),"Array;Math;Two Pointers;")</f>
        <v>Array;Math;Two Pointers;</v>
      </c>
      <c r="M190" s="23" t="b">
        <f>IFERROR(__xludf.DUMMYFUNCTION("""COMPUTED_VALUE"""),TRUE)</f>
        <v>1</v>
      </c>
      <c r="N190" s="23" t="b">
        <f>IFERROR(__xludf.DUMMYFUNCTION("""COMPUTED_VALUE"""),FALSE)</f>
        <v>0</v>
      </c>
      <c r="O190" s="23">
        <f>IFERROR(__xludf.DUMMYFUNCTION("""COMPUTED_VALUE"""),38.5631067411275)</f>
        <v>38.56310674</v>
      </c>
      <c r="P190" s="23">
        <f>IFERROR(__xludf.DUMMYFUNCTION("""COMPUTED_VALUE"""),1089374.0)</f>
        <v>1089374</v>
      </c>
      <c r="Q190" s="23">
        <f>IFERROR(__xludf.DUMMYFUNCTION("""COMPUTED_VALUE"""),2824911.0)</f>
        <v>2824911</v>
      </c>
    </row>
    <row r="191">
      <c r="A191" s="23">
        <f>IFERROR(__xludf.DUMMYFUNCTION("""COMPUTED_VALUE"""),190.0)</f>
        <v>190</v>
      </c>
      <c r="B191" s="23" t="str">
        <f>IFERROR(__xludf.DUMMYFUNCTION("""COMPUTED_VALUE"""),"Reverse Bits")</f>
        <v>Reverse Bits</v>
      </c>
      <c r="C191" s="23" t="str">
        <f>IFERROR(__xludf.DUMMYFUNCTION("""COMPUTED_VALUE"""),"reverse-bits")</f>
        <v>reverse-bits</v>
      </c>
      <c r="D191" s="23" t="b">
        <f>IFERROR(__xludf.DUMMYFUNCTION("""COMPUTED_VALUE"""),FALSE)</f>
        <v>0</v>
      </c>
      <c r="E191" s="23" t="str">
        <f>IFERROR(__xludf.DUMMYFUNCTION("""COMPUTED_VALUE"""),"Easy")</f>
        <v>Easy</v>
      </c>
      <c r="F191" s="23">
        <f>IFERROR(__xludf.DUMMYFUNCTION("""COMPUTED_VALUE"""),2973.0)</f>
        <v>2973</v>
      </c>
      <c r="G191" s="23">
        <f>IFERROR(__xludf.DUMMYFUNCTION("""COMPUTED_VALUE"""),792.0)</f>
        <v>792</v>
      </c>
      <c r="H191" s="23" t="str">
        <f>IFERROR(__xludf.DUMMYFUNCTION("""COMPUTED_VALUE"""),"Algorithms")</f>
        <v>Algorithms</v>
      </c>
      <c r="I191" s="23">
        <f>IFERROR(__xludf.DUMMYFUNCTION("""COMPUTED_VALUE"""),0.488)</f>
        <v>0.488</v>
      </c>
      <c r="J191" s="23">
        <f>IFERROR(__xludf.DUMMYFUNCTION("""COMPUTED_VALUE"""),190.0)</f>
        <v>190</v>
      </c>
      <c r="K191" s="23" t="b">
        <f>IFERROR(__xludf.DUMMYFUNCTION("""COMPUTED_VALUE"""),FALSE)</f>
        <v>0</v>
      </c>
      <c r="L191" s="23" t="str">
        <f>IFERROR(__xludf.DUMMYFUNCTION("""COMPUTED_VALUE"""),"Divide and Conquer;Bit Manipulation;")</f>
        <v>Divide and Conquer;Bit Manipulation;</v>
      </c>
      <c r="M191" s="23" t="b">
        <f>IFERROR(__xludf.DUMMYFUNCTION("""COMPUTED_VALUE"""),TRUE)</f>
        <v>1</v>
      </c>
      <c r="N191" s="23" t="b">
        <f>IFERROR(__xludf.DUMMYFUNCTION("""COMPUTED_VALUE"""),FALSE)</f>
        <v>0</v>
      </c>
      <c r="O191" s="23">
        <f>IFERROR(__xludf.DUMMYFUNCTION("""COMPUTED_VALUE"""),48.8479480800887)</f>
        <v>48.84794808</v>
      </c>
      <c r="P191" s="23">
        <f>IFERROR(__xludf.DUMMYFUNCTION("""COMPUTED_VALUE"""),464389.0)</f>
        <v>464389</v>
      </c>
      <c r="Q191" s="23">
        <f>IFERROR(__xludf.DUMMYFUNCTION("""COMPUTED_VALUE"""),950688.0)</f>
        <v>950688</v>
      </c>
    </row>
    <row r="192">
      <c r="A192" s="23">
        <f>IFERROR(__xludf.DUMMYFUNCTION("""COMPUTED_VALUE"""),191.0)</f>
        <v>191</v>
      </c>
      <c r="B192" s="23" t="str">
        <f>IFERROR(__xludf.DUMMYFUNCTION("""COMPUTED_VALUE"""),"Number of 1 Bits")</f>
        <v>Number of 1 Bits</v>
      </c>
      <c r="C192" s="23" t="str">
        <f>IFERROR(__xludf.DUMMYFUNCTION("""COMPUTED_VALUE"""),"number-of-1-bits")</f>
        <v>number-of-1-bits</v>
      </c>
      <c r="D192" s="23" t="b">
        <f>IFERROR(__xludf.DUMMYFUNCTION("""COMPUTED_VALUE"""),FALSE)</f>
        <v>0</v>
      </c>
      <c r="E192" s="23" t="str">
        <f>IFERROR(__xludf.DUMMYFUNCTION("""COMPUTED_VALUE"""),"Easy")</f>
        <v>Easy</v>
      </c>
      <c r="F192" s="23">
        <f>IFERROR(__xludf.DUMMYFUNCTION("""COMPUTED_VALUE"""),2982.0)</f>
        <v>2982</v>
      </c>
      <c r="G192" s="23">
        <f>IFERROR(__xludf.DUMMYFUNCTION("""COMPUTED_VALUE"""),791.0)</f>
        <v>791</v>
      </c>
      <c r="H192" s="23" t="str">
        <f>IFERROR(__xludf.DUMMYFUNCTION("""COMPUTED_VALUE"""),"Algorithms")</f>
        <v>Algorithms</v>
      </c>
      <c r="I192" s="23">
        <f>IFERROR(__xludf.DUMMYFUNCTION("""COMPUTED_VALUE"""),0.605)</f>
        <v>0.605</v>
      </c>
      <c r="J192" s="23">
        <f>IFERROR(__xludf.DUMMYFUNCTION("""COMPUTED_VALUE"""),191.0)</f>
        <v>191</v>
      </c>
      <c r="K192" s="23" t="b">
        <f>IFERROR(__xludf.DUMMYFUNCTION("""COMPUTED_VALUE"""),FALSE)</f>
        <v>0</v>
      </c>
      <c r="L192" s="23" t="str">
        <f>IFERROR(__xludf.DUMMYFUNCTION("""COMPUTED_VALUE"""),"Bit Manipulation;")</f>
        <v>Bit Manipulation;</v>
      </c>
      <c r="M192" s="23" t="b">
        <f>IFERROR(__xludf.DUMMYFUNCTION("""COMPUTED_VALUE"""),TRUE)</f>
        <v>1</v>
      </c>
      <c r="N192" s="23" t="b">
        <f>IFERROR(__xludf.DUMMYFUNCTION("""COMPUTED_VALUE"""),FALSE)</f>
        <v>0</v>
      </c>
      <c r="O192" s="23">
        <f>IFERROR(__xludf.DUMMYFUNCTION("""COMPUTED_VALUE"""),60.4577611105696)</f>
        <v>60.45776111</v>
      </c>
      <c r="P192" s="23">
        <f>IFERROR(__xludf.DUMMYFUNCTION("""COMPUTED_VALUE"""),707084.0)</f>
        <v>707084</v>
      </c>
      <c r="Q192" s="23">
        <f>IFERROR(__xludf.DUMMYFUNCTION("""COMPUTED_VALUE"""),1169553.0)</f>
        <v>1169553</v>
      </c>
    </row>
    <row r="193">
      <c r="A193" s="23">
        <f>IFERROR(__xludf.DUMMYFUNCTION("""COMPUTED_VALUE"""),192.0)</f>
        <v>192</v>
      </c>
      <c r="B193" s="23" t="str">
        <f>IFERROR(__xludf.DUMMYFUNCTION("""COMPUTED_VALUE"""),"Word Frequency")</f>
        <v>Word Frequency</v>
      </c>
      <c r="C193" s="23" t="str">
        <f>IFERROR(__xludf.DUMMYFUNCTION("""COMPUTED_VALUE"""),"word-frequency")</f>
        <v>word-frequency</v>
      </c>
      <c r="D193" s="23" t="b">
        <f>IFERROR(__xludf.DUMMYFUNCTION("""COMPUTED_VALUE"""),FALSE)</f>
        <v>0</v>
      </c>
      <c r="E193" s="23" t="str">
        <f>IFERROR(__xludf.DUMMYFUNCTION("""COMPUTED_VALUE"""),"Medium")</f>
        <v>Medium</v>
      </c>
      <c r="F193" s="23">
        <f>IFERROR(__xludf.DUMMYFUNCTION("""COMPUTED_VALUE"""),367.0)</f>
        <v>367</v>
      </c>
      <c r="G193" s="23">
        <f>IFERROR(__xludf.DUMMYFUNCTION("""COMPUTED_VALUE"""),240.0)</f>
        <v>240</v>
      </c>
      <c r="H193" s="23" t="str">
        <f>IFERROR(__xludf.DUMMYFUNCTION("""COMPUTED_VALUE"""),"Shell")</f>
        <v>Shell</v>
      </c>
      <c r="I193" s="23">
        <f>IFERROR(__xludf.DUMMYFUNCTION("""COMPUTED_VALUE"""),0.256)</f>
        <v>0.256</v>
      </c>
      <c r="J193" s="23">
        <f>IFERROR(__xludf.DUMMYFUNCTION("""COMPUTED_VALUE"""),192.0)</f>
        <v>192</v>
      </c>
      <c r="K193" s="23" t="b">
        <f>IFERROR(__xludf.DUMMYFUNCTION("""COMPUTED_VALUE"""),FALSE)</f>
        <v>0</v>
      </c>
      <c r="L193" s="23" t="str">
        <f>IFERROR(__xludf.DUMMYFUNCTION("""COMPUTED_VALUE"""),"Shell;")</f>
        <v>Shell;</v>
      </c>
      <c r="M193" s="23" t="b">
        <f>IFERROR(__xludf.DUMMYFUNCTION("""COMPUTED_VALUE"""),FALSE)</f>
        <v>0</v>
      </c>
      <c r="N193" s="23" t="b">
        <f>IFERROR(__xludf.DUMMYFUNCTION("""COMPUTED_VALUE"""),FALSE)</f>
        <v>0</v>
      </c>
      <c r="O193" s="23">
        <f>IFERROR(__xludf.DUMMYFUNCTION("""COMPUTED_VALUE"""),25.59501583482)</f>
        <v>25.59501583</v>
      </c>
      <c r="P193" s="23">
        <f>IFERROR(__xludf.DUMMYFUNCTION("""COMPUTED_VALUE"""),37015.0)</f>
        <v>37015</v>
      </c>
      <c r="Q193" s="23">
        <f>IFERROR(__xludf.DUMMYFUNCTION("""COMPUTED_VALUE"""),144618.0)</f>
        <v>144618</v>
      </c>
    </row>
    <row r="194">
      <c r="A194" s="23">
        <f>IFERROR(__xludf.DUMMYFUNCTION("""COMPUTED_VALUE"""),193.0)</f>
        <v>193</v>
      </c>
      <c r="B194" s="23" t="str">
        <f>IFERROR(__xludf.DUMMYFUNCTION("""COMPUTED_VALUE"""),"Valid Phone Numbers")</f>
        <v>Valid Phone Numbers</v>
      </c>
      <c r="C194" s="23" t="str">
        <f>IFERROR(__xludf.DUMMYFUNCTION("""COMPUTED_VALUE"""),"valid-phone-numbers")</f>
        <v>valid-phone-numbers</v>
      </c>
      <c r="D194" s="23" t="b">
        <f>IFERROR(__xludf.DUMMYFUNCTION("""COMPUTED_VALUE"""),FALSE)</f>
        <v>0</v>
      </c>
      <c r="E194" s="23" t="str">
        <f>IFERROR(__xludf.DUMMYFUNCTION("""COMPUTED_VALUE"""),"Easy")</f>
        <v>Easy</v>
      </c>
      <c r="F194" s="23">
        <f>IFERROR(__xludf.DUMMYFUNCTION("""COMPUTED_VALUE"""),269.0)</f>
        <v>269</v>
      </c>
      <c r="G194" s="23">
        <f>IFERROR(__xludf.DUMMYFUNCTION("""COMPUTED_VALUE"""),708.0)</f>
        <v>708</v>
      </c>
      <c r="H194" s="23" t="str">
        <f>IFERROR(__xludf.DUMMYFUNCTION("""COMPUTED_VALUE"""),"Shell")</f>
        <v>Shell</v>
      </c>
      <c r="I194" s="23">
        <f>IFERROR(__xludf.DUMMYFUNCTION("""COMPUTED_VALUE"""),0.258)</f>
        <v>0.258</v>
      </c>
      <c r="J194" s="23">
        <f>IFERROR(__xludf.DUMMYFUNCTION("""COMPUTED_VALUE"""),193.0)</f>
        <v>193</v>
      </c>
      <c r="K194" s="23" t="b">
        <f>IFERROR(__xludf.DUMMYFUNCTION("""COMPUTED_VALUE"""),FALSE)</f>
        <v>0</v>
      </c>
      <c r="L194" s="23" t="str">
        <f>IFERROR(__xludf.DUMMYFUNCTION("""COMPUTED_VALUE"""),"Shell;")</f>
        <v>Shell;</v>
      </c>
      <c r="M194" s="23" t="b">
        <f>IFERROR(__xludf.DUMMYFUNCTION("""COMPUTED_VALUE"""),FALSE)</f>
        <v>0</v>
      </c>
      <c r="N194" s="23" t="b">
        <f>IFERROR(__xludf.DUMMYFUNCTION("""COMPUTED_VALUE"""),FALSE)</f>
        <v>0</v>
      </c>
      <c r="O194" s="23">
        <f>IFERROR(__xludf.DUMMYFUNCTION("""COMPUTED_VALUE"""),25.8154224545124)</f>
        <v>25.81542245</v>
      </c>
      <c r="P194" s="23">
        <f>IFERROR(__xludf.DUMMYFUNCTION("""COMPUTED_VALUE"""),55419.0)</f>
        <v>55419</v>
      </c>
      <c r="Q194" s="23">
        <f>IFERROR(__xludf.DUMMYFUNCTION("""COMPUTED_VALUE"""),214674.0)</f>
        <v>214674</v>
      </c>
    </row>
    <row r="195">
      <c r="A195" s="23">
        <f>IFERROR(__xludf.DUMMYFUNCTION("""COMPUTED_VALUE"""),194.0)</f>
        <v>194</v>
      </c>
      <c r="B195" s="23" t="str">
        <f>IFERROR(__xludf.DUMMYFUNCTION("""COMPUTED_VALUE"""),"Transpose File")</f>
        <v>Transpose File</v>
      </c>
      <c r="C195" s="23" t="str">
        <f>IFERROR(__xludf.DUMMYFUNCTION("""COMPUTED_VALUE"""),"transpose-file")</f>
        <v>transpose-file</v>
      </c>
      <c r="D195" s="23" t="b">
        <f>IFERROR(__xludf.DUMMYFUNCTION("""COMPUTED_VALUE"""),FALSE)</f>
        <v>0</v>
      </c>
      <c r="E195" s="23" t="str">
        <f>IFERROR(__xludf.DUMMYFUNCTION("""COMPUTED_VALUE"""),"Medium")</f>
        <v>Medium</v>
      </c>
      <c r="F195" s="23">
        <f>IFERROR(__xludf.DUMMYFUNCTION("""COMPUTED_VALUE"""),105.0)</f>
        <v>105</v>
      </c>
      <c r="G195" s="23">
        <f>IFERROR(__xludf.DUMMYFUNCTION("""COMPUTED_VALUE"""),242.0)</f>
        <v>242</v>
      </c>
      <c r="H195" s="23" t="str">
        <f>IFERROR(__xludf.DUMMYFUNCTION("""COMPUTED_VALUE"""),"Shell")</f>
        <v>Shell</v>
      </c>
      <c r="I195" s="23">
        <f>IFERROR(__xludf.DUMMYFUNCTION("""COMPUTED_VALUE"""),0.251)</f>
        <v>0.251</v>
      </c>
      <c r="J195" s="23">
        <f>IFERROR(__xludf.DUMMYFUNCTION("""COMPUTED_VALUE"""),194.0)</f>
        <v>194</v>
      </c>
      <c r="K195" s="23" t="b">
        <f>IFERROR(__xludf.DUMMYFUNCTION("""COMPUTED_VALUE"""),FALSE)</f>
        <v>0</v>
      </c>
      <c r="L195" s="23" t="str">
        <f>IFERROR(__xludf.DUMMYFUNCTION("""COMPUTED_VALUE"""),"Shell;")</f>
        <v>Shell;</v>
      </c>
      <c r="M195" s="23" t="b">
        <f>IFERROR(__xludf.DUMMYFUNCTION("""COMPUTED_VALUE"""),FALSE)</f>
        <v>0</v>
      </c>
      <c r="N195" s="23" t="b">
        <f>IFERROR(__xludf.DUMMYFUNCTION("""COMPUTED_VALUE"""),FALSE)</f>
        <v>0</v>
      </c>
      <c r="O195" s="23">
        <f>IFERROR(__xludf.DUMMYFUNCTION("""COMPUTED_VALUE"""),25.0613947234836)</f>
        <v>25.06139472</v>
      </c>
      <c r="P195" s="23">
        <f>IFERROR(__xludf.DUMMYFUNCTION("""COMPUTED_VALUE"""),18267.0)</f>
        <v>18267</v>
      </c>
      <c r="Q195" s="23">
        <f>IFERROR(__xludf.DUMMYFUNCTION("""COMPUTED_VALUE"""),72888.0)</f>
        <v>72888</v>
      </c>
    </row>
    <row r="196">
      <c r="A196" s="23">
        <f>IFERROR(__xludf.DUMMYFUNCTION("""COMPUTED_VALUE"""),195.0)</f>
        <v>195</v>
      </c>
      <c r="B196" s="23" t="str">
        <f>IFERROR(__xludf.DUMMYFUNCTION("""COMPUTED_VALUE"""),"Tenth Line")</f>
        <v>Tenth Line</v>
      </c>
      <c r="C196" s="23" t="str">
        <f>IFERROR(__xludf.DUMMYFUNCTION("""COMPUTED_VALUE"""),"tenth-line")</f>
        <v>tenth-line</v>
      </c>
      <c r="D196" s="23" t="b">
        <f>IFERROR(__xludf.DUMMYFUNCTION("""COMPUTED_VALUE"""),FALSE)</f>
        <v>0</v>
      </c>
      <c r="E196" s="23" t="str">
        <f>IFERROR(__xludf.DUMMYFUNCTION("""COMPUTED_VALUE"""),"Easy")</f>
        <v>Easy</v>
      </c>
      <c r="F196" s="23">
        <f>IFERROR(__xludf.DUMMYFUNCTION("""COMPUTED_VALUE"""),259.0)</f>
        <v>259</v>
      </c>
      <c r="G196" s="23">
        <f>IFERROR(__xludf.DUMMYFUNCTION("""COMPUTED_VALUE"""),339.0)</f>
        <v>339</v>
      </c>
      <c r="H196" s="23" t="str">
        <f>IFERROR(__xludf.DUMMYFUNCTION("""COMPUTED_VALUE"""),"Shell")</f>
        <v>Shell</v>
      </c>
      <c r="I196" s="23">
        <f>IFERROR(__xludf.DUMMYFUNCTION("""COMPUTED_VALUE"""),0.329)</f>
        <v>0.329</v>
      </c>
      <c r="J196" s="23">
        <f>IFERROR(__xludf.DUMMYFUNCTION("""COMPUTED_VALUE"""),195.0)</f>
        <v>195</v>
      </c>
      <c r="K196" s="23" t="b">
        <f>IFERROR(__xludf.DUMMYFUNCTION("""COMPUTED_VALUE"""),FALSE)</f>
        <v>0</v>
      </c>
      <c r="L196" s="23" t="str">
        <f>IFERROR(__xludf.DUMMYFUNCTION("""COMPUTED_VALUE"""),"Shell;")</f>
        <v>Shell;</v>
      </c>
      <c r="M196" s="23" t="b">
        <f>IFERROR(__xludf.DUMMYFUNCTION("""COMPUTED_VALUE"""),FALSE)</f>
        <v>0</v>
      </c>
      <c r="N196" s="23" t="b">
        <f>IFERROR(__xludf.DUMMYFUNCTION("""COMPUTED_VALUE"""),FALSE)</f>
        <v>0</v>
      </c>
      <c r="O196" s="23">
        <f>IFERROR(__xludf.DUMMYFUNCTION("""COMPUTED_VALUE"""),32.8635218737186)</f>
        <v>32.86352187</v>
      </c>
      <c r="P196" s="23">
        <f>IFERROR(__xludf.DUMMYFUNCTION("""COMPUTED_VALUE"""),72935.0)</f>
        <v>72935</v>
      </c>
      <c r="Q196" s="23">
        <f>IFERROR(__xludf.DUMMYFUNCTION("""COMPUTED_VALUE"""),221933.0)</f>
        <v>221933</v>
      </c>
    </row>
    <row r="197">
      <c r="A197" s="23">
        <f>IFERROR(__xludf.DUMMYFUNCTION("""COMPUTED_VALUE"""),196.0)</f>
        <v>196</v>
      </c>
      <c r="B197" s="23" t="str">
        <f>IFERROR(__xludf.DUMMYFUNCTION("""COMPUTED_VALUE"""),"Delete Duplicate Emails")</f>
        <v>Delete Duplicate Emails</v>
      </c>
      <c r="C197" s="23" t="str">
        <f>IFERROR(__xludf.DUMMYFUNCTION("""COMPUTED_VALUE"""),"delete-duplicate-emails")</f>
        <v>delete-duplicate-emails</v>
      </c>
      <c r="D197" s="23" t="b">
        <f>IFERROR(__xludf.DUMMYFUNCTION("""COMPUTED_VALUE"""),FALSE)</f>
        <v>0</v>
      </c>
      <c r="E197" s="23" t="str">
        <f>IFERROR(__xludf.DUMMYFUNCTION("""COMPUTED_VALUE"""),"Easy")</f>
        <v>Easy</v>
      </c>
      <c r="F197" s="23">
        <f>IFERROR(__xludf.DUMMYFUNCTION("""COMPUTED_VALUE"""),98.0)</f>
        <v>98</v>
      </c>
      <c r="G197" s="23">
        <f>IFERROR(__xludf.DUMMYFUNCTION("""COMPUTED_VALUE"""),22.0)</f>
        <v>22</v>
      </c>
      <c r="H197" s="23" t="str">
        <f>IFERROR(__xludf.DUMMYFUNCTION("""COMPUTED_VALUE"""),"Database")</f>
        <v>Database</v>
      </c>
      <c r="I197" s="23">
        <f>IFERROR(__xludf.DUMMYFUNCTION("""COMPUTED_VALUE"""),0.523)</f>
        <v>0.523</v>
      </c>
      <c r="J197" s="23">
        <f>IFERROR(__xludf.DUMMYFUNCTION("""COMPUTED_VALUE"""),196.0)</f>
        <v>196</v>
      </c>
      <c r="K197" s="23" t="b">
        <f>IFERROR(__xludf.DUMMYFUNCTION("""COMPUTED_VALUE"""),FALSE)</f>
        <v>0</v>
      </c>
      <c r="L197" s="23" t="str">
        <f>IFERROR(__xludf.DUMMYFUNCTION("""COMPUTED_VALUE"""),"Database;")</f>
        <v>Database;</v>
      </c>
      <c r="M197" s="23" t="b">
        <f>IFERROR(__xludf.DUMMYFUNCTION("""COMPUTED_VALUE"""),TRUE)</f>
        <v>1</v>
      </c>
      <c r="N197" s="23" t="b">
        <f>IFERROR(__xludf.DUMMYFUNCTION("""COMPUTED_VALUE"""),FALSE)</f>
        <v>0</v>
      </c>
      <c r="O197" s="23">
        <f>IFERROR(__xludf.DUMMYFUNCTION("""COMPUTED_VALUE"""),52.3450283083071)</f>
        <v>52.34502831</v>
      </c>
      <c r="P197" s="23">
        <f>IFERROR(__xludf.DUMMYFUNCTION("""COMPUTED_VALUE"""),216899.0)</f>
        <v>216899</v>
      </c>
      <c r="Q197" s="23">
        <f>IFERROR(__xludf.DUMMYFUNCTION("""COMPUTED_VALUE"""),414365.0)</f>
        <v>414365</v>
      </c>
    </row>
    <row r="198">
      <c r="A198" s="23">
        <f>IFERROR(__xludf.DUMMYFUNCTION("""COMPUTED_VALUE"""),197.0)</f>
        <v>197</v>
      </c>
      <c r="B198" s="23" t="str">
        <f>IFERROR(__xludf.DUMMYFUNCTION("""COMPUTED_VALUE"""),"Rising Temperature")</f>
        <v>Rising Temperature</v>
      </c>
      <c r="C198" s="23" t="str">
        <f>IFERROR(__xludf.DUMMYFUNCTION("""COMPUTED_VALUE"""),"rising-temperature")</f>
        <v>rising-temperature</v>
      </c>
      <c r="D198" s="23" t="b">
        <f>IFERROR(__xludf.DUMMYFUNCTION("""COMPUTED_VALUE"""),FALSE)</f>
        <v>0</v>
      </c>
      <c r="E198" s="23" t="str">
        <f>IFERROR(__xludf.DUMMYFUNCTION("""COMPUTED_VALUE"""),"Easy")</f>
        <v>Easy</v>
      </c>
      <c r="F198" s="23">
        <f>IFERROR(__xludf.DUMMYFUNCTION("""COMPUTED_VALUE"""),865.0)</f>
        <v>865</v>
      </c>
      <c r="G198" s="23">
        <f>IFERROR(__xludf.DUMMYFUNCTION("""COMPUTED_VALUE"""),353.0)</f>
        <v>353</v>
      </c>
      <c r="H198" s="23" t="str">
        <f>IFERROR(__xludf.DUMMYFUNCTION("""COMPUTED_VALUE"""),"Database")</f>
        <v>Database</v>
      </c>
      <c r="I198" s="23">
        <f>IFERROR(__xludf.DUMMYFUNCTION("""COMPUTED_VALUE"""),0.425)</f>
        <v>0.425</v>
      </c>
      <c r="J198" s="23">
        <f>IFERROR(__xludf.DUMMYFUNCTION("""COMPUTED_VALUE"""),197.0)</f>
        <v>197</v>
      </c>
      <c r="K198" s="23" t="b">
        <f>IFERROR(__xludf.DUMMYFUNCTION("""COMPUTED_VALUE"""),FALSE)</f>
        <v>0</v>
      </c>
      <c r="L198" s="23" t="str">
        <f>IFERROR(__xludf.DUMMYFUNCTION("""COMPUTED_VALUE"""),"Database;")</f>
        <v>Database;</v>
      </c>
      <c r="M198" s="23" t="b">
        <f>IFERROR(__xludf.DUMMYFUNCTION("""COMPUTED_VALUE"""),TRUE)</f>
        <v>1</v>
      </c>
      <c r="N198" s="23" t="b">
        <f>IFERROR(__xludf.DUMMYFUNCTION("""COMPUTED_VALUE"""),FALSE)</f>
        <v>0</v>
      </c>
      <c r="O198" s="23">
        <f>IFERROR(__xludf.DUMMYFUNCTION("""COMPUTED_VALUE"""),42.5108956684159)</f>
        <v>42.51089567</v>
      </c>
      <c r="P198" s="23">
        <f>IFERROR(__xludf.DUMMYFUNCTION("""COMPUTED_VALUE"""),219855.0)</f>
        <v>219855</v>
      </c>
      <c r="Q198" s="23">
        <f>IFERROR(__xludf.DUMMYFUNCTION("""COMPUTED_VALUE"""),517176.0)</f>
        <v>517176</v>
      </c>
    </row>
    <row r="199">
      <c r="A199" s="23">
        <f>IFERROR(__xludf.DUMMYFUNCTION("""COMPUTED_VALUE"""),198.0)</f>
        <v>198</v>
      </c>
      <c r="B199" s="23" t="str">
        <f>IFERROR(__xludf.DUMMYFUNCTION("""COMPUTED_VALUE"""),"House Robber")</f>
        <v>House Robber</v>
      </c>
      <c r="C199" s="23" t="str">
        <f>IFERROR(__xludf.DUMMYFUNCTION("""COMPUTED_VALUE"""),"house-robber")</f>
        <v>house-robber</v>
      </c>
      <c r="D199" s="23" t="b">
        <f>IFERROR(__xludf.DUMMYFUNCTION("""COMPUTED_VALUE"""),FALSE)</f>
        <v>0</v>
      </c>
      <c r="E199" s="23" t="str">
        <f>IFERROR(__xludf.DUMMYFUNCTION("""COMPUTED_VALUE"""),"Medium")</f>
        <v>Medium</v>
      </c>
      <c r="F199" s="23">
        <f>IFERROR(__xludf.DUMMYFUNCTION("""COMPUTED_VALUE"""),11994.0)</f>
        <v>11994</v>
      </c>
      <c r="G199" s="23">
        <f>IFERROR(__xludf.DUMMYFUNCTION("""COMPUTED_VALUE"""),258.0)</f>
        <v>258</v>
      </c>
      <c r="H199" s="23" t="str">
        <f>IFERROR(__xludf.DUMMYFUNCTION("""COMPUTED_VALUE"""),"Algorithms")</f>
        <v>Algorithms</v>
      </c>
      <c r="I199" s="23">
        <f>IFERROR(__xludf.DUMMYFUNCTION("""COMPUTED_VALUE"""),0.471)</f>
        <v>0.471</v>
      </c>
      <c r="J199" s="23">
        <f>IFERROR(__xludf.DUMMYFUNCTION("""COMPUTED_VALUE"""),198.0)</f>
        <v>198</v>
      </c>
      <c r="K199" s="23" t="b">
        <f>IFERROR(__xludf.DUMMYFUNCTION("""COMPUTED_VALUE"""),FALSE)</f>
        <v>0</v>
      </c>
      <c r="L199" s="23" t="str">
        <f>IFERROR(__xludf.DUMMYFUNCTION("""COMPUTED_VALUE"""),"Array;Dynamic Programming;")</f>
        <v>Array;Dynamic Programming;</v>
      </c>
      <c r="M199" s="23" t="b">
        <f>IFERROR(__xludf.DUMMYFUNCTION("""COMPUTED_VALUE"""),TRUE)</f>
        <v>1</v>
      </c>
      <c r="N199" s="23" t="b">
        <f>IFERROR(__xludf.DUMMYFUNCTION("""COMPUTED_VALUE"""),FALSE)</f>
        <v>0</v>
      </c>
      <c r="O199" s="23">
        <f>IFERROR(__xludf.DUMMYFUNCTION("""COMPUTED_VALUE"""),47.1346191444974)</f>
        <v>47.13461914</v>
      </c>
      <c r="P199" s="23">
        <f>IFERROR(__xludf.DUMMYFUNCTION("""COMPUTED_VALUE"""),1111375.0)</f>
        <v>1111375</v>
      </c>
      <c r="Q199" s="23">
        <f>IFERROR(__xludf.DUMMYFUNCTION("""COMPUTED_VALUE"""),2357880.0)</f>
        <v>2357880</v>
      </c>
    </row>
    <row r="200">
      <c r="A200" s="23">
        <f>IFERROR(__xludf.DUMMYFUNCTION("""COMPUTED_VALUE"""),199.0)</f>
        <v>199</v>
      </c>
      <c r="B200" s="23" t="str">
        <f>IFERROR(__xludf.DUMMYFUNCTION("""COMPUTED_VALUE"""),"Binary Tree Right Side View")</f>
        <v>Binary Tree Right Side View</v>
      </c>
      <c r="C200" s="23" t="str">
        <f>IFERROR(__xludf.DUMMYFUNCTION("""COMPUTED_VALUE"""),"binary-tree-right-side-view")</f>
        <v>binary-tree-right-side-view</v>
      </c>
      <c r="D200" s="23" t="b">
        <f>IFERROR(__xludf.DUMMYFUNCTION("""COMPUTED_VALUE"""),FALSE)</f>
        <v>0</v>
      </c>
      <c r="E200" s="23" t="str">
        <f>IFERROR(__xludf.DUMMYFUNCTION("""COMPUTED_VALUE"""),"Medium")</f>
        <v>Medium</v>
      </c>
      <c r="F200" s="23">
        <f>IFERROR(__xludf.DUMMYFUNCTION("""COMPUTED_VALUE"""),6368.0)</f>
        <v>6368</v>
      </c>
      <c r="G200" s="23">
        <f>IFERROR(__xludf.DUMMYFUNCTION("""COMPUTED_VALUE"""),347.0)</f>
        <v>347</v>
      </c>
      <c r="H200" s="23" t="str">
        <f>IFERROR(__xludf.DUMMYFUNCTION("""COMPUTED_VALUE"""),"Algorithms")</f>
        <v>Algorithms</v>
      </c>
      <c r="I200" s="23">
        <f>IFERROR(__xludf.DUMMYFUNCTION("""COMPUTED_VALUE"""),0.596)</f>
        <v>0.596</v>
      </c>
      <c r="J200" s="23">
        <f>IFERROR(__xludf.DUMMYFUNCTION("""COMPUTED_VALUE"""),199.0)</f>
        <v>199</v>
      </c>
      <c r="K200" s="23" t="b">
        <f>IFERROR(__xludf.DUMMYFUNCTION("""COMPUTED_VALUE"""),FALSE)</f>
        <v>0</v>
      </c>
      <c r="L200" s="23" t="str">
        <f>IFERROR(__xludf.DUMMYFUNCTION("""COMPUTED_VALUE"""),"Tree;Depth-First Search;Breadth-First Search;Binary Tree;")</f>
        <v>Tree;Depth-First Search;Breadth-First Search;Binary Tree;</v>
      </c>
      <c r="M200" s="23" t="b">
        <f>IFERROR(__xludf.DUMMYFUNCTION("""COMPUTED_VALUE"""),TRUE)</f>
        <v>1</v>
      </c>
      <c r="N200" s="23" t="b">
        <f>IFERROR(__xludf.DUMMYFUNCTION("""COMPUTED_VALUE"""),FALSE)</f>
        <v>0</v>
      </c>
      <c r="O200" s="23">
        <f>IFERROR(__xludf.DUMMYFUNCTION("""COMPUTED_VALUE"""),59.5788352189644)</f>
        <v>59.57883522</v>
      </c>
      <c r="P200" s="23">
        <f>IFERROR(__xludf.DUMMYFUNCTION("""COMPUTED_VALUE"""),662092.0)</f>
        <v>662092</v>
      </c>
      <c r="Q200" s="23">
        <f>IFERROR(__xludf.DUMMYFUNCTION("""COMPUTED_VALUE"""),1111290.0)</f>
        <v>1111290</v>
      </c>
    </row>
    <row r="201">
      <c r="A201" s="23">
        <f>IFERROR(__xludf.DUMMYFUNCTION("""COMPUTED_VALUE"""),200.0)</f>
        <v>200</v>
      </c>
      <c r="B201" s="23" t="str">
        <f>IFERROR(__xludf.DUMMYFUNCTION("""COMPUTED_VALUE"""),"Number of Islands")</f>
        <v>Number of Islands</v>
      </c>
      <c r="C201" s="23" t="str">
        <f>IFERROR(__xludf.DUMMYFUNCTION("""COMPUTED_VALUE"""),"number-of-islands")</f>
        <v>number-of-islands</v>
      </c>
      <c r="D201" s="23" t="b">
        <f>IFERROR(__xludf.DUMMYFUNCTION("""COMPUTED_VALUE"""),FALSE)</f>
        <v>0</v>
      </c>
      <c r="E201" s="23" t="str">
        <f>IFERROR(__xludf.DUMMYFUNCTION("""COMPUTED_VALUE"""),"Medium")</f>
        <v>Medium</v>
      </c>
      <c r="F201" s="23">
        <f>IFERROR(__xludf.DUMMYFUNCTION("""COMPUTED_VALUE"""),13396.0)</f>
        <v>13396</v>
      </c>
      <c r="G201" s="23">
        <f>IFERROR(__xludf.DUMMYFUNCTION("""COMPUTED_VALUE"""),319.0)</f>
        <v>319</v>
      </c>
      <c r="H201" s="23" t="str">
        <f>IFERROR(__xludf.DUMMYFUNCTION("""COMPUTED_VALUE"""),"Algorithms")</f>
        <v>Algorithms</v>
      </c>
      <c r="I201" s="23">
        <f>IFERROR(__xludf.DUMMYFUNCTION("""COMPUTED_VALUE"""),0.539)</f>
        <v>0.539</v>
      </c>
      <c r="J201" s="23">
        <f>IFERROR(__xludf.DUMMYFUNCTION("""COMPUTED_VALUE"""),200.0)</f>
        <v>200</v>
      </c>
      <c r="K201" s="23" t="b">
        <f>IFERROR(__xludf.DUMMYFUNCTION("""COMPUTED_VALUE"""),FALSE)</f>
        <v>0</v>
      </c>
      <c r="L201" s="23" t="str">
        <f>IFERROR(__xludf.DUMMYFUNCTION("""COMPUTED_VALUE"""),"Array;Depth-First Search;Breadth-First Search;Union Find;Matrix;")</f>
        <v>Array;Depth-First Search;Breadth-First Search;Union Find;Matrix;</v>
      </c>
      <c r="M201" s="23" t="b">
        <f>IFERROR(__xludf.DUMMYFUNCTION("""COMPUTED_VALUE"""),TRUE)</f>
        <v>1</v>
      </c>
      <c r="N201" s="23" t="b">
        <f>IFERROR(__xludf.DUMMYFUNCTION("""COMPUTED_VALUE"""),FALSE)</f>
        <v>0</v>
      </c>
      <c r="O201" s="23">
        <f>IFERROR(__xludf.DUMMYFUNCTION("""COMPUTED_VALUE"""),53.8762579398333)</f>
        <v>53.87625794</v>
      </c>
      <c r="P201" s="23">
        <f>IFERROR(__xludf.DUMMYFUNCTION("""COMPUTED_VALUE"""),1537180.0)</f>
        <v>1537180</v>
      </c>
      <c r="Q201" s="23">
        <f>IFERROR(__xludf.DUMMYFUNCTION("""COMPUTED_VALUE"""),2853170.0)</f>
        <v>2853170</v>
      </c>
    </row>
    <row r="202">
      <c r="A202" s="23">
        <f>IFERROR(__xludf.DUMMYFUNCTION("""COMPUTED_VALUE"""),201.0)</f>
        <v>201</v>
      </c>
      <c r="B202" s="23" t="str">
        <f>IFERROR(__xludf.DUMMYFUNCTION("""COMPUTED_VALUE"""),"Bitwise AND of Numbers Range")</f>
        <v>Bitwise AND of Numbers Range</v>
      </c>
      <c r="C202" s="23" t="str">
        <f>IFERROR(__xludf.DUMMYFUNCTION("""COMPUTED_VALUE"""),"bitwise-and-of-numbers-range")</f>
        <v>bitwise-and-of-numbers-range</v>
      </c>
      <c r="D202" s="23" t="b">
        <f>IFERROR(__xludf.DUMMYFUNCTION("""COMPUTED_VALUE"""),FALSE)</f>
        <v>0</v>
      </c>
      <c r="E202" s="23" t="str">
        <f>IFERROR(__xludf.DUMMYFUNCTION("""COMPUTED_VALUE"""),"Medium")</f>
        <v>Medium</v>
      </c>
      <c r="F202" s="23">
        <f>IFERROR(__xludf.DUMMYFUNCTION("""COMPUTED_VALUE"""),2242.0)</f>
        <v>2242</v>
      </c>
      <c r="G202" s="23">
        <f>IFERROR(__xludf.DUMMYFUNCTION("""COMPUTED_VALUE"""),177.0)</f>
        <v>177</v>
      </c>
      <c r="H202" s="23" t="str">
        <f>IFERROR(__xludf.DUMMYFUNCTION("""COMPUTED_VALUE"""),"Algorithms")</f>
        <v>Algorithms</v>
      </c>
      <c r="I202" s="23">
        <f>IFERROR(__xludf.DUMMYFUNCTION("""COMPUTED_VALUE"""),0.418)</f>
        <v>0.418</v>
      </c>
      <c r="J202" s="23">
        <f>IFERROR(__xludf.DUMMYFUNCTION("""COMPUTED_VALUE"""),201.0)</f>
        <v>201</v>
      </c>
      <c r="K202" s="23" t="b">
        <f>IFERROR(__xludf.DUMMYFUNCTION("""COMPUTED_VALUE"""),FALSE)</f>
        <v>0</v>
      </c>
      <c r="L202" s="23" t="str">
        <f>IFERROR(__xludf.DUMMYFUNCTION("""COMPUTED_VALUE"""),"Bit Manipulation;")</f>
        <v>Bit Manipulation;</v>
      </c>
      <c r="M202" s="23" t="b">
        <f>IFERROR(__xludf.DUMMYFUNCTION("""COMPUTED_VALUE"""),TRUE)</f>
        <v>1</v>
      </c>
      <c r="N202" s="23" t="b">
        <f>IFERROR(__xludf.DUMMYFUNCTION("""COMPUTED_VALUE"""),FALSE)</f>
        <v>0</v>
      </c>
      <c r="O202" s="23">
        <f>IFERROR(__xludf.DUMMYFUNCTION("""COMPUTED_VALUE"""),41.7761155593014)</f>
        <v>41.77611556</v>
      </c>
      <c r="P202" s="23">
        <f>IFERROR(__xludf.DUMMYFUNCTION("""COMPUTED_VALUE"""),214131.0)</f>
        <v>214131</v>
      </c>
      <c r="Q202" s="23">
        <f>IFERROR(__xludf.DUMMYFUNCTION("""COMPUTED_VALUE"""),512568.0)</f>
        <v>512568</v>
      </c>
    </row>
    <row r="203">
      <c r="A203" s="23">
        <f>IFERROR(__xludf.DUMMYFUNCTION("""COMPUTED_VALUE"""),202.0)</f>
        <v>202</v>
      </c>
      <c r="B203" s="23" t="str">
        <f>IFERROR(__xludf.DUMMYFUNCTION("""COMPUTED_VALUE"""),"Happy Number")</f>
        <v>Happy Number</v>
      </c>
      <c r="C203" s="23" t="str">
        <f>IFERROR(__xludf.DUMMYFUNCTION("""COMPUTED_VALUE"""),"happy-number")</f>
        <v>happy-number</v>
      </c>
      <c r="D203" s="23" t="b">
        <f>IFERROR(__xludf.DUMMYFUNCTION("""COMPUTED_VALUE"""),FALSE)</f>
        <v>0</v>
      </c>
      <c r="E203" s="23" t="str">
        <f>IFERROR(__xludf.DUMMYFUNCTION("""COMPUTED_VALUE"""),"Easy")</f>
        <v>Easy</v>
      </c>
      <c r="F203" s="23">
        <f>IFERROR(__xludf.DUMMYFUNCTION("""COMPUTED_VALUE"""),5290.0)</f>
        <v>5290</v>
      </c>
      <c r="G203" s="23">
        <f>IFERROR(__xludf.DUMMYFUNCTION("""COMPUTED_VALUE"""),702.0)</f>
        <v>702</v>
      </c>
      <c r="H203" s="23" t="str">
        <f>IFERROR(__xludf.DUMMYFUNCTION("""COMPUTED_VALUE"""),"Algorithms")</f>
        <v>Algorithms</v>
      </c>
      <c r="I203" s="23">
        <f>IFERROR(__xludf.DUMMYFUNCTION("""COMPUTED_VALUE"""),0.532)</f>
        <v>0.532</v>
      </c>
      <c r="J203" s="23">
        <f>IFERROR(__xludf.DUMMYFUNCTION("""COMPUTED_VALUE"""),202.0)</f>
        <v>202</v>
      </c>
      <c r="K203" s="23" t="b">
        <f>IFERROR(__xludf.DUMMYFUNCTION("""COMPUTED_VALUE"""),FALSE)</f>
        <v>0</v>
      </c>
      <c r="L203" s="23" t="str">
        <f>IFERROR(__xludf.DUMMYFUNCTION("""COMPUTED_VALUE"""),"Hash Table;Math;Two Pointers;")</f>
        <v>Hash Table;Math;Two Pointers;</v>
      </c>
      <c r="M203" s="23" t="b">
        <f>IFERROR(__xludf.DUMMYFUNCTION("""COMPUTED_VALUE"""),TRUE)</f>
        <v>1</v>
      </c>
      <c r="N203" s="23" t="b">
        <f>IFERROR(__xludf.DUMMYFUNCTION("""COMPUTED_VALUE"""),FALSE)</f>
        <v>0</v>
      </c>
      <c r="O203" s="23">
        <f>IFERROR(__xludf.DUMMYFUNCTION("""COMPUTED_VALUE"""),53.2044124575655)</f>
        <v>53.20441246</v>
      </c>
      <c r="P203" s="23">
        <f>IFERROR(__xludf.DUMMYFUNCTION("""COMPUTED_VALUE"""),802898.0)</f>
        <v>802898</v>
      </c>
      <c r="Q203" s="23">
        <f>IFERROR(__xludf.DUMMYFUNCTION("""COMPUTED_VALUE"""),1509079.0)</f>
        <v>1509079</v>
      </c>
    </row>
    <row r="204">
      <c r="A204" s="23">
        <f>IFERROR(__xludf.DUMMYFUNCTION("""COMPUTED_VALUE"""),203.0)</f>
        <v>203</v>
      </c>
      <c r="B204" s="23" t="str">
        <f>IFERROR(__xludf.DUMMYFUNCTION("""COMPUTED_VALUE"""),"Remove Linked List Elements")</f>
        <v>Remove Linked List Elements</v>
      </c>
      <c r="C204" s="23" t="str">
        <f>IFERROR(__xludf.DUMMYFUNCTION("""COMPUTED_VALUE"""),"remove-linked-list-elements")</f>
        <v>remove-linked-list-elements</v>
      </c>
      <c r="D204" s="23" t="b">
        <f>IFERROR(__xludf.DUMMYFUNCTION("""COMPUTED_VALUE"""),FALSE)</f>
        <v>0</v>
      </c>
      <c r="E204" s="23" t="str">
        <f>IFERROR(__xludf.DUMMYFUNCTION("""COMPUTED_VALUE"""),"Easy")</f>
        <v>Easy</v>
      </c>
      <c r="F204" s="23">
        <f>IFERROR(__xludf.DUMMYFUNCTION("""COMPUTED_VALUE"""),4853.0)</f>
        <v>4853</v>
      </c>
      <c r="G204" s="23">
        <f>IFERROR(__xludf.DUMMYFUNCTION("""COMPUTED_VALUE"""),164.0)</f>
        <v>164</v>
      </c>
      <c r="H204" s="23" t="str">
        <f>IFERROR(__xludf.DUMMYFUNCTION("""COMPUTED_VALUE"""),"Algorithms")</f>
        <v>Algorithms</v>
      </c>
      <c r="I204" s="23">
        <f>IFERROR(__xludf.DUMMYFUNCTION("""COMPUTED_VALUE"""),0.435)</f>
        <v>0.435</v>
      </c>
      <c r="J204" s="23">
        <f>IFERROR(__xludf.DUMMYFUNCTION("""COMPUTED_VALUE"""),203.0)</f>
        <v>203</v>
      </c>
      <c r="K204" s="23" t="b">
        <f>IFERROR(__xludf.DUMMYFUNCTION("""COMPUTED_VALUE"""),FALSE)</f>
        <v>0</v>
      </c>
      <c r="L204" s="23" t="str">
        <f>IFERROR(__xludf.DUMMYFUNCTION("""COMPUTED_VALUE"""),"Linked List;Recursion;")</f>
        <v>Linked List;Recursion;</v>
      </c>
      <c r="M204" s="23" t="b">
        <f>IFERROR(__xludf.DUMMYFUNCTION("""COMPUTED_VALUE"""),TRUE)</f>
        <v>1</v>
      </c>
      <c r="N204" s="23" t="b">
        <f>IFERROR(__xludf.DUMMYFUNCTION("""COMPUTED_VALUE"""),FALSE)</f>
        <v>0</v>
      </c>
      <c r="O204" s="23">
        <f>IFERROR(__xludf.DUMMYFUNCTION("""COMPUTED_VALUE"""),43.4538444222471)</f>
        <v>43.45384442</v>
      </c>
      <c r="P204" s="23">
        <f>IFERROR(__xludf.DUMMYFUNCTION("""COMPUTED_VALUE"""),692994.0)</f>
        <v>692994</v>
      </c>
      <c r="Q204" s="23">
        <f>IFERROR(__xludf.DUMMYFUNCTION("""COMPUTED_VALUE"""),1594781.0)</f>
        <v>1594781</v>
      </c>
    </row>
    <row r="205">
      <c r="A205" s="23">
        <f>IFERROR(__xludf.DUMMYFUNCTION("""COMPUTED_VALUE"""),204.0)</f>
        <v>204</v>
      </c>
      <c r="B205" s="23" t="str">
        <f>IFERROR(__xludf.DUMMYFUNCTION("""COMPUTED_VALUE"""),"Count Primes")</f>
        <v>Count Primes</v>
      </c>
      <c r="C205" s="23" t="str">
        <f>IFERROR(__xludf.DUMMYFUNCTION("""COMPUTED_VALUE"""),"count-primes")</f>
        <v>count-primes</v>
      </c>
      <c r="D205" s="23" t="b">
        <f>IFERROR(__xludf.DUMMYFUNCTION("""COMPUTED_VALUE"""),FALSE)</f>
        <v>0</v>
      </c>
      <c r="E205" s="23" t="str">
        <f>IFERROR(__xludf.DUMMYFUNCTION("""COMPUTED_VALUE"""),"Medium")</f>
        <v>Medium</v>
      </c>
      <c r="F205" s="23">
        <f>IFERROR(__xludf.DUMMYFUNCTION("""COMPUTED_VALUE"""),4740.0)</f>
        <v>4740</v>
      </c>
      <c r="G205" s="23">
        <f>IFERROR(__xludf.DUMMYFUNCTION("""COMPUTED_VALUE"""),990.0)</f>
        <v>990</v>
      </c>
      <c r="H205" s="23" t="str">
        <f>IFERROR(__xludf.DUMMYFUNCTION("""COMPUTED_VALUE"""),"Algorithms")</f>
        <v>Algorithms</v>
      </c>
      <c r="I205" s="23">
        <f>IFERROR(__xludf.DUMMYFUNCTION("""COMPUTED_VALUE"""),0.33)</f>
        <v>0.33</v>
      </c>
      <c r="J205" s="23">
        <f>IFERROR(__xludf.DUMMYFUNCTION("""COMPUTED_VALUE"""),204.0)</f>
        <v>204</v>
      </c>
      <c r="K205" s="23" t="b">
        <f>IFERROR(__xludf.DUMMYFUNCTION("""COMPUTED_VALUE"""),FALSE)</f>
        <v>0</v>
      </c>
      <c r="L205" s="23" t="str">
        <f>IFERROR(__xludf.DUMMYFUNCTION("""COMPUTED_VALUE"""),"Array;Math;Enumeration;Number Theory;")</f>
        <v>Array;Math;Enumeration;Number Theory;</v>
      </c>
      <c r="M205" s="23" t="b">
        <f>IFERROR(__xludf.DUMMYFUNCTION("""COMPUTED_VALUE"""),TRUE)</f>
        <v>1</v>
      </c>
      <c r="N205" s="23" t="b">
        <f>IFERROR(__xludf.DUMMYFUNCTION("""COMPUTED_VALUE"""),FALSE)</f>
        <v>0</v>
      </c>
      <c r="O205" s="23">
        <f>IFERROR(__xludf.DUMMYFUNCTION("""COMPUTED_VALUE"""),32.9968021428376)</f>
        <v>32.99680214</v>
      </c>
      <c r="P205" s="23">
        <f>IFERROR(__xludf.DUMMYFUNCTION("""COMPUTED_VALUE"""),603627.0)</f>
        <v>603627</v>
      </c>
      <c r="Q205" s="23">
        <f>IFERROR(__xludf.DUMMYFUNCTION("""COMPUTED_VALUE"""),1829348.0)</f>
        <v>1829348</v>
      </c>
    </row>
    <row r="206">
      <c r="A206" s="23">
        <f>IFERROR(__xludf.DUMMYFUNCTION("""COMPUTED_VALUE"""),205.0)</f>
        <v>205</v>
      </c>
      <c r="B206" s="23" t="str">
        <f>IFERROR(__xludf.DUMMYFUNCTION("""COMPUTED_VALUE"""),"Isomorphic Strings")</f>
        <v>Isomorphic Strings</v>
      </c>
      <c r="C206" s="23" t="str">
        <f>IFERROR(__xludf.DUMMYFUNCTION("""COMPUTED_VALUE"""),"isomorphic-strings")</f>
        <v>isomorphic-strings</v>
      </c>
      <c r="D206" s="23" t="b">
        <f>IFERROR(__xludf.DUMMYFUNCTION("""COMPUTED_VALUE"""),FALSE)</f>
        <v>0</v>
      </c>
      <c r="E206" s="23" t="str">
        <f>IFERROR(__xludf.DUMMYFUNCTION("""COMPUTED_VALUE"""),"Easy")</f>
        <v>Easy</v>
      </c>
      <c r="F206" s="23">
        <f>IFERROR(__xludf.DUMMYFUNCTION("""COMPUTED_VALUE"""),3473.0)</f>
        <v>3473</v>
      </c>
      <c r="G206" s="23">
        <f>IFERROR(__xludf.DUMMYFUNCTION("""COMPUTED_VALUE"""),642.0)</f>
        <v>642</v>
      </c>
      <c r="H206" s="23" t="str">
        <f>IFERROR(__xludf.DUMMYFUNCTION("""COMPUTED_VALUE"""),"Algorithms")</f>
        <v>Algorithms</v>
      </c>
      <c r="I206" s="23">
        <f>IFERROR(__xludf.DUMMYFUNCTION("""COMPUTED_VALUE"""),0.421)</f>
        <v>0.421</v>
      </c>
      <c r="J206" s="23">
        <f>IFERROR(__xludf.DUMMYFUNCTION("""COMPUTED_VALUE"""),205.0)</f>
        <v>205</v>
      </c>
      <c r="K206" s="23" t="b">
        <f>IFERROR(__xludf.DUMMYFUNCTION("""COMPUTED_VALUE"""),FALSE)</f>
        <v>0</v>
      </c>
      <c r="L206" s="23" t="str">
        <f>IFERROR(__xludf.DUMMYFUNCTION("""COMPUTED_VALUE"""),"Hash Table;String;")</f>
        <v>Hash Table;String;</v>
      </c>
      <c r="M206" s="23" t="b">
        <f>IFERROR(__xludf.DUMMYFUNCTION("""COMPUTED_VALUE"""),TRUE)</f>
        <v>1</v>
      </c>
      <c r="N206" s="23" t="b">
        <f>IFERROR(__xludf.DUMMYFUNCTION("""COMPUTED_VALUE"""),FALSE)</f>
        <v>0</v>
      </c>
      <c r="O206" s="23">
        <f>IFERROR(__xludf.DUMMYFUNCTION("""COMPUTED_VALUE"""),42.0817364168922)</f>
        <v>42.08173642</v>
      </c>
      <c r="P206" s="23">
        <f>IFERROR(__xludf.DUMMYFUNCTION("""COMPUTED_VALUE"""),491132.0)</f>
        <v>491132</v>
      </c>
      <c r="Q206" s="23">
        <f>IFERROR(__xludf.DUMMYFUNCTION("""COMPUTED_VALUE"""),1167092.0)</f>
        <v>1167092</v>
      </c>
    </row>
    <row r="207">
      <c r="A207" s="23">
        <f>IFERROR(__xludf.DUMMYFUNCTION("""COMPUTED_VALUE"""),206.0)</f>
        <v>206</v>
      </c>
      <c r="B207" s="23" t="str">
        <f>IFERROR(__xludf.DUMMYFUNCTION("""COMPUTED_VALUE"""),"Reverse Linked List")</f>
        <v>Reverse Linked List</v>
      </c>
      <c r="C207" s="23" t="str">
        <f>IFERROR(__xludf.DUMMYFUNCTION("""COMPUTED_VALUE"""),"reverse-linked-list")</f>
        <v>reverse-linked-list</v>
      </c>
      <c r="D207" s="23" t="b">
        <f>IFERROR(__xludf.DUMMYFUNCTION("""COMPUTED_VALUE"""),FALSE)</f>
        <v>0</v>
      </c>
      <c r="E207" s="23" t="str">
        <f>IFERROR(__xludf.DUMMYFUNCTION("""COMPUTED_VALUE"""),"Easy")</f>
        <v>Easy</v>
      </c>
      <c r="F207" s="23">
        <f>IFERROR(__xludf.DUMMYFUNCTION("""COMPUTED_VALUE"""),11621.0)</f>
        <v>11621</v>
      </c>
      <c r="G207" s="23">
        <f>IFERROR(__xludf.DUMMYFUNCTION("""COMPUTED_VALUE"""),201.0)</f>
        <v>201</v>
      </c>
      <c r="H207" s="23" t="str">
        <f>IFERROR(__xludf.DUMMYFUNCTION("""COMPUTED_VALUE"""),"Algorithms")</f>
        <v>Algorithms</v>
      </c>
      <c r="I207" s="23">
        <f>IFERROR(__xludf.DUMMYFUNCTION("""COMPUTED_VALUE"""),0.702)</f>
        <v>0.702</v>
      </c>
      <c r="J207" s="23">
        <f>IFERROR(__xludf.DUMMYFUNCTION("""COMPUTED_VALUE"""),206.0)</f>
        <v>206</v>
      </c>
      <c r="K207" s="23" t="b">
        <f>IFERROR(__xludf.DUMMYFUNCTION("""COMPUTED_VALUE"""),FALSE)</f>
        <v>0</v>
      </c>
      <c r="L207" s="23" t="str">
        <f>IFERROR(__xludf.DUMMYFUNCTION("""COMPUTED_VALUE"""),"Linked List;Recursion;")</f>
        <v>Linked List;Recursion;</v>
      </c>
      <c r="M207" s="23" t="b">
        <f>IFERROR(__xludf.DUMMYFUNCTION("""COMPUTED_VALUE"""),TRUE)</f>
        <v>1</v>
      </c>
      <c r="N207" s="23" t="b">
        <f>IFERROR(__xludf.DUMMYFUNCTION("""COMPUTED_VALUE"""),TRUE)</f>
        <v>1</v>
      </c>
      <c r="O207" s="23">
        <f>IFERROR(__xludf.DUMMYFUNCTION("""COMPUTED_VALUE"""),70.2214615876736)</f>
        <v>70.22146159</v>
      </c>
      <c r="P207" s="23">
        <f>IFERROR(__xludf.DUMMYFUNCTION("""COMPUTED_VALUE"""),2077795.0)</f>
        <v>2077795</v>
      </c>
      <c r="Q207" s="23">
        <f>IFERROR(__xludf.DUMMYFUNCTION("""COMPUTED_VALUE"""),2958922.0)</f>
        <v>2958922</v>
      </c>
    </row>
    <row r="208">
      <c r="A208" s="23">
        <f>IFERROR(__xludf.DUMMYFUNCTION("""COMPUTED_VALUE"""),207.0)</f>
        <v>207</v>
      </c>
      <c r="B208" s="23" t="str">
        <f>IFERROR(__xludf.DUMMYFUNCTION("""COMPUTED_VALUE"""),"Course Schedule")</f>
        <v>Course Schedule</v>
      </c>
      <c r="C208" s="23" t="str">
        <f>IFERROR(__xludf.DUMMYFUNCTION("""COMPUTED_VALUE"""),"course-schedule")</f>
        <v>course-schedule</v>
      </c>
      <c r="D208" s="23" t="b">
        <f>IFERROR(__xludf.DUMMYFUNCTION("""COMPUTED_VALUE"""),FALSE)</f>
        <v>0</v>
      </c>
      <c r="E208" s="23" t="str">
        <f>IFERROR(__xludf.DUMMYFUNCTION("""COMPUTED_VALUE"""),"Medium")</f>
        <v>Medium</v>
      </c>
      <c r="F208" s="23">
        <f>IFERROR(__xludf.DUMMYFUNCTION("""COMPUTED_VALUE"""),9125.0)</f>
        <v>9125</v>
      </c>
      <c r="G208" s="23">
        <f>IFERROR(__xludf.DUMMYFUNCTION("""COMPUTED_VALUE"""),365.0)</f>
        <v>365</v>
      </c>
      <c r="H208" s="23" t="str">
        <f>IFERROR(__xludf.DUMMYFUNCTION("""COMPUTED_VALUE"""),"Algorithms")</f>
        <v>Algorithms</v>
      </c>
      <c r="I208" s="23">
        <f>IFERROR(__xludf.DUMMYFUNCTION("""COMPUTED_VALUE"""),0.45)</f>
        <v>0.45</v>
      </c>
      <c r="J208" s="23">
        <f>IFERROR(__xludf.DUMMYFUNCTION("""COMPUTED_VALUE"""),207.0)</f>
        <v>207</v>
      </c>
      <c r="K208" s="23" t="b">
        <f>IFERROR(__xludf.DUMMYFUNCTION("""COMPUTED_VALUE"""),FALSE)</f>
        <v>0</v>
      </c>
      <c r="L208" s="23" t="str">
        <f>IFERROR(__xludf.DUMMYFUNCTION("""COMPUTED_VALUE"""),"Depth-First Search;Breadth-First Search;Graph;Topological Sort;")</f>
        <v>Depth-First Search;Breadth-First Search;Graph;Topological Sort;</v>
      </c>
      <c r="M208" s="23" t="b">
        <f>IFERROR(__xludf.DUMMYFUNCTION("""COMPUTED_VALUE"""),TRUE)</f>
        <v>1</v>
      </c>
      <c r="N208" s="23" t="b">
        <f>IFERROR(__xludf.DUMMYFUNCTION("""COMPUTED_VALUE"""),FALSE)</f>
        <v>0</v>
      </c>
      <c r="O208" s="23">
        <f>IFERROR(__xludf.DUMMYFUNCTION("""COMPUTED_VALUE"""),45.0493773290071)</f>
        <v>45.04937733</v>
      </c>
      <c r="P208" s="23">
        <f>IFERROR(__xludf.DUMMYFUNCTION("""COMPUTED_VALUE"""),852772.0)</f>
        <v>852772</v>
      </c>
      <c r="Q208" s="23">
        <f>IFERROR(__xludf.DUMMYFUNCTION("""COMPUTED_VALUE"""),1892961.0)</f>
        <v>1892961</v>
      </c>
    </row>
    <row r="209">
      <c r="A209" s="23">
        <f>IFERROR(__xludf.DUMMYFUNCTION("""COMPUTED_VALUE"""),208.0)</f>
        <v>208</v>
      </c>
      <c r="B209" s="23" t="str">
        <f>IFERROR(__xludf.DUMMYFUNCTION("""COMPUTED_VALUE"""),"Implement Trie (Prefix Tree)")</f>
        <v>Implement Trie (Prefix Tree)</v>
      </c>
      <c r="C209" s="23" t="str">
        <f>IFERROR(__xludf.DUMMYFUNCTION("""COMPUTED_VALUE"""),"implement-trie-prefix-tree")</f>
        <v>implement-trie-prefix-tree</v>
      </c>
      <c r="D209" s="23" t="b">
        <f>IFERROR(__xludf.DUMMYFUNCTION("""COMPUTED_VALUE"""),FALSE)</f>
        <v>0</v>
      </c>
      <c r="E209" s="23" t="str">
        <f>IFERROR(__xludf.DUMMYFUNCTION("""COMPUTED_VALUE"""),"Medium")</f>
        <v>Medium</v>
      </c>
      <c r="F209" s="23">
        <f>IFERROR(__xludf.DUMMYFUNCTION("""COMPUTED_VALUE"""),6870.0)</f>
        <v>6870</v>
      </c>
      <c r="G209" s="23">
        <f>IFERROR(__xludf.DUMMYFUNCTION("""COMPUTED_VALUE"""),91.0)</f>
        <v>91</v>
      </c>
      <c r="H209" s="23" t="str">
        <f>IFERROR(__xludf.DUMMYFUNCTION("""COMPUTED_VALUE"""),"Algorithms")</f>
        <v>Algorithms</v>
      </c>
      <c r="I209" s="23">
        <f>IFERROR(__xludf.DUMMYFUNCTION("""COMPUTED_VALUE"""),0.581)</f>
        <v>0.581</v>
      </c>
      <c r="J209" s="23">
        <f>IFERROR(__xludf.DUMMYFUNCTION("""COMPUTED_VALUE"""),208.0)</f>
        <v>208</v>
      </c>
      <c r="K209" s="23" t="b">
        <f>IFERROR(__xludf.DUMMYFUNCTION("""COMPUTED_VALUE"""),FALSE)</f>
        <v>0</v>
      </c>
      <c r="L209" s="23" t="str">
        <f>IFERROR(__xludf.DUMMYFUNCTION("""COMPUTED_VALUE"""),"Hash Table;String;Design;Trie;")</f>
        <v>Hash Table;String;Design;Trie;</v>
      </c>
      <c r="M209" s="23" t="b">
        <f>IFERROR(__xludf.DUMMYFUNCTION("""COMPUTED_VALUE"""),TRUE)</f>
        <v>1</v>
      </c>
      <c r="N209" s="23" t="b">
        <f>IFERROR(__xludf.DUMMYFUNCTION("""COMPUTED_VALUE"""),FALSE)</f>
        <v>0</v>
      </c>
      <c r="O209" s="23">
        <f>IFERROR(__xludf.DUMMYFUNCTION("""COMPUTED_VALUE"""),58.0845219625395)</f>
        <v>58.08452196</v>
      </c>
      <c r="P209" s="23">
        <f>IFERROR(__xludf.DUMMYFUNCTION("""COMPUTED_VALUE"""),572433.0)</f>
        <v>572433</v>
      </c>
      <c r="Q209" s="23">
        <f>IFERROR(__xludf.DUMMYFUNCTION("""COMPUTED_VALUE"""),985517.0)</f>
        <v>985517</v>
      </c>
    </row>
    <row r="210">
      <c r="A210" s="23">
        <f>IFERROR(__xludf.DUMMYFUNCTION("""COMPUTED_VALUE"""),209.0)</f>
        <v>209</v>
      </c>
      <c r="B210" s="23" t="str">
        <f>IFERROR(__xludf.DUMMYFUNCTION("""COMPUTED_VALUE"""),"Minimum Size Subarray Sum")</f>
        <v>Minimum Size Subarray Sum</v>
      </c>
      <c r="C210" s="23" t="str">
        <f>IFERROR(__xludf.DUMMYFUNCTION("""COMPUTED_VALUE"""),"minimum-size-subarray-sum")</f>
        <v>minimum-size-subarray-sum</v>
      </c>
      <c r="D210" s="23" t="b">
        <f>IFERROR(__xludf.DUMMYFUNCTION("""COMPUTED_VALUE"""),FALSE)</f>
        <v>0</v>
      </c>
      <c r="E210" s="23" t="str">
        <f>IFERROR(__xludf.DUMMYFUNCTION("""COMPUTED_VALUE"""),"Medium")</f>
        <v>Medium</v>
      </c>
      <c r="F210" s="23">
        <f>IFERROR(__xludf.DUMMYFUNCTION("""COMPUTED_VALUE"""),6401.0)</f>
        <v>6401</v>
      </c>
      <c r="G210" s="23">
        <f>IFERROR(__xludf.DUMMYFUNCTION("""COMPUTED_VALUE"""),186.0)</f>
        <v>186</v>
      </c>
      <c r="H210" s="23" t="str">
        <f>IFERROR(__xludf.DUMMYFUNCTION("""COMPUTED_VALUE"""),"Algorithms")</f>
        <v>Algorithms</v>
      </c>
      <c r="I210" s="23">
        <f>IFERROR(__xludf.DUMMYFUNCTION("""COMPUTED_VALUE"""),0.433)</f>
        <v>0.433</v>
      </c>
      <c r="J210" s="23">
        <f>IFERROR(__xludf.DUMMYFUNCTION("""COMPUTED_VALUE"""),209.0)</f>
        <v>209</v>
      </c>
      <c r="K210" s="23" t="b">
        <f>IFERROR(__xludf.DUMMYFUNCTION("""COMPUTED_VALUE"""),FALSE)</f>
        <v>0</v>
      </c>
      <c r="L210" s="23" t="str">
        <f>IFERROR(__xludf.DUMMYFUNCTION("""COMPUTED_VALUE"""),"Array;Binary Search;Sliding Window;Prefix Sum;")</f>
        <v>Array;Binary Search;Sliding Window;Prefix Sum;</v>
      </c>
      <c r="M210" s="23" t="b">
        <f>IFERROR(__xludf.DUMMYFUNCTION("""COMPUTED_VALUE"""),TRUE)</f>
        <v>1</v>
      </c>
      <c r="N210" s="23" t="b">
        <f>IFERROR(__xludf.DUMMYFUNCTION("""COMPUTED_VALUE"""),FALSE)</f>
        <v>0</v>
      </c>
      <c r="O210" s="23">
        <f>IFERROR(__xludf.DUMMYFUNCTION("""COMPUTED_VALUE"""),43.2721716395757)</f>
        <v>43.27217164</v>
      </c>
      <c r="P210" s="23">
        <f>IFERROR(__xludf.DUMMYFUNCTION("""COMPUTED_VALUE"""),514567.0)</f>
        <v>514567</v>
      </c>
      <c r="Q210" s="23">
        <f>IFERROR(__xludf.DUMMYFUNCTION("""COMPUTED_VALUE"""),1189141.0)</f>
        <v>1189141</v>
      </c>
    </row>
    <row r="211">
      <c r="A211" s="23">
        <f>IFERROR(__xludf.DUMMYFUNCTION("""COMPUTED_VALUE"""),210.0)</f>
        <v>210</v>
      </c>
      <c r="B211" s="23" t="str">
        <f>IFERROR(__xludf.DUMMYFUNCTION("""COMPUTED_VALUE"""),"Course Schedule II")</f>
        <v>Course Schedule II</v>
      </c>
      <c r="C211" s="23" t="str">
        <f>IFERROR(__xludf.DUMMYFUNCTION("""COMPUTED_VALUE"""),"course-schedule-ii")</f>
        <v>course-schedule-ii</v>
      </c>
      <c r="D211" s="23" t="b">
        <f>IFERROR(__xludf.DUMMYFUNCTION("""COMPUTED_VALUE"""),FALSE)</f>
        <v>0</v>
      </c>
      <c r="E211" s="23" t="str">
        <f>IFERROR(__xludf.DUMMYFUNCTION("""COMPUTED_VALUE"""),"Medium")</f>
        <v>Medium</v>
      </c>
      <c r="F211" s="23">
        <f>IFERROR(__xludf.DUMMYFUNCTION("""COMPUTED_VALUE"""),6536.0)</f>
        <v>6536</v>
      </c>
      <c r="G211" s="23">
        <f>IFERROR(__xludf.DUMMYFUNCTION("""COMPUTED_VALUE"""),235.0)</f>
        <v>235</v>
      </c>
      <c r="H211" s="23" t="str">
        <f>IFERROR(__xludf.DUMMYFUNCTION("""COMPUTED_VALUE"""),"Algorithms")</f>
        <v>Algorithms</v>
      </c>
      <c r="I211" s="23">
        <f>IFERROR(__xludf.DUMMYFUNCTION("""COMPUTED_VALUE"""),0.465)</f>
        <v>0.465</v>
      </c>
      <c r="J211" s="23">
        <f>IFERROR(__xludf.DUMMYFUNCTION("""COMPUTED_VALUE"""),210.0)</f>
        <v>210</v>
      </c>
      <c r="K211" s="23" t="b">
        <f>IFERROR(__xludf.DUMMYFUNCTION("""COMPUTED_VALUE"""),FALSE)</f>
        <v>0</v>
      </c>
      <c r="L211" s="23" t="str">
        <f>IFERROR(__xludf.DUMMYFUNCTION("""COMPUTED_VALUE"""),"Depth-First Search;Breadth-First Search;Graph;Topological Sort;")</f>
        <v>Depth-First Search;Breadth-First Search;Graph;Topological Sort;</v>
      </c>
      <c r="M211" s="23" t="b">
        <f>IFERROR(__xludf.DUMMYFUNCTION("""COMPUTED_VALUE"""),TRUE)</f>
        <v>1</v>
      </c>
      <c r="N211" s="23" t="b">
        <f>IFERROR(__xludf.DUMMYFUNCTION("""COMPUTED_VALUE"""),FALSE)</f>
        <v>0</v>
      </c>
      <c r="O211" s="23">
        <f>IFERROR(__xludf.DUMMYFUNCTION("""COMPUTED_VALUE"""),46.5216899217386)</f>
        <v>46.52168992</v>
      </c>
      <c r="P211" s="23">
        <f>IFERROR(__xludf.DUMMYFUNCTION("""COMPUTED_VALUE"""),612444.0)</f>
        <v>612444</v>
      </c>
      <c r="Q211" s="23">
        <f>IFERROR(__xludf.DUMMYFUNCTION("""COMPUTED_VALUE"""),1316474.0)</f>
        <v>1316474</v>
      </c>
    </row>
    <row r="212">
      <c r="A212" s="23">
        <f>IFERROR(__xludf.DUMMYFUNCTION("""COMPUTED_VALUE"""),211.0)</f>
        <v>211</v>
      </c>
      <c r="B212" s="23" t="str">
        <f>IFERROR(__xludf.DUMMYFUNCTION("""COMPUTED_VALUE"""),"Design Add and Search Words Data Structure")</f>
        <v>Design Add and Search Words Data Structure</v>
      </c>
      <c r="C212" s="23" t="str">
        <f>IFERROR(__xludf.DUMMYFUNCTION("""COMPUTED_VALUE"""),"design-add-and-search-words-data-structure")</f>
        <v>design-add-and-search-words-data-structure</v>
      </c>
      <c r="D212" s="23" t="b">
        <f>IFERROR(__xludf.DUMMYFUNCTION("""COMPUTED_VALUE"""),FALSE)</f>
        <v>0</v>
      </c>
      <c r="E212" s="23" t="str">
        <f>IFERROR(__xludf.DUMMYFUNCTION("""COMPUTED_VALUE"""),"Medium")</f>
        <v>Medium</v>
      </c>
      <c r="F212" s="23">
        <f>IFERROR(__xludf.DUMMYFUNCTION("""COMPUTED_VALUE"""),4796.0)</f>
        <v>4796</v>
      </c>
      <c r="G212" s="23">
        <f>IFERROR(__xludf.DUMMYFUNCTION("""COMPUTED_VALUE"""),199.0)</f>
        <v>199</v>
      </c>
      <c r="H212" s="23" t="str">
        <f>IFERROR(__xludf.DUMMYFUNCTION("""COMPUTED_VALUE"""),"Algorithms")</f>
        <v>Algorithms</v>
      </c>
      <c r="I212" s="23">
        <f>IFERROR(__xludf.DUMMYFUNCTION("""COMPUTED_VALUE"""),0.44)</f>
        <v>0.44</v>
      </c>
      <c r="J212" s="23">
        <f>IFERROR(__xludf.DUMMYFUNCTION("""COMPUTED_VALUE"""),211.0)</f>
        <v>211</v>
      </c>
      <c r="K212" s="23" t="b">
        <f>IFERROR(__xludf.DUMMYFUNCTION("""COMPUTED_VALUE"""),FALSE)</f>
        <v>0</v>
      </c>
      <c r="L212" s="23" t="str">
        <f>IFERROR(__xludf.DUMMYFUNCTION("""COMPUTED_VALUE"""),"String;Depth-First Search;Design;Trie;")</f>
        <v>String;Depth-First Search;Design;Trie;</v>
      </c>
      <c r="M212" s="23" t="b">
        <f>IFERROR(__xludf.DUMMYFUNCTION("""COMPUTED_VALUE"""),TRUE)</f>
        <v>1</v>
      </c>
      <c r="N212" s="23" t="b">
        <f>IFERROR(__xludf.DUMMYFUNCTION("""COMPUTED_VALUE"""),FALSE)</f>
        <v>0</v>
      </c>
      <c r="O212" s="23">
        <f>IFERROR(__xludf.DUMMYFUNCTION("""COMPUTED_VALUE"""),43.9823426248239)</f>
        <v>43.98234262</v>
      </c>
      <c r="P212" s="23">
        <f>IFERROR(__xludf.DUMMYFUNCTION("""COMPUTED_VALUE"""),397245.0)</f>
        <v>397245</v>
      </c>
      <c r="Q212" s="23">
        <f>IFERROR(__xludf.DUMMYFUNCTION("""COMPUTED_VALUE"""),903192.0)</f>
        <v>903192</v>
      </c>
    </row>
    <row r="213">
      <c r="A213" s="23">
        <f>IFERROR(__xludf.DUMMYFUNCTION("""COMPUTED_VALUE"""),212.0)</f>
        <v>212</v>
      </c>
      <c r="B213" s="23" t="str">
        <f>IFERROR(__xludf.DUMMYFUNCTION("""COMPUTED_VALUE"""),"Word Search II")</f>
        <v>Word Search II</v>
      </c>
      <c r="C213" s="23" t="str">
        <f>IFERROR(__xludf.DUMMYFUNCTION("""COMPUTED_VALUE"""),"word-search-ii")</f>
        <v>word-search-ii</v>
      </c>
      <c r="D213" s="23" t="b">
        <f>IFERROR(__xludf.DUMMYFUNCTION("""COMPUTED_VALUE"""),FALSE)</f>
        <v>0</v>
      </c>
      <c r="E213" s="23" t="str">
        <f>IFERROR(__xludf.DUMMYFUNCTION("""COMPUTED_VALUE"""),"Hard")</f>
        <v>Hard</v>
      </c>
      <c r="F213" s="23">
        <f>IFERROR(__xludf.DUMMYFUNCTION("""COMPUTED_VALUE"""),5870.0)</f>
        <v>5870</v>
      </c>
      <c r="G213" s="23">
        <f>IFERROR(__xludf.DUMMYFUNCTION("""COMPUTED_VALUE"""),218.0)</f>
        <v>218</v>
      </c>
      <c r="H213" s="23" t="str">
        <f>IFERROR(__xludf.DUMMYFUNCTION("""COMPUTED_VALUE"""),"Algorithms")</f>
        <v>Algorithms</v>
      </c>
      <c r="I213" s="23">
        <f>IFERROR(__xludf.DUMMYFUNCTION("""COMPUTED_VALUE"""),0.38)</f>
        <v>0.38</v>
      </c>
      <c r="J213" s="23">
        <f>IFERROR(__xludf.DUMMYFUNCTION("""COMPUTED_VALUE"""),212.0)</f>
        <v>212</v>
      </c>
      <c r="K213" s="23" t="b">
        <f>IFERROR(__xludf.DUMMYFUNCTION("""COMPUTED_VALUE"""),FALSE)</f>
        <v>0</v>
      </c>
      <c r="L213" s="23" t="str">
        <f>IFERROR(__xludf.DUMMYFUNCTION("""COMPUTED_VALUE"""),"Array;String;Backtracking;Trie;Matrix;")</f>
        <v>Array;String;Backtracking;Trie;Matrix;</v>
      </c>
      <c r="M213" s="23" t="b">
        <f>IFERROR(__xludf.DUMMYFUNCTION("""COMPUTED_VALUE"""),TRUE)</f>
        <v>1</v>
      </c>
      <c r="N213" s="23" t="b">
        <f>IFERROR(__xludf.DUMMYFUNCTION("""COMPUTED_VALUE"""),FALSE)</f>
        <v>0</v>
      </c>
      <c r="O213" s="23">
        <f>IFERROR(__xludf.DUMMYFUNCTION("""COMPUTED_VALUE"""),37.9923321307034)</f>
        <v>37.99233213</v>
      </c>
      <c r="P213" s="23">
        <f>IFERROR(__xludf.DUMMYFUNCTION("""COMPUTED_VALUE"""),430269.0)</f>
        <v>430269</v>
      </c>
      <c r="Q213" s="23">
        <f>IFERROR(__xludf.DUMMYFUNCTION("""COMPUTED_VALUE"""),1132516.0)</f>
        <v>1132516</v>
      </c>
    </row>
    <row r="214">
      <c r="A214" s="23">
        <f>IFERROR(__xludf.DUMMYFUNCTION("""COMPUTED_VALUE"""),213.0)</f>
        <v>213</v>
      </c>
      <c r="B214" s="23" t="str">
        <f>IFERROR(__xludf.DUMMYFUNCTION("""COMPUTED_VALUE"""),"House Robber II")</f>
        <v>House Robber II</v>
      </c>
      <c r="C214" s="23" t="str">
        <f>IFERROR(__xludf.DUMMYFUNCTION("""COMPUTED_VALUE"""),"house-robber-ii")</f>
        <v>house-robber-ii</v>
      </c>
      <c r="D214" s="23" t="b">
        <f>IFERROR(__xludf.DUMMYFUNCTION("""COMPUTED_VALUE"""),FALSE)</f>
        <v>0</v>
      </c>
      <c r="E214" s="23" t="str">
        <f>IFERROR(__xludf.DUMMYFUNCTION("""COMPUTED_VALUE"""),"Medium")</f>
        <v>Medium</v>
      </c>
      <c r="F214" s="23">
        <f>IFERROR(__xludf.DUMMYFUNCTION("""COMPUTED_VALUE"""),5346.0)</f>
        <v>5346</v>
      </c>
      <c r="G214" s="23">
        <f>IFERROR(__xludf.DUMMYFUNCTION("""COMPUTED_VALUE"""),91.0)</f>
        <v>91</v>
      </c>
      <c r="H214" s="23" t="str">
        <f>IFERROR(__xludf.DUMMYFUNCTION("""COMPUTED_VALUE"""),"Algorithms")</f>
        <v>Algorithms</v>
      </c>
      <c r="I214" s="23">
        <f>IFERROR(__xludf.DUMMYFUNCTION("""COMPUTED_VALUE"""),0.399)</f>
        <v>0.399</v>
      </c>
      <c r="J214" s="23">
        <f>IFERROR(__xludf.DUMMYFUNCTION("""COMPUTED_VALUE"""),213.0)</f>
        <v>213</v>
      </c>
      <c r="K214" s="23" t="b">
        <f>IFERROR(__xludf.DUMMYFUNCTION("""COMPUTED_VALUE"""),FALSE)</f>
        <v>0</v>
      </c>
      <c r="L214" s="23" t="str">
        <f>IFERROR(__xludf.DUMMYFUNCTION("""COMPUTED_VALUE"""),"Array;Dynamic Programming;")</f>
        <v>Array;Dynamic Programming;</v>
      </c>
      <c r="M214" s="23" t="b">
        <f>IFERROR(__xludf.DUMMYFUNCTION("""COMPUTED_VALUE"""),TRUE)</f>
        <v>1</v>
      </c>
      <c r="N214" s="23" t="b">
        <f>IFERROR(__xludf.DUMMYFUNCTION("""COMPUTED_VALUE"""),FALSE)</f>
        <v>0</v>
      </c>
      <c r="O214" s="23">
        <f>IFERROR(__xludf.DUMMYFUNCTION("""COMPUTED_VALUE"""),39.8541256534276)</f>
        <v>39.85412565</v>
      </c>
      <c r="P214" s="23">
        <f>IFERROR(__xludf.DUMMYFUNCTION("""COMPUTED_VALUE"""),387683.0)</f>
        <v>387683</v>
      </c>
      <c r="Q214" s="23">
        <f>IFERROR(__xludf.DUMMYFUNCTION("""COMPUTED_VALUE"""),972754.0)</f>
        <v>972754</v>
      </c>
    </row>
    <row r="215">
      <c r="A215" s="23">
        <f>IFERROR(__xludf.DUMMYFUNCTION("""COMPUTED_VALUE"""),214.0)</f>
        <v>214</v>
      </c>
      <c r="B215" s="23" t="str">
        <f>IFERROR(__xludf.DUMMYFUNCTION("""COMPUTED_VALUE"""),"Shortest Palindrome")</f>
        <v>Shortest Palindrome</v>
      </c>
      <c r="C215" s="23" t="str">
        <f>IFERROR(__xludf.DUMMYFUNCTION("""COMPUTED_VALUE"""),"shortest-palindrome")</f>
        <v>shortest-palindrome</v>
      </c>
      <c r="D215" s="23" t="b">
        <f>IFERROR(__xludf.DUMMYFUNCTION("""COMPUTED_VALUE"""),FALSE)</f>
        <v>0</v>
      </c>
      <c r="E215" s="23" t="str">
        <f>IFERROR(__xludf.DUMMYFUNCTION("""COMPUTED_VALUE"""),"Hard")</f>
        <v>Hard</v>
      </c>
      <c r="F215" s="23">
        <f>IFERROR(__xludf.DUMMYFUNCTION("""COMPUTED_VALUE"""),2338.0)</f>
        <v>2338</v>
      </c>
      <c r="G215" s="23">
        <f>IFERROR(__xludf.DUMMYFUNCTION("""COMPUTED_VALUE"""),188.0)</f>
        <v>188</v>
      </c>
      <c r="H215" s="23" t="str">
        <f>IFERROR(__xludf.DUMMYFUNCTION("""COMPUTED_VALUE"""),"Algorithms")</f>
        <v>Algorithms</v>
      </c>
      <c r="I215" s="23">
        <f>IFERROR(__xludf.DUMMYFUNCTION("""COMPUTED_VALUE"""),0.318)</f>
        <v>0.318</v>
      </c>
      <c r="J215" s="23">
        <f>IFERROR(__xludf.DUMMYFUNCTION("""COMPUTED_VALUE"""),214.0)</f>
        <v>214</v>
      </c>
      <c r="K215" s="23" t="b">
        <f>IFERROR(__xludf.DUMMYFUNCTION("""COMPUTED_VALUE"""),FALSE)</f>
        <v>0</v>
      </c>
      <c r="L215" s="23" t="str">
        <f>IFERROR(__xludf.DUMMYFUNCTION("""COMPUTED_VALUE"""),"String;Rolling Hash;String Matching;Hash Function;")</f>
        <v>String;Rolling Hash;String Matching;Hash Function;</v>
      </c>
      <c r="M215" s="23" t="b">
        <f>IFERROR(__xludf.DUMMYFUNCTION("""COMPUTED_VALUE"""),TRUE)</f>
        <v>1</v>
      </c>
      <c r="N215" s="23" t="b">
        <f>IFERROR(__xludf.DUMMYFUNCTION("""COMPUTED_VALUE"""),FALSE)</f>
        <v>0</v>
      </c>
      <c r="O215" s="23">
        <f>IFERROR(__xludf.DUMMYFUNCTION("""COMPUTED_VALUE"""),31.7695984255658)</f>
        <v>31.76959843</v>
      </c>
      <c r="P215" s="23">
        <f>IFERROR(__xludf.DUMMYFUNCTION("""COMPUTED_VALUE"""),135599.0)</f>
        <v>135599</v>
      </c>
      <c r="Q215" s="23">
        <f>IFERROR(__xludf.DUMMYFUNCTION("""COMPUTED_VALUE"""),426818.0)</f>
        <v>426818</v>
      </c>
    </row>
    <row r="216">
      <c r="A216" s="23">
        <f>IFERROR(__xludf.DUMMYFUNCTION("""COMPUTED_VALUE"""),215.0)</f>
        <v>215</v>
      </c>
      <c r="B216" s="23" t="str">
        <f>IFERROR(__xludf.DUMMYFUNCTION("""COMPUTED_VALUE"""),"Kth Largest Element in an Array")</f>
        <v>Kth Largest Element in an Array</v>
      </c>
      <c r="C216" s="23" t="str">
        <f>IFERROR(__xludf.DUMMYFUNCTION("""COMPUTED_VALUE"""),"kth-largest-element-in-an-array")</f>
        <v>kth-largest-element-in-an-array</v>
      </c>
      <c r="D216" s="23" t="b">
        <f>IFERROR(__xludf.DUMMYFUNCTION("""COMPUTED_VALUE"""),FALSE)</f>
        <v>0</v>
      </c>
      <c r="E216" s="23" t="str">
        <f>IFERROR(__xludf.DUMMYFUNCTION("""COMPUTED_VALUE"""),"Medium")</f>
        <v>Medium</v>
      </c>
      <c r="F216" s="23">
        <f>IFERROR(__xludf.DUMMYFUNCTION("""COMPUTED_VALUE"""),9022.0)</f>
        <v>9022</v>
      </c>
      <c r="G216" s="23">
        <f>IFERROR(__xludf.DUMMYFUNCTION("""COMPUTED_VALUE"""),483.0)</f>
        <v>483</v>
      </c>
      <c r="H216" s="23" t="str">
        <f>IFERROR(__xludf.DUMMYFUNCTION("""COMPUTED_VALUE"""),"Algorithms")</f>
        <v>Algorithms</v>
      </c>
      <c r="I216" s="23">
        <f>IFERROR(__xludf.DUMMYFUNCTION("""COMPUTED_VALUE"""),0.634)</f>
        <v>0.634</v>
      </c>
      <c r="J216" s="23">
        <f>IFERROR(__xludf.DUMMYFUNCTION("""COMPUTED_VALUE"""),215.0)</f>
        <v>215</v>
      </c>
      <c r="K216" s="23" t="b">
        <f>IFERROR(__xludf.DUMMYFUNCTION("""COMPUTED_VALUE"""),FALSE)</f>
        <v>0</v>
      </c>
      <c r="L216" s="23" t="str">
        <f>IFERROR(__xludf.DUMMYFUNCTION("""COMPUTED_VALUE"""),"Array;Divide and Conquer;Sorting;Heap (Priority Queue);Quickselect;")</f>
        <v>Array;Divide and Conquer;Sorting;Heap (Priority Queue);Quickselect;</v>
      </c>
      <c r="M216" s="23" t="b">
        <f>IFERROR(__xludf.DUMMYFUNCTION("""COMPUTED_VALUE"""),TRUE)</f>
        <v>1</v>
      </c>
      <c r="N216" s="23" t="b">
        <f>IFERROR(__xludf.DUMMYFUNCTION("""COMPUTED_VALUE"""),FALSE)</f>
        <v>0</v>
      </c>
      <c r="O216" s="23">
        <f>IFERROR(__xludf.DUMMYFUNCTION("""COMPUTED_VALUE"""),63.4285378092756)</f>
        <v>63.42853781</v>
      </c>
      <c r="P216" s="23">
        <f>IFERROR(__xludf.DUMMYFUNCTION("""COMPUTED_VALUE"""),1293711.0)</f>
        <v>1293711</v>
      </c>
      <c r="Q216" s="23">
        <f>IFERROR(__xludf.DUMMYFUNCTION("""COMPUTED_VALUE"""),2039639.0)</f>
        <v>2039639</v>
      </c>
    </row>
    <row r="217">
      <c r="A217" s="23">
        <f>IFERROR(__xludf.DUMMYFUNCTION("""COMPUTED_VALUE"""),216.0)</f>
        <v>216</v>
      </c>
      <c r="B217" s="23" t="str">
        <f>IFERROR(__xludf.DUMMYFUNCTION("""COMPUTED_VALUE"""),"Combination Sum III")</f>
        <v>Combination Sum III</v>
      </c>
      <c r="C217" s="23" t="str">
        <f>IFERROR(__xludf.DUMMYFUNCTION("""COMPUTED_VALUE"""),"combination-sum-iii")</f>
        <v>combination-sum-iii</v>
      </c>
      <c r="D217" s="23" t="b">
        <f>IFERROR(__xludf.DUMMYFUNCTION("""COMPUTED_VALUE"""),FALSE)</f>
        <v>0</v>
      </c>
      <c r="E217" s="23" t="str">
        <f>IFERROR(__xludf.DUMMYFUNCTION("""COMPUTED_VALUE"""),"Medium")</f>
        <v>Medium</v>
      </c>
      <c r="F217" s="23">
        <f>IFERROR(__xludf.DUMMYFUNCTION("""COMPUTED_VALUE"""),2762.0)</f>
        <v>2762</v>
      </c>
      <c r="G217" s="23">
        <f>IFERROR(__xludf.DUMMYFUNCTION("""COMPUTED_VALUE"""),74.0)</f>
        <v>74</v>
      </c>
      <c r="H217" s="23" t="str">
        <f>IFERROR(__xludf.DUMMYFUNCTION("""COMPUTED_VALUE"""),"Algorithms")</f>
        <v>Algorithms</v>
      </c>
      <c r="I217" s="23">
        <f>IFERROR(__xludf.DUMMYFUNCTION("""COMPUTED_VALUE"""),0.64)</f>
        <v>0.64</v>
      </c>
      <c r="J217" s="23">
        <f>IFERROR(__xludf.DUMMYFUNCTION("""COMPUTED_VALUE"""),216.0)</f>
        <v>216</v>
      </c>
      <c r="K217" s="23" t="b">
        <f>IFERROR(__xludf.DUMMYFUNCTION("""COMPUTED_VALUE"""),FALSE)</f>
        <v>0</v>
      </c>
      <c r="L217" s="23" t="str">
        <f>IFERROR(__xludf.DUMMYFUNCTION("""COMPUTED_VALUE"""),"Array;Backtracking;")</f>
        <v>Array;Backtracking;</v>
      </c>
      <c r="M217" s="23" t="b">
        <f>IFERROR(__xludf.DUMMYFUNCTION("""COMPUTED_VALUE"""),TRUE)</f>
        <v>1</v>
      </c>
      <c r="N217" s="23" t="b">
        <f>IFERROR(__xludf.DUMMYFUNCTION("""COMPUTED_VALUE"""),FALSE)</f>
        <v>0</v>
      </c>
      <c r="O217" s="23">
        <f>IFERROR(__xludf.DUMMYFUNCTION("""COMPUTED_VALUE"""),63.9718789201469)</f>
        <v>63.97187892</v>
      </c>
      <c r="P217" s="23">
        <f>IFERROR(__xludf.DUMMYFUNCTION("""COMPUTED_VALUE"""),286088.0)</f>
        <v>286088</v>
      </c>
      <c r="Q217" s="23">
        <f>IFERROR(__xludf.DUMMYFUNCTION("""COMPUTED_VALUE"""),447209.0)</f>
        <v>447209</v>
      </c>
    </row>
    <row r="218">
      <c r="A218" s="23">
        <f>IFERROR(__xludf.DUMMYFUNCTION("""COMPUTED_VALUE"""),217.0)</f>
        <v>217</v>
      </c>
      <c r="B218" s="23" t="str">
        <f>IFERROR(__xludf.DUMMYFUNCTION("""COMPUTED_VALUE"""),"Contains Duplicate")</f>
        <v>Contains Duplicate</v>
      </c>
      <c r="C218" s="23" t="str">
        <f>IFERROR(__xludf.DUMMYFUNCTION("""COMPUTED_VALUE"""),"contains-duplicate")</f>
        <v>contains-duplicate</v>
      </c>
      <c r="D218" s="23" t="b">
        <f>IFERROR(__xludf.DUMMYFUNCTION("""COMPUTED_VALUE"""),FALSE)</f>
        <v>0</v>
      </c>
      <c r="E218" s="23" t="str">
        <f>IFERROR(__xludf.DUMMYFUNCTION("""COMPUTED_VALUE"""),"Easy")</f>
        <v>Easy</v>
      </c>
      <c r="F218" s="23">
        <f>IFERROR(__xludf.DUMMYFUNCTION("""COMPUTED_VALUE"""),4483.0)</f>
        <v>4483</v>
      </c>
      <c r="G218" s="23">
        <f>IFERROR(__xludf.DUMMYFUNCTION("""COMPUTED_VALUE"""),948.0)</f>
        <v>948</v>
      </c>
      <c r="H218" s="23" t="str">
        <f>IFERROR(__xludf.DUMMYFUNCTION("""COMPUTED_VALUE"""),"Algorithms")</f>
        <v>Algorithms</v>
      </c>
      <c r="I218" s="23">
        <f>IFERROR(__xludf.DUMMYFUNCTION("""COMPUTED_VALUE"""),0.608)</f>
        <v>0.608</v>
      </c>
      <c r="J218" s="23">
        <f>IFERROR(__xludf.DUMMYFUNCTION("""COMPUTED_VALUE"""),217.0)</f>
        <v>217</v>
      </c>
      <c r="K218" s="23" t="b">
        <f>IFERROR(__xludf.DUMMYFUNCTION("""COMPUTED_VALUE"""),FALSE)</f>
        <v>0</v>
      </c>
      <c r="L218" s="23" t="str">
        <f>IFERROR(__xludf.DUMMYFUNCTION("""COMPUTED_VALUE"""),"Array;Hash Table;Sorting;")</f>
        <v>Array;Hash Table;Sorting;</v>
      </c>
      <c r="M218" s="23" t="b">
        <f>IFERROR(__xludf.DUMMYFUNCTION("""COMPUTED_VALUE"""),TRUE)</f>
        <v>1</v>
      </c>
      <c r="N218" s="23" t="b">
        <f>IFERROR(__xludf.DUMMYFUNCTION("""COMPUTED_VALUE"""),FALSE)</f>
        <v>0</v>
      </c>
      <c r="O218" s="23">
        <f>IFERROR(__xludf.DUMMYFUNCTION("""COMPUTED_VALUE"""),60.7776261664052)</f>
        <v>60.77762617</v>
      </c>
      <c r="P218" s="23">
        <f>IFERROR(__xludf.DUMMYFUNCTION("""COMPUTED_VALUE"""),1517532.0)</f>
        <v>1517532</v>
      </c>
      <c r="Q218" s="23">
        <f>IFERROR(__xludf.DUMMYFUNCTION("""COMPUTED_VALUE"""),2496858.0)</f>
        <v>2496858</v>
      </c>
    </row>
    <row r="219">
      <c r="A219" s="23">
        <f>IFERROR(__xludf.DUMMYFUNCTION("""COMPUTED_VALUE"""),218.0)</f>
        <v>218</v>
      </c>
      <c r="B219" s="23" t="str">
        <f>IFERROR(__xludf.DUMMYFUNCTION("""COMPUTED_VALUE"""),"The Skyline Problem")</f>
        <v>The Skyline Problem</v>
      </c>
      <c r="C219" s="23" t="str">
        <f>IFERROR(__xludf.DUMMYFUNCTION("""COMPUTED_VALUE"""),"the-skyline-problem")</f>
        <v>the-skyline-problem</v>
      </c>
      <c r="D219" s="23" t="b">
        <f>IFERROR(__xludf.DUMMYFUNCTION("""COMPUTED_VALUE"""),FALSE)</f>
        <v>0</v>
      </c>
      <c r="E219" s="23" t="str">
        <f>IFERROR(__xludf.DUMMYFUNCTION("""COMPUTED_VALUE"""),"Hard")</f>
        <v>Hard</v>
      </c>
      <c r="F219" s="23">
        <f>IFERROR(__xludf.DUMMYFUNCTION("""COMPUTED_VALUE"""),3771.0)</f>
        <v>3771</v>
      </c>
      <c r="G219" s="23">
        <f>IFERROR(__xludf.DUMMYFUNCTION("""COMPUTED_VALUE"""),198.0)</f>
        <v>198</v>
      </c>
      <c r="H219" s="23" t="str">
        <f>IFERROR(__xludf.DUMMYFUNCTION("""COMPUTED_VALUE"""),"Algorithms")</f>
        <v>Algorithms</v>
      </c>
      <c r="I219" s="23">
        <f>IFERROR(__xludf.DUMMYFUNCTION("""COMPUTED_VALUE"""),0.387)</f>
        <v>0.387</v>
      </c>
      <c r="J219" s="23">
        <f>IFERROR(__xludf.DUMMYFUNCTION("""COMPUTED_VALUE"""),218.0)</f>
        <v>218</v>
      </c>
      <c r="K219" s="23" t="b">
        <f>IFERROR(__xludf.DUMMYFUNCTION("""COMPUTED_VALUE"""),FALSE)</f>
        <v>0</v>
      </c>
      <c r="L219" s="23" t="str">
        <f>IFERROR(__xludf.DUMMYFUNCTION("""COMPUTED_VALUE"""),"Array;Divide and Conquer;Binary Indexed Tree;Segment Tree;Line Sweep;Heap (Priority Queue);Ordered Set;")</f>
        <v>Array;Divide and Conquer;Binary Indexed Tree;Segment Tree;Line Sweep;Heap (Priority Queue);Ordered Set;</v>
      </c>
      <c r="M219" s="23" t="b">
        <f>IFERROR(__xludf.DUMMYFUNCTION("""COMPUTED_VALUE"""),TRUE)</f>
        <v>1</v>
      </c>
      <c r="N219" s="23" t="b">
        <f>IFERROR(__xludf.DUMMYFUNCTION("""COMPUTED_VALUE"""),FALSE)</f>
        <v>0</v>
      </c>
      <c r="O219" s="23">
        <f>IFERROR(__xludf.DUMMYFUNCTION("""COMPUTED_VALUE"""),38.6874024711088)</f>
        <v>38.68740247</v>
      </c>
      <c r="P219" s="23">
        <f>IFERROR(__xludf.DUMMYFUNCTION("""COMPUTED_VALUE"""),205279.0)</f>
        <v>205279</v>
      </c>
      <c r="Q219" s="23">
        <f>IFERROR(__xludf.DUMMYFUNCTION("""COMPUTED_VALUE"""),530611.0)</f>
        <v>530611</v>
      </c>
    </row>
    <row r="220">
      <c r="A220" s="23">
        <f>IFERROR(__xludf.DUMMYFUNCTION("""COMPUTED_VALUE"""),219.0)</f>
        <v>219</v>
      </c>
      <c r="B220" s="23" t="str">
        <f>IFERROR(__xludf.DUMMYFUNCTION("""COMPUTED_VALUE"""),"Contains Duplicate II")</f>
        <v>Contains Duplicate II</v>
      </c>
      <c r="C220" s="23" t="str">
        <f>IFERROR(__xludf.DUMMYFUNCTION("""COMPUTED_VALUE"""),"contains-duplicate-ii")</f>
        <v>contains-duplicate-ii</v>
      </c>
      <c r="D220" s="23" t="b">
        <f>IFERROR(__xludf.DUMMYFUNCTION("""COMPUTED_VALUE"""),FALSE)</f>
        <v>0</v>
      </c>
      <c r="E220" s="23" t="str">
        <f>IFERROR(__xludf.DUMMYFUNCTION("""COMPUTED_VALUE"""),"Easy")</f>
        <v>Easy</v>
      </c>
      <c r="F220" s="23">
        <f>IFERROR(__xludf.DUMMYFUNCTION("""COMPUTED_VALUE"""),2403.0)</f>
        <v>2403</v>
      </c>
      <c r="G220" s="23">
        <f>IFERROR(__xludf.DUMMYFUNCTION("""COMPUTED_VALUE"""),1861.0)</f>
        <v>1861</v>
      </c>
      <c r="H220" s="23" t="str">
        <f>IFERROR(__xludf.DUMMYFUNCTION("""COMPUTED_VALUE"""),"Algorithms")</f>
        <v>Algorithms</v>
      </c>
      <c r="I220" s="23">
        <f>IFERROR(__xludf.DUMMYFUNCTION("""COMPUTED_VALUE"""),0.407)</f>
        <v>0.407</v>
      </c>
      <c r="J220" s="23">
        <f>IFERROR(__xludf.DUMMYFUNCTION("""COMPUTED_VALUE"""),219.0)</f>
        <v>219</v>
      </c>
      <c r="K220" s="23" t="b">
        <f>IFERROR(__xludf.DUMMYFUNCTION("""COMPUTED_VALUE"""),FALSE)</f>
        <v>0</v>
      </c>
      <c r="L220" s="23" t="str">
        <f>IFERROR(__xludf.DUMMYFUNCTION("""COMPUTED_VALUE"""),"Array;Hash Table;Sliding Window;")</f>
        <v>Array;Hash Table;Sliding Window;</v>
      </c>
      <c r="M220" s="23" t="b">
        <f>IFERROR(__xludf.DUMMYFUNCTION("""COMPUTED_VALUE"""),TRUE)</f>
        <v>1</v>
      </c>
      <c r="N220" s="23" t="b">
        <f>IFERROR(__xludf.DUMMYFUNCTION("""COMPUTED_VALUE"""),FALSE)</f>
        <v>0</v>
      </c>
      <c r="O220" s="23">
        <f>IFERROR(__xludf.DUMMYFUNCTION("""COMPUTED_VALUE"""),40.6632653517339)</f>
        <v>40.66326535</v>
      </c>
      <c r="P220" s="23">
        <f>IFERROR(__xludf.DUMMYFUNCTION("""COMPUTED_VALUE"""),454853.0)</f>
        <v>454853</v>
      </c>
      <c r="Q220" s="23">
        <f>IFERROR(__xludf.DUMMYFUNCTION("""COMPUTED_VALUE"""),1118582.0)</f>
        <v>1118582</v>
      </c>
    </row>
    <row r="221">
      <c r="A221" s="23">
        <f>IFERROR(__xludf.DUMMYFUNCTION("""COMPUTED_VALUE"""),220.0)</f>
        <v>220</v>
      </c>
      <c r="B221" s="23" t="str">
        <f>IFERROR(__xludf.DUMMYFUNCTION("""COMPUTED_VALUE"""),"Contains Duplicate III")</f>
        <v>Contains Duplicate III</v>
      </c>
      <c r="C221" s="23" t="str">
        <f>IFERROR(__xludf.DUMMYFUNCTION("""COMPUTED_VALUE"""),"contains-duplicate-iii")</f>
        <v>contains-duplicate-iii</v>
      </c>
      <c r="D221" s="23" t="b">
        <f>IFERROR(__xludf.DUMMYFUNCTION("""COMPUTED_VALUE"""),FALSE)</f>
        <v>0</v>
      </c>
      <c r="E221" s="23" t="str">
        <f>IFERROR(__xludf.DUMMYFUNCTION("""COMPUTED_VALUE"""),"Medium")</f>
        <v>Medium</v>
      </c>
      <c r="F221" s="23">
        <f>IFERROR(__xludf.DUMMYFUNCTION("""COMPUTED_VALUE"""),2291.0)</f>
        <v>2291</v>
      </c>
      <c r="G221" s="23">
        <f>IFERROR(__xludf.DUMMYFUNCTION("""COMPUTED_VALUE"""),2233.0)</f>
        <v>2233</v>
      </c>
      <c r="H221" s="23" t="str">
        <f>IFERROR(__xludf.DUMMYFUNCTION("""COMPUTED_VALUE"""),"Algorithms")</f>
        <v>Algorithms</v>
      </c>
      <c r="I221" s="23">
        <f>IFERROR(__xludf.DUMMYFUNCTION("""COMPUTED_VALUE"""),0.217)</f>
        <v>0.217</v>
      </c>
      <c r="J221" s="23">
        <f>IFERROR(__xludf.DUMMYFUNCTION("""COMPUTED_VALUE"""),220.0)</f>
        <v>220</v>
      </c>
      <c r="K221" s="23" t="b">
        <f>IFERROR(__xludf.DUMMYFUNCTION("""COMPUTED_VALUE"""),FALSE)</f>
        <v>0</v>
      </c>
      <c r="L221" s="23" t="str">
        <f>IFERROR(__xludf.DUMMYFUNCTION("""COMPUTED_VALUE"""),"Array;Sliding Window;Sorting;Bucket Sort;Ordered Set;")</f>
        <v>Array;Sliding Window;Sorting;Bucket Sort;Ordered Set;</v>
      </c>
      <c r="M221" s="23" t="b">
        <f>IFERROR(__xludf.DUMMYFUNCTION("""COMPUTED_VALUE"""),TRUE)</f>
        <v>1</v>
      </c>
      <c r="N221" s="23" t="b">
        <f>IFERROR(__xludf.DUMMYFUNCTION("""COMPUTED_VALUE"""),FALSE)</f>
        <v>0</v>
      </c>
      <c r="O221" s="23">
        <f>IFERROR(__xludf.DUMMYFUNCTION("""COMPUTED_VALUE"""),21.7067989434585)</f>
        <v>21.70679894</v>
      </c>
      <c r="P221" s="23">
        <f>IFERROR(__xludf.DUMMYFUNCTION("""COMPUTED_VALUE"""),200685.0)</f>
        <v>200685</v>
      </c>
      <c r="Q221" s="23">
        <f>IFERROR(__xludf.DUMMYFUNCTION("""COMPUTED_VALUE"""),924525.0)</f>
        <v>924525</v>
      </c>
    </row>
    <row r="222">
      <c r="A222" s="23">
        <f>IFERROR(__xludf.DUMMYFUNCTION("""COMPUTED_VALUE"""),221.0)</f>
        <v>221</v>
      </c>
      <c r="B222" s="23" t="str">
        <f>IFERROR(__xludf.DUMMYFUNCTION("""COMPUTED_VALUE"""),"Maximal Square")</f>
        <v>Maximal Square</v>
      </c>
      <c r="C222" s="23" t="str">
        <f>IFERROR(__xludf.DUMMYFUNCTION("""COMPUTED_VALUE"""),"maximal-square")</f>
        <v>maximal-square</v>
      </c>
      <c r="D222" s="23" t="b">
        <f>IFERROR(__xludf.DUMMYFUNCTION("""COMPUTED_VALUE"""),FALSE)</f>
        <v>0</v>
      </c>
      <c r="E222" s="23" t="str">
        <f>IFERROR(__xludf.DUMMYFUNCTION("""COMPUTED_VALUE"""),"Medium")</f>
        <v>Medium</v>
      </c>
      <c r="F222" s="23">
        <f>IFERROR(__xludf.DUMMYFUNCTION("""COMPUTED_VALUE"""),7055.0)</f>
        <v>7055</v>
      </c>
      <c r="G222" s="23">
        <f>IFERROR(__xludf.DUMMYFUNCTION("""COMPUTED_VALUE"""),146.0)</f>
        <v>146</v>
      </c>
      <c r="H222" s="23" t="str">
        <f>IFERROR(__xludf.DUMMYFUNCTION("""COMPUTED_VALUE"""),"Algorithms")</f>
        <v>Algorithms</v>
      </c>
      <c r="I222" s="23">
        <f>IFERROR(__xludf.DUMMYFUNCTION("""COMPUTED_VALUE"""),0.434)</f>
        <v>0.434</v>
      </c>
      <c r="J222" s="23">
        <f>IFERROR(__xludf.DUMMYFUNCTION("""COMPUTED_VALUE"""),221.0)</f>
        <v>221</v>
      </c>
      <c r="K222" s="23" t="b">
        <f>IFERROR(__xludf.DUMMYFUNCTION("""COMPUTED_VALUE"""),FALSE)</f>
        <v>0</v>
      </c>
      <c r="L222" s="23" t="str">
        <f>IFERROR(__xludf.DUMMYFUNCTION("""COMPUTED_VALUE"""),"Array;Dynamic Programming;Matrix;")</f>
        <v>Array;Dynamic Programming;Matrix;</v>
      </c>
      <c r="M222" s="23" t="b">
        <f>IFERROR(__xludf.DUMMYFUNCTION("""COMPUTED_VALUE"""),TRUE)</f>
        <v>1</v>
      </c>
      <c r="N222" s="23" t="b">
        <f>IFERROR(__xludf.DUMMYFUNCTION("""COMPUTED_VALUE"""),FALSE)</f>
        <v>0</v>
      </c>
      <c r="O222" s="23">
        <f>IFERROR(__xludf.DUMMYFUNCTION("""COMPUTED_VALUE"""),43.4232733040464)</f>
        <v>43.4232733</v>
      </c>
      <c r="P222" s="23">
        <f>IFERROR(__xludf.DUMMYFUNCTION("""COMPUTED_VALUE"""),487306.0)</f>
        <v>487306</v>
      </c>
      <c r="Q222" s="23">
        <f>IFERROR(__xludf.DUMMYFUNCTION("""COMPUTED_VALUE"""),1122225.0)</f>
        <v>1122225</v>
      </c>
    </row>
    <row r="223">
      <c r="A223" s="23">
        <f>IFERROR(__xludf.DUMMYFUNCTION("""COMPUTED_VALUE"""),222.0)</f>
        <v>222</v>
      </c>
      <c r="B223" s="23" t="str">
        <f>IFERROR(__xludf.DUMMYFUNCTION("""COMPUTED_VALUE"""),"Count Complete Tree Nodes")</f>
        <v>Count Complete Tree Nodes</v>
      </c>
      <c r="C223" s="23" t="str">
        <f>IFERROR(__xludf.DUMMYFUNCTION("""COMPUTED_VALUE"""),"count-complete-tree-nodes")</f>
        <v>count-complete-tree-nodes</v>
      </c>
      <c r="D223" s="23" t="b">
        <f>IFERROR(__xludf.DUMMYFUNCTION("""COMPUTED_VALUE"""),FALSE)</f>
        <v>0</v>
      </c>
      <c r="E223" s="23" t="str">
        <f>IFERROR(__xludf.DUMMYFUNCTION("""COMPUTED_VALUE"""),"Medium")</f>
        <v>Medium</v>
      </c>
      <c r="F223" s="23">
        <f>IFERROR(__xludf.DUMMYFUNCTION("""COMPUTED_VALUE"""),4790.0)</f>
        <v>4790</v>
      </c>
      <c r="G223" s="23">
        <f>IFERROR(__xludf.DUMMYFUNCTION("""COMPUTED_VALUE"""),313.0)</f>
        <v>313</v>
      </c>
      <c r="H223" s="23" t="str">
        <f>IFERROR(__xludf.DUMMYFUNCTION("""COMPUTED_VALUE"""),"Algorithms")</f>
        <v>Algorithms</v>
      </c>
      <c r="I223" s="23">
        <f>IFERROR(__xludf.DUMMYFUNCTION("""COMPUTED_VALUE"""),0.552)</f>
        <v>0.552</v>
      </c>
      <c r="J223" s="23">
        <f>IFERROR(__xludf.DUMMYFUNCTION("""COMPUTED_VALUE"""),222.0)</f>
        <v>222</v>
      </c>
      <c r="K223" s="23" t="b">
        <f>IFERROR(__xludf.DUMMYFUNCTION("""COMPUTED_VALUE"""),FALSE)</f>
        <v>0</v>
      </c>
      <c r="L223" s="23" t="str">
        <f>IFERROR(__xludf.DUMMYFUNCTION("""COMPUTED_VALUE"""),"Binary Search;Tree;Depth-First Search;Binary Tree;")</f>
        <v>Binary Search;Tree;Depth-First Search;Binary Tree;</v>
      </c>
      <c r="M223" s="23" t="b">
        <f>IFERROR(__xludf.DUMMYFUNCTION("""COMPUTED_VALUE"""),TRUE)</f>
        <v>1</v>
      </c>
      <c r="N223" s="23" t="b">
        <f>IFERROR(__xludf.DUMMYFUNCTION("""COMPUTED_VALUE"""),FALSE)</f>
        <v>0</v>
      </c>
      <c r="O223" s="23">
        <f>IFERROR(__xludf.DUMMYFUNCTION("""COMPUTED_VALUE"""),55.2004920729263)</f>
        <v>55.20049207</v>
      </c>
      <c r="P223" s="23">
        <f>IFERROR(__xludf.DUMMYFUNCTION("""COMPUTED_VALUE"""),399358.0)</f>
        <v>399358</v>
      </c>
      <c r="Q223" s="23">
        <f>IFERROR(__xludf.DUMMYFUNCTION("""COMPUTED_VALUE"""),723469.0)</f>
        <v>723469</v>
      </c>
    </row>
    <row r="224">
      <c r="A224" s="23">
        <f>IFERROR(__xludf.DUMMYFUNCTION("""COMPUTED_VALUE"""),223.0)</f>
        <v>223</v>
      </c>
      <c r="B224" s="23" t="str">
        <f>IFERROR(__xludf.DUMMYFUNCTION("""COMPUTED_VALUE"""),"Rectangle Area")</f>
        <v>Rectangle Area</v>
      </c>
      <c r="C224" s="23" t="str">
        <f>IFERROR(__xludf.DUMMYFUNCTION("""COMPUTED_VALUE"""),"rectangle-area")</f>
        <v>rectangle-area</v>
      </c>
      <c r="D224" s="23" t="b">
        <f>IFERROR(__xludf.DUMMYFUNCTION("""COMPUTED_VALUE"""),FALSE)</f>
        <v>0</v>
      </c>
      <c r="E224" s="23" t="str">
        <f>IFERROR(__xludf.DUMMYFUNCTION("""COMPUTED_VALUE"""),"Medium")</f>
        <v>Medium</v>
      </c>
      <c r="F224" s="23">
        <f>IFERROR(__xludf.DUMMYFUNCTION("""COMPUTED_VALUE"""),755.0)</f>
        <v>755</v>
      </c>
      <c r="G224" s="23">
        <f>IFERROR(__xludf.DUMMYFUNCTION("""COMPUTED_VALUE"""),1009.0)</f>
        <v>1009</v>
      </c>
      <c r="H224" s="23" t="str">
        <f>IFERROR(__xludf.DUMMYFUNCTION("""COMPUTED_VALUE"""),"Algorithms")</f>
        <v>Algorithms</v>
      </c>
      <c r="I224" s="23">
        <f>IFERROR(__xludf.DUMMYFUNCTION("""COMPUTED_VALUE"""),0.401)</f>
        <v>0.401</v>
      </c>
      <c r="J224" s="23">
        <f>IFERROR(__xludf.DUMMYFUNCTION("""COMPUTED_VALUE"""),223.0)</f>
        <v>223</v>
      </c>
      <c r="K224" s="23" t="b">
        <f>IFERROR(__xludf.DUMMYFUNCTION("""COMPUTED_VALUE"""),FALSE)</f>
        <v>0</v>
      </c>
      <c r="L224" s="23" t="str">
        <f>IFERROR(__xludf.DUMMYFUNCTION("""COMPUTED_VALUE"""),"Math;Geometry;")</f>
        <v>Math;Geometry;</v>
      </c>
      <c r="M224" s="23" t="b">
        <f>IFERROR(__xludf.DUMMYFUNCTION("""COMPUTED_VALUE"""),FALSE)</f>
        <v>0</v>
      </c>
      <c r="N224" s="23" t="b">
        <f>IFERROR(__xludf.DUMMYFUNCTION("""COMPUTED_VALUE"""),FALSE)</f>
        <v>0</v>
      </c>
      <c r="O224" s="23">
        <f>IFERROR(__xludf.DUMMYFUNCTION("""COMPUTED_VALUE"""),40.0905279516869)</f>
        <v>40.09052795</v>
      </c>
      <c r="P224" s="23">
        <f>IFERROR(__xludf.DUMMYFUNCTION("""COMPUTED_VALUE"""),135687.0)</f>
        <v>135687</v>
      </c>
      <c r="Q224" s="23">
        <f>IFERROR(__xludf.DUMMYFUNCTION("""COMPUTED_VALUE"""),338454.0)</f>
        <v>338454</v>
      </c>
    </row>
    <row r="225">
      <c r="A225" s="23">
        <f>IFERROR(__xludf.DUMMYFUNCTION("""COMPUTED_VALUE"""),224.0)</f>
        <v>224</v>
      </c>
      <c r="B225" s="23" t="str">
        <f>IFERROR(__xludf.DUMMYFUNCTION("""COMPUTED_VALUE"""),"Basic Calculator")</f>
        <v>Basic Calculator</v>
      </c>
      <c r="C225" s="23" t="str">
        <f>IFERROR(__xludf.DUMMYFUNCTION("""COMPUTED_VALUE"""),"basic-calculator")</f>
        <v>basic-calculator</v>
      </c>
      <c r="D225" s="23" t="b">
        <f>IFERROR(__xludf.DUMMYFUNCTION("""COMPUTED_VALUE"""),FALSE)</f>
        <v>0</v>
      </c>
      <c r="E225" s="23" t="str">
        <f>IFERROR(__xludf.DUMMYFUNCTION("""COMPUTED_VALUE"""),"Hard")</f>
        <v>Hard</v>
      </c>
      <c r="F225" s="23">
        <f>IFERROR(__xludf.DUMMYFUNCTION("""COMPUTED_VALUE"""),3555.0)</f>
        <v>3555</v>
      </c>
      <c r="G225" s="23">
        <f>IFERROR(__xludf.DUMMYFUNCTION("""COMPUTED_VALUE"""),294.0)</f>
        <v>294</v>
      </c>
      <c r="H225" s="23" t="str">
        <f>IFERROR(__xludf.DUMMYFUNCTION("""COMPUTED_VALUE"""),"Algorithms")</f>
        <v>Algorithms</v>
      </c>
      <c r="I225" s="23">
        <f>IFERROR(__xludf.DUMMYFUNCTION("""COMPUTED_VALUE"""),0.405)</f>
        <v>0.405</v>
      </c>
      <c r="J225" s="23">
        <f>IFERROR(__xludf.DUMMYFUNCTION("""COMPUTED_VALUE"""),224.0)</f>
        <v>224</v>
      </c>
      <c r="K225" s="23" t="b">
        <f>IFERROR(__xludf.DUMMYFUNCTION("""COMPUTED_VALUE"""),FALSE)</f>
        <v>0</v>
      </c>
      <c r="L225" s="23" t="str">
        <f>IFERROR(__xludf.DUMMYFUNCTION("""COMPUTED_VALUE"""),"Math;String;Stack;Recursion;")</f>
        <v>Math;String;Stack;Recursion;</v>
      </c>
      <c r="M225" s="23" t="b">
        <f>IFERROR(__xludf.DUMMYFUNCTION("""COMPUTED_VALUE"""),TRUE)</f>
        <v>1</v>
      </c>
      <c r="N225" s="23" t="b">
        <f>IFERROR(__xludf.DUMMYFUNCTION("""COMPUTED_VALUE"""),FALSE)</f>
        <v>0</v>
      </c>
      <c r="O225" s="23">
        <f>IFERROR(__xludf.DUMMYFUNCTION("""COMPUTED_VALUE"""),40.5018255674164)</f>
        <v>40.50182557</v>
      </c>
      <c r="P225" s="23">
        <f>IFERROR(__xludf.DUMMYFUNCTION("""COMPUTED_VALUE"""),290746.0)</f>
        <v>290746</v>
      </c>
      <c r="Q225" s="23">
        <f>IFERROR(__xludf.DUMMYFUNCTION("""COMPUTED_VALUE"""),717859.0)</f>
        <v>717859</v>
      </c>
    </row>
    <row r="226">
      <c r="A226" s="23">
        <f>IFERROR(__xludf.DUMMYFUNCTION("""COMPUTED_VALUE"""),225.0)</f>
        <v>225</v>
      </c>
      <c r="B226" s="23" t="str">
        <f>IFERROR(__xludf.DUMMYFUNCTION("""COMPUTED_VALUE"""),"Implement Stack using Queues")</f>
        <v>Implement Stack using Queues</v>
      </c>
      <c r="C226" s="23" t="str">
        <f>IFERROR(__xludf.DUMMYFUNCTION("""COMPUTED_VALUE"""),"implement-stack-using-queues")</f>
        <v>implement-stack-using-queues</v>
      </c>
      <c r="D226" s="23" t="b">
        <f>IFERROR(__xludf.DUMMYFUNCTION("""COMPUTED_VALUE"""),FALSE)</f>
        <v>0</v>
      </c>
      <c r="E226" s="23" t="str">
        <f>IFERROR(__xludf.DUMMYFUNCTION("""COMPUTED_VALUE"""),"Easy")</f>
        <v>Easy</v>
      </c>
      <c r="F226" s="23">
        <f>IFERROR(__xludf.DUMMYFUNCTION("""COMPUTED_VALUE"""),2066.0)</f>
        <v>2066</v>
      </c>
      <c r="G226" s="23">
        <f>IFERROR(__xludf.DUMMYFUNCTION("""COMPUTED_VALUE"""),784.0)</f>
        <v>784</v>
      </c>
      <c r="H226" s="23" t="str">
        <f>IFERROR(__xludf.DUMMYFUNCTION("""COMPUTED_VALUE"""),"Algorithms")</f>
        <v>Algorithms</v>
      </c>
      <c r="I226" s="23">
        <f>IFERROR(__xludf.DUMMYFUNCTION("""COMPUTED_VALUE"""),0.527)</f>
        <v>0.527</v>
      </c>
      <c r="J226" s="23">
        <f>IFERROR(__xludf.DUMMYFUNCTION("""COMPUTED_VALUE"""),225.0)</f>
        <v>225</v>
      </c>
      <c r="K226" s="23" t="b">
        <f>IFERROR(__xludf.DUMMYFUNCTION("""COMPUTED_VALUE"""),FALSE)</f>
        <v>0</v>
      </c>
      <c r="L226" s="23" t="str">
        <f>IFERROR(__xludf.DUMMYFUNCTION("""COMPUTED_VALUE"""),"Stack;Design;Queue;")</f>
        <v>Stack;Design;Queue;</v>
      </c>
      <c r="M226" s="23" t="b">
        <f>IFERROR(__xludf.DUMMYFUNCTION("""COMPUTED_VALUE"""),TRUE)</f>
        <v>1</v>
      </c>
      <c r="N226" s="23" t="b">
        <f>IFERROR(__xludf.DUMMYFUNCTION("""COMPUTED_VALUE"""),FALSE)</f>
        <v>0</v>
      </c>
      <c r="O226" s="23">
        <f>IFERROR(__xludf.DUMMYFUNCTION("""COMPUTED_VALUE"""),52.6699273719291)</f>
        <v>52.66992737</v>
      </c>
      <c r="P226" s="23">
        <f>IFERROR(__xludf.DUMMYFUNCTION("""COMPUTED_VALUE"""),292691.0)</f>
        <v>292691</v>
      </c>
      <c r="Q226" s="23">
        <f>IFERROR(__xludf.DUMMYFUNCTION("""COMPUTED_VALUE"""),555708.0)</f>
        <v>555708</v>
      </c>
    </row>
    <row r="227">
      <c r="A227" s="23">
        <f>IFERROR(__xludf.DUMMYFUNCTION("""COMPUTED_VALUE"""),226.0)</f>
        <v>226</v>
      </c>
      <c r="B227" s="23" t="str">
        <f>IFERROR(__xludf.DUMMYFUNCTION("""COMPUTED_VALUE"""),"Invert Binary Tree")</f>
        <v>Invert Binary Tree</v>
      </c>
      <c r="C227" s="23" t="str">
        <f>IFERROR(__xludf.DUMMYFUNCTION("""COMPUTED_VALUE"""),"invert-binary-tree")</f>
        <v>invert-binary-tree</v>
      </c>
      <c r="D227" s="23" t="b">
        <f>IFERROR(__xludf.DUMMYFUNCTION("""COMPUTED_VALUE"""),FALSE)</f>
        <v>0</v>
      </c>
      <c r="E227" s="23" t="str">
        <f>IFERROR(__xludf.DUMMYFUNCTION("""COMPUTED_VALUE"""),"Easy")</f>
        <v>Easy</v>
      </c>
      <c r="F227" s="23">
        <f>IFERROR(__xludf.DUMMYFUNCTION("""COMPUTED_VALUE"""),8176.0)</f>
        <v>8176</v>
      </c>
      <c r="G227" s="23">
        <f>IFERROR(__xludf.DUMMYFUNCTION("""COMPUTED_VALUE"""),110.0)</f>
        <v>110</v>
      </c>
      <c r="H227" s="23" t="str">
        <f>IFERROR(__xludf.DUMMYFUNCTION("""COMPUTED_VALUE"""),"Algorithms")</f>
        <v>Algorithms</v>
      </c>
      <c r="I227" s="23">
        <f>IFERROR(__xludf.DUMMYFUNCTION("""COMPUTED_VALUE"""),0.715)</f>
        <v>0.715</v>
      </c>
      <c r="J227" s="23">
        <f>IFERROR(__xludf.DUMMYFUNCTION("""COMPUTED_VALUE"""),226.0)</f>
        <v>226</v>
      </c>
      <c r="K227" s="23" t="b">
        <f>IFERROR(__xludf.DUMMYFUNCTION("""COMPUTED_VALUE"""),FALSE)</f>
        <v>0</v>
      </c>
      <c r="L227" s="23" t="str">
        <f>IFERROR(__xludf.DUMMYFUNCTION("""COMPUTED_VALUE"""),"Tree;Depth-First Search;Breadth-First Search;Binary Tree;")</f>
        <v>Tree;Depth-First Search;Breadth-First Search;Binary Tree;</v>
      </c>
      <c r="M227" s="23" t="b">
        <f>IFERROR(__xludf.DUMMYFUNCTION("""COMPUTED_VALUE"""),TRUE)</f>
        <v>1</v>
      </c>
      <c r="N227" s="23" t="b">
        <f>IFERROR(__xludf.DUMMYFUNCTION("""COMPUTED_VALUE"""),TRUE)</f>
        <v>1</v>
      </c>
      <c r="O227" s="23">
        <f>IFERROR(__xludf.DUMMYFUNCTION("""COMPUTED_VALUE"""),71.5005951368814)</f>
        <v>71.50059514</v>
      </c>
      <c r="P227" s="23">
        <f>IFERROR(__xludf.DUMMYFUNCTION("""COMPUTED_VALUE"""),1009179.0)</f>
        <v>1009179</v>
      </c>
      <c r="Q227" s="23">
        <f>IFERROR(__xludf.DUMMYFUNCTION("""COMPUTED_VALUE"""),1411427.0)</f>
        <v>1411427</v>
      </c>
    </row>
    <row r="228">
      <c r="A228" s="23">
        <f>IFERROR(__xludf.DUMMYFUNCTION("""COMPUTED_VALUE"""),227.0)</f>
        <v>227</v>
      </c>
      <c r="B228" s="23" t="str">
        <f>IFERROR(__xludf.DUMMYFUNCTION("""COMPUTED_VALUE"""),"Basic Calculator II")</f>
        <v>Basic Calculator II</v>
      </c>
      <c r="C228" s="23" t="str">
        <f>IFERROR(__xludf.DUMMYFUNCTION("""COMPUTED_VALUE"""),"basic-calculator-ii")</f>
        <v>basic-calculator-ii</v>
      </c>
      <c r="D228" s="23" t="b">
        <f>IFERROR(__xludf.DUMMYFUNCTION("""COMPUTED_VALUE"""),FALSE)</f>
        <v>0</v>
      </c>
      <c r="E228" s="23" t="str">
        <f>IFERROR(__xludf.DUMMYFUNCTION("""COMPUTED_VALUE"""),"Medium")</f>
        <v>Medium</v>
      </c>
      <c r="F228" s="23">
        <f>IFERROR(__xludf.DUMMYFUNCTION("""COMPUTED_VALUE"""),4237.0)</f>
        <v>4237</v>
      </c>
      <c r="G228" s="23">
        <f>IFERROR(__xludf.DUMMYFUNCTION("""COMPUTED_VALUE"""),557.0)</f>
        <v>557</v>
      </c>
      <c r="H228" s="23" t="str">
        <f>IFERROR(__xludf.DUMMYFUNCTION("""COMPUTED_VALUE"""),"Algorithms")</f>
        <v>Algorithms</v>
      </c>
      <c r="I228" s="23">
        <f>IFERROR(__xludf.DUMMYFUNCTION("""COMPUTED_VALUE"""),0.416)</f>
        <v>0.416</v>
      </c>
      <c r="J228" s="23">
        <f>IFERROR(__xludf.DUMMYFUNCTION("""COMPUTED_VALUE"""),227.0)</f>
        <v>227</v>
      </c>
      <c r="K228" s="23" t="b">
        <f>IFERROR(__xludf.DUMMYFUNCTION("""COMPUTED_VALUE"""),FALSE)</f>
        <v>0</v>
      </c>
      <c r="L228" s="23" t="str">
        <f>IFERROR(__xludf.DUMMYFUNCTION("""COMPUTED_VALUE"""),"Math;String;Stack;")</f>
        <v>Math;String;Stack;</v>
      </c>
      <c r="M228" s="23" t="b">
        <f>IFERROR(__xludf.DUMMYFUNCTION("""COMPUTED_VALUE"""),TRUE)</f>
        <v>1</v>
      </c>
      <c r="N228" s="23" t="b">
        <f>IFERROR(__xludf.DUMMYFUNCTION("""COMPUTED_VALUE"""),FALSE)</f>
        <v>0</v>
      </c>
      <c r="O228" s="23">
        <f>IFERROR(__xludf.DUMMYFUNCTION("""COMPUTED_VALUE"""),41.5726348128639)</f>
        <v>41.57263481</v>
      </c>
      <c r="P228" s="23">
        <f>IFERROR(__xludf.DUMMYFUNCTION("""COMPUTED_VALUE"""),422732.0)</f>
        <v>422732</v>
      </c>
      <c r="Q228" s="23">
        <f>IFERROR(__xludf.DUMMYFUNCTION("""COMPUTED_VALUE"""),1016853.0)</f>
        <v>1016853</v>
      </c>
    </row>
    <row r="229">
      <c r="A229" s="23">
        <f>IFERROR(__xludf.DUMMYFUNCTION("""COMPUTED_VALUE"""),228.0)</f>
        <v>228</v>
      </c>
      <c r="B229" s="23" t="str">
        <f>IFERROR(__xludf.DUMMYFUNCTION("""COMPUTED_VALUE"""),"Summary Ranges")</f>
        <v>Summary Ranges</v>
      </c>
      <c r="C229" s="23" t="str">
        <f>IFERROR(__xludf.DUMMYFUNCTION("""COMPUTED_VALUE"""),"summary-ranges")</f>
        <v>summary-ranges</v>
      </c>
      <c r="D229" s="23" t="b">
        <f>IFERROR(__xludf.DUMMYFUNCTION("""COMPUTED_VALUE"""),FALSE)</f>
        <v>0</v>
      </c>
      <c r="E229" s="23" t="str">
        <f>IFERROR(__xludf.DUMMYFUNCTION("""COMPUTED_VALUE"""),"Easy")</f>
        <v>Easy</v>
      </c>
      <c r="F229" s="23">
        <f>IFERROR(__xludf.DUMMYFUNCTION("""COMPUTED_VALUE"""),2050.0)</f>
        <v>2050</v>
      </c>
      <c r="G229" s="23">
        <f>IFERROR(__xludf.DUMMYFUNCTION("""COMPUTED_VALUE"""),1154.0)</f>
        <v>1154</v>
      </c>
      <c r="H229" s="23" t="str">
        <f>IFERROR(__xludf.DUMMYFUNCTION("""COMPUTED_VALUE"""),"Algorithms")</f>
        <v>Algorithms</v>
      </c>
      <c r="I229" s="23">
        <f>IFERROR(__xludf.DUMMYFUNCTION("""COMPUTED_VALUE"""),0.464)</f>
        <v>0.464</v>
      </c>
      <c r="J229" s="23">
        <f>IFERROR(__xludf.DUMMYFUNCTION("""COMPUTED_VALUE"""),228.0)</f>
        <v>228</v>
      </c>
      <c r="K229" s="23" t="b">
        <f>IFERROR(__xludf.DUMMYFUNCTION("""COMPUTED_VALUE"""),FALSE)</f>
        <v>0</v>
      </c>
      <c r="L229" s="23" t="str">
        <f>IFERROR(__xludf.DUMMYFUNCTION("""COMPUTED_VALUE"""),"Array;")</f>
        <v>Array;</v>
      </c>
      <c r="M229" s="23" t="b">
        <f>IFERROR(__xludf.DUMMYFUNCTION("""COMPUTED_VALUE"""),TRUE)</f>
        <v>1</v>
      </c>
      <c r="N229" s="23" t="b">
        <f>IFERROR(__xludf.DUMMYFUNCTION("""COMPUTED_VALUE"""),FALSE)</f>
        <v>0</v>
      </c>
      <c r="O229" s="23">
        <f>IFERROR(__xludf.DUMMYFUNCTION("""COMPUTED_VALUE"""),46.3528257549983)</f>
        <v>46.35282575</v>
      </c>
      <c r="P229" s="23">
        <f>IFERROR(__xludf.DUMMYFUNCTION("""COMPUTED_VALUE"""),292929.0)</f>
        <v>292929</v>
      </c>
      <c r="Q229" s="23">
        <f>IFERROR(__xludf.DUMMYFUNCTION("""COMPUTED_VALUE"""),631955.0)</f>
        <v>631955</v>
      </c>
    </row>
    <row r="230">
      <c r="A230" s="23">
        <f>IFERROR(__xludf.DUMMYFUNCTION("""COMPUTED_VALUE"""),229.0)</f>
        <v>229</v>
      </c>
      <c r="B230" s="23" t="str">
        <f>IFERROR(__xludf.DUMMYFUNCTION("""COMPUTED_VALUE"""),"Majority Element II")</f>
        <v>Majority Element II</v>
      </c>
      <c r="C230" s="23" t="str">
        <f>IFERROR(__xludf.DUMMYFUNCTION("""COMPUTED_VALUE"""),"majority-element-ii")</f>
        <v>majority-element-ii</v>
      </c>
      <c r="D230" s="23" t="b">
        <f>IFERROR(__xludf.DUMMYFUNCTION("""COMPUTED_VALUE"""),FALSE)</f>
        <v>0</v>
      </c>
      <c r="E230" s="23" t="str">
        <f>IFERROR(__xludf.DUMMYFUNCTION("""COMPUTED_VALUE"""),"Medium")</f>
        <v>Medium</v>
      </c>
      <c r="F230" s="23">
        <f>IFERROR(__xludf.DUMMYFUNCTION("""COMPUTED_VALUE"""),4740.0)</f>
        <v>4740</v>
      </c>
      <c r="G230" s="23">
        <f>IFERROR(__xludf.DUMMYFUNCTION("""COMPUTED_VALUE"""),279.0)</f>
        <v>279</v>
      </c>
      <c r="H230" s="23" t="str">
        <f>IFERROR(__xludf.DUMMYFUNCTION("""COMPUTED_VALUE"""),"Algorithms")</f>
        <v>Algorithms</v>
      </c>
      <c r="I230" s="23">
        <f>IFERROR(__xludf.DUMMYFUNCTION("""COMPUTED_VALUE"""),0.423)</f>
        <v>0.423</v>
      </c>
      <c r="J230" s="23">
        <f>IFERROR(__xludf.DUMMYFUNCTION("""COMPUTED_VALUE"""),229.0)</f>
        <v>229</v>
      </c>
      <c r="K230" s="23" t="b">
        <f>IFERROR(__xludf.DUMMYFUNCTION("""COMPUTED_VALUE"""),FALSE)</f>
        <v>0</v>
      </c>
      <c r="L230" s="23" t="str">
        <f>IFERROR(__xludf.DUMMYFUNCTION("""COMPUTED_VALUE"""),"Array;Hash Table;Sorting;Counting;")</f>
        <v>Array;Hash Table;Sorting;Counting;</v>
      </c>
      <c r="M230" s="23" t="b">
        <f>IFERROR(__xludf.DUMMYFUNCTION("""COMPUTED_VALUE"""),TRUE)</f>
        <v>1</v>
      </c>
      <c r="N230" s="23" t="b">
        <f>IFERROR(__xludf.DUMMYFUNCTION("""COMPUTED_VALUE"""),FALSE)</f>
        <v>0</v>
      </c>
      <c r="O230" s="23">
        <f>IFERROR(__xludf.DUMMYFUNCTION("""COMPUTED_VALUE"""),42.3366897587946)</f>
        <v>42.33668976</v>
      </c>
      <c r="P230" s="23">
        <f>IFERROR(__xludf.DUMMYFUNCTION("""COMPUTED_VALUE"""),285149.0)</f>
        <v>285149</v>
      </c>
      <c r="Q230" s="23">
        <f>IFERROR(__xludf.DUMMYFUNCTION("""COMPUTED_VALUE"""),673528.0)</f>
        <v>673528</v>
      </c>
    </row>
    <row r="231">
      <c r="A231" s="23">
        <f>IFERROR(__xludf.DUMMYFUNCTION("""COMPUTED_VALUE"""),230.0)</f>
        <v>230</v>
      </c>
      <c r="B231" s="23" t="str">
        <f>IFERROR(__xludf.DUMMYFUNCTION("""COMPUTED_VALUE"""),"Kth Smallest Element in a BST")</f>
        <v>Kth Smallest Element in a BST</v>
      </c>
      <c r="C231" s="23" t="str">
        <f>IFERROR(__xludf.DUMMYFUNCTION("""COMPUTED_VALUE"""),"kth-smallest-element-in-a-bst")</f>
        <v>kth-smallest-element-in-a-bst</v>
      </c>
      <c r="D231" s="23" t="b">
        <f>IFERROR(__xludf.DUMMYFUNCTION("""COMPUTED_VALUE"""),FALSE)</f>
        <v>0</v>
      </c>
      <c r="E231" s="23" t="str">
        <f>IFERROR(__xludf.DUMMYFUNCTION("""COMPUTED_VALUE"""),"Medium")</f>
        <v>Medium</v>
      </c>
      <c r="F231" s="23">
        <f>IFERROR(__xludf.DUMMYFUNCTION("""COMPUTED_VALUE"""),6950.0)</f>
        <v>6950</v>
      </c>
      <c r="G231" s="23">
        <f>IFERROR(__xludf.DUMMYFUNCTION("""COMPUTED_VALUE"""),128.0)</f>
        <v>128</v>
      </c>
      <c r="H231" s="23" t="str">
        <f>IFERROR(__xludf.DUMMYFUNCTION("""COMPUTED_VALUE"""),"Algorithms")</f>
        <v>Algorithms</v>
      </c>
      <c r="I231" s="23">
        <f>IFERROR(__xludf.DUMMYFUNCTION("""COMPUTED_VALUE"""),0.676)</f>
        <v>0.676</v>
      </c>
      <c r="J231" s="23">
        <f>IFERROR(__xludf.DUMMYFUNCTION("""COMPUTED_VALUE"""),230.0)</f>
        <v>230</v>
      </c>
      <c r="K231" s="23" t="b">
        <f>IFERROR(__xludf.DUMMYFUNCTION("""COMPUTED_VALUE"""),FALSE)</f>
        <v>0</v>
      </c>
      <c r="L231" s="23" t="str">
        <f>IFERROR(__xludf.DUMMYFUNCTION("""COMPUTED_VALUE"""),"Tree;Depth-First Search;Binary Search Tree;Binary Tree;")</f>
        <v>Tree;Depth-First Search;Binary Search Tree;Binary Tree;</v>
      </c>
      <c r="M231" s="23" t="b">
        <f>IFERROR(__xludf.DUMMYFUNCTION("""COMPUTED_VALUE"""),TRUE)</f>
        <v>1</v>
      </c>
      <c r="N231" s="23" t="b">
        <f>IFERROR(__xludf.DUMMYFUNCTION("""COMPUTED_VALUE"""),FALSE)</f>
        <v>0</v>
      </c>
      <c r="O231" s="23">
        <f>IFERROR(__xludf.DUMMYFUNCTION("""COMPUTED_VALUE"""),67.5963389278288)</f>
        <v>67.59633893</v>
      </c>
      <c r="P231" s="23">
        <f>IFERROR(__xludf.DUMMYFUNCTION("""COMPUTED_VALUE"""),788390.0)</f>
        <v>788390</v>
      </c>
      <c r="Q231" s="23">
        <f>IFERROR(__xludf.DUMMYFUNCTION("""COMPUTED_VALUE"""),1166322.0)</f>
        <v>1166322</v>
      </c>
    </row>
    <row r="232">
      <c r="A232" s="23">
        <f>IFERROR(__xludf.DUMMYFUNCTION("""COMPUTED_VALUE"""),231.0)</f>
        <v>231</v>
      </c>
      <c r="B232" s="23" t="str">
        <f>IFERROR(__xludf.DUMMYFUNCTION("""COMPUTED_VALUE"""),"Power of Two")</f>
        <v>Power of Two</v>
      </c>
      <c r="C232" s="23" t="str">
        <f>IFERROR(__xludf.DUMMYFUNCTION("""COMPUTED_VALUE"""),"power-of-two")</f>
        <v>power-of-two</v>
      </c>
      <c r="D232" s="23" t="b">
        <f>IFERROR(__xludf.DUMMYFUNCTION("""COMPUTED_VALUE"""),FALSE)</f>
        <v>0</v>
      </c>
      <c r="E232" s="23" t="str">
        <f>IFERROR(__xludf.DUMMYFUNCTION("""COMPUTED_VALUE"""),"Easy")</f>
        <v>Easy</v>
      </c>
      <c r="F232" s="23">
        <f>IFERROR(__xludf.DUMMYFUNCTION("""COMPUTED_VALUE"""),3162.0)</f>
        <v>3162</v>
      </c>
      <c r="G232" s="23">
        <f>IFERROR(__xludf.DUMMYFUNCTION("""COMPUTED_VALUE"""),288.0)</f>
        <v>288</v>
      </c>
      <c r="H232" s="23" t="str">
        <f>IFERROR(__xludf.DUMMYFUNCTION("""COMPUTED_VALUE"""),"Algorithms")</f>
        <v>Algorithms</v>
      </c>
      <c r="I232" s="23">
        <f>IFERROR(__xludf.DUMMYFUNCTION("""COMPUTED_VALUE"""),0.45)</f>
        <v>0.45</v>
      </c>
      <c r="J232" s="23">
        <f>IFERROR(__xludf.DUMMYFUNCTION("""COMPUTED_VALUE"""),231.0)</f>
        <v>231</v>
      </c>
      <c r="K232" s="23" t="b">
        <f>IFERROR(__xludf.DUMMYFUNCTION("""COMPUTED_VALUE"""),FALSE)</f>
        <v>0</v>
      </c>
      <c r="L232" s="23" t="str">
        <f>IFERROR(__xludf.DUMMYFUNCTION("""COMPUTED_VALUE"""),"Math;Bit Manipulation;Recursion;")</f>
        <v>Math;Bit Manipulation;Recursion;</v>
      </c>
      <c r="M232" s="23" t="b">
        <f>IFERROR(__xludf.DUMMYFUNCTION("""COMPUTED_VALUE"""),TRUE)</f>
        <v>1</v>
      </c>
      <c r="N232" s="23" t="b">
        <f>IFERROR(__xludf.DUMMYFUNCTION("""COMPUTED_VALUE"""),FALSE)</f>
        <v>0</v>
      </c>
      <c r="O232" s="23">
        <f>IFERROR(__xludf.DUMMYFUNCTION("""COMPUTED_VALUE"""),44.9931043147705)</f>
        <v>44.99310431</v>
      </c>
      <c r="P232" s="23">
        <f>IFERROR(__xludf.DUMMYFUNCTION("""COMPUTED_VALUE"""),615941.0)</f>
        <v>615941</v>
      </c>
      <c r="Q232" s="23">
        <f>IFERROR(__xludf.DUMMYFUNCTION("""COMPUTED_VALUE"""),1368970.0)</f>
        <v>1368970</v>
      </c>
    </row>
    <row r="233">
      <c r="A233" s="23">
        <f>IFERROR(__xludf.DUMMYFUNCTION("""COMPUTED_VALUE"""),232.0)</f>
        <v>232</v>
      </c>
      <c r="B233" s="23" t="str">
        <f>IFERROR(__xludf.DUMMYFUNCTION("""COMPUTED_VALUE"""),"Implement Queue using Stacks")</f>
        <v>Implement Queue using Stacks</v>
      </c>
      <c r="C233" s="23" t="str">
        <f>IFERROR(__xludf.DUMMYFUNCTION("""COMPUTED_VALUE"""),"implement-queue-using-stacks")</f>
        <v>implement-queue-using-stacks</v>
      </c>
      <c r="D233" s="23" t="b">
        <f>IFERROR(__xludf.DUMMYFUNCTION("""COMPUTED_VALUE"""),FALSE)</f>
        <v>0</v>
      </c>
      <c r="E233" s="23" t="str">
        <f>IFERROR(__xludf.DUMMYFUNCTION("""COMPUTED_VALUE"""),"Easy")</f>
        <v>Easy</v>
      </c>
      <c r="F233" s="23">
        <f>IFERROR(__xludf.DUMMYFUNCTION("""COMPUTED_VALUE"""),3263.0)</f>
        <v>3263</v>
      </c>
      <c r="G233" s="23">
        <f>IFERROR(__xludf.DUMMYFUNCTION("""COMPUTED_VALUE"""),220.0)</f>
        <v>220</v>
      </c>
      <c r="H233" s="23" t="str">
        <f>IFERROR(__xludf.DUMMYFUNCTION("""COMPUTED_VALUE"""),"Algorithms")</f>
        <v>Algorithms</v>
      </c>
      <c r="I233" s="23">
        <f>IFERROR(__xludf.DUMMYFUNCTION("""COMPUTED_VALUE"""),0.581)</f>
        <v>0.581</v>
      </c>
      <c r="J233" s="23">
        <f>IFERROR(__xludf.DUMMYFUNCTION("""COMPUTED_VALUE"""),232.0)</f>
        <v>232</v>
      </c>
      <c r="K233" s="23" t="b">
        <f>IFERROR(__xludf.DUMMYFUNCTION("""COMPUTED_VALUE"""),FALSE)</f>
        <v>0</v>
      </c>
      <c r="L233" s="23" t="str">
        <f>IFERROR(__xludf.DUMMYFUNCTION("""COMPUTED_VALUE"""),"Stack;Design;Queue;")</f>
        <v>Stack;Design;Queue;</v>
      </c>
      <c r="M233" s="23" t="b">
        <f>IFERROR(__xludf.DUMMYFUNCTION("""COMPUTED_VALUE"""),TRUE)</f>
        <v>1</v>
      </c>
      <c r="N233" s="23" t="b">
        <f>IFERROR(__xludf.DUMMYFUNCTION("""COMPUTED_VALUE"""),FALSE)</f>
        <v>0</v>
      </c>
      <c r="O233" s="23">
        <f>IFERROR(__xludf.DUMMYFUNCTION("""COMPUTED_VALUE"""),58.1057698996035)</f>
        <v>58.1057699</v>
      </c>
      <c r="P233" s="23">
        <f>IFERROR(__xludf.DUMMYFUNCTION("""COMPUTED_VALUE"""),400965.0)</f>
        <v>400965</v>
      </c>
      <c r="Q233" s="23">
        <f>IFERROR(__xludf.DUMMYFUNCTION("""COMPUTED_VALUE"""),690056.0)</f>
        <v>690056</v>
      </c>
    </row>
    <row r="234">
      <c r="A234" s="23">
        <f>IFERROR(__xludf.DUMMYFUNCTION("""COMPUTED_VALUE"""),233.0)</f>
        <v>233</v>
      </c>
      <c r="B234" s="23" t="str">
        <f>IFERROR(__xludf.DUMMYFUNCTION("""COMPUTED_VALUE"""),"Number of Digit One")</f>
        <v>Number of Digit One</v>
      </c>
      <c r="C234" s="23" t="str">
        <f>IFERROR(__xludf.DUMMYFUNCTION("""COMPUTED_VALUE"""),"number-of-digit-one")</f>
        <v>number-of-digit-one</v>
      </c>
      <c r="D234" s="23" t="b">
        <f>IFERROR(__xludf.DUMMYFUNCTION("""COMPUTED_VALUE"""),FALSE)</f>
        <v>0</v>
      </c>
      <c r="E234" s="23" t="str">
        <f>IFERROR(__xludf.DUMMYFUNCTION("""COMPUTED_VALUE"""),"Hard")</f>
        <v>Hard</v>
      </c>
      <c r="F234" s="23">
        <f>IFERROR(__xludf.DUMMYFUNCTION("""COMPUTED_VALUE"""),710.0)</f>
        <v>710</v>
      </c>
      <c r="G234" s="23">
        <f>IFERROR(__xludf.DUMMYFUNCTION("""COMPUTED_VALUE"""),1037.0)</f>
        <v>1037</v>
      </c>
      <c r="H234" s="23" t="str">
        <f>IFERROR(__xludf.DUMMYFUNCTION("""COMPUTED_VALUE"""),"Algorithms")</f>
        <v>Algorithms</v>
      </c>
      <c r="I234" s="23">
        <f>IFERROR(__xludf.DUMMYFUNCTION("""COMPUTED_VALUE"""),0.336)</f>
        <v>0.336</v>
      </c>
      <c r="J234" s="23">
        <f>IFERROR(__xludf.DUMMYFUNCTION("""COMPUTED_VALUE"""),233.0)</f>
        <v>233</v>
      </c>
      <c r="K234" s="23" t="b">
        <f>IFERROR(__xludf.DUMMYFUNCTION("""COMPUTED_VALUE"""),FALSE)</f>
        <v>0</v>
      </c>
      <c r="L234" s="23" t="str">
        <f>IFERROR(__xludf.DUMMYFUNCTION("""COMPUTED_VALUE"""),"Math;Dynamic Programming;Recursion;")</f>
        <v>Math;Dynamic Programming;Recursion;</v>
      </c>
      <c r="M234" s="23" t="b">
        <f>IFERROR(__xludf.DUMMYFUNCTION("""COMPUTED_VALUE"""),TRUE)</f>
        <v>1</v>
      </c>
      <c r="N234" s="23" t="b">
        <f>IFERROR(__xludf.DUMMYFUNCTION("""COMPUTED_VALUE"""),FALSE)</f>
        <v>0</v>
      </c>
      <c r="O234" s="23">
        <f>IFERROR(__xludf.DUMMYFUNCTION("""COMPUTED_VALUE"""),33.5647580219975)</f>
        <v>33.56475802</v>
      </c>
      <c r="P234" s="23">
        <f>IFERROR(__xludf.DUMMYFUNCTION("""COMPUTED_VALUE"""),64299.0)</f>
        <v>64299</v>
      </c>
      <c r="Q234" s="23">
        <f>IFERROR(__xludf.DUMMYFUNCTION("""COMPUTED_VALUE"""),191567.0)</f>
        <v>191567</v>
      </c>
    </row>
    <row r="235">
      <c r="A235" s="23">
        <f>IFERROR(__xludf.DUMMYFUNCTION("""COMPUTED_VALUE"""),234.0)</f>
        <v>234</v>
      </c>
      <c r="B235" s="23" t="str">
        <f>IFERROR(__xludf.DUMMYFUNCTION("""COMPUTED_VALUE"""),"Palindrome Linked List")</f>
        <v>Palindrome Linked List</v>
      </c>
      <c r="C235" s="23" t="str">
        <f>IFERROR(__xludf.DUMMYFUNCTION("""COMPUTED_VALUE"""),"palindrome-linked-list")</f>
        <v>palindrome-linked-list</v>
      </c>
      <c r="D235" s="23" t="b">
        <f>IFERROR(__xludf.DUMMYFUNCTION("""COMPUTED_VALUE"""),FALSE)</f>
        <v>0</v>
      </c>
      <c r="E235" s="23" t="str">
        <f>IFERROR(__xludf.DUMMYFUNCTION("""COMPUTED_VALUE"""),"Easy")</f>
        <v>Easy</v>
      </c>
      <c r="F235" s="23">
        <f>IFERROR(__xludf.DUMMYFUNCTION("""COMPUTED_VALUE"""),8690.0)</f>
        <v>8690</v>
      </c>
      <c r="G235" s="23">
        <f>IFERROR(__xludf.DUMMYFUNCTION("""COMPUTED_VALUE"""),532.0)</f>
        <v>532</v>
      </c>
      <c r="H235" s="23" t="str">
        <f>IFERROR(__xludf.DUMMYFUNCTION("""COMPUTED_VALUE"""),"Algorithms")</f>
        <v>Algorithms</v>
      </c>
      <c r="I235" s="23">
        <f>IFERROR(__xludf.DUMMYFUNCTION("""COMPUTED_VALUE"""),0.466)</f>
        <v>0.466</v>
      </c>
      <c r="J235" s="23">
        <f>IFERROR(__xludf.DUMMYFUNCTION("""COMPUTED_VALUE"""),234.0)</f>
        <v>234</v>
      </c>
      <c r="K235" s="23" t="b">
        <f>IFERROR(__xludf.DUMMYFUNCTION("""COMPUTED_VALUE"""),FALSE)</f>
        <v>0</v>
      </c>
      <c r="L235" s="23" t="str">
        <f>IFERROR(__xludf.DUMMYFUNCTION("""COMPUTED_VALUE"""),"Linked List;Two Pointers;Stack;Recursion;")</f>
        <v>Linked List;Two Pointers;Stack;Recursion;</v>
      </c>
      <c r="M235" s="23" t="b">
        <f>IFERROR(__xludf.DUMMYFUNCTION("""COMPUTED_VALUE"""),TRUE)</f>
        <v>1</v>
      </c>
      <c r="N235" s="23" t="b">
        <f>IFERROR(__xludf.DUMMYFUNCTION("""COMPUTED_VALUE"""),TRUE)</f>
        <v>1</v>
      </c>
      <c r="O235" s="23">
        <f>IFERROR(__xludf.DUMMYFUNCTION("""COMPUTED_VALUE"""),46.5642328815987)</f>
        <v>46.56423288</v>
      </c>
      <c r="P235" s="23">
        <f>IFERROR(__xludf.DUMMYFUNCTION("""COMPUTED_VALUE"""),947693.0)</f>
        <v>947693</v>
      </c>
      <c r="Q235" s="23">
        <f>IFERROR(__xludf.DUMMYFUNCTION("""COMPUTED_VALUE"""),2035246.0)</f>
        <v>2035246</v>
      </c>
    </row>
    <row r="236">
      <c r="A236" s="23">
        <f>IFERROR(__xludf.DUMMYFUNCTION("""COMPUTED_VALUE"""),235.0)</f>
        <v>235</v>
      </c>
      <c r="B236" s="23" t="str">
        <f>IFERROR(__xludf.DUMMYFUNCTION("""COMPUTED_VALUE"""),"Lowest Common Ancestor of a Binary Search Tree")</f>
        <v>Lowest Common Ancestor of a Binary Search Tree</v>
      </c>
      <c r="C236" s="23" t="str">
        <f>IFERROR(__xludf.DUMMYFUNCTION("""COMPUTED_VALUE"""),"lowest-common-ancestor-of-a-binary-search-tree")</f>
        <v>lowest-common-ancestor-of-a-binary-search-tree</v>
      </c>
      <c r="D236" s="23" t="b">
        <f>IFERROR(__xludf.DUMMYFUNCTION("""COMPUTED_VALUE"""),FALSE)</f>
        <v>0</v>
      </c>
      <c r="E236" s="23" t="str">
        <f>IFERROR(__xludf.DUMMYFUNCTION("""COMPUTED_VALUE"""),"Easy")</f>
        <v>Easy</v>
      </c>
      <c r="F236" s="23">
        <f>IFERROR(__xludf.DUMMYFUNCTION("""COMPUTED_VALUE"""),5546.0)</f>
        <v>5546</v>
      </c>
      <c r="G236" s="23">
        <f>IFERROR(__xludf.DUMMYFUNCTION("""COMPUTED_VALUE"""),185.0)</f>
        <v>185</v>
      </c>
      <c r="H236" s="23" t="str">
        <f>IFERROR(__xludf.DUMMYFUNCTION("""COMPUTED_VALUE"""),"Algorithms")</f>
        <v>Algorithms</v>
      </c>
      <c r="I236" s="23">
        <f>IFERROR(__xludf.DUMMYFUNCTION("""COMPUTED_VALUE"""),0.57)</f>
        <v>0.57</v>
      </c>
      <c r="J236" s="23">
        <f>IFERROR(__xludf.DUMMYFUNCTION("""COMPUTED_VALUE"""),235.0)</f>
        <v>235</v>
      </c>
      <c r="K236" s="23" t="b">
        <f>IFERROR(__xludf.DUMMYFUNCTION("""COMPUTED_VALUE"""),FALSE)</f>
        <v>0</v>
      </c>
      <c r="L236" s="23" t="str">
        <f>IFERROR(__xludf.DUMMYFUNCTION("""COMPUTED_VALUE"""),"Tree;Depth-First Search;Binary Search Tree;Binary Tree;")</f>
        <v>Tree;Depth-First Search;Binary Search Tree;Binary Tree;</v>
      </c>
      <c r="M236" s="23" t="b">
        <f>IFERROR(__xludf.DUMMYFUNCTION("""COMPUTED_VALUE"""),TRUE)</f>
        <v>1</v>
      </c>
      <c r="N236" s="23" t="b">
        <f>IFERROR(__xludf.DUMMYFUNCTION("""COMPUTED_VALUE"""),FALSE)</f>
        <v>0</v>
      </c>
      <c r="O236" s="23">
        <f>IFERROR(__xludf.DUMMYFUNCTION("""COMPUTED_VALUE"""),56.9724307070408)</f>
        <v>56.97243071</v>
      </c>
      <c r="P236" s="23">
        <f>IFERROR(__xludf.DUMMYFUNCTION("""COMPUTED_VALUE"""),739647.0)</f>
        <v>739647</v>
      </c>
      <c r="Q236" s="23">
        <f>IFERROR(__xludf.DUMMYFUNCTION("""COMPUTED_VALUE"""),1298254.0)</f>
        <v>1298254</v>
      </c>
    </row>
    <row r="237">
      <c r="A237" s="23">
        <f>IFERROR(__xludf.DUMMYFUNCTION("""COMPUTED_VALUE"""),236.0)</f>
        <v>236</v>
      </c>
      <c r="B237" s="23" t="str">
        <f>IFERROR(__xludf.DUMMYFUNCTION("""COMPUTED_VALUE"""),"Lowest Common Ancestor of a Binary Tree")</f>
        <v>Lowest Common Ancestor of a Binary Tree</v>
      </c>
      <c r="C237" s="23" t="str">
        <f>IFERROR(__xludf.DUMMYFUNCTION("""COMPUTED_VALUE"""),"lowest-common-ancestor-of-a-binary-tree")</f>
        <v>lowest-common-ancestor-of-a-binary-tree</v>
      </c>
      <c r="D237" s="23" t="b">
        <f>IFERROR(__xludf.DUMMYFUNCTION("""COMPUTED_VALUE"""),FALSE)</f>
        <v>0</v>
      </c>
      <c r="E237" s="23" t="str">
        <f>IFERROR(__xludf.DUMMYFUNCTION("""COMPUTED_VALUE"""),"Medium")</f>
        <v>Medium</v>
      </c>
      <c r="F237" s="23">
        <f>IFERROR(__xludf.DUMMYFUNCTION("""COMPUTED_VALUE"""),9536.0)</f>
        <v>9536</v>
      </c>
      <c r="G237" s="23">
        <f>IFERROR(__xludf.DUMMYFUNCTION("""COMPUTED_VALUE"""),274.0)</f>
        <v>274</v>
      </c>
      <c r="H237" s="23" t="str">
        <f>IFERROR(__xludf.DUMMYFUNCTION("""COMPUTED_VALUE"""),"Algorithms")</f>
        <v>Algorithms</v>
      </c>
      <c r="I237" s="23">
        <f>IFERROR(__xludf.DUMMYFUNCTION("""COMPUTED_VALUE"""),0.553)</f>
        <v>0.553</v>
      </c>
      <c r="J237" s="23">
        <f>IFERROR(__xludf.DUMMYFUNCTION("""COMPUTED_VALUE"""),236.0)</f>
        <v>236</v>
      </c>
      <c r="K237" s="23" t="b">
        <f>IFERROR(__xludf.DUMMYFUNCTION("""COMPUTED_VALUE"""),FALSE)</f>
        <v>0</v>
      </c>
      <c r="L237" s="23" t="str">
        <f>IFERROR(__xludf.DUMMYFUNCTION("""COMPUTED_VALUE"""),"Tree;Depth-First Search;Binary Tree;")</f>
        <v>Tree;Depth-First Search;Binary Tree;</v>
      </c>
      <c r="M237" s="23" t="b">
        <f>IFERROR(__xludf.DUMMYFUNCTION("""COMPUTED_VALUE"""),TRUE)</f>
        <v>1</v>
      </c>
      <c r="N237" s="23" t="b">
        <f>IFERROR(__xludf.DUMMYFUNCTION("""COMPUTED_VALUE"""),FALSE)</f>
        <v>0</v>
      </c>
      <c r="O237" s="23">
        <f>IFERROR(__xludf.DUMMYFUNCTION("""COMPUTED_VALUE"""),55.2990765853757)</f>
        <v>55.29907659</v>
      </c>
      <c r="P237" s="23">
        <f>IFERROR(__xludf.DUMMYFUNCTION("""COMPUTED_VALUE"""),979484.0)</f>
        <v>979484</v>
      </c>
      <c r="Q237" s="23">
        <f>IFERROR(__xludf.DUMMYFUNCTION("""COMPUTED_VALUE"""),1771242.0)</f>
        <v>1771242</v>
      </c>
    </row>
    <row r="238">
      <c r="A238" s="23">
        <f>IFERROR(__xludf.DUMMYFUNCTION("""COMPUTED_VALUE"""),237.0)</f>
        <v>237</v>
      </c>
      <c r="B238" s="23" t="str">
        <f>IFERROR(__xludf.DUMMYFUNCTION("""COMPUTED_VALUE"""),"Delete Node in a Linked List")</f>
        <v>Delete Node in a Linked List</v>
      </c>
      <c r="C238" s="23" t="str">
        <f>IFERROR(__xludf.DUMMYFUNCTION("""COMPUTED_VALUE"""),"delete-node-in-a-linked-list")</f>
        <v>delete-node-in-a-linked-list</v>
      </c>
      <c r="D238" s="23" t="b">
        <f>IFERROR(__xludf.DUMMYFUNCTION("""COMPUTED_VALUE"""),FALSE)</f>
        <v>0</v>
      </c>
      <c r="E238" s="23" t="str">
        <f>IFERROR(__xludf.DUMMYFUNCTION("""COMPUTED_VALUE"""),"Easy")</f>
        <v>Easy</v>
      </c>
      <c r="F238" s="23">
        <f>IFERROR(__xludf.DUMMYFUNCTION("""COMPUTED_VALUE"""),4324.0)</f>
        <v>4324</v>
      </c>
      <c r="G238" s="23">
        <f>IFERROR(__xludf.DUMMYFUNCTION("""COMPUTED_VALUE"""),11586.0)</f>
        <v>11586</v>
      </c>
      <c r="H238" s="23" t="str">
        <f>IFERROR(__xludf.DUMMYFUNCTION("""COMPUTED_VALUE"""),"Algorithms")</f>
        <v>Algorithms</v>
      </c>
      <c r="I238" s="23">
        <f>IFERROR(__xludf.DUMMYFUNCTION("""COMPUTED_VALUE"""),0.719)</f>
        <v>0.719</v>
      </c>
      <c r="J238" s="23">
        <f>IFERROR(__xludf.DUMMYFUNCTION("""COMPUTED_VALUE"""),237.0)</f>
        <v>237</v>
      </c>
      <c r="K238" s="23" t="b">
        <f>IFERROR(__xludf.DUMMYFUNCTION("""COMPUTED_VALUE"""),FALSE)</f>
        <v>0</v>
      </c>
      <c r="L238" s="23" t="str">
        <f>IFERROR(__xludf.DUMMYFUNCTION("""COMPUTED_VALUE"""),"Linked List;")</f>
        <v>Linked List;</v>
      </c>
      <c r="M238" s="23" t="b">
        <f>IFERROR(__xludf.DUMMYFUNCTION("""COMPUTED_VALUE"""),FALSE)</f>
        <v>0</v>
      </c>
      <c r="N238" s="23" t="b">
        <f>IFERROR(__xludf.DUMMYFUNCTION("""COMPUTED_VALUE"""),FALSE)</f>
        <v>0</v>
      </c>
      <c r="O238" s="23">
        <f>IFERROR(__xludf.DUMMYFUNCTION("""COMPUTED_VALUE"""),71.8523034319346)</f>
        <v>71.85230343</v>
      </c>
      <c r="P238" s="23">
        <f>IFERROR(__xludf.DUMMYFUNCTION("""COMPUTED_VALUE"""),790849.0)</f>
        <v>790849</v>
      </c>
      <c r="Q238" s="23">
        <f>IFERROR(__xludf.DUMMYFUNCTION("""COMPUTED_VALUE"""),1100659.0)</f>
        <v>1100659</v>
      </c>
    </row>
    <row r="239">
      <c r="A239" s="23">
        <f>IFERROR(__xludf.DUMMYFUNCTION("""COMPUTED_VALUE"""),238.0)</f>
        <v>238</v>
      </c>
      <c r="B239" s="23" t="str">
        <f>IFERROR(__xludf.DUMMYFUNCTION("""COMPUTED_VALUE"""),"Product of Array Except Self")</f>
        <v>Product of Array Except Self</v>
      </c>
      <c r="C239" s="23" t="str">
        <f>IFERROR(__xludf.DUMMYFUNCTION("""COMPUTED_VALUE"""),"product-of-array-except-self")</f>
        <v>product-of-array-except-self</v>
      </c>
      <c r="D239" s="23" t="b">
        <f>IFERROR(__xludf.DUMMYFUNCTION("""COMPUTED_VALUE"""),FALSE)</f>
        <v>0</v>
      </c>
      <c r="E239" s="23" t="str">
        <f>IFERROR(__xludf.DUMMYFUNCTION("""COMPUTED_VALUE"""),"Medium")</f>
        <v>Medium</v>
      </c>
      <c r="F239" s="23">
        <f>IFERROR(__xludf.DUMMYFUNCTION("""COMPUTED_VALUE"""),12007.0)</f>
        <v>12007</v>
      </c>
      <c r="G239" s="23">
        <f>IFERROR(__xludf.DUMMYFUNCTION("""COMPUTED_VALUE"""),734.0)</f>
        <v>734</v>
      </c>
      <c r="H239" s="23" t="str">
        <f>IFERROR(__xludf.DUMMYFUNCTION("""COMPUTED_VALUE"""),"Algorithms")</f>
        <v>Algorithms</v>
      </c>
      <c r="I239" s="23">
        <f>IFERROR(__xludf.DUMMYFUNCTION("""COMPUTED_VALUE"""),0.639)</f>
        <v>0.639</v>
      </c>
      <c r="J239" s="23">
        <f>IFERROR(__xludf.DUMMYFUNCTION("""COMPUTED_VALUE"""),238.0)</f>
        <v>238</v>
      </c>
      <c r="K239" s="23" t="b">
        <f>IFERROR(__xludf.DUMMYFUNCTION("""COMPUTED_VALUE"""),FALSE)</f>
        <v>0</v>
      </c>
      <c r="L239" s="23" t="str">
        <f>IFERROR(__xludf.DUMMYFUNCTION("""COMPUTED_VALUE"""),"Array;Prefix Sum;")</f>
        <v>Array;Prefix Sum;</v>
      </c>
      <c r="M239" s="23" t="b">
        <f>IFERROR(__xludf.DUMMYFUNCTION("""COMPUTED_VALUE"""),TRUE)</f>
        <v>1</v>
      </c>
      <c r="N239" s="23" t="b">
        <f>IFERROR(__xludf.DUMMYFUNCTION("""COMPUTED_VALUE"""),TRUE)</f>
        <v>1</v>
      </c>
      <c r="O239" s="23">
        <f>IFERROR(__xludf.DUMMYFUNCTION("""COMPUTED_VALUE"""),63.9121612334067)</f>
        <v>63.91216123</v>
      </c>
      <c r="P239" s="23">
        <f>IFERROR(__xludf.DUMMYFUNCTION("""COMPUTED_VALUE"""),1134501.0)</f>
        <v>1134501</v>
      </c>
      <c r="Q239" s="23">
        <f>IFERROR(__xludf.DUMMYFUNCTION("""COMPUTED_VALUE"""),1775089.0)</f>
        <v>1775089</v>
      </c>
    </row>
    <row r="240">
      <c r="A240" s="23">
        <f>IFERROR(__xludf.DUMMYFUNCTION("""COMPUTED_VALUE"""),239.0)</f>
        <v>239</v>
      </c>
      <c r="B240" s="23" t="str">
        <f>IFERROR(__xludf.DUMMYFUNCTION("""COMPUTED_VALUE"""),"Sliding Window Maximum")</f>
        <v>Sliding Window Maximum</v>
      </c>
      <c r="C240" s="23" t="str">
        <f>IFERROR(__xludf.DUMMYFUNCTION("""COMPUTED_VALUE"""),"sliding-window-maximum")</f>
        <v>sliding-window-maximum</v>
      </c>
      <c r="D240" s="23" t="b">
        <f>IFERROR(__xludf.DUMMYFUNCTION("""COMPUTED_VALUE"""),FALSE)</f>
        <v>0</v>
      </c>
      <c r="E240" s="23" t="str">
        <f>IFERROR(__xludf.DUMMYFUNCTION("""COMPUTED_VALUE"""),"Hard")</f>
        <v>Hard</v>
      </c>
      <c r="F240" s="23">
        <f>IFERROR(__xludf.DUMMYFUNCTION("""COMPUTED_VALUE"""),9613.0)</f>
        <v>9613</v>
      </c>
      <c r="G240" s="23">
        <f>IFERROR(__xludf.DUMMYFUNCTION("""COMPUTED_VALUE"""),340.0)</f>
        <v>340</v>
      </c>
      <c r="H240" s="23" t="str">
        <f>IFERROR(__xludf.DUMMYFUNCTION("""COMPUTED_VALUE"""),"Algorithms")</f>
        <v>Algorithms</v>
      </c>
      <c r="I240" s="23">
        <f>IFERROR(__xludf.DUMMYFUNCTION("""COMPUTED_VALUE"""),0.462)</f>
        <v>0.462</v>
      </c>
      <c r="J240" s="23">
        <f>IFERROR(__xludf.DUMMYFUNCTION("""COMPUTED_VALUE"""),239.0)</f>
        <v>239</v>
      </c>
      <c r="K240" s="23" t="b">
        <f>IFERROR(__xludf.DUMMYFUNCTION("""COMPUTED_VALUE"""),FALSE)</f>
        <v>0</v>
      </c>
      <c r="L240" s="23" t="str">
        <f>IFERROR(__xludf.DUMMYFUNCTION("""COMPUTED_VALUE"""),"Array;Queue;Sliding Window;Heap (Priority Queue);Monotonic Queue;")</f>
        <v>Array;Queue;Sliding Window;Heap (Priority Queue);Monotonic Queue;</v>
      </c>
      <c r="M240" s="23" t="b">
        <f>IFERROR(__xludf.DUMMYFUNCTION("""COMPUTED_VALUE"""),TRUE)</f>
        <v>1</v>
      </c>
      <c r="N240" s="23" t="b">
        <f>IFERROR(__xludf.DUMMYFUNCTION("""COMPUTED_VALUE"""),FALSE)</f>
        <v>0</v>
      </c>
      <c r="O240" s="23">
        <f>IFERROR(__xludf.DUMMYFUNCTION("""COMPUTED_VALUE"""),46.2118308735474)</f>
        <v>46.21183087</v>
      </c>
      <c r="P240" s="23">
        <f>IFERROR(__xludf.DUMMYFUNCTION("""COMPUTED_VALUE"""),560695.0)</f>
        <v>560695</v>
      </c>
      <c r="Q240" s="23">
        <f>IFERROR(__xludf.DUMMYFUNCTION("""COMPUTED_VALUE"""),1213315.0)</f>
        <v>1213315</v>
      </c>
    </row>
    <row r="241">
      <c r="A241" s="23">
        <f>IFERROR(__xludf.DUMMYFUNCTION("""COMPUTED_VALUE"""),240.0)</f>
        <v>240</v>
      </c>
      <c r="B241" s="23" t="str">
        <f>IFERROR(__xludf.DUMMYFUNCTION("""COMPUTED_VALUE"""),"Search a 2D Matrix II")</f>
        <v>Search a 2D Matrix II</v>
      </c>
      <c r="C241" s="23" t="str">
        <f>IFERROR(__xludf.DUMMYFUNCTION("""COMPUTED_VALUE"""),"search-a-2d-matrix-ii")</f>
        <v>search-a-2d-matrix-ii</v>
      </c>
      <c r="D241" s="23" t="b">
        <f>IFERROR(__xludf.DUMMYFUNCTION("""COMPUTED_VALUE"""),FALSE)</f>
        <v>0</v>
      </c>
      <c r="E241" s="23" t="str">
        <f>IFERROR(__xludf.DUMMYFUNCTION("""COMPUTED_VALUE"""),"Medium")</f>
        <v>Medium</v>
      </c>
      <c r="F241" s="23">
        <f>IFERROR(__xludf.DUMMYFUNCTION("""COMPUTED_VALUE"""),7223.0)</f>
        <v>7223</v>
      </c>
      <c r="G241" s="23">
        <f>IFERROR(__xludf.DUMMYFUNCTION("""COMPUTED_VALUE"""),122.0)</f>
        <v>122</v>
      </c>
      <c r="H241" s="23" t="str">
        <f>IFERROR(__xludf.DUMMYFUNCTION("""COMPUTED_VALUE"""),"Algorithms")</f>
        <v>Algorithms</v>
      </c>
      <c r="I241" s="23">
        <f>IFERROR(__xludf.DUMMYFUNCTION("""COMPUTED_VALUE"""),0.484)</f>
        <v>0.484</v>
      </c>
      <c r="J241" s="23">
        <f>IFERROR(__xludf.DUMMYFUNCTION("""COMPUTED_VALUE"""),240.0)</f>
        <v>240</v>
      </c>
      <c r="K241" s="23" t="b">
        <f>IFERROR(__xludf.DUMMYFUNCTION("""COMPUTED_VALUE"""),FALSE)</f>
        <v>0</v>
      </c>
      <c r="L241" s="23" t="str">
        <f>IFERROR(__xludf.DUMMYFUNCTION("""COMPUTED_VALUE"""),"Array;Binary Search;Divide and Conquer;Matrix;")</f>
        <v>Array;Binary Search;Divide and Conquer;Matrix;</v>
      </c>
      <c r="M241" s="23" t="b">
        <f>IFERROR(__xludf.DUMMYFUNCTION("""COMPUTED_VALUE"""),TRUE)</f>
        <v>1</v>
      </c>
      <c r="N241" s="23" t="b">
        <f>IFERROR(__xludf.DUMMYFUNCTION("""COMPUTED_VALUE"""),FALSE)</f>
        <v>0</v>
      </c>
      <c r="O241" s="23">
        <f>IFERROR(__xludf.DUMMYFUNCTION("""COMPUTED_VALUE"""),48.3793040281058)</f>
        <v>48.37930403</v>
      </c>
      <c r="P241" s="23">
        <f>IFERROR(__xludf.DUMMYFUNCTION("""COMPUTED_VALUE"""),591581.0)</f>
        <v>591581</v>
      </c>
      <c r="Q241" s="23">
        <f>IFERROR(__xludf.DUMMYFUNCTION("""COMPUTED_VALUE"""),1222799.0)</f>
        <v>1222799</v>
      </c>
    </row>
    <row r="242">
      <c r="A242" s="23">
        <f>IFERROR(__xludf.DUMMYFUNCTION("""COMPUTED_VALUE"""),241.0)</f>
        <v>241</v>
      </c>
      <c r="B242" s="23" t="str">
        <f>IFERROR(__xludf.DUMMYFUNCTION("""COMPUTED_VALUE"""),"Different Ways to Add Parentheses")</f>
        <v>Different Ways to Add Parentheses</v>
      </c>
      <c r="C242" s="23" t="str">
        <f>IFERROR(__xludf.DUMMYFUNCTION("""COMPUTED_VALUE"""),"different-ways-to-add-parentheses")</f>
        <v>different-ways-to-add-parentheses</v>
      </c>
      <c r="D242" s="23" t="b">
        <f>IFERROR(__xludf.DUMMYFUNCTION("""COMPUTED_VALUE"""),FALSE)</f>
        <v>0</v>
      </c>
      <c r="E242" s="23" t="str">
        <f>IFERROR(__xludf.DUMMYFUNCTION("""COMPUTED_VALUE"""),"Medium")</f>
        <v>Medium</v>
      </c>
      <c r="F242" s="23">
        <f>IFERROR(__xludf.DUMMYFUNCTION("""COMPUTED_VALUE"""),3537.0)</f>
        <v>3537</v>
      </c>
      <c r="G242" s="23">
        <f>IFERROR(__xludf.DUMMYFUNCTION("""COMPUTED_VALUE"""),174.0)</f>
        <v>174</v>
      </c>
      <c r="H242" s="23" t="str">
        <f>IFERROR(__xludf.DUMMYFUNCTION("""COMPUTED_VALUE"""),"Algorithms")</f>
        <v>Algorithms</v>
      </c>
      <c r="I242" s="23">
        <f>IFERROR(__xludf.DUMMYFUNCTION("""COMPUTED_VALUE"""),0.616)</f>
        <v>0.616</v>
      </c>
      <c r="J242" s="23">
        <f>IFERROR(__xludf.DUMMYFUNCTION("""COMPUTED_VALUE"""),241.0)</f>
        <v>241</v>
      </c>
      <c r="K242" s="23" t="b">
        <f>IFERROR(__xludf.DUMMYFUNCTION("""COMPUTED_VALUE"""),FALSE)</f>
        <v>0</v>
      </c>
      <c r="L242" s="23" t="str">
        <f>IFERROR(__xludf.DUMMYFUNCTION("""COMPUTED_VALUE"""),"Math;String;Dynamic Programming;Recursion;Memoization;")</f>
        <v>Math;String;Dynamic Programming;Recursion;Memoization;</v>
      </c>
      <c r="M242" s="23" t="b">
        <f>IFERROR(__xludf.DUMMYFUNCTION("""COMPUTED_VALUE"""),FALSE)</f>
        <v>0</v>
      </c>
      <c r="N242" s="23" t="b">
        <f>IFERROR(__xludf.DUMMYFUNCTION("""COMPUTED_VALUE"""),FALSE)</f>
        <v>0</v>
      </c>
      <c r="O242" s="23">
        <f>IFERROR(__xludf.DUMMYFUNCTION("""COMPUTED_VALUE"""),61.5972185035304)</f>
        <v>61.5972185</v>
      </c>
      <c r="P242" s="23">
        <f>IFERROR(__xludf.DUMMYFUNCTION("""COMPUTED_VALUE"""),161041.0)</f>
        <v>161041</v>
      </c>
      <c r="Q242" s="23">
        <f>IFERROR(__xludf.DUMMYFUNCTION("""COMPUTED_VALUE"""),261442.0)</f>
        <v>261442</v>
      </c>
    </row>
    <row r="243">
      <c r="A243" s="23">
        <f>IFERROR(__xludf.DUMMYFUNCTION("""COMPUTED_VALUE"""),242.0)</f>
        <v>242</v>
      </c>
      <c r="B243" s="23" t="str">
        <f>IFERROR(__xludf.DUMMYFUNCTION("""COMPUTED_VALUE"""),"Valid Anagram")</f>
        <v>Valid Anagram</v>
      </c>
      <c r="C243" s="23" t="str">
        <f>IFERROR(__xludf.DUMMYFUNCTION("""COMPUTED_VALUE"""),"valid-anagram")</f>
        <v>valid-anagram</v>
      </c>
      <c r="D243" s="23" t="b">
        <f>IFERROR(__xludf.DUMMYFUNCTION("""COMPUTED_VALUE"""),FALSE)</f>
        <v>0</v>
      </c>
      <c r="E243" s="23" t="str">
        <f>IFERROR(__xludf.DUMMYFUNCTION("""COMPUTED_VALUE"""),"Easy")</f>
        <v>Easy</v>
      </c>
      <c r="F243" s="23">
        <f>IFERROR(__xludf.DUMMYFUNCTION("""COMPUTED_VALUE"""),4713.0)</f>
        <v>4713</v>
      </c>
      <c r="G243" s="23">
        <f>IFERROR(__xludf.DUMMYFUNCTION("""COMPUTED_VALUE"""),209.0)</f>
        <v>209</v>
      </c>
      <c r="H243" s="23" t="str">
        <f>IFERROR(__xludf.DUMMYFUNCTION("""COMPUTED_VALUE"""),"Algorithms")</f>
        <v>Algorithms</v>
      </c>
      <c r="I243" s="23">
        <f>IFERROR(__xludf.DUMMYFUNCTION("""COMPUTED_VALUE"""),0.614)</f>
        <v>0.614</v>
      </c>
      <c r="J243" s="23">
        <f>IFERROR(__xludf.DUMMYFUNCTION("""COMPUTED_VALUE"""),242.0)</f>
        <v>242</v>
      </c>
      <c r="K243" s="23" t="b">
        <f>IFERROR(__xludf.DUMMYFUNCTION("""COMPUTED_VALUE"""),FALSE)</f>
        <v>0</v>
      </c>
      <c r="L243" s="23" t="str">
        <f>IFERROR(__xludf.DUMMYFUNCTION("""COMPUTED_VALUE"""),"Hash Table;String;Sorting;")</f>
        <v>Hash Table;String;Sorting;</v>
      </c>
      <c r="M243" s="23" t="b">
        <f>IFERROR(__xludf.DUMMYFUNCTION("""COMPUTED_VALUE"""),TRUE)</f>
        <v>1</v>
      </c>
      <c r="N243" s="23" t="b">
        <f>IFERROR(__xludf.DUMMYFUNCTION("""COMPUTED_VALUE"""),TRUE)</f>
        <v>1</v>
      </c>
      <c r="O243" s="23">
        <f>IFERROR(__xludf.DUMMYFUNCTION("""COMPUTED_VALUE"""),61.4195849224825)</f>
        <v>61.41958492</v>
      </c>
      <c r="P243" s="23">
        <f>IFERROR(__xludf.DUMMYFUNCTION("""COMPUTED_VALUE"""),1227587.0)</f>
        <v>1227587</v>
      </c>
      <c r="Q243" s="23">
        <f>IFERROR(__xludf.DUMMYFUNCTION("""COMPUTED_VALUE"""),1998675.0)</f>
        <v>1998675</v>
      </c>
    </row>
    <row r="244">
      <c r="A244" s="23">
        <f>IFERROR(__xludf.DUMMYFUNCTION("""COMPUTED_VALUE"""),243.0)</f>
        <v>243</v>
      </c>
      <c r="B244" s="23" t="str">
        <f>IFERROR(__xludf.DUMMYFUNCTION("""COMPUTED_VALUE"""),"Shortest Word Distance")</f>
        <v>Shortest Word Distance</v>
      </c>
      <c r="C244" s="23" t="str">
        <f>IFERROR(__xludf.DUMMYFUNCTION("""COMPUTED_VALUE"""),"shortest-word-distance")</f>
        <v>shortest-word-distance</v>
      </c>
      <c r="D244" s="23" t="b">
        <f>IFERROR(__xludf.DUMMYFUNCTION("""COMPUTED_VALUE"""),TRUE)</f>
        <v>1</v>
      </c>
      <c r="E244" s="23" t="str">
        <f>IFERROR(__xludf.DUMMYFUNCTION("""COMPUTED_VALUE"""),"Easy")</f>
        <v>Easy</v>
      </c>
      <c r="F244" s="23">
        <f>IFERROR(__xludf.DUMMYFUNCTION("""COMPUTED_VALUE"""),1005.0)</f>
        <v>1005</v>
      </c>
      <c r="G244" s="23">
        <f>IFERROR(__xludf.DUMMYFUNCTION("""COMPUTED_VALUE"""),85.0)</f>
        <v>85</v>
      </c>
      <c r="H244" s="23" t="str">
        <f>IFERROR(__xludf.DUMMYFUNCTION("""COMPUTED_VALUE"""),"Algorithms")</f>
        <v>Algorithms</v>
      </c>
      <c r="I244" s="23">
        <f>IFERROR(__xludf.DUMMYFUNCTION("""COMPUTED_VALUE"""),0.643)</f>
        <v>0.643</v>
      </c>
      <c r="J244" s="23">
        <f>IFERROR(__xludf.DUMMYFUNCTION("""COMPUTED_VALUE"""),243.0)</f>
        <v>243</v>
      </c>
      <c r="K244" s="23" t="b">
        <f>IFERROR(__xludf.DUMMYFUNCTION("""COMPUTED_VALUE"""),TRUE)</f>
        <v>1</v>
      </c>
      <c r="L244" s="23" t="str">
        <f>IFERROR(__xludf.DUMMYFUNCTION("""COMPUTED_VALUE"""),"Array;String;")</f>
        <v>Array;String;</v>
      </c>
      <c r="M244" s="23" t="b">
        <f>IFERROR(__xludf.DUMMYFUNCTION("""COMPUTED_VALUE"""),TRUE)</f>
        <v>1</v>
      </c>
      <c r="N244" s="23" t="b">
        <f>IFERROR(__xludf.DUMMYFUNCTION("""COMPUTED_VALUE"""),FALSE)</f>
        <v>0</v>
      </c>
      <c r="O244" s="23">
        <f>IFERROR(__xludf.DUMMYFUNCTION("""COMPUTED_VALUE"""),64.309835139893)</f>
        <v>64.30983514</v>
      </c>
      <c r="P244" s="23">
        <f>IFERROR(__xludf.DUMMYFUNCTION("""COMPUTED_VALUE"""),174252.0)</f>
        <v>174252</v>
      </c>
      <c r="Q244" s="23">
        <f>IFERROR(__xludf.DUMMYFUNCTION("""COMPUTED_VALUE"""),270957.0)</f>
        <v>270957</v>
      </c>
    </row>
    <row r="245">
      <c r="A245" s="23">
        <f>IFERROR(__xludf.DUMMYFUNCTION("""COMPUTED_VALUE"""),244.0)</f>
        <v>244</v>
      </c>
      <c r="B245" s="23" t="str">
        <f>IFERROR(__xludf.DUMMYFUNCTION("""COMPUTED_VALUE"""),"Shortest Word Distance II")</f>
        <v>Shortest Word Distance II</v>
      </c>
      <c r="C245" s="23" t="str">
        <f>IFERROR(__xludf.DUMMYFUNCTION("""COMPUTED_VALUE"""),"shortest-word-distance-ii")</f>
        <v>shortest-word-distance-ii</v>
      </c>
      <c r="D245" s="23" t="b">
        <f>IFERROR(__xludf.DUMMYFUNCTION("""COMPUTED_VALUE"""),TRUE)</f>
        <v>1</v>
      </c>
      <c r="E245" s="23" t="str">
        <f>IFERROR(__xludf.DUMMYFUNCTION("""COMPUTED_VALUE"""),"Medium")</f>
        <v>Medium</v>
      </c>
      <c r="F245" s="23">
        <f>IFERROR(__xludf.DUMMYFUNCTION("""COMPUTED_VALUE"""),836.0)</f>
        <v>836</v>
      </c>
      <c r="G245" s="23">
        <f>IFERROR(__xludf.DUMMYFUNCTION("""COMPUTED_VALUE"""),255.0)</f>
        <v>255</v>
      </c>
      <c r="H245" s="23" t="str">
        <f>IFERROR(__xludf.DUMMYFUNCTION("""COMPUTED_VALUE"""),"Algorithms")</f>
        <v>Algorithms</v>
      </c>
      <c r="I245" s="23">
        <f>IFERROR(__xludf.DUMMYFUNCTION("""COMPUTED_VALUE"""),0.595)</f>
        <v>0.595</v>
      </c>
      <c r="J245" s="23">
        <f>IFERROR(__xludf.DUMMYFUNCTION("""COMPUTED_VALUE"""),244.0)</f>
        <v>244</v>
      </c>
      <c r="K245" s="23" t="b">
        <f>IFERROR(__xludf.DUMMYFUNCTION("""COMPUTED_VALUE"""),TRUE)</f>
        <v>1</v>
      </c>
      <c r="L245" s="23" t="str">
        <f>IFERROR(__xludf.DUMMYFUNCTION("""COMPUTED_VALUE"""),"Array;Hash Table;Two Pointers;String;Design;")</f>
        <v>Array;Hash Table;Two Pointers;String;Design;</v>
      </c>
      <c r="M245" s="23" t="b">
        <f>IFERROR(__xludf.DUMMYFUNCTION("""COMPUTED_VALUE"""),TRUE)</f>
        <v>1</v>
      </c>
      <c r="N245" s="23" t="b">
        <f>IFERROR(__xludf.DUMMYFUNCTION("""COMPUTED_VALUE"""),FALSE)</f>
        <v>0</v>
      </c>
      <c r="O245" s="23">
        <f>IFERROR(__xludf.DUMMYFUNCTION("""COMPUTED_VALUE"""),59.5031026479086)</f>
        <v>59.50310265</v>
      </c>
      <c r="P245" s="23">
        <f>IFERROR(__xludf.DUMMYFUNCTION("""COMPUTED_VALUE"""),125616.0)</f>
        <v>125616</v>
      </c>
      <c r="Q245" s="23">
        <f>IFERROR(__xludf.DUMMYFUNCTION("""COMPUTED_VALUE"""),211109.0)</f>
        <v>211109</v>
      </c>
    </row>
    <row r="246">
      <c r="A246" s="23">
        <f>IFERROR(__xludf.DUMMYFUNCTION("""COMPUTED_VALUE"""),245.0)</f>
        <v>245</v>
      </c>
      <c r="B246" s="23" t="str">
        <f>IFERROR(__xludf.DUMMYFUNCTION("""COMPUTED_VALUE"""),"Shortest Word Distance III")</f>
        <v>Shortest Word Distance III</v>
      </c>
      <c r="C246" s="23" t="str">
        <f>IFERROR(__xludf.DUMMYFUNCTION("""COMPUTED_VALUE"""),"shortest-word-distance-iii")</f>
        <v>shortest-word-distance-iii</v>
      </c>
      <c r="D246" s="23" t="b">
        <f>IFERROR(__xludf.DUMMYFUNCTION("""COMPUTED_VALUE"""),TRUE)</f>
        <v>1</v>
      </c>
      <c r="E246" s="23" t="str">
        <f>IFERROR(__xludf.DUMMYFUNCTION("""COMPUTED_VALUE"""),"Medium")</f>
        <v>Medium</v>
      </c>
      <c r="F246" s="23">
        <f>IFERROR(__xludf.DUMMYFUNCTION("""COMPUTED_VALUE"""),346.0)</f>
        <v>346</v>
      </c>
      <c r="G246" s="23">
        <f>IFERROR(__xludf.DUMMYFUNCTION("""COMPUTED_VALUE"""),84.0)</f>
        <v>84</v>
      </c>
      <c r="H246" s="23" t="str">
        <f>IFERROR(__xludf.DUMMYFUNCTION("""COMPUTED_VALUE"""),"Algorithms")</f>
        <v>Algorithms</v>
      </c>
      <c r="I246" s="23">
        <f>IFERROR(__xludf.DUMMYFUNCTION("""COMPUTED_VALUE"""),0.572)</f>
        <v>0.572</v>
      </c>
      <c r="J246" s="23">
        <f>IFERROR(__xludf.DUMMYFUNCTION("""COMPUTED_VALUE"""),245.0)</f>
        <v>245</v>
      </c>
      <c r="K246" s="23" t="b">
        <f>IFERROR(__xludf.DUMMYFUNCTION("""COMPUTED_VALUE"""),TRUE)</f>
        <v>1</v>
      </c>
      <c r="L246" s="23" t="str">
        <f>IFERROR(__xludf.DUMMYFUNCTION("""COMPUTED_VALUE"""),"Array;String;")</f>
        <v>Array;String;</v>
      </c>
      <c r="M246" s="23" t="b">
        <f>IFERROR(__xludf.DUMMYFUNCTION("""COMPUTED_VALUE"""),FALSE)</f>
        <v>0</v>
      </c>
      <c r="N246" s="23" t="b">
        <f>IFERROR(__xludf.DUMMYFUNCTION("""COMPUTED_VALUE"""),FALSE)</f>
        <v>0</v>
      </c>
      <c r="O246" s="23">
        <f>IFERROR(__xludf.DUMMYFUNCTION("""COMPUTED_VALUE"""),57.1920141727991)</f>
        <v>57.19201417</v>
      </c>
      <c r="P246" s="23">
        <f>IFERROR(__xludf.DUMMYFUNCTION("""COMPUTED_VALUE"""),67148.0)</f>
        <v>67148</v>
      </c>
      <c r="Q246" s="23">
        <f>IFERROR(__xludf.DUMMYFUNCTION("""COMPUTED_VALUE"""),117408.0)</f>
        <v>117408</v>
      </c>
    </row>
    <row r="247">
      <c r="A247" s="23">
        <f>IFERROR(__xludf.DUMMYFUNCTION("""COMPUTED_VALUE"""),246.0)</f>
        <v>246</v>
      </c>
      <c r="B247" s="23" t="str">
        <f>IFERROR(__xludf.DUMMYFUNCTION("""COMPUTED_VALUE"""),"Strobogrammatic Number")</f>
        <v>Strobogrammatic Number</v>
      </c>
      <c r="C247" s="23" t="str">
        <f>IFERROR(__xludf.DUMMYFUNCTION("""COMPUTED_VALUE"""),"strobogrammatic-number")</f>
        <v>strobogrammatic-number</v>
      </c>
      <c r="D247" s="23" t="b">
        <f>IFERROR(__xludf.DUMMYFUNCTION("""COMPUTED_VALUE"""),TRUE)</f>
        <v>1</v>
      </c>
      <c r="E247" s="23" t="str">
        <f>IFERROR(__xludf.DUMMYFUNCTION("""COMPUTED_VALUE"""),"Easy")</f>
        <v>Easy</v>
      </c>
      <c r="F247" s="23">
        <f>IFERROR(__xludf.DUMMYFUNCTION("""COMPUTED_VALUE"""),451.0)</f>
        <v>451</v>
      </c>
      <c r="G247" s="23">
        <f>IFERROR(__xludf.DUMMYFUNCTION("""COMPUTED_VALUE"""),762.0)</f>
        <v>762</v>
      </c>
      <c r="H247" s="23" t="str">
        <f>IFERROR(__xludf.DUMMYFUNCTION("""COMPUTED_VALUE"""),"Algorithms")</f>
        <v>Algorithms</v>
      </c>
      <c r="I247" s="23">
        <f>IFERROR(__xludf.DUMMYFUNCTION("""COMPUTED_VALUE"""),0.476)</f>
        <v>0.476</v>
      </c>
      <c r="J247" s="23">
        <f>IFERROR(__xludf.DUMMYFUNCTION("""COMPUTED_VALUE"""),246.0)</f>
        <v>246</v>
      </c>
      <c r="K247" s="23" t="b">
        <f>IFERROR(__xludf.DUMMYFUNCTION("""COMPUTED_VALUE"""),TRUE)</f>
        <v>1</v>
      </c>
      <c r="L247" s="23" t="str">
        <f>IFERROR(__xludf.DUMMYFUNCTION("""COMPUTED_VALUE"""),"Hash Table;Two Pointers;String;")</f>
        <v>Hash Table;Two Pointers;String;</v>
      </c>
      <c r="M247" s="23" t="b">
        <f>IFERROR(__xludf.DUMMYFUNCTION("""COMPUTED_VALUE"""),TRUE)</f>
        <v>1</v>
      </c>
      <c r="N247" s="23" t="b">
        <f>IFERROR(__xludf.DUMMYFUNCTION("""COMPUTED_VALUE"""),TRUE)</f>
        <v>1</v>
      </c>
      <c r="O247" s="23">
        <f>IFERROR(__xludf.DUMMYFUNCTION("""COMPUTED_VALUE"""),47.5562472978815)</f>
        <v>47.5562473</v>
      </c>
      <c r="P247" s="23">
        <f>IFERROR(__xludf.DUMMYFUNCTION("""COMPUTED_VALUE"""),137497.0)</f>
        <v>137497</v>
      </c>
      <c r="Q247" s="23">
        <f>IFERROR(__xludf.DUMMYFUNCTION("""COMPUTED_VALUE"""),289125.0)</f>
        <v>289125</v>
      </c>
    </row>
    <row r="248">
      <c r="A248" s="23">
        <f>IFERROR(__xludf.DUMMYFUNCTION("""COMPUTED_VALUE"""),247.0)</f>
        <v>247</v>
      </c>
      <c r="B248" s="23" t="str">
        <f>IFERROR(__xludf.DUMMYFUNCTION("""COMPUTED_VALUE"""),"Strobogrammatic Number II")</f>
        <v>Strobogrammatic Number II</v>
      </c>
      <c r="C248" s="23" t="str">
        <f>IFERROR(__xludf.DUMMYFUNCTION("""COMPUTED_VALUE"""),"strobogrammatic-number-ii")</f>
        <v>strobogrammatic-number-ii</v>
      </c>
      <c r="D248" s="23" t="b">
        <f>IFERROR(__xludf.DUMMYFUNCTION("""COMPUTED_VALUE"""),TRUE)</f>
        <v>1</v>
      </c>
      <c r="E248" s="23" t="str">
        <f>IFERROR(__xludf.DUMMYFUNCTION("""COMPUTED_VALUE"""),"Medium")</f>
        <v>Medium</v>
      </c>
      <c r="F248" s="23">
        <f>IFERROR(__xludf.DUMMYFUNCTION("""COMPUTED_VALUE"""),774.0)</f>
        <v>774</v>
      </c>
      <c r="G248" s="23">
        <f>IFERROR(__xludf.DUMMYFUNCTION("""COMPUTED_VALUE"""),204.0)</f>
        <v>204</v>
      </c>
      <c r="H248" s="23" t="str">
        <f>IFERROR(__xludf.DUMMYFUNCTION("""COMPUTED_VALUE"""),"Algorithms")</f>
        <v>Algorithms</v>
      </c>
      <c r="I248" s="23">
        <f>IFERROR(__xludf.DUMMYFUNCTION("""COMPUTED_VALUE"""),0.51)</f>
        <v>0.51</v>
      </c>
      <c r="J248" s="23">
        <f>IFERROR(__xludf.DUMMYFUNCTION("""COMPUTED_VALUE"""),247.0)</f>
        <v>247</v>
      </c>
      <c r="K248" s="23" t="b">
        <f>IFERROR(__xludf.DUMMYFUNCTION("""COMPUTED_VALUE"""),TRUE)</f>
        <v>1</v>
      </c>
      <c r="L248" s="23" t="str">
        <f>IFERROR(__xludf.DUMMYFUNCTION("""COMPUTED_VALUE"""),"Array;String;Recursion;")</f>
        <v>Array;String;Recursion;</v>
      </c>
      <c r="M248" s="23" t="b">
        <f>IFERROR(__xludf.DUMMYFUNCTION("""COMPUTED_VALUE"""),TRUE)</f>
        <v>1</v>
      </c>
      <c r="N248" s="23" t="b">
        <f>IFERROR(__xludf.DUMMYFUNCTION("""COMPUTED_VALUE"""),FALSE)</f>
        <v>0</v>
      </c>
      <c r="O248" s="23">
        <f>IFERROR(__xludf.DUMMYFUNCTION("""COMPUTED_VALUE"""),50.9784487030868)</f>
        <v>50.9784487</v>
      </c>
      <c r="P248" s="23">
        <f>IFERROR(__xludf.DUMMYFUNCTION("""COMPUTED_VALUE"""),118296.0)</f>
        <v>118296</v>
      </c>
      <c r="Q248" s="23">
        <f>IFERROR(__xludf.DUMMYFUNCTION("""COMPUTED_VALUE"""),232050.0)</f>
        <v>232050</v>
      </c>
    </row>
    <row r="249">
      <c r="A249" s="23">
        <f>IFERROR(__xludf.DUMMYFUNCTION("""COMPUTED_VALUE"""),248.0)</f>
        <v>248</v>
      </c>
      <c r="B249" s="23" t="str">
        <f>IFERROR(__xludf.DUMMYFUNCTION("""COMPUTED_VALUE"""),"Strobogrammatic Number III")</f>
        <v>Strobogrammatic Number III</v>
      </c>
      <c r="C249" s="23" t="str">
        <f>IFERROR(__xludf.DUMMYFUNCTION("""COMPUTED_VALUE"""),"strobogrammatic-number-iii")</f>
        <v>strobogrammatic-number-iii</v>
      </c>
      <c r="D249" s="23" t="b">
        <f>IFERROR(__xludf.DUMMYFUNCTION("""COMPUTED_VALUE"""),TRUE)</f>
        <v>1</v>
      </c>
      <c r="E249" s="23" t="str">
        <f>IFERROR(__xludf.DUMMYFUNCTION("""COMPUTED_VALUE"""),"Hard")</f>
        <v>Hard</v>
      </c>
      <c r="F249" s="23">
        <f>IFERROR(__xludf.DUMMYFUNCTION("""COMPUTED_VALUE"""),270.0)</f>
        <v>270</v>
      </c>
      <c r="G249" s="23">
        <f>IFERROR(__xludf.DUMMYFUNCTION("""COMPUTED_VALUE"""),172.0)</f>
        <v>172</v>
      </c>
      <c r="H249" s="23" t="str">
        <f>IFERROR(__xludf.DUMMYFUNCTION("""COMPUTED_VALUE"""),"Algorithms")</f>
        <v>Algorithms</v>
      </c>
      <c r="I249" s="23">
        <f>IFERROR(__xludf.DUMMYFUNCTION("""COMPUTED_VALUE"""),0.414)</f>
        <v>0.414</v>
      </c>
      <c r="J249" s="23">
        <f>IFERROR(__xludf.DUMMYFUNCTION("""COMPUTED_VALUE"""),248.0)</f>
        <v>248</v>
      </c>
      <c r="K249" s="23" t="b">
        <f>IFERROR(__xludf.DUMMYFUNCTION("""COMPUTED_VALUE"""),TRUE)</f>
        <v>1</v>
      </c>
      <c r="L249" s="23" t="str">
        <f>IFERROR(__xludf.DUMMYFUNCTION("""COMPUTED_VALUE"""),"Array;String;Recursion;")</f>
        <v>Array;String;Recursion;</v>
      </c>
      <c r="M249" s="23" t="b">
        <f>IFERROR(__xludf.DUMMYFUNCTION("""COMPUTED_VALUE"""),FALSE)</f>
        <v>0</v>
      </c>
      <c r="N249" s="23" t="b">
        <f>IFERROR(__xludf.DUMMYFUNCTION("""COMPUTED_VALUE"""),FALSE)</f>
        <v>0</v>
      </c>
      <c r="O249" s="23">
        <f>IFERROR(__xludf.DUMMYFUNCTION("""COMPUTED_VALUE"""),41.3570155491365)</f>
        <v>41.35701555</v>
      </c>
      <c r="P249" s="23">
        <f>IFERROR(__xludf.DUMMYFUNCTION("""COMPUTED_VALUE"""),33646.0)</f>
        <v>33646</v>
      </c>
      <c r="Q249" s="23">
        <f>IFERROR(__xludf.DUMMYFUNCTION("""COMPUTED_VALUE"""),81355.0)</f>
        <v>81355</v>
      </c>
    </row>
    <row r="250">
      <c r="A250" s="23">
        <f>IFERROR(__xludf.DUMMYFUNCTION("""COMPUTED_VALUE"""),249.0)</f>
        <v>249</v>
      </c>
      <c r="B250" s="23" t="str">
        <f>IFERROR(__xludf.DUMMYFUNCTION("""COMPUTED_VALUE"""),"Group Shifted Strings")</f>
        <v>Group Shifted Strings</v>
      </c>
      <c r="C250" s="23" t="str">
        <f>IFERROR(__xludf.DUMMYFUNCTION("""COMPUTED_VALUE"""),"group-shifted-strings")</f>
        <v>group-shifted-strings</v>
      </c>
      <c r="D250" s="23" t="b">
        <f>IFERROR(__xludf.DUMMYFUNCTION("""COMPUTED_VALUE"""),TRUE)</f>
        <v>1</v>
      </c>
      <c r="E250" s="23" t="str">
        <f>IFERROR(__xludf.DUMMYFUNCTION("""COMPUTED_VALUE"""),"Medium")</f>
        <v>Medium</v>
      </c>
      <c r="F250" s="23">
        <f>IFERROR(__xludf.DUMMYFUNCTION("""COMPUTED_VALUE"""),1307.0)</f>
        <v>1307</v>
      </c>
      <c r="G250" s="23">
        <f>IFERROR(__xludf.DUMMYFUNCTION("""COMPUTED_VALUE"""),244.0)</f>
        <v>244</v>
      </c>
      <c r="H250" s="23" t="str">
        <f>IFERROR(__xludf.DUMMYFUNCTION("""COMPUTED_VALUE"""),"Algorithms")</f>
        <v>Algorithms</v>
      </c>
      <c r="I250" s="23">
        <f>IFERROR(__xludf.DUMMYFUNCTION("""COMPUTED_VALUE"""),0.636)</f>
        <v>0.636</v>
      </c>
      <c r="J250" s="23">
        <f>IFERROR(__xludf.DUMMYFUNCTION("""COMPUTED_VALUE"""),249.0)</f>
        <v>249</v>
      </c>
      <c r="K250" s="23" t="b">
        <f>IFERROR(__xludf.DUMMYFUNCTION("""COMPUTED_VALUE"""),TRUE)</f>
        <v>1</v>
      </c>
      <c r="L250" s="23" t="str">
        <f>IFERROR(__xludf.DUMMYFUNCTION("""COMPUTED_VALUE"""),"Array;Hash Table;String;")</f>
        <v>Array;Hash Table;String;</v>
      </c>
      <c r="M250" s="23" t="b">
        <f>IFERROR(__xludf.DUMMYFUNCTION("""COMPUTED_VALUE"""),TRUE)</f>
        <v>1</v>
      </c>
      <c r="N250" s="23" t="b">
        <f>IFERROR(__xludf.DUMMYFUNCTION("""COMPUTED_VALUE"""),FALSE)</f>
        <v>0</v>
      </c>
      <c r="O250" s="23">
        <f>IFERROR(__xludf.DUMMYFUNCTION("""COMPUTED_VALUE"""),63.5678067247972)</f>
        <v>63.56780672</v>
      </c>
      <c r="P250" s="23">
        <f>IFERROR(__xludf.DUMMYFUNCTION("""COMPUTED_VALUE"""),167238.0)</f>
        <v>167238</v>
      </c>
      <c r="Q250" s="23">
        <f>IFERROR(__xludf.DUMMYFUNCTION("""COMPUTED_VALUE"""),263085.0)</f>
        <v>263085</v>
      </c>
    </row>
    <row r="251">
      <c r="A251" s="23">
        <f>IFERROR(__xludf.DUMMYFUNCTION("""COMPUTED_VALUE"""),250.0)</f>
        <v>250</v>
      </c>
      <c r="B251" s="23" t="str">
        <f>IFERROR(__xludf.DUMMYFUNCTION("""COMPUTED_VALUE"""),"Count Univalue Subtrees")</f>
        <v>Count Univalue Subtrees</v>
      </c>
      <c r="C251" s="23" t="str">
        <f>IFERROR(__xludf.DUMMYFUNCTION("""COMPUTED_VALUE"""),"count-univalue-subtrees")</f>
        <v>count-univalue-subtrees</v>
      </c>
      <c r="D251" s="23" t="b">
        <f>IFERROR(__xludf.DUMMYFUNCTION("""COMPUTED_VALUE"""),TRUE)</f>
        <v>1</v>
      </c>
      <c r="E251" s="23" t="str">
        <f>IFERROR(__xludf.DUMMYFUNCTION("""COMPUTED_VALUE"""),"Medium")</f>
        <v>Medium</v>
      </c>
      <c r="F251" s="23">
        <f>IFERROR(__xludf.DUMMYFUNCTION("""COMPUTED_VALUE"""),942.0)</f>
        <v>942</v>
      </c>
      <c r="G251" s="23">
        <f>IFERROR(__xludf.DUMMYFUNCTION("""COMPUTED_VALUE"""),306.0)</f>
        <v>306</v>
      </c>
      <c r="H251" s="23" t="str">
        <f>IFERROR(__xludf.DUMMYFUNCTION("""COMPUTED_VALUE"""),"Algorithms")</f>
        <v>Algorithms</v>
      </c>
      <c r="I251" s="23">
        <f>IFERROR(__xludf.DUMMYFUNCTION("""COMPUTED_VALUE"""),0.548)</f>
        <v>0.548</v>
      </c>
      <c r="J251" s="23">
        <f>IFERROR(__xludf.DUMMYFUNCTION("""COMPUTED_VALUE"""),250.0)</f>
        <v>250</v>
      </c>
      <c r="K251" s="23" t="b">
        <f>IFERROR(__xludf.DUMMYFUNCTION("""COMPUTED_VALUE"""),TRUE)</f>
        <v>1</v>
      </c>
      <c r="L251" s="23" t="str">
        <f>IFERROR(__xludf.DUMMYFUNCTION("""COMPUTED_VALUE"""),"Tree;Depth-First Search;Binary Tree;")</f>
        <v>Tree;Depth-First Search;Binary Tree;</v>
      </c>
      <c r="M251" s="23" t="b">
        <f>IFERROR(__xludf.DUMMYFUNCTION("""COMPUTED_VALUE"""),TRUE)</f>
        <v>1</v>
      </c>
      <c r="N251" s="23" t="b">
        <f>IFERROR(__xludf.DUMMYFUNCTION("""COMPUTED_VALUE"""),FALSE)</f>
        <v>0</v>
      </c>
      <c r="O251" s="23">
        <f>IFERROR(__xludf.DUMMYFUNCTION("""COMPUTED_VALUE"""),54.7932646903001)</f>
        <v>54.79326469</v>
      </c>
      <c r="P251" s="23">
        <f>IFERROR(__xludf.DUMMYFUNCTION("""COMPUTED_VALUE"""),118937.0)</f>
        <v>118937</v>
      </c>
      <c r="Q251" s="23">
        <f>IFERROR(__xludf.DUMMYFUNCTION("""COMPUTED_VALUE"""),217065.0)</f>
        <v>217065</v>
      </c>
    </row>
    <row r="252">
      <c r="A252" s="23">
        <f>IFERROR(__xludf.DUMMYFUNCTION("""COMPUTED_VALUE"""),251.0)</f>
        <v>251</v>
      </c>
      <c r="B252" s="23" t="str">
        <f>IFERROR(__xludf.DUMMYFUNCTION("""COMPUTED_VALUE"""),"Flatten 2D Vector")</f>
        <v>Flatten 2D Vector</v>
      </c>
      <c r="C252" s="23" t="str">
        <f>IFERROR(__xludf.DUMMYFUNCTION("""COMPUTED_VALUE"""),"flatten-2d-vector")</f>
        <v>flatten-2d-vector</v>
      </c>
      <c r="D252" s="23" t="b">
        <f>IFERROR(__xludf.DUMMYFUNCTION("""COMPUTED_VALUE"""),TRUE)</f>
        <v>1</v>
      </c>
      <c r="E252" s="23" t="str">
        <f>IFERROR(__xludf.DUMMYFUNCTION("""COMPUTED_VALUE"""),"Medium")</f>
        <v>Medium</v>
      </c>
      <c r="F252" s="23">
        <f>IFERROR(__xludf.DUMMYFUNCTION("""COMPUTED_VALUE"""),566.0)</f>
        <v>566</v>
      </c>
      <c r="G252" s="23">
        <f>IFERROR(__xludf.DUMMYFUNCTION("""COMPUTED_VALUE"""),317.0)</f>
        <v>317</v>
      </c>
      <c r="H252" s="23" t="str">
        <f>IFERROR(__xludf.DUMMYFUNCTION("""COMPUTED_VALUE"""),"Algorithms")</f>
        <v>Algorithms</v>
      </c>
      <c r="I252" s="23">
        <f>IFERROR(__xludf.DUMMYFUNCTION("""COMPUTED_VALUE"""),0.479)</f>
        <v>0.479</v>
      </c>
      <c r="J252" s="23">
        <f>IFERROR(__xludf.DUMMYFUNCTION("""COMPUTED_VALUE"""),251.0)</f>
        <v>251</v>
      </c>
      <c r="K252" s="23" t="b">
        <f>IFERROR(__xludf.DUMMYFUNCTION("""COMPUTED_VALUE"""),TRUE)</f>
        <v>1</v>
      </c>
      <c r="L252" s="23" t="str">
        <f>IFERROR(__xludf.DUMMYFUNCTION("""COMPUTED_VALUE"""),"Array;Two Pointers;Design;Iterator;")</f>
        <v>Array;Two Pointers;Design;Iterator;</v>
      </c>
      <c r="M252" s="23" t="b">
        <f>IFERROR(__xludf.DUMMYFUNCTION("""COMPUTED_VALUE"""),TRUE)</f>
        <v>1</v>
      </c>
      <c r="N252" s="23" t="b">
        <f>IFERROR(__xludf.DUMMYFUNCTION("""COMPUTED_VALUE"""),FALSE)</f>
        <v>0</v>
      </c>
      <c r="O252" s="23">
        <f>IFERROR(__xludf.DUMMYFUNCTION("""COMPUTED_VALUE"""),47.9281025146502)</f>
        <v>47.92810251</v>
      </c>
      <c r="P252" s="23">
        <f>IFERROR(__xludf.DUMMYFUNCTION("""COMPUTED_VALUE"""),103378.0)</f>
        <v>103378</v>
      </c>
      <c r="Q252" s="23">
        <f>IFERROR(__xludf.DUMMYFUNCTION("""COMPUTED_VALUE"""),215695.0)</f>
        <v>215695</v>
      </c>
    </row>
    <row r="253">
      <c r="A253" s="23">
        <f>IFERROR(__xludf.DUMMYFUNCTION("""COMPUTED_VALUE"""),252.0)</f>
        <v>252</v>
      </c>
      <c r="B253" s="23" t="str">
        <f>IFERROR(__xludf.DUMMYFUNCTION("""COMPUTED_VALUE"""),"Meeting Rooms")</f>
        <v>Meeting Rooms</v>
      </c>
      <c r="C253" s="23" t="str">
        <f>IFERROR(__xludf.DUMMYFUNCTION("""COMPUTED_VALUE"""),"meeting-rooms")</f>
        <v>meeting-rooms</v>
      </c>
      <c r="D253" s="23" t="b">
        <f>IFERROR(__xludf.DUMMYFUNCTION("""COMPUTED_VALUE"""),TRUE)</f>
        <v>1</v>
      </c>
      <c r="E253" s="23" t="str">
        <f>IFERROR(__xludf.DUMMYFUNCTION("""COMPUTED_VALUE"""),"Easy")</f>
        <v>Easy</v>
      </c>
      <c r="F253" s="23">
        <f>IFERROR(__xludf.DUMMYFUNCTION("""COMPUTED_VALUE"""),1389.0)</f>
        <v>1389</v>
      </c>
      <c r="G253" s="23">
        <f>IFERROR(__xludf.DUMMYFUNCTION("""COMPUTED_VALUE"""),67.0)</f>
        <v>67</v>
      </c>
      <c r="H253" s="23" t="str">
        <f>IFERROR(__xludf.DUMMYFUNCTION("""COMPUTED_VALUE"""),"Algorithms")</f>
        <v>Algorithms</v>
      </c>
      <c r="I253" s="23">
        <f>IFERROR(__xludf.DUMMYFUNCTION("""COMPUTED_VALUE"""),0.567)</f>
        <v>0.567</v>
      </c>
      <c r="J253" s="23">
        <f>IFERROR(__xludf.DUMMYFUNCTION("""COMPUTED_VALUE"""),252.0)</f>
        <v>252</v>
      </c>
      <c r="K253" s="23" t="b">
        <f>IFERROR(__xludf.DUMMYFUNCTION("""COMPUTED_VALUE"""),TRUE)</f>
        <v>1</v>
      </c>
      <c r="L253" s="23" t="str">
        <f>IFERROR(__xludf.DUMMYFUNCTION("""COMPUTED_VALUE"""),"Array;Sorting;")</f>
        <v>Array;Sorting;</v>
      </c>
      <c r="M253" s="23" t="b">
        <f>IFERROR(__xludf.DUMMYFUNCTION("""COMPUTED_VALUE"""),TRUE)</f>
        <v>1</v>
      </c>
      <c r="N253" s="23" t="b">
        <f>IFERROR(__xludf.DUMMYFUNCTION("""COMPUTED_VALUE"""),TRUE)</f>
        <v>1</v>
      </c>
      <c r="O253" s="23">
        <f>IFERROR(__xludf.DUMMYFUNCTION("""COMPUTED_VALUE"""),56.6961221780116)</f>
        <v>56.69612218</v>
      </c>
      <c r="P253" s="23">
        <f>IFERROR(__xludf.DUMMYFUNCTION("""COMPUTED_VALUE"""),265174.0)</f>
        <v>265174</v>
      </c>
      <c r="Q253" s="23">
        <f>IFERROR(__xludf.DUMMYFUNCTION("""COMPUTED_VALUE"""),467711.0)</f>
        <v>467711</v>
      </c>
    </row>
    <row r="254">
      <c r="A254" s="23">
        <f>IFERROR(__xludf.DUMMYFUNCTION("""COMPUTED_VALUE"""),253.0)</f>
        <v>253</v>
      </c>
      <c r="B254" s="23" t="str">
        <f>IFERROR(__xludf.DUMMYFUNCTION("""COMPUTED_VALUE"""),"Meeting Rooms II")</f>
        <v>Meeting Rooms II</v>
      </c>
      <c r="C254" s="23" t="str">
        <f>IFERROR(__xludf.DUMMYFUNCTION("""COMPUTED_VALUE"""),"meeting-rooms-ii")</f>
        <v>meeting-rooms-ii</v>
      </c>
      <c r="D254" s="23" t="b">
        <f>IFERROR(__xludf.DUMMYFUNCTION("""COMPUTED_VALUE"""),TRUE)</f>
        <v>1</v>
      </c>
      <c r="E254" s="23" t="str">
        <f>IFERROR(__xludf.DUMMYFUNCTION("""COMPUTED_VALUE"""),"Medium")</f>
        <v>Medium</v>
      </c>
      <c r="F254" s="23">
        <f>IFERROR(__xludf.DUMMYFUNCTION("""COMPUTED_VALUE"""),5431.0)</f>
        <v>5431</v>
      </c>
      <c r="G254" s="23">
        <f>IFERROR(__xludf.DUMMYFUNCTION("""COMPUTED_VALUE"""),105.0)</f>
        <v>105</v>
      </c>
      <c r="H254" s="23" t="str">
        <f>IFERROR(__xludf.DUMMYFUNCTION("""COMPUTED_VALUE"""),"Algorithms")</f>
        <v>Algorithms</v>
      </c>
      <c r="I254" s="23">
        <f>IFERROR(__xludf.DUMMYFUNCTION("""COMPUTED_VALUE"""),0.497)</f>
        <v>0.497</v>
      </c>
      <c r="J254" s="23">
        <f>IFERROR(__xludf.DUMMYFUNCTION("""COMPUTED_VALUE"""),253.0)</f>
        <v>253</v>
      </c>
      <c r="K254" s="23" t="b">
        <f>IFERROR(__xludf.DUMMYFUNCTION("""COMPUTED_VALUE"""),TRUE)</f>
        <v>1</v>
      </c>
      <c r="L254" s="23" t="str">
        <f>IFERROR(__xludf.DUMMYFUNCTION("""COMPUTED_VALUE"""),"Array;Two Pointers;Greedy;Sorting;Heap (Priority Queue);")</f>
        <v>Array;Two Pointers;Greedy;Sorting;Heap (Priority Queue);</v>
      </c>
      <c r="M254" s="23" t="b">
        <f>IFERROR(__xludf.DUMMYFUNCTION("""COMPUTED_VALUE"""),TRUE)</f>
        <v>1</v>
      </c>
      <c r="N254" s="23" t="b">
        <f>IFERROR(__xludf.DUMMYFUNCTION("""COMPUTED_VALUE"""),FALSE)</f>
        <v>0</v>
      </c>
      <c r="O254" s="23">
        <f>IFERROR(__xludf.DUMMYFUNCTION("""COMPUTED_VALUE"""),49.6792513938963)</f>
        <v>49.67925139</v>
      </c>
      <c r="P254" s="23">
        <f>IFERROR(__xludf.DUMMYFUNCTION("""COMPUTED_VALUE"""),627361.0)</f>
        <v>627361</v>
      </c>
      <c r="Q254" s="23">
        <f>IFERROR(__xludf.DUMMYFUNCTION("""COMPUTED_VALUE"""),1262824.0)</f>
        <v>1262824</v>
      </c>
    </row>
    <row r="255">
      <c r="A255" s="23">
        <f>IFERROR(__xludf.DUMMYFUNCTION("""COMPUTED_VALUE"""),254.0)</f>
        <v>254</v>
      </c>
      <c r="B255" s="23" t="str">
        <f>IFERROR(__xludf.DUMMYFUNCTION("""COMPUTED_VALUE"""),"Factor Combinations")</f>
        <v>Factor Combinations</v>
      </c>
      <c r="C255" s="23" t="str">
        <f>IFERROR(__xludf.DUMMYFUNCTION("""COMPUTED_VALUE"""),"factor-combinations")</f>
        <v>factor-combinations</v>
      </c>
      <c r="D255" s="23" t="b">
        <f>IFERROR(__xludf.DUMMYFUNCTION("""COMPUTED_VALUE"""),TRUE)</f>
        <v>1</v>
      </c>
      <c r="E255" s="23" t="str">
        <f>IFERROR(__xludf.DUMMYFUNCTION("""COMPUTED_VALUE"""),"Medium")</f>
        <v>Medium</v>
      </c>
      <c r="F255" s="23">
        <f>IFERROR(__xludf.DUMMYFUNCTION("""COMPUTED_VALUE"""),900.0)</f>
        <v>900</v>
      </c>
      <c r="G255" s="23">
        <f>IFERROR(__xludf.DUMMYFUNCTION("""COMPUTED_VALUE"""),51.0)</f>
        <v>51</v>
      </c>
      <c r="H255" s="23" t="str">
        <f>IFERROR(__xludf.DUMMYFUNCTION("""COMPUTED_VALUE"""),"Algorithms")</f>
        <v>Algorithms</v>
      </c>
      <c r="I255" s="23">
        <f>IFERROR(__xludf.DUMMYFUNCTION("""COMPUTED_VALUE"""),0.487)</f>
        <v>0.487</v>
      </c>
      <c r="J255" s="23">
        <f>IFERROR(__xludf.DUMMYFUNCTION("""COMPUTED_VALUE"""),254.0)</f>
        <v>254</v>
      </c>
      <c r="K255" s="23" t="b">
        <f>IFERROR(__xludf.DUMMYFUNCTION("""COMPUTED_VALUE"""),TRUE)</f>
        <v>1</v>
      </c>
      <c r="L255" s="23" t="str">
        <f>IFERROR(__xludf.DUMMYFUNCTION("""COMPUTED_VALUE"""),"Array;Backtracking;")</f>
        <v>Array;Backtracking;</v>
      </c>
      <c r="M255" s="23" t="b">
        <f>IFERROR(__xludf.DUMMYFUNCTION("""COMPUTED_VALUE"""),FALSE)</f>
        <v>0</v>
      </c>
      <c r="N255" s="23" t="b">
        <f>IFERROR(__xludf.DUMMYFUNCTION("""COMPUTED_VALUE"""),FALSE)</f>
        <v>0</v>
      </c>
      <c r="O255" s="23">
        <f>IFERROR(__xludf.DUMMYFUNCTION("""COMPUTED_VALUE"""),48.6729260473654)</f>
        <v>48.67292605</v>
      </c>
      <c r="P255" s="23">
        <f>IFERROR(__xludf.DUMMYFUNCTION("""COMPUTED_VALUE"""),106583.0)</f>
        <v>106583</v>
      </c>
      <c r="Q255" s="23">
        <f>IFERROR(__xludf.DUMMYFUNCTION("""COMPUTED_VALUE"""),218978.0)</f>
        <v>218978</v>
      </c>
    </row>
    <row r="256">
      <c r="A256" s="23">
        <f>IFERROR(__xludf.DUMMYFUNCTION("""COMPUTED_VALUE"""),255.0)</f>
        <v>255</v>
      </c>
      <c r="B256" s="23" t="str">
        <f>IFERROR(__xludf.DUMMYFUNCTION("""COMPUTED_VALUE"""),"Verify Preorder Sequence in Binary Search Tree")</f>
        <v>Verify Preorder Sequence in Binary Search Tree</v>
      </c>
      <c r="C256" s="23" t="str">
        <f>IFERROR(__xludf.DUMMYFUNCTION("""COMPUTED_VALUE"""),"verify-preorder-sequence-in-binary-search-tree")</f>
        <v>verify-preorder-sequence-in-binary-search-tree</v>
      </c>
      <c r="D256" s="23" t="b">
        <f>IFERROR(__xludf.DUMMYFUNCTION("""COMPUTED_VALUE"""),TRUE)</f>
        <v>1</v>
      </c>
      <c r="E256" s="23" t="str">
        <f>IFERROR(__xludf.DUMMYFUNCTION("""COMPUTED_VALUE"""),"Medium")</f>
        <v>Medium</v>
      </c>
      <c r="F256" s="23">
        <f>IFERROR(__xludf.DUMMYFUNCTION("""COMPUTED_VALUE"""),919.0)</f>
        <v>919</v>
      </c>
      <c r="G256" s="23">
        <f>IFERROR(__xludf.DUMMYFUNCTION("""COMPUTED_VALUE"""),69.0)</f>
        <v>69</v>
      </c>
      <c r="H256" s="23" t="str">
        <f>IFERROR(__xludf.DUMMYFUNCTION("""COMPUTED_VALUE"""),"Algorithms")</f>
        <v>Algorithms</v>
      </c>
      <c r="I256" s="23">
        <f>IFERROR(__xludf.DUMMYFUNCTION("""COMPUTED_VALUE"""),0.475)</f>
        <v>0.475</v>
      </c>
      <c r="J256" s="23">
        <f>IFERROR(__xludf.DUMMYFUNCTION("""COMPUTED_VALUE"""),255.0)</f>
        <v>255</v>
      </c>
      <c r="K256" s="23" t="b">
        <f>IFERROR(__xludf.DUMMYFUNCTION("""COMPUTED_VALUE"""),TRUE)</f>
        <v>1</v>
      </c>
      <c r="L256" s="23" t="str">
        <f>IFERROR(__xludf.DUMMYFUNCTION("""COMPUTED_VALUE"""),"Stack;Tree;Binary Search Tree;Recursion;Monotonic Stack;Binary Tree;")</f>
        <v>Stack;Tree;Binary Search Tree;Recursion;Monotonic Stack;Binary Tree;</v>
      </c>
      <c r="M256" s="23" t="b">
        <f>IFERROR(__xludf.DUMMYFUNCTION("""COMPUTED_VALUE"""),FALSE)</f>
        <v>0</v>
      </c>
      <c r="N256" s="23" t="b">
        <f>IFERROR(__xludf.DUMMYFUNCTION("""COMPUTED_VALUE"""),FALSE)</f>
        <v>0</v>
      </c>
      <c r="O256" s="23">
        <f>IFERROR(__xludf.DUMMYFUNCTION("""COMPUTED_VALUE"""),47.5218377849293)</f>
        <v>47.52183778</v>
      </c>
      <c r="P256" s="23">
        <f>IFERROR(__xludf.DUMMYFUNCTION("""COMPUTED_VALUE"""),64087.0)</f>
        <v>64087</v>
      </c>
      <c r="Q256" s="23">
        <f>IFERROR(__xludf.DUMMYFUNCTION("""COMPUTED_VALUE"""),134858.0)</f>
        <v>134858</v>
      </c>
    </row>
    <row r="257">
      <c r="A257" s="23">
        <f>IFERROR(__xludf.DUMMYFUNCTION("""COMPUTED_VALUE"""),256.0)</f>
        <v>256</v>
      </c>
      <c r="B257" s="23" t="str">
        <f>IFERROR(__xludf.DUMMYFUNCTION("""COMPUTED_VALUE"""),"Paint House")</f>
        <v>Paint House</v>
      </c>
      <c r="C257" s="23" t="str">
        <f>IFERROR(__xludf.DUMMYFUNCTION("""COMPUTED_VALUE"""),"paint-house")</f>
        <v>paint-house</v>
      </c>
      <c r="D257" s="23" t="b">
        <f>IFERROR(__xludf.DUMMYFUNCTION("""COMPUTED_VALUE"""),TRUE)</f>
        <v>1</v>
      </c>
      <c r="E257" s="23" t="str">
        <f>IFERROR(__xludf.DUMMYFUNCTION("""COMPUTED_VALUE"""),"Medium")</f>
        <v>Medium</v>
      </c>
      <c r="F257" s="23">
        <f>IFERROR(__xludf.DUMMYFUNCTION("""COMPUTED_VALUE"""),1764.0)</f>
        <v>1764</v>
      </c>
      <c r="G257" s="23">
        <f>IFERROR(__xludf.DUMMYFUNCTION("""COMPUTED_VALUE"""),121.0)</f>
        <v>121</v>
      </c>
      <c r="H257" s="23" t="str">
        <f>IFERROR(__xludf.DUMMYFUNCTION("""COMPUTED_VALUE"""),"Algorithms")</f>
        <v>Algorithms</v>
      </c>
      <c r="I257" s="23">
        <f>IFERROR(__xludf.DUMMYFUNCTION("""COMPUTED_VALUE"""),0.587)</f>
        <v>0.587</v>
      </c>
      <c r="J257" s="23">
        <f>IFERROR(__xludf.DUMMYFUNCTION("""COMPUTED_VALUE"""),256.0)</f>
        <v>256</v>
      </c>
      <c r="K257" s="23" t="b">
        <f>IFERROR(__xludf.DUMMYFUNCTION("""COMPUTED_VALUE"""),TRUE)</f>
        <v>1</v>
      </c>
      <c r="L257" s="23" t="str">
        <f>IFERROR(__xludf.DUMMYFUNCTION("""COMPUTED_VALUE"""),"Array;Dynamic Programming;")</f>
        <v>Array;Dynamic Programming;</v>
      </c>
      <c r="M257" s="23" t="b">
        <f>IFERROR(__xludf.DUMMYFUNCTION("""COMPUTED_VALUE"""),TRUE)</f>
        <v>1</v>
      </c>
      <c r="N257" s="23" t="b">
        <f>IFERROR(__xludf.DUMMYFUNCTION("""COMPUTED_VALUE"""),FALSE)</f>
        <v>0</v>
      </c>
      <c r="O257" s="23">
        <f>IFERROR(__xludf.DUMMYFUNCTION("""COMPUTED_VALUE"""),58.7134356547165)</f>
        <v>58.71343565</v>
      </c>
      <c r="P257" s="23">
        <f>IFERROR(__xludf.DUMMYFUNCTION("""COMPUTED_VALUE"""),154815.0)</f>
        <v>154815</v>
      </c>
      <c r="Q257" s="23">
        <f>IFERROR(__xludf.DUMMYFUNCTION("""COMPUTED_VALUE"""),263679.0)</f>
        <v>263679</v>
      </c>
    </row>
    <row r="258">
      <c r="A258" s="23">
        <f>IFERROR(__xludf.DUMMYFUNCTION("""COMPUTED_VALUE"""),257.0)</f>
        <v>257</v>
      </c>
      <c r="B258" s="23" t="str">
        <f>IFERROR(__xludf.DUMMYFUNCTION("""COMPUTED_VALUE"""),"Binary Tree Paths")</f>
        <v>Binary Tree Paths</v>
      </c>
      <c r="C258" s="23" t="str">
        <f>IFERROR(__xludf.DUMMYFUNCTION("""COMPUTED_VALUE"""),"binary-tree-paths")</f>
        <v>binary-tree-paths</v>
      </c>
      <c r="D258" s="23" t="b">
        <f>IFERROR(__xludf.DUMMYFUNCTION("""COMPUTED_VALUE"""),FALSE)</f>
        <v>0</v>
      </c>
      <c r="E258" s="23" t="str">
        <f>IFERROR(__xludf.DUMMYFUNCTION("""COMPUTED_VALUE"""),"Easy")</f>
        <v>Easy</v>
      </c>
      <c r="F258" s="23">
        <f>IFERROR(__xludf.DUMMYFUNCTION("""COMPUTED_VALUE"""),4008.0)</f>
        <v>4008</v>
      </c>
      <c r="G258" s="23">
        <f>IFERROR(__xludf.DUMMYFUNCTION("""COMPUTED_VALUE"""),182.0)</f>
        <v>182</v>
      </c>
      <c r="H258" s="23" t="str">
        <f>IFERROR(__xludf.DUMMYFUNCTION("""COMPUTED_VALUE"""),"Algorithms")</f>
        <v>Algorithms</v>
      </c>
      <c r="I258" s="23">
        <f>IFERROR(__xludf.DUMMYFUNCTION("""COMPUTED_VALUE"""),0.586)</f>
        <v>0.586</v>
      </c>
      <c r="J258" s="23">
        <f>IFERROR(__xludf.DUMMYFUNCTION("""COMPUTED_VALUE"""),257.0)</f>
        <v>257</v>
      </c>
      <c r="K258" s="23" t="b">
        <f>IFERROR(__xludf.DUMMYFUNCTION("""COMPUTED_VALUE"""),FALSE)</f>
        <v>0</v>
      </c>
      <c r="L258" s="23" t="str">
        <f>IFERROR(__xludf.DUMMYFUNCTION("""COMPUTED_VALUE"""),"String;Backtracking;Tree;Depth-First Search;Binary Tree;")</f>
        <v>String;Backtracking;Tree;Depth-First Search;Binary Tree;</v>
      </c>
      <c r="M258" s="23" t="b">
        <f>IFERROR(__xludf.DUMMYFUNCTION("""COMPUTED_VALUE"""),TRUE)</f>
        <v>1</v>
      </c>
      <c r="N258" s="23" t="b">
        <f>IFERROR(__xludf.DUMMYFUNCTION("""COMPUTED_VALUE"""),FALSE)</f>
        <v>0</v>
      </c>
      <c r="O258" s="23">
        <f>IFERROR(__xludf.DUMMYFUNCTION("""COMPUTED_VALUE"""),58.6047186006588)</f>
        <v>58.6047186</v>
      </c>
      <c r="P258" s="23">
        <f>IFERROR(__xludf.DUMMYFUNCTION("""COMPUTED_VALUE"""),505241.0)</f>
        <v>505241</v>
      </c>
      <c r="Q258" s="23">
        <f>IFERROR(__xludf.DUMMYFUNCTION("""COMPUTED_VALUE"""),862118.0)</f>
        <v>862118</v>
      </c>
    </row>
    <row r="259">
      <c r="A259" s="23">
        <f>IFERROR(__xludf.DUMMYFUNCTION("""COMPUTED_VALUE"""),258.0)</f>
        <v>258</v>
      </c>
      <c r="B259" s="23" t="str">
        <f>IFERROR(__xludf.DUMMYFUNCTION("""COMPUTED_VALUE"""),"Add Digits")</f>
        <v>Add Digits</v>
      </c>
      <c r="C259" s="23" t="str">
        <f>IFERROR(__xludf.DUMMYFUNCTION("""COMPUTED_VALUE"""),"add-digits")</f>
        <v>add-digits</v>
      </c>
      <c r="D259" s="23" t="b">
        <f>IFERROR(__xludf.DUMMYFUNCTION("""COMPUTED_VALUE"""),FALSE)</f>
        <v>0</v>
      </c>
      <c r="E259" s="23" t="str">
        <f>IFERROR(__xludf.DUMMYFUNCTION("""COMPUTED_VALUE"""),"Easy")</f>
        <v>Easy</v>
      </c>
      <c r="F259" s="23">
        <f>IFERROR(__xludf.DUMMYFUNCTION("""COMPUTED_VALUE"""),2425.0)</f>
        <v>2425</v>
      </c>
      <c r="G259" s="23">
        <f>IFERROR(__xludf.DUMMYFUNCTION("""COMPUTED_VALUE"""),1645.0)</f>
        <v>1645</v>
      </c>
      <c r="H259" s="23" t="str">
        <f>IFERROR(__xludf.DUMMYFUNCTION("""COMPUTED_VALUE"""),"Algorithms")</f>
        <v>Algorithms</v>
      </c>
      <c r="I259" s="23">
        <f>IFERROR(__xludf.DUMMYFUNCTION("""COMPUTED_VALUE"""),0.624)</f>
        <v>0.624</v>
      </c>
      <c r="J259" s="23">
        <f>IFERROR(__xludf.DUMMYFUNCTION("""COMPUTED_VALUE"""),258.0)</f>
        <v>258</v>
      </c>
      <c r="K259" s="23" t="b">
        <f>IFERROR(__xludf.DUMMYFUNCTION("""COMPUTED_VALUE"""),FALSE)</f>
        <v>0</v>
      </c>
      <c r="L259" s="23" t="str">
        <f>IFERROR(__xludf.DUMMYFUNCTION("""COMPUTED_VALUE"""),"Math;Simulation;Number Theory;")</f>
        <v>Math;Simulation;Number Theory;</v>
      </c>
      <c r="M259" s="23" t="b">
        <f>IFERROR(__xludf.DUMMYFUNCTION("""COMPUTED_VALUE"""),TRUE)</f>
        <v>1</v>
      </c>
      <c r="N259" s="23" t="b">
        <f>IFERROR(__xludf.DUMMYFUNCTION("""COMPUTED_VALUE"""),FALSE)</f>
        <v>0</v>
      </c>
      <c r="O259" s="23">
        <f>IFERROR(__xludf.DUMMYFUNCTION("""COMPUTED_VALUE"""),62.4492371674372)</f>
        <v>62.44923717</v>
      </c>
      <c r="P259" s="23">
        <f>IFERROR(__xludf.DUMMYFUNCTION("""COMPUTED_VALUE"""),466098.0)</f>
        <v>466098</v>
      </c>
      <c r="Q259" s="23">
        <f>IFERROR(__xludf.DUMMYFUNCTION("""COMPUTED_VALUE"""),746363.0)</f>
        <v>746363</v>
      </c>
    </row>
    <row r="260">
      <c r="A260" s="23">
        <f>IFERROR(__xludf.DUMMYFUNCTION("""COMPUTED_VALUE"""),259.0)</f>
        <v>259</v>
      </c>
      <c r="B260" s="23" t="str">
        <f>IFERROR(__xludf.DUMMYFUNCTION("""COMPUTED_VALUE"""),"3Sum Smaller")</f>
        <v>3Sum Smaller</v>
      </c>
      <c r="C260" s="23" t="str">
        <f>IFERROR(__xludf.DUMMYFUNCTION("""COMPUTED_VALUE"""),"3sum-smaller")</f>
        <v>3sum-smaller</v>
      </c>
      <c r="D260" s="23" t="b">
        <f>IFERROR(__xludf.DUMMYFUNCTION("""COMPUTED_VALUE"""),TRUE)</f>
        <v>1</v>
      </c>
      <c r="E260" s="23" t="str">
        <f>IFERROR(__xludf.DUMMYFUNCTION("""COMPUTED_VALUE"""),"Medium")</f>
        <v>Medium</v>
      </c>
      <c r="F260" s="23">
        <f>IFERROR(__xludf.DUMMYFUNCTION("""COMPUTED_VALUE"""),1243.0)</f>
        <v>1243</v>
      </c>
      <c r="G260" s="23">
        <f>IFERROR(__xludf.DUMMYFUNCTION("""COMPUTED_VALUE"""),124.0)</f>
        <v>124</v>
      </c>
      <c r="H260" s="23" t="str">
        <f>IFERROR(__xludf.DUMMYFUNCTION("""COMPUTED_VALUE"""),"Algorithms")</f>
        <v>Algorithms</v>
      </c>
      <c r="I260" s="23">
        <f>IFERROR(__xludf.DUMMYFUNCTION("""COMPUTED_VALUE"""),0.503)</f>
        <v>0.503</v>
      </c>
      <c r="J260" s="23">
        <f>IFERROR(__xludf.DUMMYFUNCTION("""COMPUTED_VALUE"""),259.0)</f>
        <v>259</v>
      </c>
      <c r="K260" s="23" t="b">
        <f>IFERROR(__xludf.DUMMYFUNCTION("""COMPUTED_VALUE"""),TRUE)</f>
        <v>1</v>
      </c>
      <c r="L260" s="23" t="str">
        <f>IFERROR(__xludf.DUMMYFUNCTION("""COMPUTED_VALUE"""),"Array;Two Pointers;Binary Search;Sorting;")</f>
        <v>Array;Two Pointers;Binary Search;Sorting;</v>
      </c>
      <c r="M260" s="23" t="b">
        <f>IFERROR(__xludf.DUMMYFUNCTION("""COMPUTED_VALUE"""),TRUE)</f>
        <v>1</v>
      </c>
      <c r="N260" s="23" t="b">
        <f>IFERROR(__xludf.DUMMYFUNCTION("""COMPUTED_VALUE"""),FALSE)</f>
        <v>0</v>
      </c>
      <c r="O260" s="23">
        <f>IFERROR(__xludf.DUMMYFUNCTION("""COMPUTED_VALUE"""),50.329567472762)</f>
        <v>50.32956747</v>
      </c>
      <c r="P260" s="23">
        <f>IFERROR(__xludf.DUMMYFUNCTION("""COMPUTED_VALUE"""),115070.0)</f>
        <v>115070</v>
      </c>
      <c r="Q260" s="23">
        <f>IFERROR(__xludf.DUMMYFUNCTION("""COMPUTED_VALUE"""),228633.0)</f>
        <v>228633</v>
      </c>
    </row>
    <row r="261">
      <c r="A261" s="23">
        <f>IFERROR(__xludf.DUMMYFUNCTION("""COMPUTED_VALUE"""),260.0)</f>
        <v>260</v>
      </c>
      <c r="B261" s="23" t="str">
        <f>IFERROR(__xludf.DUMMYFUNCTION("""COMPUTED_VALUE"""),"Single Number III")</f>
        <v>Single Number III</v>
      </c>
      <c r="C261" s="23" t="str">
        <f>IFERROR(__xludf.DUMMYFUNCTION("""COMPUTED_VALUE"""),"single-number-iii")</f>
        <v>single-number-iii</v>
      </c>
      <c r="D261" s="23" t="b">
        <f>IFERROR(__xludf.DUMMYFUNCTION("""COMPUTED_VALUE"""),FALSE)</f>
        <v>0</v>
      </c>
      <c r="E261" s="23" t="str">
        <f>IFERROR(__xludf.DUMMYFUNCTION("""COMPUTED_VALUE"""),"Medium")</f>
        <v>Medium</v>
      </c>
      <c r="F261" s="23">
        <f>IFERROR(__xludf.DUMMYFUNCTION("""COMPUTED_VALUE"""),3837.0)</f>
        <v>3837</v>
      </c>
      <c r="G261" s="23">
        <f>IFERROR(__xludf.DUMMYFUNCTION("""COMPUTED_VALUE"""),182.0)</f>
        <v>182</v>
      </c>
      <c r="H261" s="23" t="str">
        <f>IFERROR(__xludf.DUMMYFUNCTION("""COMPUTED_VALUE"""),"Algorithms")</f>
        <v>Algorithms</v>
      </c>
      <c r="I261" s="23">
        <f>IFERROR(__xludf.DUMMYFUNCTION("""COMPUTED_VALUE"""),0.671)</f>
        <v>0.671</v>
      </c>
      <c r="J261" s="23">
        <f>IFERROR(__xludf.DUMMYFUNCTION("""COMPUTED_VALUE"""),260.0)</f>
        <v>260</v>
      </c>
      <c r="K261" s="23" t="b">
        <f>IFERROR(__xludf.DUMMYFUNCTION("""COMPUTED_VALUE"""),FALSE)</f>
        <v>0</v>
      </c>
      <c r="L261" s="23" t="str">
        <f>IFERROR(__xludf.DUMMYFUNCTION("""COMPUTED_VALUE"""),"Array;Bit Manipulation;")</f>
        <v>Array;Bit Manipulation;</v>
      </c>
      <c r="M261" s="23" t="b">
        <f>IFERROR(__xludf.DUMMYFUNCTION("""COMPUTED_VALUE"""),TRUE)</f>
        <v>1</v>
      </c>
      <c r="N261" s="23" t="b">
        <f>IFERROR(__xludf.DUMMYFUNCTION("""COMPUTED_VALUE"""),FALSE)</f>
        <v>0</v>
      </c>
      <c r="O261" s="23">
        <f>IFERROR(__xludf.DUMMYFUNCTION("""COMPUTED_VALUE"""),67.1456935615582)</f>
        <v>67.14569356</v>
      </c>
      <c r="P261" s="23">
        <f>IFERROR(__xludf.DUMMYFUNCTION("""COMPUTED_VALUE"""),251606.0)</f>
        <v>251606</v>
      </c>
      <c r="Q261" s="23">
        <f>IFERROR(__xludf.DUMMYFUNCTION("""COMPUTED_VALUE"""),374717.0)</f>
        <v>374717</v>
      </c>
    </row>
    <row r="262">
      <c r="A262" s="23">
        <f>IFERROR(__xludf.DUMMYFUNCTION("""COMPUTED_VALUE"""),261.0)</f>
        <v>261</v>
      </c>
      <c r="B262" s="23" t="str">
        <f>IFERROR(__xludf.DUMMYFUNCTION("""COMPUTED_VALUE"""),"Graph Valid Tree")</f>
        <v>Graph Valid Tree</v>
      </c>
      <c r="C262" s="23" t="str">
        <f>IFERROR(__xludf.DUMMYFUNCTION("""COMPUTED_VALUE"""),"graph-valid-tree")</f>
        <v>graph-valid-tree</v>
      </c>
      <c r="D262" s="23" t="b">
        <f>IFERROR(__xludf.DUMMYFUNCTION("""COMPUTED_VALUE"""),TRUE)</f>
        <v>1</v>
      </c>
      <c r="E262" s="23" t="str">
        <f>IFERROR(__xludf.DUMMYFUNCTION("""COMPUTED_VALUE"""),"Medium")</f>
        <v>Medium</v>
      </c>
      <c r="F262" s="23">
        <f>IFERROR(__xludf.DUMMYFUNCTION("""COMPUTED_VALUE"""),2360.0)</f>
        <v>2360</v>
      </c>
      <c r="G262" s="23">
        <f>IFERROR(__xludf.DUMMYFUNCTION("""COMPUTED_VALUE"""),62.0)</f>
        <v>62</v>
      </c>
      <c r="H262" s="23" t="str">
        <f>IFERROR(__xludf.DUMMYFUNCTION("""COMPUTED_VALUE"""),"Algorithms")</f>
        <v>Algorithms</v>
      </c>
      <c r="I262" s="23">
        <f>IFERROR(__xludf.DUMMYFUNCTION("""COMPUTED_VALUE"""),0.458)</f>
        <v>0.458</v>
      </c>
      <c r="J262" s="23">
        <f>IFERROR(__xludf.DUMMYFUNCTION("""COMPUTED_VALUE"""),261.0)</f>
        <v>261</v>
      </c>
      <c r="K262" s="23" t="b">
        <f>IFERROR(__xludf.DUMMYFUNCTION("""COMPUTED_VALUE"""),TRUE)</f>
        <v>1</v>
      </c>
      <c r="L262" s="23" t="str">
        <f>IFERROR(__xludf.DUMMYFUNCTION("""COMPUTED_VALUE"""),"Depth-First Search;Breadth-First Search;Union Find;Graph;")</f>
        <v>Depth-First Search;Breadth-First Search;Union Find;Graph;</v>
      </c>
      <c r="M262" s="23" t="b">
        <f>IFERROR(__xludf.DUMMYFUNCTION("""COMPUTED_VALUE"""),TRUE)</f>
        <v>1</v>
      </c>
      <c r="N262" s="23" t="b">
        <f>IFERROR(__xludf.DUMMYFUNCTION("""COMPUTED_VALUE"""),FALSE)</f>
        <v>0</v>
      </c>
      <c r="O262" s="23">
        <f>IFERROR(__xludf.DUMMYFUNCTION("""COMPUTED_VALUE"""),45.7694213432479)</f>
        <v>45.76942134</v>
      </c>
      <c r="P262" s="23">
        <f>IFERROR(__xludf.DUMMYFUNCTION("""COMPUTED_VALUE"""),256790.0)</f>
        <v>256790</v>
      </c>
      <c r="Q262" s="23">
        <f>IFERROR(__xludf.DUMMYFUNCTION("""COMPUTED_VALUE"""),561054.0)</f>
        <v>561054</v>
      </c>
    </row>
    <row r="263">
      <c r="A263" s="23">
        <f>IFERROR(__xludf.DUMMYFUNCTION("""COMPUTED_VALUE"""),262.0)</f>
        <v>262</v>
      </c>
      <c r="B263" s="23" t="str">
        <f>IFERROR(__xludf.DUMMYFUNCTION("""COMPUTED_VALUE"""),"Trips and Users")</f>
        <v>Trips and Users</v>
      </c>
      <c r="C263" s="23" t="str">
        <f>IFERROR(__xludf.DUMMYFUNCTION("""COMPUTED_VALUE"""),"trips-and-users")</f>
        <v>trips-and-users</v>
      </c>
      <c r="D263" s="23" t="b">
        <f>IFERROR(__xludf.DUMMYFUNCTION("""COMPUTED_VALUE"""),FALSE)</f>
        <v>0</v>
      </c>
      <c r="E263" s="23" t="str">
        <f>IFERROR(__xludf.DUMMYFUNCTION("""COMPUTED_VALUE"""),"Hard")</f>
        <v>Hard</v>
      </c>
      <c r="F263" s="23">
        <f>IFERROR(__xludf.DUMMYFUNCTION("""COMPUTED_VALUE"""),717.0)</f>
        <v>717</v>
      </c>
      <c r="G263" s="23">
        <f>IFERROR(__xludf.DUMMYFUNCTION("""COMPUTED_VALUE"""),463.0)</f>
        <v>463</v>
      </c>
      <c r="H263" s="23" t="str">
        <f>IFERROR(__xludf.DUMMYFUNCTION("""COMPUTED_VALUE"""),"Database")</f>
        <v>Database</v>
      </c>
      <c r="I263" s="23">
        <f>IFERROR(__xludf.DUMMYFUNCTION("""COMPUTED_VALUE"""),0.378)</f>
        <v>0.378</v>
      </c>
      <c r="J263" s="23">
        <f>IFERROR(__xludf.DUMMYFUNCTION("""COMPUTED_VALUE"""),262.0)</f>
        <v>262</v>
      </c>
      <c r="K263" s="23" t="b">
        <f>IFERROR(__xludf.DUMMYFUNCTION("""COMPUTED_VALUE"""),FALSE)</f>
        <v>0</v>
      </c>
      <c r="L263" s="23" t="str">
        <f>IFERROR(__xludf.DUMMYFUNCTION("""COMPUTED_VALUE"""),"Database;")</f>
        <v>Database;</v>
      </c>
      <c r="M263" s="23" t="b">
        <f>IFERROR(__xludf.DUMMYFUNCTION("""COMPUTED_VALUE"""),FALSE)</f>
        <v>0</v>
      </c>
      <c r="N263" s="23" t="b">
        <f>IFERROR(__xludf.DUMMYFUNCTION("""COMPUTED_VALUE"""),FALSE)</f>
        <v>0</v>
      </c>
      <c r="O263" s="23">
        <f>IFERROR(__xludf.DUMMYFUNCTION("""COMPUTED_VALUE"""),37.7804229471017)</f>
        <v>37.78042295</v>
      </c>
      <c r="P263" s="23">
        <f>IFERROR(__xludf.DUMMYFUNCTION("""COMPUTED_VALUE"""),113945.0)</f>
        <v>113945</v>
      </c>
      <c r="Q263" s="23">
        <f>IFERROR(__xludf.DUMMYFUNCTION("""COMPUTED_VALUE"""),301598.0)</f>
        <v>301598</v>
      </c>
    </row>
    <row r="264">
      <c r="A264" s="23">
        <f>IFERROR(__xludf.DUMMYFUNCTION("""COMPUTED_VALUE"""),263.0)</f>
        <v>263</v>
      </c>
      <c r="B264" s="23" t="str">
        <f>IFERROR(__xludf.DUMMYFUNCTION("""COMPUTED_VALUE"""),"Ugly Number")</f>
        <v>Ugly Number</v>
      </c>
      <c r="C264" s="23" t="str">
        <f>IFERROR(__xludf.DUMMYFUNCTION("""COMPUTED_VALUE"""),"ugly-number")</f>
        <v>ugly-number</v>
      </c>
      <c r="D264" s="23" t="b">
        <f>IFERROR(__xludf.DUMMYFUNCTION("""COMPUTED_VALUE"""),FALSE)</f>
        <v>0</v>
      </c>
      <c r="E264" s="23" t="str">
        <f>IFERROR(__xludf.DUMMYFUNCTION("""COMPUTED_VALUE"""),"Easy")</f>
        <v>Easy</v>
      </c>
      <c r="F264" s="23">
        <f>IFERROR(__xludf.DUMMYFUNCTION("""COMPUTED_VALUE"""),1401.0)</f>
        <v>1401</v>
      </c>
      <c r="G264" s="23">
        <f>IFERROR(__xludf.DUMMYFUNCTION("""COMPUTED_VALUE"""),1021.0)</f>
        <v>1021</v>
      </c>
      <c r="H264" s="23" t="str">
        <f>IFERROR(__xludf.DUMMYFUNCTION("""COMPUTED_VALUE"""),"Algorithms")</f>
        <v>Algorithms</v>
      </c>
      <c r="I264" s="23">
        <f>IFERROR(__xludf.DUMMYFUNCTION("""COMPUTED_VALUE"""),0.418)</f>
        <v>0.418</v>
      </c>
      <c r="J264" s="23">
        <f>IFERROR(__xludf.DUMMYFUNCTION("""COMPUTED_VALUE"""),263.0)</f>
        <v>263</v>
      </c>
      <c r="K264" s="23" t="b">
        <f>IFERROR(__xludf.DUMMYFUNCTION("""COMPUTED_VALUE"""),FALSE)</f>
        <v>0</v>
      </c>
      <c r="L264" s="23" t="str">
        <f>IFERROR(__xludf.DUMMYFUNCTION("""COMPUTED_VALUE"""),"Math;")</f>
        <v>Math;</v>
      </c>
      <c r="M264" s="23" t="b">
        <f>IFERROR(__xludf.DUMMYFUNCTION("""COMPUTED_VALUE"""),FALSE)</f>
        <v>0</v>
      </c>
      <c r="N264" s="23" t="b">
        <f>IFERROR(__xludf.DUMMYFUNCTION("""COMPUTED_VALUE"""),FALSE)</f>
        <v>0</v>
      </c>
      <c r="O264" s="23">
        <f>IFERROR(__xludf.DUMMYFUNCTION("""COMPUTED_VALUE"""),41.8274926488344)</f>
        <v>41.82749265</v>
      </c>
      <c r="P264" s="23">
        <f>IFERROR(__xludf.DUMMYFUNCTION("""COMPUTED_VALUE"""),294453.0)</f>
        <v>294453</v>
      </c>
      <c r="Q264" s="23">
        <f>IFERROR(__xludf.DUMMYFUNCTION("""COMPUTED_VALUE"""),703970.0)</f>
        <v>703970</v>
      </c>
    </row>
    <row r="265">
      <c r="A265" s="23">
        <f>IFERROR(__xludf.DUMMYFUNCTION("""COMPUTED_VALUE"""),264.0)</f>
        <v>264</v>
      </c>
      <c r="B265" s="23" t="str">
        <f>IFERROR(__xludf.DUMMYFUNCTION("""COMPUTED_VALUE"""),"Ugly Number II")</f>
        <v>Ugly Number II</v>
      </c>
      <c r="C265" s="23" t="str">
        <f>IFERROR(__xludf.DUMMYFUNCTION("""COMPUTED_VALUE"""),"ugly-number-ii")</f>
        <v>ugly-number-ii</v>
      </c>
      <c r="D265" s="23" t="b">
        <f>IFERROR(__xludf.DUMMYFUNCTION("""COMPUTED_VALUE"""),FALSE)</f>
        <v>0</v>
      </c>
      <c r="E265" s="23" t="str">
        <f>IFERROR(__xludf.DUMMYFUNCTION("""COMPUTED_VALUE"""),"Medium")</f>
        <v>Medium</v>
      </c>
      <c r="F265" s="23">
        <f>IFERROR(__xludf.DUMMYFUNCTION("""COMPUTED_VALUE"""),3985.0)</f>
        <v>3985</v>
      </c>
      <c r="G265" s="23">
        <f>IFERROR(__xludf.DUMMYFUNCTION("""COMPUTED_VALUE"""),210.0)</f>
        <v>210</v>
      </c>
      <c r="H265" s="23" t="str">
        <f>IFERROR(__xludf.DUMMYFUNCTION("""COMPUTED_VALUE"""),"Algorithms")</f>
        <v>Algorithms</v>
      </c>
      <c r="I265" s="23">
        <f>IFERROR(__xludf.DUMMYFUNCTION("""COMPUTED_VALUE"""),0.452)</f>
        <v>0.452</v>
      </c>
      <c r="J265" s="23">
        <f>IFERROR(__xludf.DUMMYFUNCTION("""COMPUTED_VALUE"""),264.0)</f>
        <v>264</v>
      </c>
      <c r="K265" s="23" t="b">
        <f>IFERROR(__xludf.DUMMYFUNCTION("""COMPUTED_VALUE"""),FALSE)</f>
        <v>0</v>
      </c>
      <c r="L265" s="23" t="str">
        <f>IFERROR(__xludf.DUMMYFUNCTION("""COMPUTED_VALUE"""),"Hash Table;Math;Dynamic Programming;Heap (Priority Queue);")</f>
        <v>Hash Table;Math;Dynamic Programming;Heap (Priority Queue);</v>
      </c>
      <c r="M265" s="23" t="b">
        <f>IFERROR(__xludf.DUMMYFUNCTION("""COMPUTED_VALUE"""),FALSE)</f>
        <v>0</v>
      </c>
      <c r="N265" s="23" t="b">
        <f>IFERROR(__xludf.DUMMYFUNCTION("""COMPUTED_VALUE"""),FALSE)</f>
        <v>0</v>
      </c>
      <c r="O265" s="23">
        <f>IFERROR(__xludf.DUMMYFUNCTION("""COMPUTED_VALUE"""),45.2368308230283)</f>
        <v>45.23683082</v>
      </c>
      <c r="P265" s="23">
        <f>IFERROR(__xludf.DUMMYFUNCTION("""COMPUTED_VALUE"""),256400.0)</f>
        <v>256400</v>
      </c>
      <c r="Q265" s="23">
        <f>IFERROR(__xludf.DUMMYFUNCTION("""COMPUTED_VALUE"""),566793.0)</f>
        <v>566793</v>
      </c>
    </row>
    <row r="266">
      <c r="A266" s="23">
        <f>IFERROR(__xludf.DUMMYFUNCTION("""COMPUTED_VALUE"""),265.0)</f>
        <v>265</v>
      </c>
      <c r="B266" s="23" t="str">
        <f>IFERROR(__xludf.DUMMYFUNCTION("""COMPUTED_VALUE"""),"Paint House II")</f>
        <v>Paint House II</v>
      </c>
      <c r="C266" s="23" t="str">
        <f>IFERROR(__xludf.DUMMYFUNCTION("""COMPUTED_VALUE"""),"paint-house-ii")</f>
        <v>paint-house-ii</v>
      </c>
      <c r="D266" s="23" t="b">
        <f>IFERROR(__xludf.DUMMYFUNCTION("""COMPUTED_VALUE"""),TRUE)</f>
        <v>1</v>
      </c>
      <c r="E266" s="23" t="str">
        <f>IFERROR(__xludf.DUMMYFUNCTION("""COMPUTED_VALUE"""),"Hard")</f>
        <v>Hard</v>
      </c>
      <c r="F266" s="23">
        <f>IFERROR(__xludf.DUMMYFUNCTION("""COMPUTED_VALUE"""),981.0)</f>
        <v>981</v>
      </c>
      <c r="G266" s="23">
        <f>IFERROR(__xludf.DUMMYFUNCTION("""COMPUTED_VALUE"""),33.0)</f>
        <v>33</v>
      </c>
      <c r="H266" s="23" t="str">
        <f>IFERROR(__xludf.DUMMYFUNCTION("""COMPUTED_VALUE"""),"Algorithms")</f>
        <v>Algorithms</v>
      </c>
      <c r="I266" s="23">
        <f>IFERROR(__xludf.DUMMYFUNCTION("""COMPUTED_VALUE"""),0.508)</f>
        <v>0.508</v>
      </c>
      <c r="J266" s="23">
        <f>IFERROR(__xludf.DUMMYFUNCTION("""COMPUTED_VALUE"""),265.0)</f>
        <v>265</v>
      </c>
      <c r="K266" s="23" t="b">
        <f>IFERROR(__xludf.DUMMYFUNCTION("""COMPUTED_VALUE"""),TRUE)</f>
        <v>1</v>
      </c>
      <c r="L266" s="23" t="str">
        <f>IFERROR(__xludf.DUMMYFUNCTION("""COMPUTED_VALUE"""),"Array;Dynamic Programming;")</f>
        <v>Array;Dynamic Programming;</v>
      </c>
      <c r="M266" s="23" t="b">
        <f>IFERROR(__xludf.DUMMYFUNCTION("""COMPUTED_VALUE"""),TRUE)</f>
        <v>1</v>
      </c>
      <c r="N266" s="23" t="b">
        <f>IFERROR(__xludf.DUMMYFUNCTION("""COMPUTED_VALUE"""),FALSE)</f>
        <v>0</v>
      </c>
      <c r="O266" s="23">
        <f>IFERROR(__xludf.DUMMYFUNCTION("""COMPUTED_VALUE"""),50.7910271546635)</f>
        <v>50.79102715</v>
      </c>
      <c r="P266" s="23">
        <f>IFERROR(__xludf.DUMMYFUNCTION("""COMPUTED_VALUE"""),94644.0)</f>
        <v>94644</v>
      </c>
      <c r="Q266" s="23">
        <f>IFERROR(__xludf.DUMMYFUNCTION("""COMPUTED_VALUE"""),186340.0)</f>
        <v>186340</v>
      </c>
    </row>
    <row r="267">
      <c r="A267" s="23">
        <f>IFERROR(__xludf.DUMMYFUNCTION("""COMPUTED_VALUE"""),266.0)</f>
        <v>266</v>
      </c>
      <c r="B267" s="23" t="str">
        <f>IFERROR(__xludf.DUMMYFUNCTION("""COMPUTED_VALUE"""),"Palindrome Permutation")</f>
        <v>Palindrome Permutation</v>
      </c>
      <c r="C267" s="23" t="str">
        <f>IFERROR(__xludf.DUMMYFUNCTION("""COMPUTED_VALUE"""),"palindrome-permutation")</f>
        <v>palindrome-permutation</v>
      </c>
      <c r="D267" s="23" t="b">
        <f>IFERROR(__xludf.DUMMYFUNCTION("""COMPUTED_VALUE"""),TRUE)</f>
        <v>1</v>
      </c>
      <c r="E267" s="23" t="str">
        <f>IFERROR(__xludf.DUMMYFUNCTION("""COMPUTED_VALUE"""),"Easy")</f>
        <v>Easy</v>
      </c>
      <c r="F267" s="23">
        <f>IFERROR(__xludf.DUMMYFUNCTION("""COMPUTED_VALUE"""),869.0)</f>
        <v>869</v>
      </c>
      <c r="G267" s="23">
        <f>IFERROR(__xludf.DUMMYFUNCTION("""COMPUTED_VALUE"""),63.0)</f>
        <v>63</v>
      </c>
      <c r="H267" s="23" t="str">
        <f>IFERROR(__xludf.DUMMYFUNCTION("""COMPUTED_VALUE"""),"Algorithms")</f>
        <v>Algorithms</v>
      </c>
      <c r="I267" s="23">
        <f>IFERROR(__xludf.DUMMYFUNCTION("""COMPUTED_VALUE"""),0.654)</f>
        <v>0.654</v>
      </c>
      <c r="J267" s="23">
        <f>IFERROR(__xludf.DUMMYFUNCTION("""COMPUTED_VALUE"""),266.0)</f>
        <v>266</v>
      </c>
      <c r="K267" s="23" t="b">
        <f>IFERROR(__xludf.DUMMYFUNCTION("""COMPUTED_VALUE"""),TRUE)</f>
        <v>1</v>
      </c>
      <c r="L267" s="23" t="str">
        <f>IFERROR(__xludf.DUMMYFUNCTION("""COMPUTED_VALUE"""),"Hash Table;String;Bit Manipulation;")</f>
        <v>Hash Table;String;Bit Manipulation;</v>
      </c>
      <c r="M267" s="23" t="b">
        <f>IFERROR(__xludf.DUMMYFUNCTION("""COMPUTED_VALUE"""),TRUE)</f>
        <v>1</v>
      </c>
      <c r="N267" s="23" t="b">
        <f>IFERROR(__xludf.DUMMYFUNCTION("""COMPUTED_VALUE"""),FALSE)</f>
        <v>0</v>
      </c>
      <c r="O267" s="23">
        <f>IFERROR(__xludf.DUMMYFUNCTION("""COMPUTED_VALUE"""),65.4113339675281)</f>
        <v>65.41133397</v>
      </c>
      <c r="P267" s="23">
        <f>IFERROR(__xludf.DUMMYFUNCTION("""COMPUTED_VALUE"""),163650.0)</f>
        <v>163650</v>
      </c>
      <c r="Q267" s="23">
        <f>IFERROR(__xludf.DUMMYFUNCTION("""COMPUTED_VALUE"""),250186.0)</f>
        <v>250186</v>
      </c>
    </row>
    <row r="268">
      <c r="A268" s="23">
        <f>IFERROR(__xludf.DUMMYFUNCTION("""COMPUTED_VALUE"""),267.0)</f>
        <v>267</v>
      </c>
      <c r="B268" s="23" t="str">
        <f>IFERROR(__xludf.DUMMYFUNCTION("""COMPUTED_VALUE"""),"Palindrome Permutation II")</f>
        <v>Palindrome Permutation II</v>
      </c>
      <c r="C268" s="23" t="str">
        <f>IFERROR(__xludf.DUMMYFUNCTION("""COMPUTED_VALUE"""),"palindrome-permutation-ii")</f>
        <v>palindrome-permutation-ii</v>
      </c>
      <c r="D268" s="23" t="b">
        <f>IFERROR(__xludf.DUMMYFUNCTION("""COMPUTED_VALUE"""),TRUE)</f>
        <v>1</v>
      </c>
      <c r="E268" s="23" t="str">
        <f>IFERROR(__xludf.DUMMYFUNCTION("""COMPUTED_VALUE"""),"Medium")</f>
        <v>Medium</v>
      </c>
      <c r="F268" s="23">
        <f>IFERROR(__xludf.DUMMYFUNCTION("""COMPUTED_VALUE"""),710.0)</f>
        <v>710</v>
      </c>
      <c r="G268" s="23">
        <f>IFERROR(__xludf.DUMMYFUNCTION("""COMPUTED_VALUE"""),85.0)</f>
        <v>85</v>
      </c>
      <c r="H268" s="23" t="str">
        <f>IFERROR(__xludf.DUMMYFUNCTION("""COMPUTED_VALUE"""),"Algorithms")</f>
        <v>Algorithms</v>
      </c>
      <c r="I268" s="23">
        <f>IFERROR(__xludf.DUMMYFUNCTION("""COMPUTED_VALUE"""),0.396)</f>
        <v>0.396</v>
      </c>
      <c r="J268" s="23">
        <f>IFERROR(__xludf.DUMMYFUNCTION("""COMPUTED_VALUE"""),267.0)</f>
        <v>267</v>
      </c>
      <c r="K268" s="23" t="b">
        <f>IFERROR(__xludf.DUMMYFUNCTION("""COMPUTED_VALUE"""),TRUE)</f>
        <v>1</v>
      </c>
      <c r="L268" s="23" t="str">
        <f>IFERROR(__xludf.DUMMYFUNCTION("""COMPUTED_VALUE"""),"Hash Table;String;Backtracking;")</f>
        <v>Hash Table;String;Backtracking;</v>
      </c>
      <c r="M268" s="23" t="b">
        <f>IFERROR(__xludf.DUMMYFUNCTION("""COMPUTED_VALUE"""),TRUE)</f>
        <v>1</v>
      </c>
      <c r="N268" s="23" t="b">
        <f>IFERROR(__xludf.DUMMYFUNCTION("""COMPUTED_VALUE"""),FALSE)</f>
        <v>0</v>
      </c>
      <c r="O268" s="23">
        <f>IFERROR(__xludf.DUMMYFUNCTION("""COMPUTED_VALUE"""),39.6361857190845)</f>
        <v>39.63618572</v>
      </c>
      <c r="P268" s="23">
        <f>IFERROR(__xludf.DUMMYFUNCTION("""COMPUTED_VALUE"""),54277.0)</f>
        <v>54277</v>
      </c>
      <c r="Q268" s="23">
        <f>IFERROR(__xludf.DUMMYFUNCTION("""COMPUTED_VALUE"""),136938.0)</f>
        <v>136938</v>
      </c>
    </row>
    <row r="269">
      <c r="A269" s="23">
        <f>IFERROR(__xludf.DUMMYFUNCTION("""COMPUTED_VALUE"""),268.0)</f>
        <v>268</v>
      </c>
      <c r="B269" s="23" t="str">
        <f>IFERROR(__xludf.DUMMYFUNCTION("""COMPUTED_VALUE"""),"Missing Number")</f>
        <v>Missing Number</v>
      </c>
      <c r="C269" s="23" t="str">
        <f>IFERROR(__xludf.DUMMYFUNCTION("""COMPUTED_VALUE"""),"missing-number")</f>
        <v>missing-number</v>
      </c>
      <c r="D269" s="23" t="b">
        <f>IFERROR(__xludf.DUMMYFUNCTION("""COMPUTED_VALUE"""),FALSE)</f>
        <v>0</v>
      </c>
      <c r="E269" s="23" t="str">
        <f>IFERROR(__xludf.DUMMYFUNCTION("""COMPUTED_VALUE"""),"Easy")</f>
        <v>Easy</v>
      </c>
      <c r="F269" s="23">
        <f>IFERROR(__xludf.DUMMYFUNCTION("""COMPUTED_VALUE"""),5399.0)</f>
        <v>5399</v>
      </c>
      <c r="G269" s="23">
        <f>IFERROR(__xludf.DUMMYFUNCTION("""COMPUTED_VALUE"""),2836.0)</f>
        <v>2836</v>
      </c>
      <c r="H269" s="23" t="str">
        <f>IFERROR(__xludf.DUMMYFUNCTION("""COMPUTED_VALUE"""),"Algorithms")</f>
        <v>Algorithms</v>
      </c>
      <c r="I269" s="23">
        <f>IFERROR(__xludf.DUMMYFUNCTION("""COMPUTED_VALUE"""),0.594)</f>
        <v>0.594</v>
      </c>
      <c r="J269" s="23">
        <f>IFERROR(__xludf.DUMMYFUNCTION("""COMPUTED_VALUE"""),268.0)</f>
        <v>268</v>
      </c>
      <c r="K269" s="23" t="b">
        <f>IFERROR(__xludf.DUMMYFUNCTION("""COMPUTED_VALUE"""),FALSE)</f>
        <v>0</v>
      </c>
      <c r="L269" s="23" t="str">
        <f>IFERROR(__xludf.DUMMYFUNCTION("""COMPUTED_VALUE"""),"Array;Hash Table;Math;Bit Manipulation;Sorting;")</f>
        <v>Array;Hash Table;Math;Bit Manipulation;Sorting;</v>
      </c>
      <c r="M269" s="23" t="b">
        <f>IFERROR(__xludf.DUMMYFUNCTION("""COMPUTED_VALUE"""),TRUE)</f>
        <v>1</v>
      </c>
      <c r="N269" s="23" t="b">
        <f>IFERROR(__xludf.DUMMYFUNCTION("""COMPUTED_VALUE"""),FALSE)</f>
        <v>0</v>
      </c>
      <c r="O269" s="23">
        <f>IFERROR(__xludf.DUMMYFUNCTION("""COMPUTED_VALUE"""),59.3715566928888)</f>
        <v>59.37155669</v>
      </c>
      <c r="P269" s="23">
        <f>IFERROR(__xludf.DUMMYFUNCTION("""COMPUTED_VALUE"""),989288.0)</f>
        <v>989288</v>
      </c>
      <c r="Q269" s="23">
        <f>IFERROR(__xludf.DUMMYFUNCTION("""COMPUTED_VALUE"""),1666269.0)</f>
        <v>1666269</v>
      </c>
    </row>
    <row r="270">
      <c r="A270" s="23">
        <f>IFERROR(__xludf.DUMMYFUNCTION("""COMPUTED_VALUE"""),269.0)</f>
        <v>269</v>
      </c>
      <c r="B270" s="23" t="str">
        <f>IFERROR(__xludf.DUMMYFUNCTION("""COMPUTED_VALUE"""),"Alien Dictionary")</f>
        <v>Alien Dictionary</v>
      </c>
      <c r="C270" s="23" t="str">
        <f>IFERROR(__xludf.DUMMYFUNCTION("""COMPUTED_VALUE"""),"alien-dictionary")</f>
        <v>alien-dictionary</v>
      </c>
      <c r="D270" s="23" t="b">
        <f>IFERROR(__xludf.DUMMYFUNCTION("""COMPUTED_VALUE"""),TRUE)</f>
        <v>1</v>
      </c>
      <c r="E270" s="23" t="str">
        <f>IFERROR(__xludf.DUMMYFUNCTION("""COMPUTED_VALUE"""),"Hard")</f>
        <v>Hard</v>
      </c>
      <c r="F270" s="23">
        <f>IFERROR(__xludf.DUMMYFUNCTION("""COMPUTED_VALUE"""),3516.0)</f>
        <v>3516</v>
      </c>
      <c r="G270" s="23">
        <f>IFERROR(__xludf.DUMMYFUNCTION("""COMPUTED_VALUE"""),726.0)</f>
        <v>726</v>
      </c>
      <c r="H270" s="23" t="str">
        <f>IFERROR(__xludf.DUMMYFUNCTION("""COMPUTED_VALUE"""),"Algorithms")</f>
        <v>Algorithms</v>
      </c>
      <c r="I270" s="23">
        <f>IFERROR(__xludf.DUMMYFUNCTION("""COMPUTED_VALUE"""),0.348)</f>
        <v>0.348</v>
      </c>
      <c r="J270" s="23">
        <f>IFERROR(__xludf.DUMMYFUNCTION("""COMPUTED_VALUE"""),269.0)</f>
        <v>269</v>
      </c>
      <c r="K270" s="23" t="b">
        <f>IFERROR(__xludf.DUMMYFUNCTION("""COMPUTED_VALUE"""),TRUE)</f>
        <v>1</v>
      </c>
      <c r="L270" s="23" t="str">
        <f>IFERROR(__xludf.DUMMYFUNCTION("""COMPUTED_VALUE"""),"Array;String;Depth-First Search;Breadth-First Search;Graph;Topological Sort;")</f>
        <v>Array;String;Depth-First Search;Breadth-First Search;Graph;Topological Sort;</v>
      </c>
      <c r="M270" s="23" t="b">
        <f>IFERROR(__xludf.DUMMYFUNCTION("""COMPUTED_VALUE"""),TRUE)</f>
        <v>1</v>
      </c>
      <c r="N270" s="23" t="b">
        <f>IFERROR(__xludf.DUMMYFUNCTION("""COMPUTED_VALUE"""),FALSE)</f>
        <v>0</v>
      </c>
      <c r="O270" s="23">
        <f>IFERROR(__xludf.DUMMYFUNCTION("""COMPUTED_VALUE"""),34.8388519841429)</f>
        <v>34.83885198</v>
      </c>
      <c r="P270" s="23">
        <f>IFERROR(__xludf.DUMMYFUNCTION("""COMPUTED_VALUE"""),285881.0)</f>
        <v>285881</v>
      </c>
      <c r="Q270" s="23">
        <f>IFERROR(__xludf.DUMMYFUNCTION("""COMPUTED_VALUE"""),820581.0)</f>
        <v>820581</v>
      </c>
    </row>
    <row r="271">
      <c r="A271" s="23">
        <f>IFERROR(__xludf.DUMMYFUNCTION("""COMPUTED_VALUE"""),270.0)</f>
        <v>270</v>
      </c>
      <c r="B271" s="23" t="str">
        <f>IFERROR(__xludf.DUMMYFUNCTION("""COMPUTED_VALUE"""),"Closest Binary Search Tree Value")</f>
        <v>Closest Binary Search Tree Value</v>
      </c>
      <c r="C271" s="23" t="str">
        <f>IFERROR(__xludf.DUMMYFUNCTION("""COMPUTED_VALUE"""),"closest-binary-search-tree-value")</f>
        <v>closest-binary-search-tree-value</v>
      </c>
      <c r="D271" s="23" t="b">
        <f>IFERROR(__xludf.DUMMYFUNCTION("""COMPUTED_VALUE"""),TRUE)</f>
        <v>1</v>
      </c>
      <c r="E271" s="23" t="str">
        <f>IFERROR(__xludf.DUMMYFUNCTION("""COMPUTED_VALUE"""),"Easy")</f>
        <v>Easy</v>
      </c>
      <c r="F271" s="23">
        <f>IFERROR(__xludf.DUMMYFUNCTION("""COMPUTED_VALUE"""),1414.0)</f>
        <v>1414</v>
      </c>
      <c r="G271" s="23">
        <f>IFERROR(__xludf.DUMMYFUNCTION("""COMPUTED_VALUE"""),86.0)</f>
        <v>86</v>
      </c>
      <c r="H271" s="23" t="str">
        <f>IFERROR(__xludf.DUMMYFUNCTION("""COMPUTED_VALUE"""),"Algorithms")</f>
        <v>Algorithms</v>
      </c>
      <c r="I271" s="23">
        <f>IFERROR(__xludf.DUMMYFUNCTION("""COMPUTED_VALUE"""),0.538)</f>
        <v>0.538</v>
      </c>
      <c r="J271" s="23">
        <f>IFERROR(__xludf.DUMMYFUNCTION("""COMPUTED_VALUE"""),270.0)</f>
        <v>270</v>
      </c>
      <c r="K271" s="23" t="b">
        <f>IFERROR(__xludf.DUMMYFUNCTION("""COMPUTED_VALUE"""),TRUE)</f>
        <v>1</v>
      </c>
      <c r="L271" s="23" t="str">
        <f>IFERROR(__xludf.DUMMYFUNCTION("""COMPUTED_VALUE"""),"Binary Search;Tree;Depth-First Search;Binary Search Tree;Binary Tree;")</f>
        <v>Binary Search;Tree;Depth-First Search;Binary Search Tree;Binary Tree;</v>
      </c>
      <c r="M271" s="23" t="b">
        <f>IFERROR(__xludf.DUMMYFUNCTION("""COMPUTED_VALUE"""),TRUE)</f>
        <v>1</v>
      </c>
      <c r="N271" s="23" t="b">
        <f>IFERROR(__xludf.DUMMYFUNCTION("""COMPUTED_VALUE"""),FALSE)</f>
        <v>0</v>
      </c>
      <c r="O271" s="23">
        <f>IFERROR(__xludf.DUMMYFUNCTION("""COMPUTED_VALUE"""),53.7728217793102)</f>
        <v>53.77282178</v>
      </c>
      <c r="P271" s="23">
        <f>IFERROR(__xludf.DUMMYFUNCTION("""COMPUTED_VALUE"""),250612.0)</f>
        <v>250612</v>
      </c>
      <c r="Q271" s="23">
        <f>IFERROR(__xludf.DUMMYFUNCTION("""COMPUTED_VALUE"""),466055.0)</f>
        <v>466055</v>
      </c>
    </row>
    <row r="272">
      <c r="A272" s="23">
        <f>IFERROR(__xludf.DUMMYFUNCTION("""COMPUTED_VALUE"""),271.0)</f>
        <v>271</v>
      </c>
      <c r="B272" s="23" t="str">
        <f>IFERROR(__xludf.DUMMYFUNCTION("""COMPUTED_VALUE"""),"Encode and Decode Strings")</f>
        <v>Encode and Decode Strings</v>
      </c>
      <c r="C272" s="23" t="str">
        <f>IFERROR(__xludf.DUMMYFUNCTION("""COMPUTED_VALUE"""),"encode-and-decode-strings")</f>
        <v>encode-and-decode-strings</v>
      </c>
      <c r="D272" s="23" t="b">
        <f>IFERROR(__xludf.DUMMYFUNCTION("""COMPUTED_VALUE"""),TRUE)</f>
        <v>1</v>
      </c>
      <c r="E272" s="23" t="str">
        <f>IFERROR(__xludf.DUMMYFUNCTION("""COMPUTED_VALUE"""),"Medium")</f>
        <v>Medium</v>
      </c>
      <c r="F272" s="23">
        <f>IFERROR(__xludf.DUMMYFUNCTION("""COMPUTED_VALUE"""),828.0)</f>
        <v>828</v>
      </c>
      <c r="G272" s="23">
        <f>IFERROR(__xludf.DUMMYFUNCTION("""COMPUTED_VALUE"""),230.0)</f>
        <v>230</v>
      </c>
      <c r="H272" s="23" t="str">
        <f>IFERROR(__xludf.DUMMYFUNCTION("""COMPUTED_VALUE"""),"Algorithms")</f>
        <v>Algorithms</v>
      </c>
      <c r="I272" s="23">
        <f>IFERROR(__xludf.DUMMYFUNCTION("""COMPUTED_VALUE"""),0.379)</f>
        <v>0.379</v>
      </c>
      <c r="J272" s="23">
        <f>IFERROR(__xludf.DUMMYFUNCTION("""COMPUTED_VALUE"""),271.0)</f>
        <v>271</v>
      </c>
      <c r="K272" s="23" t="b">
        <f>IFERROR(__xludf.DUMMYFUNCTION("""COMPUTED_VALUE"""),TRUE)</f>
        <v>1</v>
      </c>
      <c r="L272" s="23" t="str">
        <f>IFERROR(__xludf.DUMMYFUNCTION("""COMPUTED_VALUE"""),"Array;String;Design;")</f>
        <v>Array;String;Design;</v>
      </c>
      <c r="M272" s="23" t="b">
        <f>IFERROR(__xludf.DUMMYFUNCTION("""COMPUTED_VALUE"""),TRUE)</f>
        <v>1</v>
      </c>
      <c r="N272" s="23" t="b">
        <f>IFERROR(__xludf.DUMMYFUNCTION("""COMPUTED_VALUE"""),FALSE)</f>
        <v>0</v>
      </c>
      <c r="O272" s="23">
        <f>IFERROR(__xludf.DUMMYFUNCTION("""COMPUTED_VALUE"""),37.9115088222682)</f>
        <v>37.91150882</v>
      </c>
      <c r="P272" s="23">
        <f>IFERROR(__xludf.DUMMYFUNCTION("""COMPUTED_VALUE"""),94604.0)</f>
        <v>94604</v>
      </c>
      <c r="Q272" s="23">
        <f>IFERROR(__xludf.DUMMYFUNCTION("""COMPUTED_VALUE"""),249539.0)</f>
        <v>249539</v>
      </c>
    </row>
    <row r="273">
      <c r="A273" s="23">
        <f>IFERROR(__xludf.DUMMYFUNCTION("""COMPUTED_VALUE"""),272.0)</f>
        <v>272</v>
      </c>
      <c r="B273" s="23" t="str">
        <f>IFERROR(__xludf.DUMMYFUNCTION("""COMPUTED_VALUE"""),"Closest Binary Search Tree Value II")</f>
        <v>Closest Binary Search Tree Value II</v>
      </c>
      <c r="C273" s="23" t="str">
        <f>IFERROR(__xludf.DUMMYFUNCTION("""COMPUTED_VALUE"""),"closest-binary-search-tree-value-ii")</f>
        <v>closest-binary-search-tree-value-ii</v>
      </c>
      <c r="D273" s="23" t="b">
        <f>IFERROR(__xludf.DUMMYFUNCTION("""COMPUTED_VALUE"""),TRUE)</f>
        <v>1</v>
      </c>
      <c r="E273" s="23" t="str">
        <f>IFERROR(__xludf.DUMMYFUNCTION("""COMPUTED_VALUE"""),"Hard")</f>
        <v>Hard</v>
      </c>
      <c r="F273" s="23">
        <f>IFERROR(__xludf.DUMMYFUNCTION("""COMPUTED_VALUE"""),1046.0)</f>
        <v>1046</v>
      </c>
      <c r="G273" s="23">
        <f>IFERROR(__xludf.DUMMYFUNCTION("""COMPUTED_VALUE"""),34.0)</f>
        <v>34</v>
      </c>
      <c r="H273" s="23" t="str">
        <f>IFERROR(__xludf.DUMMYFUNCTION("""COMPUTED_VALUE"""),"Algorithms")</f>
        <v>Algorithms</v>
      </c>
      <c r="I273" s="23">
        <f>IFERROR(__xludf.DUMMYFUNCTION("""COMPUTED_VALUE"""),0.569)</f>
        <v>0.569</v>
      </c>
      <c r="J273" s="23">
        <f>IFERROR(__xludf.DUMMYFUNCTION("""COMPUTED_VALUE"""),272.0)</f>
        <v>272</v>
      </c>
      <c r="K273" s="23" t="b">
        <f>IFERROR(__xludf.DUMMYFUNCTION("""COMPUTED_VALUE"""),TRUE)</f>
        <v>1</v>
      </c>
      <c r="L273" s="23" t="str">
        <f>IFERROR(__xludf.DUMMYFUNCTION("""COMPUTED_VALUE"""),"Two Pointers;Stack;Tree;Depth-First Search;Binary Search Tree;Heap (Priority Queue);Binary Tree;")</f>
        <v>Two Pointers;Stack;Tree;Depth-First Search;Binary Search Tree;Heap (Priority Queue);Binary Tree;</v>
      </c>
      <c r="M273" s="23" t="b">
        <f>IFERROR(__xludf.DUMMYFUNCTION("""COMPUTED_VALUE"""),TRUE)</f>
        <v>1</v>
      </c>
      <c r="N273" s="23" t="b">
        <f>IFERROR(__xludf.DUMMYFUNCTION("""COMPUTED_VALUE"""),FALSE)</f>
        <v>0</v>
      </c>
      <c r="O273" s="23">
        <f>IFERROR(__xludf.DUMMYFUNCTION("""COMPUTED_VALUE"""),56.9353912461739)</f>
        <v>56.93539125</v>
      </c>
      <c r="P273" s="23">
        <f>IFERROR(__xludf.DUMMYFUNCTION("""COMPUTED_VALUE"""),96169.0)</f>
        <v>96169</v>
      </c>
      <c r="Q273" s="23">
        <f>IFERROR(__xludf.DUMMYFUNCTION("""COMPUTED_VALUE"""),168909.0)</f>
        <v>168909</v>
      </c>
    </row>
    <row r="274">
      <c r="A274" s="23">
        <f>IFERROR(__xludf.DUMMYFUNCTION("""COMPUTED_VALUE"""),273.0)</f>
        <v>273</v>
      </c>
      <c r="B274" s="23" t="str">
        <f>IFERROR(__xludf.DUMMYFUNCTION("""COMPUTED_VALUE"""),"Integer to English Words")</f>
        <v>Integer to English Words</v>
      </c>
      <c r="C274" s="23" t="str">
        <f>IFERROR(__xludf.DUMMYFUNCTION("""COMPUTED_VALUE"""),"integer-to-english-words")</f>
        <v>integer-to-english-words</v>
      </c>
      <c r="D274" s="23" t="b">
        <f>IFERROR(__xludf.DUMMYFUNCTION("""COMPUTED_VALUE"""),FALSE)</f>
        <v>0</v>
      </c>
      <c r="E274" s="23" t="str">
        <f>IFERROR(__xludf.DUMMYFUNCTION("""COMPUTED_VALUE"""),"Hard")</f>
        <v>Hard</v>
      </c>
      <c r="F274" s="23">
        <f>IFERROR(__xludf.DUMMYFUNCTION("""COMPUTED_VALUE"""),2052.0)</f>
        <v>2052</v>
      </c>
      <c r="G274" s="23">
        <f>IFERROR(__xludf.DUMMYFUNCTION("""COMPUTED_VALUE"""),4987.0)</f>
        <v>4987</v>
      </c>
      <c r="H274" s="23" t="str">
        <f>IFERROR(__xludf.DUMMYFUNCTION("""COMPUTED_VALUE"""),"Algorithms")</f>
        <v>Algorithms</v>
      </c>
      <c r="I274" s="23">
        <f>IFERROR(__xludf.DUMMYFUNCTION("""COMPUTED_VALUE"""),0.296)</f>
        <v>0.296</v>
      </c>
      <c r="J274" s="23">
        <f>IFERROR(__xludf.DUMMYFUNCTION("""COMPUTED_VALUE"""),273.0)</f>
        <v>273</v>
      </c>
      <c r="K274" s="23" t="b">
        <f>IFERROR(__xludf.DUMMYFUNCTION("""COMPUTED_VALUE"""),FALSE)</f>
        <v>0</v>
      </c>
      <c r="L274" s="23" t="str">
        <f>IFERROR(__xludf.DUMMYFUNCTION("""COMPUTED_VALUE"""),"Math;String;Recursion;")</f>
        <v>Math;String;Recursion;</v>
      </c>
      <c r="M274" s="23" t="b">
        <f>IFERROR(__xludf.DUMMYFUNCTION("""COMPUTED_VALUE"""),TRUE)</f>
        <v>1</v>
      </c>
      <c r="N274" s="23" t="b">
        <f>IFERROR(__xludf.DUMMYFUNCTION("""COMPUTED_VALUE"""),FALSE)</f>
        <v>0</v>
      </c>
      <c r="O274" s="23">
        <f>IFERROR(__xludf.DUMMYFUNCTION("""COMPUTED_VALUE"""),29.5727427047444)</f>
        <v>29.5727427</v>
      </c>
      <c r="P274" s="23">
        <f>IFERROR(__xludf.DUMMYFUNCTION("""COMPUTED_VALUE"""),300163.0)</f>
        <v>300163</v>
      </c>
      <c r="Q274" s="23">
        <f>IFERROR(__xludf.DUMMYFUNCTION("""COMPUTED_VALUE"""),1014982.0)</f>
        <v>1014982</v>
      </c>
    </row>
    <row r="275">
      <c r="A275" s="23">
        <f>IFERROR(__xludf.DUMMYFUNCTION("""COMPUTED_VALUE"""),274.0)</f>
        <v>274</v>
      </c>
      <c r="B275" s="23" t="str">
        <f>IFERROR(__xludf.DUMMYFUNCTION("""COMPUTED_VALUE"""),"H-Index")</f>
        <v>H-Index</v>
      </c>
      <c r="C275" s="23" t="str">
        <f>IFERROR(__xludf.DUMMYFUNCTION("""COMPUTED_VALUE"""),"h-index")</f>
        <v>h-index</v>
      </c>
      <c r="D275" s="23" t="b">
        <f>IFERROR(__xludf.DUMMYFUNCTION("""COMPUTED_VALUE"""),FALSE)</f>
        <v>0</v>
      </c>
      <c r="E275" s="23" t="str">
        <f>IFERROR(__xludf.DUMMYFUNCTION("""COMPUTED_VALUE"""),"Medium")</f>
        <v>Medium</v>
      </c>
      <c r="F275" s="23">
        <f>IFERROR(__xludf.DUMMYFUNCTION("""COMPUTED_VALUE"""),1211.0)</f>
        <v>1211</v>
      </c>
      <c r="G275" s="23">
        <f>IFERROR(__xludf.DUMMYFUNCTION("""COMPUTED_VALUE"""),1819.0)</f>
        <v>1819</v>
      </c>
      <c r="H275" s="23" t="str">
        <f>IFERROR(__xludf.DUMMYFUNCTION("""COMPUTED_VALUE"""),"Algorithms")</f>
        <v>Algorithms</v>
      </c>
      <c r="I275" s="23">
        <f>IFERROR(__xludf.DUMMYFUNCTION("""COMPUTED_VALUE"""),0.376)</f>
        <v>0.376</v>
      </c>
      <c r="J275" s="23">
        <f>IFERROR(__xludf.DUMMYFUNCTION("""COMPUTED_VALUE"""),274.0)</f>
        <v>274</v>
      </c>
      <c r="K275" s="23" t="b">
        <f>IFERROR(__xludf.DUMMYFUNCTION("""COMPUTED_VALUE"""),FALSE)</f>
        <v>0</v>
      </c>
      <c r="L275" s="23" t="str">
        <f>IFERROR(__xludf.DUMMYFUNCTION("""COMPUTED_VALUE"""),"Array;Sorting;Counting Sort;")</f>
        <v>Array;Sorting;Counting Sort;</v>
      </c>
      <c r="M275" s="23" t="b">
        <f>IFERROR(__xludf.DUMMYFUNCTION("""COMPUTED_VALUE"""),TRUE)</f>
        <v>1</v>
      </c>
      <c r="N275" s="23" t="b">
        <f>IFERROR(__xludf.DUMMYFUNCTION("""COMPUTED_VALUE"""),FALSE)</f>
        <v>0</v>
      </c>
      <c r="O275" s="23">
        <f>IFERROR(__xludf.DUMMYFUNCTION("""COMPUTED_VALUE"""),37.5827074970866)</f>
        <v>37.5827075</v>
      </c>
      <c r="P275" s="23">
        <f>IFERROR(__xludf.DUMMYFUNCTION("""COMPUTED_VALUE"""),232201.0)</f>
        <v>232201</v>
      </c>
      <c r="Q275" s="23">
        <f>IFERROR(__xludf.DUMMYFUNCTION("""COMPUTED_VALUE"""),617839.0)</f>
        <v>617839</v>
      </c>
    </row>
    <row r="276">
      <c r="A276" s="23">
        <f>IFERROR(__xludf.DUMMYFUNCTION("""COMPUTED_VALUE"""),275.0)</f>
        <v>275</v>
      </c>
      <c r="B276" s="23" t="str">
        <f>IFERROR(__xludf.DUMMYFUNCTION("""COMPUTED_VALUE"""),"H-Index II")</f>
        <v>H-Index II</v>
      </c>
      <c r="C276" s="23" t="str">
        <f>IFERROR(__xludf.DUMMYFUNCTION("""COMPUTED_VALUE"""),"h-index-ii")</f>
        <v>h-index-ii</v>
      </c>
      <c r="D276" s="23" t="b">
        <f>IFERROR(__xludf.DUMMYFUNCTION("""COMPUTED_VALUE"""),FALSE)</f>
        <v>0</v>
      </c>
      <c r="E276" s="23" t="str">
        <f>IFERROR(__xludf.DUMMYFUNCTION("""COMPUTED_VALUE"""),"Medium")</f>
        <v>Medium</v>
      </c>
      <c r="F276" s="23">
        <f>IFERROR(__xludf.DUMMYFUNCTION("""COMPUTED_VALUE"""),713.0)</f>
        <v>713</v>
      </c>
      <c r="G276" s="23">
        <f>IFERROR(__xludf.DUMMYFUNCTION("""COMPUTED_VALUE"""),1043.0)</f>
        <v>1043</v>
      </c>
      <c r="H276" s="23" t="str">
        <f>IFERROR(__xludf.DUMMYFUNCTION("""COMPUTED_VALUE"""),"Algorithms")</f>
        <v>Algorithms</v>
      </c>
      <c r="I276" s="23">
        <f>IFERROR(__xludf.DUMMYFUNCTION("""COMPUTED_VALUE"""),0.37)</f>
        <v>0.37</v>
      </c>
      <c r="J276" s="23">
        <f>IFERROR(__xludf.DUMMYFUNCTION("""COMPUTED_VALUE"""),275.0)</f>
        <v>275</v>
      </c>
      <c r="K276" s="23" t="b">
        <f>IFERROR(__xludf.DUMMYFUNCTION("""COMPUTED_VALUE"""),FALSE)</f>
        <v>0</v>
      </c>
      <c r="L276" s="23" t="str">
        <f>IFERROR(__xludf.DUMMYFUNCTION("""COMPUTED_VALUE"""),"Array;Binary Search;")</f>
        <v>Array;Binary Search;</v>
      </c>
      <c r="M276" s="23" t="b">
        <f>IFERROR(__xludf.DUMMYFUNCTION("""COMPUTED_VALUE"""),TRUE)</f>
        <v>1</v>
      </c>
      <c r="N276" s="23" t="b">
        <f>IFERROR(__xludf.DUMMYFUNCTION("""COMPUTED_VALUE"""),FALSE)</f>
        <v>0</v>
      </c>
      <c r="O276" s="23">
        <f>IFERROR(__xludf.DUMMYFUNCTION("""COMPUTED_VALUE"""),37.009854479991)</f>
        <v>37.00985448</v>
      </c>
      <c r="P276" s="23">
        <f>IFERROR(__xludf.DUMMYFUNCTION("""COMPUTED_VALUE"""),157887.0)</f>
        <v>157887</v>
      </c>
      <c r="Q276" s="23">
        <f>IFERROR(__xludf.DUMMYFUNCTION("""COMPUTED_VALUE"""),426608.0)</f>
        <v>426608</v>
      </c>
    </row>
    <row r="277">
      <c r="A277" s="23">
        <f>IFERROR(__xludf.DUMMYFUNCTION("""COMPUTED_VALUE"""),276.0)</f>
        <v>276</v>
      </c>
      <c r="B277" s="23" t="str">
        <f>IFERROR(__xludf.DUMMYFUNCTION("""COMPUTED_VALUE"""),"Paint Fence")</f>
        <v>Paint Fence</v>
      </c>
      <c r="C277" s="23" t="str">
        <f>IFERROR(__xludf.DUMMYFUNCTION("""COMPUTED_VALUE"""),"paint-fence")</f>
        <v>paint-fence</v>
      </c>
      <c r="D277" s="23" t="b">
        <f>IFERROR(__xludf.DUMMYFUNCTION("""COMPUTED_VALUE"""),TRUE)</f>
        <v>1</v>
      </c>
      <c r="E277" s="23" t="str">
        <f>IFERROR(__xludf.DUMMYFUNCTION("""COMPUTED_VALUE"""),"Medium")</f>
        <v>Medium</v>
      </c>
      <c r="F277" s="23">
        <f>IFERROR(__xludf.DUMMYFUNCTION("""COMPUTED_VALUE"""),1244.0)</f>
        <v>1244</v>
      </c>
      <c r="G277" s="23">
        <f>IFERROR(__xludf.DUMMYFUNCTION("""COMPUTED_VALUE"""),356.0)</f>
        <v>356</v>
      </c>
      <c r="H277" s="23" t="str">
        <f>IFERROR(__xludf.DUMMYFUNCTION("""COMPUTED_VALUE"""),"Algorithms")</f>
        <v>Algorithms</v>
      </c>
      <c r="I277" s="23">
        <f>IFERROR(__xludf.DUMMYFUNCTION("""COMPUTED_VALUE"""),0.428)</f>
        <v>0.428</v>
      </c>
      <c r="J277" s="23">
        <f>IFERROR(__xludf.DUMMYFUNCTION("""COMPUTED_VALUE"""),276.0)</f>
        <v>276</v>
      </c>
      <c r="K277" s="23" t="b">
        <f>IFERROR(__xludf.DUMMYFUNCTION("""COMPUTED_VALUE"""),TRUE)</f>
        <v>1</v>
      </c>
      <c r="L277" s="23" t="str">
        <f>IFERROR(__xludf.DUMMYFUNCTION("""COMPUTED_VALUE"""),"Dynamic Programming;")</f>
        <v>Dynamic Programming;</v>
      </c>
      <c r="M277" s="23" t="b">
        <f>IFERROR(__xludf.DUMMYFUNCTION("""COMPUTED_VALUE"""),TRUE)</f>
        <v>1</v>
      </c>
      <c r="N277" s="23" t="b">
        <f>IFERROR(__xludf.DUMMYFUNCTION("""COMPUTED_VALUE"""),FALSE)</f>
        <v>0</v>
      </c>
      <c r="O277" s="23">
        <f>IFERROR(__xludf.DUMMYFUNCTION("""COMPUTED_VALUE"""),42.8471099434114)</f>
        <v>42.84710994</v>
      </c>
      <c r="P277" s="23">
        <f>IFERROR(__xludf.DUMMYFUNCTION("""COMPUTED_VALUE"""),84803.0)</f>
        <v>84803</v>
      </c>
      <c r="Q277" s="23">
        <f>IFERROR(__xludf.DUMMYFUNCTION("""COMPUTED_VALUE"""),197920.0)</f>
        <v>197920</v>
      </c>
    </row>
    <row r="278">
      <c r="A278" s="23">
        <f>IFERROR(__xludf.DUMMYFUNCTION("""COMPUTED_VALUE"""),277.0)</f>
        <v>277</v>
      </c>
      <c r="B278" s="23" t="str">
        <f>IFERROR(__xludf.DUMMYFUNCTION("""COMPUTED_VALUE"""),"Find the Celebrity")</f>
        <v>Find the Celebrity</v>
      </c>
      <c r="C278" s="23" t="str">
        <f>IFERROR(__xludf.DUMMYFUNCTION("""COMPUTED_VALUE"""),"find-the-celebrity")</f>
        <v>find-the-celebrity</v>
      </c>
      <c r="D278" s="23" t="b">
        <f>IFERROR(__xludf.DUMMYFUNCTION("""COMPUTED_VALUE"""),TRUE)</f>
        <v>1</v>
      </c>
      <c r="E278" s="23" t="str">
        <f>IFERROR(__xludf.DUMMYFUNCTION("""COMPUTED_VALUE"""),"Medium")</f>
        <v>Medium</v>
      </c>
      <c r="F278" s="23">
        <f>IFERROR(__xludf.DUMMYFUNCTION("""COMPUTED_VALUE"""),2262.0)</f>
        <v>2262</v>
      </c>
      <c r="G278" s="23">
        <f>IFERROR(__xludf.DUMMYFUNCTION("""COMPUTED_VALUE"""),207.0)</f>
        <v>207</v>
      </c>
      <c r="H278" s="23" t="str">
        <f>IFERROR(__xludf.DUMMYFUNCTION("""COMPUTED_VALUE"""),"Algorithms")</f>
        <v>Algorithms</v>
      </c>
      <c r="I278" s="23">
        <f>IFERROR(__xludf.DUMMYFUNCTION("""COMPUTED_VALUE"""),0.465)</f>
        <v>0.465</v>
      </c>
      <c r="J278" s="23">
        <f>IFERROR(__xludf.DUMMYFUNCTION("""COMPUTED_VALUE"""),277.0)</f>
        <v>277</v>
      </c>
      <c r="K278" s="23" t="b">
        <f>IFERROR(__xludf.DUMMYFUNCTION("""COMPUTED_VALUE"""),TRUE)</f>
        <v>1</v>
      </c>
      <c r="L278" s="23" t="str">
        <f>IFERROR(__xludf.DUMMYFUNCTION("""COMPUTED_VALUE"""),"Two Pointers;Greedy;Graph;Interactive;")</f>
        <v>Two Pointers;Greedy;Graph;Interactive;</v>
      </c>
      <c r="M278" s="23" t="b">
        <f>IFERROR(__xludf.DUMMYFUNCTION("""COMPUTED_VALUE"""),TRUE)</f>
        <v>1</v>
      </c>
      <c r="N278" s="23" t="b">
        <f>IFERROR(__xludf.DUMMYFUNCTION("""COMPUTED_VALUE"""),TRUE)</f>
        <v>1</v>
      </c>
      <c r="O278" s="23">
        <f>IFERROR(__xludf.DUMMYFUNCTION("""COMPUTED_VALUE"""),46.4703773721786)</f>
        <v>46.47037737</v>
      </c>
      <c r="P278" s="23">
        <f>IFERROR(__xludf.DUMMYFUNCTION("""COMPUTED_VALUE"""),217789.0)</f>
        <v>217789</v>
      </c>
      <c r="Q278" s="23">
        <f>IFERROR(__xludf.DUMMYFUNCTION("""COMPUTED_VALUE"""),468660.0)</f>
        <v>468660</v>
      </c>
    </row>
    <row r="279">
      <c r="A279" s="23">
        <f>IFERROR(__xludf.DUMMYFUNCTION("""COMPUTED_VALUE"""),278.0)</f>
        <v>278</v>
      </c>
      <c r="B279" s="23" t="str">
        <f>IFERROR(__xludf.DUMMYFUNCTION("""COMPUTED_VALUE"""),"First Bad Version")</f>
        <v>First Bad Version</v>
      </c>
      <c r="C279" s="23" t="str">
        <f>IFERROR(__xludf.DUMMYFUNCTION("""COMPUTED_VALUE"""),"first-bad-version")</f>
        <v>first-bad-version</v>
      </c>
      <c r="D279" s="23" t="b">
        <f>IFERROR(__xludf.DUMMYFUNCTION("""COMPUTED_VALUE"""),FALSE)</f>
        <v>0</v>
      </c>
      <c r="E279" s="23" t="str">
        <f>IFERROR(__xludf.DUMMYFUNCTION("""COMPUTED_VALUE"""),"Easy")</f>
        <v>Easy</v>
      </c>
      <c r="F279" s="23">
        <f>IFERROR(__xludf.DUMMYFUNCTION("""COMPUTED_VALUE"""),4728.0)</f>
        <v>4728</v>
      </c>
      <c r="G279" s="23">
        <f>IFERROR(__xludf.DUMMYFUNCTION("""COMPUTED_VALUE"""),1773.0)</f>
        <v>1773</v>
      </c>
      <c r="H279" s="23" t="str">
        <f>IFERROR(__xludf.DUMMYFUNCTION("""COMPUTED_VALUE"""),"Algorithms")</f>
        <v>Algorithms</v>
      </c>
      <c r="I279" s="23">
        <f>IFERROR(__xludf.DUMMYFUNCTION("""COMPUTED_VALUE"""),0.416)</f>
        <v>0.416</v>
      </c>
      <c r="J279" s="23">
        <f>IFERROR(__xludf.DUMMYFUNCTION("""COMPUTED_VALUE"""),278.0)</f>
        <v>278</v>
      </c>
      <c r="K279" s="23" t="b">
        <f>IFERROR(__xludf.DUMMYFUNCTION("""COMPUTED_VALUE"""),FALSE)</f>
        <v>0</v>
      </c>
      <c r="L279" s="23" t="str">
        <f>IFERROR(__xludf.DUMMYFUNCTION("""COMPUTED_VALUE"""),"Binary Search;Interactive;")</f>
        <v>Binary Search;Interactive;</v>
      </c>
      <c r="M279" s="23" t="b">
        <f>IFERROR(__xludf.DUMMYFUNCTION("""COMPUTED_VALUE"""),TRUE)</f>
        <v>1</v>
      </c>
      <c r="N279" s="23" t="b">
        <f>IFERROR(__xludf.DUMMYFUNCTION("""COMPUTED_VALUE"""),TRUE)</f>
        <v>1</v>
      </c>
      <c r="O279" s="23">
        <f>IFERROR(__xludf.DUMMYFUNCTION("""COMPUTED_VALUE"""),41.6191370850568)</f>
        <v>41.61913709</v>
      </c>
      <c r="P279" s="23">
        <f>IFERROR(__xludf.DUMMYFUNCTION("""COMPUTED_VALUE"""),972472.0)</f>
        <v>972472</v>
      </c>
      <c r="Q279" s="23">
        <f>IFERROR(__xludf.DUMMYFUNCTION("""COMPUTED_VALUE"""),2336601.0)</f>
        <v>2336601</v>
      </c>
    </row>
    <row r="280">
      <c r="A280" s="23">
        <f>IFERROR(__xludf.DUMMYFUNCTION("""COMPUTED_VALUE"""),279.0)</f>
        <v>279</v>
      </c>
      <c r="B280" s="23" t="str">
        <f>IFERROR(__xludf.DUMMYFUNCTION("""COMPUTED_VALUE"""),"Perfect Squares")</f>
        <v>Perfect Squares</v>
      </c>
      <c r="C280" s="23" t="str">
        <f>IFERROR(__xludf.DUMMYFUNCTION("""COMPUTED_VALUE"""),"perfect-squares")</f>
        <v>perfect-squares</v>
      </c>
      <c r="D280" s="23" t="b">
        <f>IFERROR(__xludf.DUMMYFUNCTION("""COMPUTED_VALUE"""),FALSE)</f>
        <v>0</v>
      </c>
      <c r="E280" s="23" t="str">
        <f>IFERROR(__xludf.DUMMYFUNCTION("""COMPUTED_VALUE"""),"Medium")</f>
        <v>Medium</v>
      </c>
      <c r="F280" s="23">
        <f>IFERROR(__xludf.DUMMYFUNCTION("""COMPUTED_VALUE"""),6629.0)</f>
        <v>6629</v>
      </c>
      <c r="G280" s="23">
        <f>IFERROR(__xludf.DUMMYFUNCTION("""COMPUTED_VALUE"""),292.0)</f>
        <v>292</v>
      </c>
      <c r="H280" s="23" t="str">
        <f>IFERROR(__xludf.DUMMYFUNCTION("""COMPUTED_VALUE"""),"Algorithms")</f>
        <v>Algorithms</v>
      </c>
      <c r="I280" s="23">
        <f>IFERROR(__xludf.DUMMYFUNCTION("""COMPUTED_VALUE"""),0.518)</f>
        <v>0.518</v>
      </c>
      <c r="J280" s="23">
        <f>IFERROR(__xludf.DUMMYFUNCTION("""COMPUTED_VALUE"""),279.0)</f>
        <v>279</v>
      </c>
      <c r="K280" s="23" t="b">
        <f>IFERROR(__xludf.DUMMYFUNCTION("""COMPUTED_VALUE"""),FALSE)</f>
        <v>0</v>
      </c>
      <c r="L280" s="23" t="str">
        <f>IFERROR(__xludf.DUMMYFUNCTION("""COMPUTED_VALUE"""),"Math;Dynamic Programming;Breadth-First Search;")</f>
        <v>Math;Dynamic Programming;Breadth-First Search;</v>
      </c>
      <c r="M280" s="23" t="b">
        <f>IFERROR(__xludf.DUMMYFUNCTION("""COMPUTED_VALUE"""),TRUE)</f>
        <v>1</v>
      </c>
      <c r="N280" s="23" t="b">
        <f>IFERROR(__xludf.DUMMYFUNCTION("""COMPUTED_VALUE"""),FALSE)</f>
        <v>0</v>
      </c>
      <c r="O280" s="23">
        <f>IFERROR(__xludf.DUMMYFUNCTION("""COMPUTED_VALUE"""),51.8370004526)</f>
        <v>51.83700045</v>
      </c>
      <c r="P280" s="23">
        <f>IFERROR(__xludf.DUMMYFUNCTION("""COMPUTED_VALUE"""),522263.0)</f>
        <v>522263</v>
      </c>
      <c r="Q280" s="23">
        <f>IFERROR(__xludf.DUMMYFUNCTION("""COMPUTED_VALUE"""),1007511.0)</f>
        <v>1007511</v>
      </c>
    </row>
    <row r="281">
      <c r="A281" s="23">
        <f>IFERROR(__xludf.DUMMYFUNCTION("""COMPUTED_VALUE"""),280.0)</f>
        <v>280</v>
      </c>
      <c r="B281" s="23" t="str">
        <f>IFERROR(__xludf.DUMMYFUNCTION("""COMPUTED_VALUE"""),"Wiggle Sort")</f>
        <v>Wiggle Sort</v>
      </c>
      <c r="C281" s="23" t="str">
        <f>IFERROR(__xludf.DUMMYFUNCTION("""COMPUTED_VALUE"""),"wiggle-sort")</f>
        <v>wiggle-sort</v>
      </c>
      <c r="D281" s="23" t="b">
        <f>IFERROR(__xludf.DUMMYFUNCTION("""COMPUTED_VALUE"""),TRUE)</f>
        <v>1</v>
      </c>
      <c r="E281" s="23" t="str">
        <f>IFERROR(__xludf.DUMMYFUNCTION("""COMPUTED_VALUE"""),"Medium")</f>
        <v>Medium</v>
      </c>
      <c r="F281" s="23">
        <f>IFERROR(__xludf.DUMMYFUNCTION("""COMPUTED_VALUE"""),912.0)</f>
        <v>912</v>
      </c>
      <c r="G281" s="23">
        <f>IFERROR(__xludf.DUMMYFUNCTION("""COMPUTED_VALUE"""),74.0)</f>
        <v>74</v>
      </c>
      <c r="H281" s="23" t="str">
        <f>IFERROR(__xludf.DUMMYFUNCTION("""COMPUTED_VALUE"""),"Algorithms")</f>
        <v>Algorithms</v>
      </c>
      <c r="I281" s="23">
        <f>IFERROR(__xludf.DUMMYFUNCTION("""COMPUTED_VALUE"""),0.66)</f>
        <v>0.66</v>
      </c>
      <c r="J281" s="23">
        <f>IFERROR(__xludf.DUMMYFUNCTION("""COMPUTED_VALUE"""),280.0)</f>
        <v>280</v>
      </c>
      <c r="K281" s="23" t="b">
        <f>IFERROR(__xludf.DUMMYFUNCTION("""COMPUTED_VALUE"""),TRUE)</f>
        <v>1</v>
      </c>
      <c r="L281" s="23" t="str">
        <f>IFERROR(__xludf.DUMMYFUNCTION("""COMPUTED_VALUE"""),"Array;Greedy;Sorting;")</f>
        <v>Array;Greedy;Sorting;</v>
      </c>
      <c r="M281" s="23" t="b">
        <f>IFERROR(__xludf.DUMMYFUNCTION("""COMPUTED_VALUE"""),TRUE)</f>
        <v>1</v>
      </c>
      <c r="N281" s="23" t="b">
        <f>IFERROR(__xludf.DUMMYFUNCTION("""COMPUTED_VALUE"""),FALSE)</f>
        <v>0</v>
      </c>
      <c r="O281" s="23">
        <f>IFERROR(__xludf.DUMMYFUNCTION("""COMPUTED_VALUE"""),66.0079509498255)</f>
        <v>66.00795095</v>
      </c>
      <c r="P281" s="23">
        <f>IFERROR(__xludf.DUMMYFUNCTION("""COMPUTED_VALUE"""),113902.0)</f>
        <v>113902</v>
      </c>
      <c r="Q281" s="23">
        <f>IFERROR(__xludf.DUMMYFUNCTION("""COMPUTED_VALUE"""),172558.0)</f>
        <v>172558</v>
      </c>
    </row>
    <row r="282">
      <c r="A282" s="23">
        <f>IFERROR(__xludf.DUMMYFUNCTION("""COMPUTED_VALUE"""),281.0)</f>
        <v>281</v>
      </c>
      <c r="B282" s="23" t="str">
        <f>IFERROR(__xludf.DUMMYFUNCTION("""COMPUTED_VALUE"""),"Zigzag Iterator")</f>
        <v>Zigzag Iterator</v>
      </c>
      <c r="C282" s="23" t="str">
        <f>IFERROR(__xludf.DUMMYFUNCTION("""COMPUTED_VALUE"""),"zigzag-iterator")</f>
        <v>zigzag-iterator</v>
      </c>
      <c r="D282" s="23" t="b">
        <f>IFERROR(__xludf.DUMMYFUNCTION("""COMPUTED_VALUE"""),TRUE)</f>
        <v>1</v>
      </c>
      <c r="E282" s="23" t="str">
        <f>IFERROR(__xludf.DUMMYFUNCTION("""COMPUTED_VALUE"""),"Medium")</f>
        <v>Medium</v>
      </c>
      <c r="F282" s="23">
        <f>IFERROR(__xludf.DUMMYFUNCTION("""COMPUTED_VALUE"""),564.0)</f>
        <v>564</v>
      </c>
      <c r="G282" s="23">
        <f>IFERROR(__xludf.DUMMYFUNCTION("""COMPUTED_VALUE"""),30.0)</f>
        <v>30</v>
      </c>
      <c r="H282" s="23" t="str">
        <f>IFERROR(__xludf.DUMMYFUNCTION("""COMPUTED_VALUE"""),"Algorithms")</f>
        <v>Algorithms</v>
      </c>
      <c r="I282" s="23">
        <f>IFERROR(__xludf.DUMMYFUNCTION("""COMPUTED_VALUE"""),0.615)</f>
        <v>0.615</v>
      </c>
      <c r="J282" s="23">
        <f>IFERROR(__xludf.DUMMYFUNCTION("""COMPUTED_VALUE"""),281.0)</f>
        <v>281</v>
      </c>
      <c r="K282" s="23" t="b">
        <f>IFERROR(__xludf.DUMMYFUNCTION("""COMPUTED_VALUE"""),TRUE)</f>
        <v>1</v>
      </c>
      <c r="L282" s="23" t="str">
        <f>IFERROR(__xludf.DUMMYFUNCTION("""COMPUTED_VALUE"""),"Array;Design;Queue;Iterator;")</f>
        <v>Array;Design;Queue;Iterator;</v>
      </c>
      <c r="M282" s="23" t="b">
        <f>IFERROR(__xludf.DUMMYFUNCTION("""COMPUTED_VALUE"""),TRUE)</f>
        <v>1</v>
      </c>
      <c r="N282" s="23" t="b">
        <f>IFERROR(__xludf.DUMMYFUNCTION("""COMPUTED_VALUE"""),FALSE)</f>
        <v>0</v>
      </c>
      <c r="O282" s="23">
        <f>IFERROR(__xludf.DUMMYFUNCTION("""COMPUTED_VALUE"""),61.4850723299476)</f>
        <v>61.48507233</v>
      </c>
      <c r="P282" s="23">
        <f>IFERROR(__xludf.DUMMYFUNCTION("""COMPUTED_VALUE"""),79906.0)</f>
        <v>79906</v>
      </c>
      <c r="Q282" s="23">
        <f>IFERROR(__xludf.DUMMYFUNCTION("""COMPUTED_VALUE"""),129960.0)</f>
        <v>129960</v>
      </c>
    </row>
    <row r="283">
      <c r="A283" s="23">
        <f>IFERROR(__xludf.DUMMYFUNCTION("""COMPUTED_VALUE"""),282.0)</f>
        <v>282</v>
      </c>
      <c r="B283" s="23" t="str">
        <f>IFERROR(__xludf.DUMMYFUNCTION("""COMPUTED_VALUE"""),"Expression Add Operators")</f>
        <v>Expression Add Operators</v>
      </c>
      <c r="C283" s="23" t="str">
        <f>IFERROR(__xludf.DUMMYFUNCTION("""COMPUTED_VALUE"""),"expression-add-operators")</f>
        <v>expression-add-operators</v>
      </c>
      <c r="D283" s="23" t="b">
        <f>IFERROR(__xludf.DUMMYFUNCTION("""COMPUTED_VALUE"""),FALSE)</f>
        <v>0</v>
      </c>
      <c r="E283" s="23" t="str">
        <f>IFERROR(__xludf.DUMMYFUNCTION("""COMPUTED_VALUE"""),"Hard")</f>
        <v>Hard</v>
      </c>
      <c r="F283" s="23">
        <f>IFERROR(__xludf.DUMMYFUNCTION("""COMPUTED_VALUE"""),2487.0)</f>
        <v>2487</v>
      </c>
      <c r="G283" s="23">
        <f>IFERROR(__xludf.DUMMYFUNCTION("""COMPUTED_VALUE"""),424.0)</f>
        <v>424</v>
      </c>
      <c r="H283" s="23" t="str">
        <f>IFERROR(__xludf.DUMMYFUNCTION("""COMPUTED_VALUE"""),"Algorithms")</f>
        <v>Algorithms</v>
      </c>
      <c r="I283" s="23">
        <f>IFERROR(__xludf.DUMMYFUNCTION("""COMPUTED_VALUE"""),0.392)</f>
        <v>0.392</v>
      </c>
      <c r="J283" s="23">
        <f>IFERROR(__xludf.DUMMYFUNCTION("""COMPUTED_VALUE"""),282.0)</f>
        <v>282</v>
      </c>
      <c r="K283" s="23" t="b">
        <f>IFERROR(__xludf.DUMMYFUNCTION("""COMPUTED_VALUE"""),FALSE)</f>
        <v>0</v>
      </c>
      <c r="L283" s="23" t="str">
        <f>IFERROR(__xludf.DUMMYFUNCTION("""COMPUTED_VALUE"""),"Math;String;Backtracking;")</f>
        <v>Math;String;Backtracking;</v>
      </c>
      <c r="M283" s="23" t="b">
        <f>IFERROR(__xludf.DUMMYFUNCTION("""COMPUTED_VALUE"""),TRUE)</f>
        <v>1</v>
      </c>
      <c r="N283" s="23" t="b">
        <f>IFERROR(__xludf.DUMMYFUNCTION("""COMPUTED_VALUE"""),FALSE)</f>
        <v>0</v>
      </c>
      <c r="O283" s="23">
        <f>IFERROR(__xludf.DUMMYFUNCTION("""COMPUTED_VALUE"""),39.1550366502097)</f>
        <v>39.15503665</v>
      </c>
      <c r="P283" s="23">
        <f>IFERROR(__xludf.DUMMYFUNCTION("""COMPUTED_VALUE"""),181297.0)</f>
        <v>181297</v>
      </c>
      <c r="Q283" s="23">
        <f>IFERROR(__xludf.DUMMYFUNCTION("""COMPUTED_VALUE"""),463025.0)</f>
        <v>463025</v>
      </c>
    </row>
    <row r="284">
      <c r="A284" s="23">
        <f>IFERROR(__xludf.DUMMYFUNCTION("""COMPUTED_VALUE"""),283.0)</f>
        <v>283</v>
      </c>
      <c r="B284" s="23" t="str">
        <f>IFERROR(__xludf.DUMMYFUNCTION("""COMPUTED_VALUE"""),"Move Zeroes")</f>
        <v>Move Zeroes</v>
      </c>
      <c r="C284" s="23" t="str">
        <f>IFERROR(__xludf.DUMMYFUNCTION("""COMPUTED_VALUE"""),"move-zeroes")</f>
        <v>move-zeroes</v>
      </c>
      <c r="D284" s="23" t="b">
        <f>IFERROR(__xludf.DUMMYFUNCTION("""COMPUTED_VALUE"""),FALSE)</f>
        <v>0</v>
      </c>
      <c r="E284" s="23" t="str">
        <f>IFERROR(__xludf.DUMMYFUNCTION("""COMPUTED_VALUE"""),"Easy")</f>
        <v>Easy</v>
      </c>
      <c r="F284" s="23">
        <f>IFERROR(__xludf.DUMMYFUNCTION("""COMPUTED_VALUE"""),8960.0)</f>
        <v>8960</v>
      </c>
      <c r="G284" s="23">
        <f>IFERROR(__xludf.DUMMYFUNCTION("""COMPUTED_VALUE"""),242.0)</f>
        <v>242</v>
      </c>
      <c r="H284" s="23" t="str">
        <f>IFERROR(__xludf.DUMMYFUNCTION("""COMPUTED_VALUE"""),"Algorithms")</f>
        <v>Algorithms</v>
      </c>
      <c r="I284" s="23">
        <f>IFERROR(__xludf.DUMMYFUNCTION("""COMPUTED_VALUE"""),0.606)</f>
        <v>0.606</v>
      </c>
      <c r="J284" s="23">
        <f>IFERROR(__xludf.DUMMYFUNCTION("""COMPUTED_VALUE"""),283.0)</f>
        <v>283</v>
      </c>
      <c r="K284" s="23" t="b">
        <f>IFERROR(__xludf.DUMMYFUNCTION("""COMPUTED_VALUE"""),FALSE)</f>
        <v>0</v>
      </c>
      <c r="L284" s="23" t="str">
        <f>IFERROR(__xludf.DUMMYFUNCTION("""COMPUTED_VALUE"""),"Array;Two Pointers;")</f>
        <v>Array;Two Pointers;</v>
      </c>
      <c r="M284" s="23" t="b">
        <f>IFERROR(__xludf.DUMMYFUNCTION("""COMPUTED_VALUE"""),TRUE)</f>
        <v>1</v>
      </c>
      <c r="N284" s="23" t="b">
        <f>IFERROR(__xludf.DUMMYFUNCTION("""COMPUTED_VALUE"""),FALSE)</f>
        <v>0</v>
      </c>
      <c r="O284" s="23">
        <f>IFERROR(__xludf.DUMMYFUNCTION("""COMPUTED_VALUE"""),60.6193187981945)</f>
        <v>60.6193188</v>
      </c>
      <c r="P284" s="23">
        <f>IFERROR(__xludf.DUMMYFUNCTION("""COMPUTED_VALUE"""),1637260.0)</f>
        <v>1637260</v>
      </c>
      <c r="Q284" s="23">
        <f>IFERROR(__xludf.DUMMYFUNCTION("""COMPUTED_VALUE"""),2700885.0)</f>
        <v>2700885</v>
      </c>
    </row>
    <row r="285">
      <c r="A285" s="23">
        <f>IFERROR(__xludf.DUMMYFUNCTION("""COMPUTED_VALUE"""),284.0)</f>
        <v>284</v>
      </c>
      <c r="B285" s="23" t="str">
        <f>IFERROR(__xludf.DUMMYFUNCTION("""COMPUTED_VALUE"""),"Peeking Iterator")</f>
        <v>Peeking Iterator</v>
      </c>
      <c r="C285" s="23" t="str">
        <f>IFERROR(__xludf.DUMMYFUNCTION("""COMPUTED_VALUE"""),"peeking-iterator")</f>
        <v>peeking-iterator</v>
      </c>
      <c r="D285" s="23" t="b">
        <f>IFERROR(__xludf.DUMMYFUNCTION("""COMPUTED_VALUE"""),FALSE)</f>
        <v>0</v>
      </c>
      <c r="E285" s="23" t="str">
        <f>IFERROR(__xludf.DUMMYFUNCTION("""COMPUTED_VALUE"""),"Medium")</f>
        <v>Medium</v>
      </c>
      <c r="F285" s="23">
        <f>IFERROR(__xludf.DUMMYFUNCTION("""COMPUTED_VALUE"""),1551.0)</f>
        <v>1551</v>
      </c>
      <c r="G285" s="23">
        <f>IFERROR(__xludf.DUMMYFUNCTION("""COMPUTED_VALUE"""),925.0)</f>
        <v>925</v>
      </c>
      <c r="H285" s="23" t="str">
        <f>IFERROR(__xludf.DUMMYFUNCTION("""COMPUTED_VALUE"""),"Algorithms")</f>
        <v>Algorithms</v>
      </c>
      <c r="I285" s="23">
        <f>IFERROR(__xludf.DUMMYFUNCTION("""COMPUTED_VALUE"""),0.575)</f>
        <v>0.575</v>
      </c>
      <c r="J285" s="23">
        <f>IFERROR(__xludf.DUMMYFUNCTION("""COMPUTED_VALUE"""),284.0)</f>
        <v>284</v>
      </c>
      <c r="K285" s="23" t="b">
        <f>IFERROR(__xludf.DUMMYFUNCTION("""COMPUTED_VALUE"""),FALSE)</f>
        <v>0</v>
      </c>
      <c r="L285" s="23" t="str">
        <f>IFERROR(__xludf.DUMMYFUNCTION("""COMPUTED_VALUE"""),"Array;Design;Iterator;")</f>
        <v>Array;Design;Iterator;</v>
      </c>
      <c r="M285" s="23" t="b">
        <f>IFERROR(__xludf.DUMMYFUNCTION("""COMPUTED_VALUE"""),TRUE)</f>
        <v>1</v>
      </c>
      <c r="N285" s="23" t="b">
        <f>IFERROR(__xludf.DUMMYFUNCTION("""COMPUTED_VALUE"""),FALSE)</f>
        <v>0</v>
      </c>
      <c r="O285" s="23">
        <f>IFERROR(__xludf.DUMMYFUNCTION("""COMPUTED_VALUE"""),57.4982368790649)</f>
        <v>57.49823688</v>
      </c>
      <c r="P285" s="23">
        <f>IFERROR(__xludf.DUMMYFUNCTION("""COMPUTED_VALUE"""),190776.0)</f>
        <v>190776</v>
      </c>
      <c r="Q285" s="23">
        <f>IFERROR(__xludf.DUMMYFUNCTION("""COMPUTED_VALUE"""),331796.0)</f>
        <v>331796</v>
      </c>
    </row>
    <row r="286">
      <c r="A286" s="23">
        <f>IFERROR(__xludf.DUMMYFUNCTION("""COMPUTED_VALUE"""),285.0)</f>
        <v>285</v>
      </c>
      <c r="B286" s="23" t="str">
        <f>IFERROR(__xludf.DUMMYFUNCTION("""COMPUTED_VALUE"""),"Inorder Successor in BST")</f>
        <v>Inorder Successor in BST</v>
      </c>
      <c r="C286" s="23" t="str">
        <f>IFERROR(__xludf.DUMMYFUNCTION("""COMPUTED_VALUE"""),"inorder-successor-in-bst")</f>
        <v>inorder-successor-in-bst</v>
      </c>
      <c r="D286" s="23" t="b">
        <f>IFERROR(__xludf.DUMMYFUNCTION("""COMPUTED_VALUE"""),TRUE)</f>
        <v>1</v>
      </c>
      <c r="E286" s="23" t="str">
        <f>IFERROR(__xludf.DUMMYFUNCTION("""COMPUTED_VALUE"""),"Medium")</f>
        <v>Medium</v>
      </c>
      <c r="F286" s="23">
        <f>IFERROR(__xludf.DUMMYFUNCTION("""COMPUTED_VALUE"""),2101.0)</f>
        <v>2101</v>
      </c>
      <c r="G286" s="23">
        <f>IFERROR(__xludf.DUMMYFUNCTION("""COMPUTED_VALUE"""),78.0)</f>
        <v>78</v>
      </c>
      <c r="H286" s="23" t="str">
        <f>IFERROR(__xludf.DUMMYFUNCTION("""COMPUTED_VALUE"""),"Algorithms")</f>
        <v>Algorithms</v>
      </c>
      <c r="I286" s="23">
        <f>IFERROR(__xludf.DUMMYFUNCTION("""COMPUTED_VALUE"""),0.471)</f>
        <v>0.471</v>
      </c>
      <c r="J286" s="23">
        <f>IFERROR(__xludf.DUMMYFUNCTION("""COMPUTED_VALUE"""),285.0)</f>
        <v>285</v>
      </c>
      <c r="K286" s="23" t="b">
        <f>IFERROR(__xludf.DUMMYFUNCTION("""COMPUTED_VALUE"""),TRUE)</f>
        <v>1</v>
      </c>
      <c r="L286" s="23" t="str">
        <f>IFERROR(__xludf.DUMMYFUNCTION("""COMPUTED_VALUE"""),"Tree;Depth-First Search;Binary Search Tree;Binary Tree;")</f>
        <v>Tree;Depth-First Search;Binary Search Tree;Binary Tree;</v>
      </c>
      <c r="M286" s="23" t="b">
        <f>IFERROR(__xludf.DUMMYFUNCTION("""COMPUTED_VALUE"""),TRUE)</f>
        <v>1</v>
      </c>
      <c r="N286" s="23" t="b">
        <f>IFERROR(__xludf.DUMMYFUNCTION("""COMPUTED_VALUE"""),FALSE)</f>
        <v>0</v>
      </c>
      <c r="O286" s="23">
        <f>IFERROR(__xludf.DUMMYFUNCTION("""COMPUTED_VALUE"""),47.0835291935242)</f>
        <v>47.08352919</v>
      </c>
      <c r="P286" s="23">
        <f>IFERROR(__xludf.DUMMYFUNCTION("""COMPUTED_VALUE"""),261428.0)</f>
        <v>261428</v>
      </c>
      <c r="Q286" s="23">
        <f>IFERROR(__xludf.DUMMYFUNCTION("""COMPUTED_VALUE"""),555243.0)</f>
        <v>555243</v>
      </c>
    </row>
    <row r="287">
      <c r="A287" s="23">
        <f>IFERROR(__xludf.DUMMYFUNCTION("""COMPUTED_VALUE"""),286.0)</f>
        <v>286</v>
      </c>
      <c r="B287" s="23" t="str">
        <f>IFERROR(__xludf.DUMMYFUNCTION("""COMPUTED_VALUE"""),"Walls and Gates")</f>
        <v>Walls and Gates</v>
      </c>
      <c r="C287" s="23" t="str">
        <f>IFERROR(__xludf.DUMMYFUNCTION("""COMPUTED_VALUE"""),"walls-and-gates")</f>
        <v>walls-and-gates</v>
      </c>
      <c r="D287" s="23" t="b">
        <f>IFERROR(__xludf.DUMMYFUNCTION("""COMPUTED_VALUE"""),TRUE)</f>
        <v>1</v>
      </c>
      <c r="E287" s="23" t="str">
        <f>IFERROR(__xludf.DUMMYFUNCTION("""COMPUTED_VALUE"""),"Medium")</f>
        <v>Medium</v>
      </c>
      <c r="F287" s="23">
        <f>IFERROR(__xludf.DUMMYFUNCTION("""COMPUTED_VALUE"""),2326.0)</f>
        <v>2326</v>
      </c>
      <c r="G287" s="23">
        <f>IFERROR(__xludf.DUMMYFUNCTION("""COMPUTED_VALUE"""),36.0)</f>
        <v>36</v>
      </c>
      <c r="H287" s="23" t="str">
        <f>IFERROR(__xludf.DUMMYFUNCTION("""COMPUTED_VALUE"""),"Algorithms")</f>
        <v>Algorithms</v>
      </c>
      <c r="I287" s="23">
        <f>IFERROR(__xludf.DUMMYFUNCTION("""COMPUTED_VALUE"""),0.593)</f>
        <v>0.593</v>
      </c>
      <c r="J287" s="23">
        <f>IFERROR(__xludf.DUMMYFUNCTION("""COMPUTED_VALUE"""),286.0)</f>
        <v>286</v>
      </c>
      <c r="K287" s="23" t="b">
        <f>IFERROR(__xludf.DUMMYFUNCTION("""COMPUTED_VALUE"""),TRUE)</f>
        <v>1</v>
      </c>
      <c r="L287" s="23" t="str">
        <f>IFERROR(__xludf.DUMMYFUNCTION("""COMPUTED_VALUE"""),"Array;Breadth-First Search;Matrix;")</f>
        <v>Array;Breadth-First Search;Matrix;</v>
      </c>
      <c r="M287" s="23" t="b">
        <f>IFERROR(__xludf.DUMMYFUNCTION("""COMPUTED_VALUE"""),TRUE)</f>
        <v>1</v>
      </c>
      <c r="N287" s="23" t="b">
        <f>IFERROR(__xludf.DUMMYFUNCTION("""COMPUTED_VALUE"""),FALSE)</f>
        <v>0</v>
      </c>
      <c r="O287" s="23">
        <f>IFERROR(__xludf.DUMMYFUNCTION("""COMPUTED_VALUE"""),59.2701380103664)</f>
        <v>59.27013801</v>
      </c>
      <c r="P287" s="23">
        <f>IFERROR(__xludf.DUMMYFUNCTION("""COMPUTED_VALUE"""),216920.0)</f>
        <v>216920</v>
      </c>
      <c r="Q287" s="23">
        <f>IFERROR(__xludf.DUMMYFUNCTION("""COMPUTED_VALUE"""),365986.0)</f>
        <v>365986</v>
      </c>
    </row>
    <row r="288">
      <c r="A288" s="23">
        <f>IFERROR(__xludf.DUMMYFUNCTION("""COMPUTED_VALUE"""),287.0)</f>
        <v>287</v>
      </c>
      <c r="B288" s="23" t="str">
        <f>IFERROR(__xludf.DUMMYFUNCTION("""COMPUTED_VALUE"""),"Find the Duplicate Number")</f>
        <v>Find the Duplicate Number</v>
      </c>
      <c r="C288" s="23" t="str">
        <f>IFERROR(__xludf.DUMMYFUNCTION("""COMPUTED_VALUE"""),"find-the-duplicate-number")</f>
        <v>find-the-duplicate-number</v>
      </c>
      <c r="D288" s="23" t="b">
        <f>IFERROR(__xludf.DUMMYFUNCTION("""COMPUTED_VALUE"""),FALSE)</f>
        <v>0</v>
      </c>
      <c r="E288" s="23" t="str">
        <f>IFERROR(__xludf.DUMMYFUNCTION("""COMPUTED_VALUE"""),"Medium")</f>
        <v>Medium</v>
      </c>
      <c r="F288" s="23">
        <f>IFERROR(__xludf.DUMMYFUNCTION("""COMPUTED_VALUE"""),13493.0)</f>
        <v>13493</v>
      </c>
      <c r="G288" s="23">
        <f>IFERROR(__xludf.DUMMYFUNCTION("""COMPUTED_VALUE"""),1550.0)</f>
        <v>1550</v>
      </c>
      <c r="H288" s="23" t="str">
        <f>IFERROR(__xludf.DUMMYFUNCTION("""COMPUTED_VALUE"""),"Algorithms")</f>
        <v>Algorithms</v>
      </c>
      <c r="I288" s="23">
        <f>IFERROR(__xludf.DUMMYFUNCTION("""COMPUTED_VALUE"""),0.588)</f>
        <v>0.588</v>
      </c>
      <c r="J288" s="23">
        <f>IFERROR(__xludf.DUMMYFUNCTION("""COMPUTED_VALUE"""),287.0)</f>
        <v>287</v>
      </c>
      <c r="K288" s="23" t="b">
        <f>IFERROR(__xludf.DUMMYFUNCTION("""COMPUTED_VALUE"""),FALSE)</f>
        <v>0</v>
      </c>
      <c r="L288" s="23" t="str">
        <f>IFERROR(__xludf.DUMMYFUNCTION("""COMPUTED_VALUE"""),"Array;Two Pointers;Binary Search;Bit Manipulation;")</f>
        <v>Array;Two Pointers;Binary Search;Bit Manipulation;</v>
      </c>
      <c r="M288" s="23" t="b">
        <f>IFERROR(__xludf.DUMMYFUNCTION("""COMPUTED_VALUE"""),TRUE)</f>
        <v>1</v>
      </c>
      <c r="N288" s="23" t="b">
        <f>IFERROR(__xludf.DUMMYFUNCTION("""COMPUTED_VALUE"""),FALSE)</f>
        <v>0</v>
      </c>
      <c r="O288" s="23">
        <f>IFERROR(__xludf.DUMMYFUNCTION("""COMPUTED_VALUE"""),58.8111432391168)</f>
        <v>58.81114324</v>
      </c>
      <c r="P288" s="23">
        <f>IFERROR(__xludf.DUMMYFUNCTION("""COMPUTED_VALUE"""),823939.0)</f>
        <v>823939</v>
      </c>
      <c r="Q288" s="23">
        <f>IFERROR(__xludf.DUMMYFUNCTION("""COMPUTED_VALUE"""),1400991.0)</f>
        <v>1400991</v>
      </c>
    </row>
    <row r="289">
      <c r="A289" s="23">
        <f>IFERROR(__xludf.DUMMYFUNCTION("""COMPUTED_VALUE"""),288.0)</f>
        <v>288</v>
      </c>
      <c r="B289" s="23" t="str">
        <f>IFERROR(__xludf.DUMMYFUNCTION("""COMPUTED_VALUE"""),"Unique Word Abbreviation")</f>
        <v>Unique Word Abbreviation</v>
      </c>
      <c r="C289" s="23" t="str">
        <f>IFERROR(__xludf.DUMMYFUNCTION("""COMPUTED_VALUE"""),"unique-word-abbreviation")</f>
        <v>unique-word-abbreviation</v>
      </c>
      <c r="D289" s="23" t="b">
        <f>IFERROR(__xludf.DUMMYFUNCTION("""COMPUTED_VALUE"""),TRUE)</f>
        <v>1</v>
      </c>
      <c r="E289" s="23" t="str">
        <f>IFERROR(__xludf.DUMMYFUNCTION("""COMPUTED_VALUE"""),"Medium")</f>
        <v>Medium</v>
      </c>
      <c r="F289" s="23">
        <f>IFERROR(__xludf.DUMMYFUNCTION("""COMPUTED_VALUE"""),162.0)</f>
        <v>162</v>
      </c>
      <c r="G289" s="23">
        <f>IFERROR(__xludf.DUMMYFUNCTION("""COMPUTED_VALUE"""),1645.0)</f>
        <v>1645</v>
      </c>
      <c r="H289" s="23" t="str">
        <f>IFERROR(__xludf.DUMMYFUNCTION("""COMPUTED_VALUE"""),"Algorithms")</f>
        <v>Algorithms</v>
      </c>
      <c r="I289" s="23">
        <f>IFERROR(__xludf.DUMMYFUNCTION("""COMPUTED_VALUE"""),0.247)</f>
        <v>0.247</v>
      </c>
      <c r="J289" s="23">
        <f>IFERROR(__xludf.DUMMYFUNCTION("""COMPUTED_VALUE"""),288.0)</f>
        <v>288</v>
      </c>
      <c r="K289" s="23" t="b">
        <f>IFERROR(__xludf.DUMMYFUNCTION("""COMPUTED_VALUE"""),TRUE)</f>
        <v>1</v>
      </c>
      <c r="L289" s="23" t="str">
        <f>IFERROR(__xludf.DUMMYFUNCTION("""COMPUTED_VALUE"""),"Array;Hash Table;String;Design;")</f>
        <v>Array;Hash Table;String;Design;</v>
      </c>
      <c r="M289" s="23" t="b">
        <f>IFERROR(__xludf.DUMMYFUNCTION("""COMPUTED_VALUE"""),FALSE)</f>
        <v>0</v>
      </c>
      <c r="N289" s="23" t="b">
        <f>IFERROR(__xludf.DUMMYFUNCTION("""COMPUTED_VALUE"""),FALSE)</f>
        <v>0</v>
      </c>
      <c r="O289" s="23">
        <f>IFERROR(__xludf.DUMMYFUNCTION("""COMPUTED_VALUE"""),24.7293125691116)</f>
        <v>24.72931257</v>
      </c>
      <c r="P289" s="23">
        <f>IFERROR(__xludf.DUMMYFUNCTION("""COMPUTED_VALUE"""),64407.0)</f>
        <v>64407</v>
      </c>
      <c r="Q289" s="23">
        <f>IFERROR(__xludf.DUMMYFUNCTION("""COMPUTED_VALUE"""),260448.0)</f>
        <v>260448</v>
      </c>
    </row>
    <row r="290">
      <c r="A290" s="23">
        <f>IFERROR(__xludf.DUMMYFUNCTION("""COMPUTED_VALUE"""),289.0)</f>
        <v>289</v>
      </c>
      <c r="B290" s="23" t="str">
        <f>IFERROR(__xludf.DUMMYFUNCTION("""COMPUTED_VALUE"""),"Game of Life")</f>
        <v>Game of Life</v>
      </c>
      <c r="C290" s="23" t="str">
        <f>IFERROR(__xludf.DUMMYFUNCTION("""COMPUTED_VALUE"""),"game-of-life")</f>
        <v>game-of-life</v>
      </c>
      <c r="D290" s="23" t="b">
        <f>IFERROR(__xludf.DUMMYFUNCTION("""COMPUTED_VALUE"""),FALSE)</f>
        <v>0</v>
      </c>
      <c r="E290" s="23" t="str">
        <f>IFERROR(__xludf.DUMMYFUNCTION("""COMPUTED_VALUE"""),"Medium")</f>
        <v>Medium</v>
      </c>
      <c r="F290" s="23">
        <f>IFERROR(__xludf.DUMMYFUNCTION("""COMPUTED_VALUE"""),4685.0)</f>
        <v>4685</v>
      </c>
      <c r="G290" s="23">
        <f>IFERROR(__xludf.DUMMYFUNCTION("""COMPUTED_VALUE"""),438.0)</f>
        <v>438</v>
      </c>
      <c r="H290" s="23" t="str">
        <f>IFERROR(__xludf.DUMMYFUNCTION("""COMPUTED_VALUE"""),"Algorithms")</f>
        <v>Algorithms</v>
      </c>
      <c r="I290" s="23">
        <f>IFERROR(__xludf.DUMMYFUNCTION("""COMPUTED_VALUE"""),0.653)</f>
        <v>0.653</v>
      </c>
      <c r="J290" s="23">
        <f>IFERROR(__xludf.DUMMYFUNCTION("""COMPUTED_VALUE"""),289.0)</f>
        <v>289</v>
      </c>
      <c r="K290" s="23" t="b">
        <f>IFERROR(__xludf.DUMMYFUNCTION("""COMPUTED_VALUE"""),FALSE)</f>
        <v>0</v>
      </c>
      <c r="L290" s="23" t="str">
        <f>IFERROR(__xludf.DUMMYFUNCTION("""COMPUTED_VALUE"""),"Array;Matrix;Simulation;")</f>
        <v>Array;Matrix;Simulation;</v>
      </c>
      <c r="M290" s="23" t="b">
        <f>IFERROR(__xludf.DUMMYFUNCTION("""COMPUTED_VALUE"""),TRUE)</f>
        <v>1</v>
      </c>
      <c r="N290" s="23" t="b">
        <f>IFERROR(__xludf.DUMMYFUNCTION("""COMPUTED_VALUE"""),TRUE)</f>
        <v>1</v>
      </c>
      <c r="O290" s="23">
        <f>IFERROR(__xludf.DUMMYFUNCTION("""COMPUTED_VALUE"""),65.2519929765324)</f>
        <v>65.25199298</v>
      </c>
      <c r="P290" s="23">
        <f>IFERROR(__xludf.DUMMYFUNCTION("""COMPUTED_VALUE"""),337805.0)</f>
        <v>337805</v>
      </c>
      <c r="Q290" s="23">
        <f>IFERROR(__xludf.DUMMYFUNCTION("""COMPUTED_VALUE"""),517693.0)</f>
        <v>517693</v>
      </c>
    </row>
    <row r="291">
      <c r="A291" s="23">
        <f>IFERROR(__xludf.DUMMYFUNCTION("""COMPUTED_VALUE"""),290.0)</f>
        <v>290</v>
      </c>
      <c r="B291" s="23" t="str">
        <f>IFERROR(__xludf.DUMMYFUNCTION("""COMPUTED_VALUE"""),"Word Pattern")</f>
        <v>Word Pattern</v>
      </c>
      <c r="C291" s="23" t="str">
        <f>IFERROR(__xludf.DUMMYFUNCTION("""COMPUTED_VALUE"""),"word-pattern")</f>
        <v>word-pattern</v>
      </c>
      <c r="D291" s="23" t="b">
        <f>IFERROR(__xludf.DUMMYFUNCTION("""COMPUTED_VALUE"""),FALSE)</f>
        <v>0</v>
      </c>
      <c r="E291" s="23" t="str">
        <f>IFERROR(__xludf.DUMMYFUNCTION("""COMPUTED_VALUE"""),"Easy")</f>
        <v>Easy</v>
      </c>
      <c r="F291" s="23">
        <f>IFERROR(__xludf.DUMMYFUNCTION("""COMPUTED_VALUE"""),3503.0)</f>
        <v>3503</v>
      </c>
      <c r="G291" s="23">
        <f>IFERROR(__xludf.DUMMYFUNCTION("""COMPUTED_VALUE"""),404.0)</f>
        <v>404</v>
      </c>
      <c r="H291" s="23" t="str">
        <f>IFERROR(__xludf.DUMMYFUNCTION("""COMPUTED_VALUE"""),"Algorithms")</f>
        <v>Algorithms</v>
      </c>
      <c r="I291" s="23">
        <f>IFERROR(__xludf.DUMMYFUNCTION("""COMPUTED_VALUE"""),0.402)</f>
        <v>0.402</v>
      </c>
      <c r="J291" s="23">
        <f>IFERROR(__xludf.DUMMYFUNCTION("""COMPUTED_VALUE"""),290.0)</f>
        <v>290</v>
      </c>
      <c r="K291" s="23" t="b">
        <f>IFERROR(__xludf.DUMMYFUNCTION("""COMPUTED_VALUE"""),FALSE)</f>
        <v>0</v>
      </c>
      <c r="L291" s="23" t="str">
        <f>IFERROR(__xludf.DUMMYFUNCTION("""COMPUTED_VALUE"""),"Hash Table;String;")</f>
        <v>Hash Table;String;</v>
      </c>
      <c r="M291" s="23" t="b">
        <f>IFERROR(__xludf.DUMMYFUNCTION("""COMPUTED_VALUE"""),TRUE)</f>
        <v>1</v>
      </c>
      <c r="N291" s="23" t="b">
        <f>IFERROR(__xludf.DUMMYFUNCTION("""COMPUTED_VALUE"""),FALSE)</f>
        <v>0</v>
      </c>
      <c r="O291" s="23">
        <f>IFERROR(__xludf.DUMMYFUNCTION("""COMPUTED_VALUE"""),40.1844430311738)</f>
        <v>40.18444303</v>
      </c>
      <c r="P291" s="23">
        <f>IFERROR(__xludf.DUMMYFUNCTION("""COMPUTED_VALUE"""),358264.0)</f>
        <v>358264</v>
      </c>
      <c r="Q291" s="23">
        <f>IFERROR(__xludf.DUMMYFUNCTION("""COMPUTED_VALUE"""),891549.0)</f>
        <v>891549</v>
      </c>
    </row>
    <row r="292">
      <c r="A292" s="23">
        <f>IFERROR(__xludf.DUMMYFUNCTION("""COMPUTED_VALUE"""),291.0)</f>
        <v>291</v>
      </c>
      <c r="B292" s="23" t="str">
        <f>IFERROR(__xludf.DUMMYFUNCTION("""COMPUTED_VALUE"""),"Word Pattern II")</f>
        <v>Word Pattern II</v>
      </c>
      <c r="C292" s="23" t="str">
        <f>IFERROR(__xludf.DUMMYFUNCTION("""COMPUTED_VALUE"""),"word-pattern-ii")</f>
        <v>word-pattern-ii</v>
      </c>
      <c r="D292" s="23" t="b">
        <f>IFERROR(__xludf.DUMMYFUNCTION("""COMPUTED_VALUE"""),TRUE)</f>
        <v>1</v>
      </c>
      <c r="E292" s="23" t="str">
        <f>IFERROR(__xludf.DUMMYFUNCTION("""COMPUTED_VALUE"""),"Medium")</f>
        <v>Medium</v>
      </c>
      <c r="F292" s="23">
        <f>IFERROR(__xludf.DUMMYFUNCTION("""COMPUTED_VALUE"""),724.0)</f>
        <v>724</v>
      </c>
      <c r="G292" s="23">
        <f>IFERROR(__xludf.DUMMYFUNCTION("""COMPUTED_VALUE"""),56.0)</f>
        <v>56</v>
      </c>
      <c r="H292" s="23" t="str">
        <f>IFERROR(__xludf.DUMMYFUNCTION("""COMPUTED_VALUE"""),"Algorithms")</f>
        <v>Algorithms</v>
      </c>
      <c r="I292" s="23">
        <f>IFERROR(__xludf.DUMMYFUNCTION("""COMPUTED_VALUE"""),0.463)</f>
        <v>0.463</v>
      </c>
      <c r="J292" s="23">
        <f>IFERROR(__xludf.DUMMYFUNCTION("""COMPUTED_VALUE"""),291.0)</f>
        <v>291</v>
      </c>
      <c r="K292" s="23" t="b">
        <f>IFERROR(__xludf.DUMMYFUNCTION("""COMPUTED_VALUE"""),TRUE)</f>
        <v>1</v>
      </c>
      <c r="L292" s="23" t="str">
        <f>IFERROR(__xludf.DUMMYFUNCTION("""COMPUTED_VALUE"""),"Hash Table;String;Backtracking;")</f>
        <v>Hash Table;String;Backtracking;</v>
      </c>
      <c r="M292" s="23" t="b">
        <f>IFERROR(__xludf.DUMMYFUNCTION("""COMPUTED_VALUE"""),FALSE)</f>
        <v>0</v>
      </c>
      <c r="N292" s="23" t="b">
        <f>IFERROR(__xludf.DUMMYFUNCTION("""COMPUTED_VALUE"""),FALSE)</f>
        <v>0</v>
      </c>
      <c r="O292" s="23">
        <f>IFERROR(__xludf.DUMMYFUNCTION("""COMPUTED_VALUE"""),46.2521451336111)</f>
        <v>46.25214513</v>
      </c>
      <c r="P292" s="23">
        <f>IFERROR(__xludf.DUMMYFUNCTION("""COMPUTED_VALUE"""),60372.0)</f>
        <v>60372</v>
      </c>
      <c r="Q292" s="23">
        <f>IFERROR(__xludf.DUMMYFUNCTION("""COMPUTED_VALUE"""),130528.0)</f>
        <v>130528</v>
      </c>
    </row>
    <row r="293">
      <c r="A293" s="23">
        <f>IFERROR(__xludf.DUMMYFUNCTION("""COMPUTED_VALUE"""),292.0)</f>
        <v>292</v>
      </c>
      <c r="B293" s="23" t="str">
        <f>IFERROR(__xludf.DUMMYFUNCTION("""COMPUTED_VALUE"""),"Nim Game")</f>
        <v>Nim Game</v>
      </c>
      <c r="C293" s="23" t="str">
        <f>IFERROR(__xludf.DUMMYFUNCTION("""COMPUTED_VALUE"""),"nim-game")</f>
        <v>nim-game</v>
      </c>
      <c r="D293" s="23" t="b">
        <f>IFERROR(__xludf.DUMMYFUNCTION("""COMPUTED_VALUE"""),FALSE)</f>
        <v>0</v>
      </c>
      <c r="E293" s="23" t="str">
        <f>IFERROR(__xludf.DUMMYFUNCTION("""COMPUTED_VALUE"""),"Easy")</f>
        <v>Easy</v>
      </c>
      <c r="F293" s="23">
        <f>IFERROR(__xludf.DUMMYFUNCTION("""COMPUTED_VALUE"""),1053.0)</f>
        <v>1053</v>
      </c>
      <c r="G293" s="23">
        <f>IFERROR(__xludf.DUMMYFUNCTION("""COMPUTED_VALUE"""),2207.0)</f>
        <v>2207</v>
      </c>
      <c r="H293" s="23" t="str">
        <f>IFERROR(__xludf.DUMMYFUNCTION("""COMPUTED_VALUE"""),"Algorithms")</f>
        <v>Algorithms</v>
      </c>
      <c r="I293" s="23">
        <f>IFERROR(__xludf.DUMMYFUNCTION("""COMPUTED_VALUE"""),0.555)</f>
        <v>0.555</v>
      </c>
      <c r="J293" s="23">
        <f>IFERROR(__xludf.DUMMYFUNCTION("""COMPUTED_VALUE"""),292.0)</f>
        <v>292</v>
      </c>
      <c r="K293" s="23" t="b">
        <f>IFERROR(__xludf.DUMMYFUNCTION("""COMPUTED_VALUE"""),FALSE)</f>
        <v>0</v>
      </c>
      <c r="L293" s="23" t="str">
        <f>IFERROR(__xludf.DUMMYFUNCTION("""COMPUTED_VALUE"""),"Math;Brainteaser;Game Theory;")</f>
        <v>Math;Brainteaser;Game Theory;</v>
      </c>
      <c r="M293" s="23" t="b">
        <f>IFERROR(__xludf.DUMMYFUNCTION("""COMPUTED_VALUE"""),TRUE)</f>
        <v>1</v>
      </c>
      <c r="N293" s="23" t="b">
        <f>IFERROR(__xludf.DUMMYFUNCTION("""COMPUTED_VALUE"""),FALSE)</f>
        <v>0</v>
      </c>
      <c r="O293" s="23">
        <f>IFERROR(__xludf.DUMMYFUNCTION("""COMPUTED_VALUE"""),55.4932077384303)</f>
        <v>55.49320774</v>
      </c>
      <c r="P293" s="23">
        <f>IFERROR(__xludf.DUMMYFUNCTION("""COMPUTED_VALUE"""),277006.0)</f>
        <v>277006</v>
      </c>
      <c r="Q293" s="23">
        <f>IFERROR(__xludf.DUMMYFUNCTION("""COMPUTED_VALUE"""),499171.0)</f>
        <v>499171</v>
      </c>
    </row>
    <row r="294">
      <c r="A294" s="23">
        <f>IFERROR(__xludf.DUMMYFUNCTION("""COMPUTED_VALUE"""),293.0)</f>
        <v>293</v>
      </c>
      <c r="B294" s="23" t="str">
        <f>IFERROR(__xludf.DUMMYFUNCTION("""COMPUTED_VALUE"""),"Flip Game")</f>
        <v>Flip Game</v>
      </c>
      <c r="C294" s="23" t="str">
        <f>IFERROR(__xludf.DUMMYFUNCTION("""COMPUTED_VALUE"""),"flip-game")</f>
        <v>flip-game</v>
      </c>
      <c r="D294" s="23" t="b">
        <f>IFERROR(__xludf.DUMMYFUNCTION("""COMPUTED_VALUE"""),TRUE)</f>
        <v>1</v>
      </c>
      <c r="E294" s="23" t="str">
        <f>IFERROR(__xludf.DUMMYFUNCTION("""COMPUTED_VALUE"""),"Easy")</f>
        <v>Easy</v>
      </c>
      <c r="F294" s="23">
        <f>IFERROR(__xludf.DUMMYFUNCTION("""COMPUTED_VALUE"""),161.0)</f>
        <v>161</v>
      </c>
      <c r="G294" s="23">
        <f>IFERROR(__xludf.DUMMYFUNCTION("""COMPUTED_VALUE"""),383.0)</f>
        <v>383</v>
      </c>
      <c r="H294" s="23" t="str">
        <f>IFERROR(__xludf.DUMMYFUNCTION("""COMPUTED_VALUE"""),"Algorithms")</f>
        <v>Algorithms</v>
      </c>
      <c r="I294" s="23">
        <f>IFERROR(__xludf.DUMMYFUNCTION("""COMPUTED_VALUE"""),0.625)</f>
        <v>0.625</v>
      </c>
      <c r="J294" s="23">
        <f>IFERROR(__xludf.DUMMYFUNCTION("""COMPUTED_VALUE"""),293.0)</f>
        <v>293</v>
      </c>
      <c r="K294" s="23" t="b">
        <f>IFERROR(__xludf.DUMMYFUNCTION("""COMPUTED_VALUE"""),TRUE)</f>
        <v>1</v>
      </c>
      <c r="L294" s="23" t="str">
        <f>IFERROR(__xludf.DUMMYFUNCTION("""COMPUTED_VALUE"""),"String;")</f>
        <v>String;</v>
      </c>
      <c r="M294" s="23" t="b">
        <f>IFERROR(__xludf.DUMMYFUNCTION("""COMPUTED_VALUE"""),FALSE)</f>
        <v>0</v>
      </c>
      <c r="N294" s="23" t="b">
        <f>IFERROR(__xludf.DUMMYFUNCTION("""COMPUTED_VALUE"""),FALSE)</f>
        <v>0</v>
      </c>
      <c r="O294" s="23">
        <f>IFERROR(__xludf.DUMMYFUNCTION("""COMPUTED_VALUE"""),62.5360535018119)</f>
        <v>62.5360535</v>
      </c>
      <c r="P294" s="23">
        <f>IFERROR(__xludf.DUMMYFUNCTION("""COMPUTED_VALUE"""),59191.0)</f>
        <v>59191</v>
      </c>
      <c r="Q294" s="23">
        <f>IFERROR(__xludf.DUMMYFUNCTION("""COMPUTED_VALUE"""),94651.0)</f>
        <v>94651</v>
      </c>
    </row>
    <row r="295">
      <c r="A295" s="23">
        <f>IFERROR(__xludf.DUMMYFUNCTION("""COMPUTED_VALUE"""),294.0)</f>
        <v>294</v>
      </c>
      <c r="B295" s="23" t="str">
        <f>IFERROR(__xludf.DUMMYFUNCTION("""COMPUTED_VALUE"""),"Flip Game II")</f>
        <v>Flip Game II</v>
      </c>
      <c r="C295" s="23" t="str">
        <f>IFERROR(__xludf.DUMMYFUNCTION("""COMPUTED_VALUE"""),"flip-game-ii")</f>
        <v>flip-game-ii</v>
      </c>
      <c r="D295" s="23" t="b">
        <f>IFERROR(__xludf.DUMMYFUNCTION("""COMPUTED_VALUE"""),TRUE)</f>
        <v>1</v>
      </c>
      <c r="E295" s="23" t="str">
        <f>IFERROR(__xludf.DUMMYFUNCTION("""COMPUTED_VALUE"""),"Medium")</f>
        <v>Medium</v>
      </c>
      <c r="F295" s="23">
        <f>IFERROR(__xludf.DUMMYFUNCTION("""COMPUTED_VALUE"""),522.0)</f>
        <v>522</v>
      </c>
      <c r="G295" s="23">
        <f>IFERROR(__xludf.DUMMYFUNCTION("""COMPUTED_VALUE"""),51.0)</f>
        <v>51</v>
      </c>
      <c r="H295" s="23" t="str">
        <f>IFERROR(__xludf.DUMMYFUNCTION("""COMPUTED_VALUE"""),"Algorithms")</f>
        <v>Algorithms</v>
      </c>
      <c r="I295" s="23">
        <f>IFERROR(__xludf.DUMMYFUNCTION("""COMPUTED_VALUE"""),0.515)</f>
        <v>0.515</v>
      </c>
      <c r="J295" s="23">
        <f>IFERROR(__xludf.DUMMYFUNCTION("""COMPUTED_VALUE"""),294.0)</f>
        <v>294</v>
      </c>
      <c r="K295" s="23" t="b">
        <f>IFERROR(__xludf.DUMMYFUNCTION("""COMPUTED_VALUE"""),TRUE)</f>
        <v>1</v>
      </c>
      <c r="L295" s="23" t="str">
        <f>IFERROR(__xludf.DUMMYFUNCTION("""COMPUTED_VALUE"""),"Math;Dynamic Programming;Backtracking;Memoization;Game Theory;")</f>
        <v>Math;Dynamic Programming;Backtracking;Memoization;Game Theory;</v>
      </c>
      <c r="M295" s="23" t="b">
        <f>IFERROR(__xludf.DUMMYFUNCTION("""COMPUTED_VALUE"""),FALSE)</f>
        <v>0</v>
      </c>
      <c r="N295" s="23" t="b">
        <f>IFERROR(__xludf.DUMMYFUNCTION("""COMPUTED_VALUE"""),FALSE)</f>
        <v>0</v>
      </c>
      <c r="O295" s="23">
        <f>IFERROR(__xludf.DUMMYFUNCTION("""COMPUTED_VALUE"""),51.490892590912)</f>
        <v>51.49089259</v>
      </c>
      <c r="P295" s="23">
        <f>IFERROR(__xludf.DUMMYFUNCTION("""COMPUTED_VALUE"""),63548.0)</f>
        <v>63548</v>
      </c>
      <c r="Q295" s="23">
        <f>IFERROR(__xludf.DUMMYFUNCTION("""COMPUTED_VALUE"""),123416.0)</f>
        <v>123416</v>
      </c>
    </row>
    <row r="296">
      <c r="A296" s="23">
        <f>IFERROR(__xludf.DUMMYFUNCTION("""COMPUTED_VALUE"""),295.0)</f>
        <v>295</v>
      </c>
      <c r="B296" s="23" t="str">
        <f>IFERROR(__xludf.DUMMYFUNCTION("""COMPUTED_VALUE"""),"Find Median from Data Stream")</f>
        <v>Find Median from Data Stream</v>
      </c>
      <c r="C296" s="23" t="str">
        <f>IFERROR(__xludf.DUMMYFUNCTION("""COMPUTED_VALUE"""),"find-median-from-data-stream")</f>
        <v>find-median-from-data-stream</v>
      </c>
      <c r="D296" s="23" t="b">
        <f>IFERROR(__xludf.DUMMYFUNCTION("""COMPUTED_VALUE"""),FALSE)</f>
        <v>0</v>
      </c>
      <c r="E296" s="23" t="str">
        <f>IFERROR(__xludf.DUMMYFUNCTION("""COMPUTED_VALUE"""),"Hard")</f>
        <v>Hard</v>
      </c>
      <c r="F296" s="23">
        <f>IFERROR(__xludf.DUMMYFUNCTION("""COMPUTED_VALUE"""),6714.0)</f>
        <v>6714</v>
      </c>
      <c r="G296" s="23">
        <f>IFERROR(__xludf.DUMMYFUNCTION("""COMPUTED_VALUE"""),124.0)</f>
        <v>124</v>
      </c>
      <c r="H296" s="23" t="str">
        <f>IFERROR(__xludf.DUMMYFUNCTION("""COMPUTED_VALUE"""),"Algorithms")</f>
        <v>Algorithms</v>
      </c>
      <c r="I296" s="23">
        <f>IFERROR(__xludf.DUMMYFUNCTION("""COMPUTED_VALUE"""),0.503)</f>
        <v>0.503</v>
      </c>
      <c r="J296" s="23">
        <f>IFERROR(__xludf.DUMMYFUNCTION("""COMPUTED_VALUE"""),295.0)</f>
        <v>295</v>
      </c>
      <c r="K296" s="23" t="b">
        <f>IFERROR(__xludf.DUMMYFUNCTION("""COMPUTED_VALUE"""),FALSE)</f>
        <v>0</v>
      </c>
      <c r="L296" s="23" t="str">
        <f>IFERROR(__xludf.DUMMYFUNCTION("""COMPUTED_VALUE"""),"Two Pointers;Design;Sorting;Heap (Priority Queue);Data Stream;")</f>
        <v>Two Pointers;Design;Sorting;Heap (Priority Queue);Data Stream;</v>
      </c>
      <c r="M296" s="23" t="b">
        <f>IFERROR(__xludf.DUMMYFUNCTION("""COMPUTED_VALUE"""),TRUE)</f>
        <v>1</v>
      </c>
      <c r="N296" s="23" t="b">
        <f>IFERROR(__xludf.DUMMYFUNCTION("""COMPUTED_VALUE"""),FALSE)</f>
        <v>0</v>
      </c>
      <c r="O296" s="23">
        <f>IFERROR(__xludf.DUMMYFUNCTION("""COMPUTED_VALUE"""),50.294118960735)</f>
        <v>50.29411896</v>
      </c>
      <c r="P296" s="23">
        <f>IFERROR(__xludf.DUMMYFUNCTION("""COMPUTED_VALUE"""),450411.0)</f>
        <v>450411</v>
      </c>
      <c r="Q296" s="23">
        <f>IFERROR(__xludf.DUMMYFUNCTION("""COMPUTED_VALUE"""),895553.0)</f>
        <v>895553</v>
      </c>
    </row>
    <row r="297">
      <c r="A297" s="23">
        <f>IFERROR(__xludf.DUMMYFUNCTION("""COMPUTED_VALUE"""),296.0)</f>
        <v>296</v>
      </c>
      <c r="B297" s="23" t="str">
        <f>IFERROR(__xludf.DUMMYFUNCTION("""COMPUTED_VALUE"""),"Best Meeting Point")</f>
        <v>Best Meeting Point</v>
      </c>
      <c r="C297" s="23" t="str">
        <f>IFERROR(__xludf.DUMMYFUNCTION("""COMPUTED_VALUE"""),"best-meeting-point")</f>
        <v>best-meeting-point</v>
      </c>
      <c r="D297" s="23" t="b">
        <f>IFERROR(__xludf.DUMMYFUNCTION("""COMPUTED_VALUE"""),TRUE)</f>
        <v>1</v>
      </c>
      <c r="E297" s="23" t="str">
        <f>IFERROR(__xludf.DUMMYFUNCTION("""COMPUTED_VALUE"""),"Hard")</f>
        <v>Hard</v>
      </c>
      <c r="F297" s="23">
        <f>IFERROR(__xludf.DUMMYFUNCTION("""COMPUTED_VALUE"""),878.0)</f>
        <v>878</v>
      </c>
      <c r="G297" s="23">
        <f>IFERROR(__xludf.DUMMYFUNCTION("""COMPUTED_VALUE"""),71.0)</f>
        <v>71</v>
      </c>
      <c r="H297" s="23" t="str">
        <f>IFERROR(__xludf.DUMMYFUNCTION("""COMPUTED_VALUE"""),"Algorithms")</f>
        <v>Algorithms</v>
      </c>
      <c r="I297" s="23">
        <f>IFERROR(__xludf.DUMMYFUNCTION("""COMPUTED_VALUE"""),0.594)</f>
        <v>0.594</v>
      </c>
      <c r="J297" s="23">
        <f>IFERROR(__xludf.DUMMYFUNCTION("""COMPUTED_VALUE"""),296.0)</f>
        <v>296</v>
      </c>
      <c r="K297" s="23" t="b">
        <f>IFERROR(__xludf.DUMMYFUNCTION("""COMPUTED_VALUE"""),TRUE)</f>
        <v>1</v>
      </c>
      <c r="L297" s="23" t="str">
        <f>IFERROR(__xludf.DUMMYFUNCTION("""COMPUTED_VALUE"""),"Array;Math;Sorting;Matrix;")</f>
        <v>Array;Math;Sorting;Matrix;</v>
      </c>
      <c r="M297" s="23" t="b">
        <f>IFERROR(__xludf.DUMMYFUNCTION("""COMPUTED_VALUE"""),TRUE)</f>
        <v>1</v>
      </c>
      <c r="N297" s="23" t="b">
        <f>IFERROR(__xludf.DUMMYFUNCTION("""COMPUTED_VALUE"""),FALSE)</f>
        <v>0</v>
      </c>
      <c r="O297" s="23">
        <f>IFERROR(__xludf.DUMMYFUNCTION("""COMPUTED_VALUE"""),59.4063049433699)</f>
        <v>59.40630494</v>
      </c>
      <c r="P297" s="23">
        <f>IFERROR(__xludf.DUMMYFUNCTION("""COMPUTED_VALUE"""),58116.0)</f>
        <v>58116</v>
      </c>
      <c r="Q297" s="23">
        <f>IFERROR(__xludf.DUMMYFUNCTION("""COMPUTED_VALUE"""),97827.0)</f>
        <v>97827</v>
      </c>
    </row>
    <row r="298">
      <c r="A298" s="23">
        <f>IFERROR(__xludf.DUMMYFUNCTION("""COMPUTED_VALUE"""),297.0)</f>
        <v>297</v>
      </c>
      <c r="B298" s="23" t="str">
        <f>IFERROR(__xludf.DUMMYFUNCTION("""COMPUTED_VALUE"""),"Serialize and Deserialize Binary Tree")</f>
        <v>Serialize and Deserialize Binary Tree</v>
      </c>
      <c r="C298" s="23" t="str">
        <f>IFERROR(__xludf.DUMMYFUNCTION("""COMPUTED_VALUE"""),"serialize-and-deserialize-binary-tree")</f>
        <v>serialize-and-deserialize-binary-tree</v>
      </c>
      <c r="D298" s="23" t="b">
        <f>IFERROR(__xludf.DUMMYFUNCTION("""COMPUTED_VALUE"""),FALSE)</f>
        <v>0</v>
      </c>
      <c r="E298" s="23" t="str">
        <f>IFERROR(__xludf.DUMMYFUNCTION("""COMPUTED_VALUE"""),"Hard")</f>
        <v>Hard</v>
      </c>
      <c r="F298" s="23">
        <f>IFERROR(__xludf.DUMMYFUNCTION("""COMPUTED_VALUE"""),6504.0)</f>
        <v>6504</v>
      </c>
      <c r="G298" s="23">
        <f>IFERROR(__xludf.DUMMYFUNCTION("""COMPUTED_VALUE"""),254.0)</f>
        <v>254</v>
      </c>
      <c r="H298" s="23" t="str">
        <f>IFERROR(__xludf.DUMMYFUNCTION("""COMPUTED_VALUE"""),"Algorithms")</f>
        <v>Algorithms</v>
      </c>
      <c r="I298" s="23">
        <f>IFERROR(__xludf.DUMMYFUNCTION("""COMPUTED_VALUE"""),0.537)</f>
        <v>0.537</v>
      </c>
      <c r="J298" s="23">
        <f>IFERROR(__xludf.DUMMYFUNCTION("""COMPUTED_VALUE"""),297.0)</f>
        <v>297</v>
      </c>
      <c r="K298" s="23" t="b">
        <f>IFERROR(__xludf.DUMMYFUNCTION("""COMPUTED_VALUE"""),FALSE)</f>
        <v>0</v>
      </c>
      <c r="L298" s="23" t="str">
        <f>IFERROR(__xludf.DUMMYFUNCTION("""COMPUTED_VALUE"""),"String;Tree;Depth-First Search;Breadth-First Search;Design;Binary Tree;")</f>
        <v>String;Tree;Depth-First Search;Breadth-First Search;Design;Binary Tree;</v>
      </c>
      <c r="M298" s="23" t="b">
        <f>IFERROR(__xludf.DUMMYFUNCTION("""COMPUTED_VALUE"""),TRUE)</f>
        <v>1</v>
      </c>
      <c r="N298" s="23" t="b">
        <f>IFERROR(__xludf.DUMMYFUNCTION("""COMPUTED_VALUE"""),FALSE)</f>
        <v>0</v>
      </c>
      <c r="O298" s="23">
        <f>IFERROR(__xludf.DUMMYFUNCTION("""COMPUTED_VALUE"""),53.6997948235428)</f>
        <v>53.69979482</v>
      </c>
      <c r="P298" s="23">
        <f>IFERROR(__xludf.DUMMYFUNCTION("""COMPUTED_VALUE"""),600397.0)</f>
        <v>600397</v>
      </c>
      <c r="Q298" s="23">
        <f>IFERROR(__xludf.DUMMYFUNCTION("""COMPUTED_VALUE"""),1118060.0)</f>
        <v>1118060</v>
      </c>
    </row>
    <row r="299">
      <c r="A299" s="23">
        <f>IFERROR(__xludf.DUMMYFUNCTION("""COMPUTED_VALUE"""),298.0)</f>
        <v>298</v>
      </c>
      <c r="B299" s="23" t="str">
        <f>IFERROR(__xludf.DUMMYFUNCTION("""COMPUTED_VALUE"""),"Binary Tree Longest Consecutive Sequence")</f>
        <v>Binary Tree Longest Consecutive Sequence</v>
      </c>
      <c r="C299" s="23" t="str">
        <f>IFERROR(__xludf.DUMMYFUNCTION("""COMPUTED_VALUE"""),"binary-tree-longest-consecutive-sequence")</f>
        <v>binary-tree-longest-consecutive-sequence</v>
      </c>
      <c r="D299" s="23" t="b">
        <f>IFERROR(__xludf.DUMMYFUNCTION("""COMPUTED_VALUE"""),TRUE)</f>
        <v>1</v>
      </c>
      <c r="E299" s="23" t="str">
        <f>IFERROR(__xludf.DUMMYFUNCTION("""COMPUTED_VALUE"""),"Medium")</f>
        <v>Medium</v>
      </c>
      <c r="F299" s="23">
        <f>IFERROR(__xludf.DUMMYFUNCTION("""COMPUTED_VALUE"""),887.0)</f>
        <v>887</v>
      </c>
      <c r="G299" s="23">
        <f>IFERROR(__xludf.DUMMYFUNCTION("""COMPUTED_VALUE"""),211.0)</f>
        <v>211</v>
      </c>
      <c r="H299" s="23" t="str">
        <f>IFERROR(__xludf.DUMMYFUNCTION("""COMPUTED_VALUE"""),"Algorithms")</f>
        <v>Algorithms</v>
      </c>
      <c r="I299" s="23">
        <f>IFERROR(__xludf.DUMMYFUNCTION("""COMPUTED_VALUE"""),0.512)</f>
        <v>0.512</v>
      </c>
      <c r="J299" s="23">
        <f>IFERROR(__xludf.DUMMYFUNCTION("""COMPUTED_VALUE"""),298.0)</f>
        <v>298</v>
      </c>
      <c r="K299" s="23" t="b">
        <f>IFERROR(__xludf.DUMMYFUNCTION("""COMPUTED_VALUE"""),TRUE)</f>
        <v>1</v>
      </c>
      <c r="L299" s="23" t="str">
        <f>IFERROR(__xludf.DUMMYFUNCTION("""COMPUTED_VALUE"""),"Tree;Depth-First Search;Binary Tree;")</f>
        <v>Tree;Depth-First Search;Binary Tree;</v>
      </c>
      <c r="M299" s="23" t="b">
        <f>IFERROR(__xludf.DUMMYFUNCTION("""COMPUTED_VALUE"""),TRUE)</f>
        <v>1</v>
      </c>
      <c r="N299" s="23" t="b">
        <f>IFERROR(__xludf.DUMMYFUNCTION("""COMPUTED_VALUE"""),FALSE)</f>
        <v>0</v>
      </c>
      <c r="O299" s="23">
        <f>IFERROR(__xludf.DUMMYFUNCTION("""COMPUTED_VALUE"""),51.1625138698171)</f>
        <v>51.16251387</v>
      </c>
      <c r="P299" s="23">
        <f>IFERROR(__xludf.DUMMYFUNCTION("""COMPUTED_VALUE"""),120346.0)</f>
        <v>120346</v>
      </c>
      <c r="Q299" s="23">
        <f>IFERROR(__xludf.DUMMYFUNCTION("""COMPUTED_VALUE"""),235223.0)</f>
        <v>235223</v>
      </c>
    </row>
    <row r="300">
      <c r="A300" s="23">
        <f>IFERROR(__xludf.DUMMYFUNCTION("""COMPUTED_VALUE"""),299.0)</f>
        <v>299</v>
      </c>
      <c r="B300" s="23" t="str">
        <f>IFERROR(__xludf.DUMMYFUNCTION("""COMPUTED_VALUE"""),"Bulls and Cows")</f>
        <v>Bulls and Cows</v>
      </c>
      <c r="C300" s="23" t="str">
        <f>IFERROR(__xludf.DUMMYFUNCTION("""COMPUTED_VALUE"""),"bulls-and-cows")</f>
        <v>bulls-and-cows</v>
      </c>
      <c r="D300" s="23" t="b">
        <f>IFERROR(__xludf.DUMMYFUNCTION("""COMPUTED_VALUE"""),FALSE)</f>
        <v>0</v>
      </c>
      <c r="E300" s="23" t="str">
        <f>IFERROR(__xludf.DUMMYFUNCTION("""COMPUTED_VALUE"""),"Medium")</f>
        <v>Medium</v>
      </c>
      <c r="F300" s="23">
        <f>IFERROR(__xludf.DUMMYFUNCTION("""COMPUTED_VALUE"""),1360.0)</f>
        <v>1360</v>
      </c>
      <c r="G300" s="23">
        <f>IFERROR(__xludf.DUMMYFUNCTION("""COMPUTED_VALUE"""),1301.0)</f>
        <v>1301</v>
      </c>
      <c r="H300" s="23" t="str">
        <f>IFERROR(__xludf.DUMMYFUNCTION("""COMPUTED_VALUE"""),"Algorithms")</f>
        <v>Algorithms</v>
      </c>
      <c r="I300" s="23">
        <f>IFERROR(__xludf.DUMMYFUNCTION("""COMPUTED_VALUE"""),0.472)</f>
        <v>0.472</v>
      </c>
      <c r="J300" s="23">
        <f>IFERROR(__xludf.DUMMYFUNCTION("""COMPUTED_VALUE"""),299.0)</f>
        <v>299</v>
      </c>
      <c r="K300" s="23" t="b">
        <f>IFERROR(__xludf.DUMMYFUNCTION("""COMPUTED_VALUE"""),FALSE)</f>
        <v>0</v>
      </c>
      <c r="L300" s="23" t="str">
        <f>IFERROR(__xludf.DUMMYFUNCTION("""COMPUTED_VALUE"""),"Hash Table;String;Counting;")</f>
        <v>Hash Table;String;Counting;</v>
      </c>
      <c r="M300" s="23" t="b">
        <f>IFERROR(__xludf.DUMMYFUNCTION("""COMPUTED_VALUE"""),TRUE)</f>
        <v>1</v>
      </c>
      <c r="N300" s="23" t="b">
        <f>IFERROR(__xludf.DUMMYFUNCTION("""COMPUTED_VALUE"""),FALSE)</f>
        <v>0</v>
      </c>
      <c r="O300" s="23">
        <f>IFERROR(__xludf.DUMMYFUNCTION("""COMPUTED_VALUE"""),47.1970122241681)</f>
        <v>47.19701222</v>
      </c>
      <c r="P300" s="23">
        <f>IFERROR(__xludf.DUMMYFUNCTION("""COMPUTED_VALUE"""),266522.0)</f>
        <v>266522</v>
      </c>
      <c r="Q300" s="23">
        <f>IFERROR(__xludf.DUMMYFUNCTION("""COMPUTED_VALUE"""),564701.0)</f>
        <v>564701</v>
      </c>
    </row>
    <row r="301">
      <c r="A301" s="23">
        <f>IFERROR(__xludf.DUMMYFUNCTION("""COMPUTED_VALUE"""),300.0)</f>
        <v>300</v>
      </c>
      <c r="B301" s="23" t="str">
        <f>IFERROR(__xludf.DUMMYFUNCTION("""COMPUTED_VALUE"""),"Longest Increasing Subsequence")</f>
        <v>Longest Increasing Subsequence</v>
      </c>
      <c r="C301" s="23" t="str">
        <f>IFERROR(__xludf.DUMMYFUNCTION("""COMPUTED_VALUE"""),"longest-increasing-subsequence")</f>
        <v>longest-increasing-subsequence</v>
      </c>
      <c r="D301" s="23" t="b">
        <f>IFERROR(__xludf.DUMMYFUNCTION("""COMPUTED_VALUE"""),FALSE)</f>
        <v>0</v>
      </c>
      <c r="E301" s="23" t="str">
        <f>IFERROR(__xludf.DUMMYFUNCTION("""COMPUTED_VALUE"""),"Medium")</f>
        <v>Medium</v>
      </c>
      <c r="F301" s="23">
        <f>IFERROR(__xludf.DUMMYFUNCTION("""COMPUTED_VALUE"""),11602.0)</f>
        <v>11602</v>
      </c>
      <c r="G301" s="23">
        <f>IFERROR(__xludf.DUMMYFUNCTION("""COMPUTED_VALUE"""),231.0)</f>
        <v>231</v>
      </c>
      <c r="H301" s="23" t="str">
        <f>IFERROR(__xludf.DUMMYFUNCTION("""COMPUTED_VALUE"""),"Algorithms")</f>
        <v>Algorithms</v>
      </c>
      <c r="I301" s="23">
        <f>IFERROR(__xludf.DUMMYFUNCTION("""COMPUTED_VALUE"""),0.492)</f>
        <v>0.492</v>
      </c>
      <c r="J301" s="23">
        <f>IFERROR(__xludf.DUMMYFUNCTION("""COMPUTED_VALUE"""),300.0)</f>
        <v>300</v>
      </c>
      <c r="K301" s="23" t="b">
        <f>IFERROR(__xludf.DUMMYFUNCTION("""COMPUTED_VALUE"""),FALSE)</f>
        <v>0</v>
      </c>
      <c r="L301" s="23" t="str">
        <f>IFERROR(__xludf.DUMMYFUNCTION("""COMPUTED_VALUE"""),"Array;Binary Search;Dynamic Programming;")</f>
        <v>Array;Binary Search;Dynamic Programming;</v>
      </c>
      <c r="M301" s="23" t="b">
        <f>IFERROR(__xludf.DUMMYFUNCTION("""COMPUTED_VALUE"""),TRUE)</f>
        <v>1</v>
      </c>
      <c r="N301" s="23" t="b">
        <f>IFERROR(__xludf.DUMMYFUNCTION("""COMPUTED_VALUE"""),FALSE)</f>
        <v>0</v>
      </c>
      <c r="O301" s="23">
        <f>IFERROR(__xludf.DUMMYFUNCTION("""COMPUTED_VALUE"""),49.2141890176833)</f>
        <v>49.21418902</v>
      </c>
      <c r="P301" s="23">
        <f>IFERROR(__xludf.DUMMYFUNCTION("""COMPUTED_VALUE"""),837593.0)</f>
        <v>837593</v>
      </c>
      <c r="Q301" s="23">
        <f>IFERROR(__xludf.DUMMYFUNCTION("""COMPUTED_VALUE"""),1701931.0)</f>
        <v>1701931</v>
      </c>
    </row>
    <row r="302">
      <c r="A302" s="23">
        <f>IFERROR(__xludf.DUMMYFUNCTION("""COMPUTED_VALUE"""),301.0)</f>
        <v>301</v>
      </c>
      <c r="B302" s="23" t="str">
        <f>IFERROR(__xludf.DUMMYFUNCTION("""COMPUTED_VALUE"""),"Remove Invalid Parentheses")</f>
        <v>Remove Invalid Parentheses</v>
      </c>
      <c r="C302" s="23" t="str">
        <f>IFERROR(__xludf.DUMMYFUNCTION("""COMPUTED_VALUE"""),"remove-invalid-parentheses")</f>
        <v>remove-invalid-parentheses</v>
      </c>
      <c r="D302" s="23" t="b">
        <f>IFERROR(__xludf.DUMMYFUNCTION("""COMPUTED_VALUE"""),FALSE)</f>
        <v>0</v>
      </c>
      <c r="E302" s="23" t="str">
        <f>IFERROR(__xludf.DUMMYFUNCTION("""COMPUTED_VALUE"""),"Hard")</f>
        <v>Hard</v>
      </c>
      <c r="F302" s="23">
        <f>IFERROR(__xludf.DUMMYFUNCTION("""COMPUTED_VALUE"""),4599.0)</f>
        <v>4599</v>
      </c>
      <c r="G302" s="23">
        <f>IFERROR(__xludf.DUMMYFUNCTION("""COMPUTED_VALUE"""),234.0)</f>
        <v>234</v>
      </c>
      <c r="H302" s="23" t="str">
        <f>IFERROR(__xludf.DUMMYFUNCTION("""COMPUTED_VALUE"""),"Algorithms")</f>
        <v>Algorithms</v>
      </c>
      <c r="I302" s="23">
        <f>IFERROR(__xludf.DUMMYFUNCTION("""COMPUTED_VALUE"""),0.469)</f>
        <v>0.469</v>
      </c>
      <c r="J302" s="23">
        <f>IFERROR(__xludf.DUMMYFUNCTION("""COMPUTED_VALUE"""),301.0)</f>
        <v>301</v>
      </c>
      <c r="K302" s="23" t="b">
        <f>IFERROR(__xludf.DUMMYFUNCTION("""COMPUTED_VALUE"""),FALSE)</f>
        <v>0</v>
      </c>
      <c r="L302" s="23" t="str">
        <f>IFERROR(__xludf.DUMMYFUNCTION("""COMPUTED_VALUE"""),"String;Backtracking;Breadth-First Search;")</f>
        <v>String;Backtracking;Breadth-First Search;</v>
      </c>
      <c r="M302" s="23" t="b">
        <f>IFERROR(__xludf.DUMMYFUNCTION("""COMPUTED_VALUE"""),TRUE)</f>
        <v>1</v>
      </c>
      <c r="N302" s="23" t="b">
        <f>IFERROR(__xludf.DUMMYFUNCTION("""COMPUTED_VALUE"""),FALSE)</f>
        <v>0</v>
      </c>
      <c r="O302" s="23">
        <f>IFERROR(__xludf.DUMMYFUNCTION("""COMPUTED_VALUE"""),46.8633130280467)</f>
        <v>46.86331303</v>
      </c>
      <c r="P302" s="23">
        <f>IFERROR(__xludf.DUMMYFUNCTION("""COMPUTED_VALUE"""),346729.0)</f>
        <v>346729</v>
      </c>
      <c r="Q302" s="23">
        <f>IFERROR(__xludf.DUMMYFUNCTION("""COMPUTED_VALUE"""),739873.0)</f>
        <v>739873</v>
      </c>
    </row>
    <row r="303">
      <c r="A303" s="23">
        <f>IFERROR(__xludf.DUMMYFUNCTION("""COMPUTED_VALUE"""),302.0)</f>
        <v>302</v>
      </c>
      <c r="B303" s="23" t="str">
        <f>IFERROR(__xludf.DUMMYFUNCTION("""COMPUTED_VALUE"""),"Smallest Rectangle Enclosing Black Pixels")</f>
        <v>Smallest Rectangle Enclosing Black Pixels</v>
      </c>
      <c r="C303" s="23" t="str">
        <f>IFERROR(__xludf.DUMMYFUNCTION("""COMPUTED_VALUE"""),"smallest-rectangle-enclosing-black-pixels")</f>
        <v>smallest-rectangle-enclosing-black-pixels</v>
      </c>
      <c r="D303" s="23" t="b">
        <f>IFERROR(__xludf.DUMMYFUNCTION("""COMPUTED_VALUE"""),TRUE)</f>
        <v>1</v>
      </c>
      <c r="E303" s="23" t="str">
        <f>IFERROR(__xludf.DUMMYFUNCTION("""COMPUTED_VALUE"""),"Hard")</f>
        <v>Hard</v>
      </c>
      <c r="F303" s="23">
        <f>IFERROR(__xludf.DUMMYFUNCTION("""COMPUTED_VALUE"""),424.0)</f>
        <v>424</v>
      </c>
      <c r="G303" s="23">
        <f>IFERROR(__xludf.DUMMYFUNCTION("""COMPUTED_VALUE"""),85.0)</f>
        <v>85</v>
      </c>
      <c r="H303" s="23" t="str">
        <f>IFERROR(__xludf.DUMMYFUNCTION("""COMPUTED_VALUE"""),"Algorithms")</f>
        <v>Algorithms</v>
      </c>
      <c r="I303" s="23">
        <f>IFERROR(__xludf.DUMMYFUNCTION("""COMPUTED_VALUE"""),0.569)</f>
        <v>0.569</v>
      </c>
      <c r="J303" s="23">
        <f>IFERROR(__xludf.DUMMYFUNCTION("""COMPUTED_VALUE"""),302.0)</f>
        <v>302</v>
      </c>
      <c r="K303" s="23" t="b">
        <f>IFERROR(__xludf.DUMMYFUNCTION("""COMPUTED_VALUE"""),TRUE)</f>
        <v>1</v>
      </c>
      <c r="L303" s="23" t="str">
        <f>IFERROR(__xludf.DUMMYFUNCTION("""COMPUTED_VALUE"""),"Array;Binary Search;Depth-First Search;Breadth-First Search;Matrix;")</f>
        <v>Array;Binary Search;Depth-First Search;Breadth-First Search;Matrix;</v>
      </c>
      <c r="M303" s="23" t="b">
        <f>IFERROR(__xludf.DUMMYFUNCTION("""COMPUTED_VALUE"""),TRUE)</f>
        <v>1</v>
      </c>
      <c r="N303" s="23" t="b">
        <f>IFERROR(__xludf.DUMMYFUNCTION("""COMPUTED_VALUE"""),FALSE)</f>
        <v>0</v>
      </c>
      <c r="O303" s="23">
        <f>IFERROR(__xludf.DUMMYFUNCTION("""COMPUTED_VALUE"""),56.8547224472423)</f>
        <v>56.85472245</v>
      </c>
      <c r="P303" s="23">
        <f>IFERROR(__xludf.DUMMYFUNCTION("""COMPUTED_VALUE"""),41409.0)</f>
        <v>41409</v>
      </c>
      <c r="Q303" s="23">
        <f>IFERROR(__xludf.DUMMYFUNCTION("""COMPUTED_VALUE"""),72833.0)</f>
        <v>72833</v>
      </c>
    </row>
    <row r="304">
      <c r="A304" s="23">
        <f>IFERROR(__xludf.DUMMYFUNCTION("""COMPUTED_VALUE"""),303.0)</f>
        <v>303</v>
      </c>
      <c r="B304" s="23" t="str">
        <f>IFERROR(__xludf.DUMMYFUNCTION("""COMPUTED_VALUE"""),"Range Sum Query - Immutable")</f>
        <v>Range Sum Query - Immutable</v>
      </c>
      <c r="C304" s="23" t="str">
        <f>IFERROR(__xludf.DUMMYFUNCTION("""COMPUTED_VALUE"""),"range-sum-query-immutable")</f>
        <v>range-sum-query-immutable</v>
      </c>
      <c r="D304" s="23" t="b">
        <f>IFERROR(__xludf.DUMMYFUNCTION("""COMPUTED_VALUE"""),FALSE)</f>
        <v>0</v>
      </c>
      <c r="E304" s="23" t="str">
        <f>IFERROR(__xludf.DUMMYFUNCTION("""COMPUTED_VALUE"""),"Easy")</f>
        <v>Easy</v>
      </c>
      <c r="F304" s="23">
        <f>IFERROR(__xludf.DUMMYFUNCTION("""COMPUTED_VALUE"""),1945.0)</f>
        <v>1945</v>
      </c>
      <c r="G304" s="23">
        <f>IFERROR(__xludf.DUMMYFUNCTION("""COMPUTED_VALUE"""),1647.0)</f>
        <v>1647</v>
      </c>
      <c r="H304" s="23" t="str">
        <f>IFERROR(__xludf.DUMMYFUNCTION("""COMPUTED_VALUE"""),"Algorithms")</f>
        <v>Algorithms</v>
      </c>
      <c r="I304" s="23">
        <f>IFERROR(__xludf.DUMMYFUNCTION("""COMPUTED_VALUE"""),0.554)</f>
        <v>0.554</v>
      </c>
      <c r="J304" s="23">
        <f>IFERROR(__xludf.DUMMYFUNCTION("""COMPUTED_VALUE"""),303.0)</f>
        <v>303</v>
      </c>
      <c r="K304" s="23" t="b">
        <f>IFERROR(__xludf.DUMMYFUNCTION("""COMPUTED_VALUE"""),FALSE)</f>
        <v>0</v>
      </c>
      <c r="L304" s="23" t="str">
        <f>IFERROR(__xludf.DUMMYFUNCTION("""COMPUTED_VALUE"""),"Array;Design;Prefix Sum;")</f>
        <v>Array;Design;Prefix Sum;</v>
      </c>
      <c r="M304" s="23" t="b">
        <f>IFERROR(__xludf.DUMMYFUNCTION("""COMPUTED_VALUE"""),TRUE)</f>
        <v>1</v>
      </c>
      <c r="N304" s="23" t="b">
        <f>IFERROR(__xludf.DUMMYFUNCTION("""COMPUTED_VALUE"""),FALSE)</f>
        <v>0</v>
      </c>
      <c r="O304" s="23">
        <f>IFERROR(__xludf.DUMMYFUNCTION("""COMPUTED_VALUE"""),55.3847519332296)</f>
        <v>55.38475193</v>
      </c>
      <c r="P304" s="23">
        <f>IFERROR(__xludf.DUMMYFUNCTION("""COMPUTED_VALUE"""),349442.0)</f>
        <v>349442</v>
      </c>
      <c r="Q304" s="23">
        <f>IFERROR(__xludf.DUMMYFUNCTION("""COMPUTED_VALUE"""),630937.0)</f>
        <v>630937</v>
      </c>
    </row>
    <row r="305">
      <c r="A305" s="23">
        <f>IFERROR(__xludf.DUMMYFUNCTION("""COMPUTED_VALUE"""),304.0)</f>
        <v>304</v>
      </c>
      <c r="B305" s="23" t="str">
        <f>IFERROR(__xludf.DUMMYFUNCTION("""COMPUTED_VALUE"""),"Range Sum Query 2D - Immutable")</f>
        <v>Range Sum Query 2D - Immutable</v>
      </c>
      <c r="C305" s="23" t="str">
        <f>IFERROR(__xludf.DUMMYFUNCTION("""COMPUTED_VALUE"""),"range-sum-query-2d-immutable")</f>
        <v>range-sum-query-2d-immutable</v>
      </c>
      <c r="D305" s="23" t="b">
        <f>IFERROR(__xludf.DUMMYFUNCTION("""COMPUTED_VALUE"""),FALSE)</f>
        <v>0</v>
      </c>
      <c r="E305" s="23" t="str">
        <f>IFERROR(__xludf.DUMMYFUNCTION("""COMPUTED_VALUE"""),"Medium")</f>
        <v>Medium</v>
      </c>
      <c r="F305" s="23">
        <f>IFERROR(__xludf.DUMMYFUNCTION("""COMPUTED_VALUE"""),2526.0)</f>
        <v>2526</v>
      </c>
      <c r="G305" s="23">
        <f>IFERROR(__xludf.DUMMYFUNCTION("""COMPUTED_VALUE"""),244.0)</f>
        <v>244</v>
      </c>
      <c r="H305" s="23" t="str">
        <f>IFERROR(__xludf.DUMMYFUNCTION("""COMPUTED_VALUE"""),"Algorithms")</f>
        <v>Algorithms</v>
      </c>
      <c r="I305" s="23">
        <f>IFERROR(__xludf.DUMMYFUNCTION("""COMPUTED_VALUE"""),0.477)</f>
        <v>0.477</v>
      </c>
      <c r="J305" s="23">
        <f>IFERROR(__xludf.DUMMYFUNCTION("""COMPUTED_VALUE"""),304.0)</f>
        <v>304</v>
      </c>
      <c r="K305" s="23" t="b">
        <f>IFERROR(__xludf.DUMMYFUNCTION("""COMPUTED_VALUE"""),FALSE)</f>
        <v>0</v>
      </c>
      <c r="L305" s="23" t="str">
        <f>IFERROR(__xludf.DUMMYFUNCTION("""COMPUTED_VALUE"""),"Array;Design;Matrix;Prefix Sum;")</f>
        <v>Array;Design;Matrix;Prefix Sum;</v>
      </c>
      <c r="M305" s="23" t="b">
        <f>IFERROR(__xludf.DUMMYFUNCTION("""COMPUTED_VALUE"""),TRUE)</f>
        <v>1</v>
      </c>
      <c r="N305" s="23" t="b">
        <f>IFERROR(__xludf.DUMMYFUNCTION("""COMPUTED_VALUE"""),FALSE)</f>
        <v>0</v>
      </c>
      <c r="O305" s="23">
        <f>IFERROR(__xludf.DUMMYFUNCTION("""COMPUTED_VALUE"""),47.6702601013181)</f>
        <v>47.6702601</v>
      </c>
      <c r="P305" s="23">
        <f>IFERROR(__xludf.DUMMYFUNCTION("""COMPUTED_VALUE"""),222735.0)</f>
        <v>222735</v>
      </c>
      <c r="Q305" s="23">
        <f>IFERROR(__xludf.DUMMYFUNCTION("""COMPUTED_VALUE"""),467241.0)</f>
        <v>467241</v>
      </c>
    </row>
    <row r="306">
      <c r="A306" s="23">
        <f>IFERROR(__xludf.DUMMYFUNCTION("""COMPUTED_VALUE"""),305.0)</f>
        <v>305</v>
      </c>
      <c r="B306" s="23" t="str">
        <f>IFERROR(__xludf.DUMMYFUNCTION("""COMPUTED_VALUE"""),"Number of Islands II")</f>
        <v>Number of Islands II</v>
      </c>
      <c r="C306" s="23" t="str">
        <f>IFERROR(__xludf.DUMMYFUNCTION("""COMPUTED_VALUE"""),"number-of-islands-ii")</f>
        <v>number-of-islands-ii</v>
      </c>
      <c r="D306" s="23" t="b">
        <f>IFERROR(__xludf.DUMMYFUNCTION("""COMPUTED_VALUE"""),TRUE)</f>
        <v>1</v>
      </c>
      <c r="E306" s="23" t="str">
        <f>IFERROR(__xludf.DUMMYFUNCTION("""COMPUTED_VALUE"""),"Hard")</f>
        <v>Hard</v>
      </c>
      <c r="F306" s="23">
        <f>IFERROR(__xludf.DUMMYFUNCTION("""COMPUTED_VALUE"""),1425.0)</f>
        <v>1425</v>
      </c>
      <c r="G306" s="23">
        <f>IFERROR(__xludf.DUMMYFUNCTION("""COMPUTED_VALUE"""),43.0)</f>
        <v>43</v>
      </c>
      <c r="H306" s="23" t="str">
        <f>IFERROR(__xludf.DUMMYFUNCTION("""COMPUTED_VALUE"""),"Algorithms")</f>
        <v>Algorithms</v>
      </c>
      <c r="I306" s="23">
        <f>IFERROR(__xludf.DUMMYFUNCTION("""COMPUTED_VALUE"""),0.393)</f>
        <v>0.393</v>
      </c>
      <c r="J306" s="23">
        <f>IFERROR(__xludf.DUMMYFUNCTION("""COMPUTED_VALUE"""),305.0)</f>
        <v>305</v>
      </c>
      <c r="K306" s="23" t="b">
        <f>IFERROR(__xludf.DUMMYFUNCTION("""COMPUTED_VALUE"""),TRUE)</f>
        <v>1</v>
      </c>
      <c r="L306" s="23" t="str">
        <f>IFERROR(__xludf.DUMMYFUNCTION("""COMPUTED_VALUE"""),"Array;Union Find;")</f>
        <v>Array;Union Find;</v>
      </c>
      <c r="M306" s="23" t="b">
        <f>IFERROR(__xludf.DUMMYFUNCTION("""COMPUTED_VALUE"""),TRUE)</f>
        <v>1</v>
      </c>
      <c r="N306" s="23" t="b">
        <f>IFERROR(__xludf.DUMMYFUNCTION("""COMPUTED_VALUE"""),FALSE)</f>
        <v>0</v>
      </c>
      <c r="O306" s="23">
        <f>IFERROR(__xludf.DUMMYFUNCTION("""COMPUTED_VALUE"""),39.3418290906931)</f>
        <v>39.34182909</v>
      </c>
      <c r="P306" s="23">
        <f>IFERROR(__xludf.DUMMYFUNCTION("""COMPUTED_VALUE"""),112651.0)</f>
        <v>112651</v>
      </c>
      <c r="Q306" s="23">
        <f>IFERROR(__xludf.DUMMYFUNCTION("""COMPUTED_VALUE"""),286339.0)</f>
        <v>286339</v>
      </c>
    </row>
    <row r="307">
      <c r="A307" s="23">
        <f>IFERROR(__xludf.DUMMYFUNCTION("""COMPUTED_VALUE"""),306.0)</f>
        <v>306</v>
      </c>
      <c r="B307" s="23" t="str">
        <f>IFERROR(__xludf.DUMMYFUNCTION("""COMPUTED_VALUE"""),"Additive Number")</f>
        <v>Additive Number</v>
      </c>
      <c r="C307" s="23" t="str">
        <f>IFERROR(__xludf.DUMMYFUNCTION("""COMPUTED_VALUE"""),"additive-number")</f>
        <v>additive-number</v>
      </c>
      <c r="D307" s="23" t="b">
        <f>IFERROR(__xludf.DUMMYFUNCTION("""COMPUTED_VALUE"""),FALSE)</f>
        <v>0</v>
      </c>
      <c r="E307" s="23" t="str">
        <f>IFERROR(__xludf.DUMMYFUNCTION("""COMPUTED_VALUE"""),"Medium")</f>
        <v>Medium</v>
      </c>
      <c r="F307" s="23">
        <f>IFERROR(__xludf.DUMMYFUNCTION("""COMPUTED_VALUE"""),729.0)</f>
        <v>729</v>
      </c>
      <c r="G307" s="23">
        <f>IFERROR(__xludf.DUMMYFUNCTION("""COMPUTED_VALUE"""),626.0)</f>
        <v>626</v>
      </c>
      <c r="H307" s="23" t="str">
        <f>IFERROR(__xludf.DUMMYFUNCTION("""COMPUTED_VALUE"""),"Algorithms")</f>
        <v>Algorithms</v>
      </c>
      <c r="I307" s="23">
        <f>IFERROR(__xludf.DUMMYFUNCTION("""COMPUTED_VALUE"""),0.306)</f>
        <v>0.306</v>
      </c>
      <c r="J307" s="23">
        <f>IFERROR(__xludf.DUMMYFUNCTION("""COMPUTED_VALUE"""),306.0)</f>
        <v>306</v>
      </c>
      <c r="K307" s="23" t="b">
        <f>IFERROR(__xludf.DUMMYFUNCTION("""COMPUTED_VALUE"""),FALSE)</f>
        <v>0</v>
      </c>
      <c r="L307" s="23" t="str">
        <f>IFERROR(__xludf.DUMMYFUNCTION("""COMPUTED_VALUE"""),"String;Backtracking;")</f>
        <v>String;Backtracking;</v>
      </c>
      <c r="M307" s="23" t="b">
        <f>IFERROR(__xludf.DUMMYFUNCTION("""COMPUTED_VALUE"""),FALSE)</f>
        <v>0</v>
      </c>
      <c r="N307" s="23" t="b">
        <f>IFERROR(__xludf.DUMMYFUNCTION("""COMPUTED_VALUE"""),FALSE)</f>
        <v>0</v>
      </c>
      <c r="O307" s="23">
        <f>IFERROR(__xludf.DUMMYFUNCTION("""COMPUTED_VALUE"""),30.5615129654903)</f>
        <v>30.56151297</v>
      </c>
      <c r="P307" s="23">
        <f>IFERROR(__xludf.DUMMYFUNCTION("""COMPUTED_VALUE"""),68970.0)</f>
        <v>68970</v>
      </c>
      <c r="Q307" s="23">
        <f>IFERROR(__xludf.DUMMYFUNCTION("""COMPUTED_VALUE"""),225676.0)</f>
        <v>225676</v>
      </c>
    </row>
    <row r="308">
      <c r="A308" s="23">
        <f>IFERROR(__xludf.DUMMYFUNCTION("""COMPUTED_VALUE"""),307.0)</f>
        <v>307</v>
      </c>
      <c r="B308" s="23" t="str">
        <f>IFERROR(__xludf.DUMMYFUNCTION("""COMPUTED_VALUE"""),"Range Sum Query - Mutable")</f>
        <v>Range Sum Query - Mutable</v>
      </c>
      <c r="C308" s="23" t="str">
        <f>IFERROR(__xludf.DUMMYFUNCTION("""COMPUTED_VALUE"""),"range-sum-query-mutable")</f>
        <v>range-sum-query-mutable</v>
      </c>
      <c r="D308" s="23" t="b">
        <f>IFERROR(__xludf.DUMMYFUNCTION("""COMPUTED_VALUE"""),FALSE)</f>
        <v>0</v>
      </c>
      <c r="E308" s="23" t="str">
        <f>IFERROR(__xludf.DUMMYFUNCTION("""COMPUTED_VALUE"""),"Medium")</f>
        <v>Medium</v>
      </c>
      <c r="F308" s="23">
        <f>IFERROR(__xludf.DUMMYFUNCTION("""COMPUTED_VALUE"""),2704.0)</f>
        <v>2704</v>
      </c>
      <c r="G308" s="23">
        <f>IFERROR(__xludf.DUMMYFUNCTION("""COMPUTED_VALUE"""),143.0)</f>
        <v>143</v>
      </c>
      <c r="H308" s="23" t="str">
        <f>IFERROR(__xludf.DUMMYFUNCTION("""COMPUTED_VALUE"""),"Algorithms")</f>
        <v>Algorithms</v>
      </c>
      <c r="I308" s="23">
        <f>IFERROR(__xludf.DUMMYFUNCTION("""COMPUTED_VALUE"""),0.387)</f>
        <v>0.387</v>
      </c>
      <c r="J308" s="23">
        <f>IFERROR(__xludf.DUMMYFUNCTION("""COMPUTED_VALUE"""),307.0)</f>
        <v>307</v>
      </c>
      <c r="K308" s="23" t="b">
        <f>IFERROR(__xludf.DUMMYFUNCTION("""COMPUTED_VALUE"""),FALSE)</f>
        <v>0</v>
      </c>
      <c r="L308" s="23" t="str">
        <f>IFERROR(__xludf.DUMMYFUNCTION("""COMPUTED_VALUE"""),"Array;Design;Binary Indexed Tree;Segment Tree;")</f>
        <v>Array;Design;Binary Indexed Tree;Segment Tree;</v>
      </c>
      <c r="M308" s="23" t="b">
        <f>IFERROR(__xludf.DUMMYFUNCTION("""COMPUTED_VALUE"""),TRUE)</f>
        <v>1</v>
      </c>
      <c r="N308" s="23" t="b">
        <f>IFERROR(__xludf.DUMMYFUNCTION("""COMPUTED_VALUE"""),FALSE)</f>
        <v>0</v>
      </c>
      <c r="O308" s="23">
        <f>IFERROR(__xludf.DUMMYFUNCTION("""COMPUTED_VALUE"""),38.683748232572)</f>
        <v>38.68374823</v>
      </c>
      <c r="P308" s="23">
        <f>IFERROR(__xludf.DUMMYFUNCTION("""COMPUTED_VALUE"""),180568.0)</f>
        <v>180568</v>
      </c>
      <c r="Q308" s="23">
        <f>IFERROR(__xludf.DUMMYFUNCTION("""COMPUTED_VALUE"""),466780.0)</f>
        <v>466780</v>
      </c>
    </row>
    <row r="309">
      <c r="A309" s="23">
        <f>IFERROR(__xludf.DUMMYFUNCTION("""COMPUTED_VALUE"""),308.0)</f>
        <v>308</v>
      </c>
      <c r="B309" s="23" t="str">
        <f>IFERROR(__xludf.DUMMYFUNCTION("""COMPUTED_VALUE"""),"Range Sum Query 2D - Mutable")</f>
        <v>Range Sum Query 2D - Mutable</v>
      </c>
      <c r="C309" s="23" t="str">
        <f>IFERROR(__xludf.DUMMYFUNCTION("""COMPUTED_VALUE"""),"range-sum-query-2d-mutable")</f>
        <v>range-sum-query-2d-mutable</v>
      </c>
      <c r="D309" s="23" t="b">
        <f>IFERROR(__xludf.DUMMYFUNCTION("""COMPUTED_VALUE"""),TRUE)</f>
        <v>1</v>
      </c>
      <c r="E309" s="23" t="str">
        <f>IFERROR(__xludf.DUMMYFUNCTION("""COMPUTED_VALUE"""),"Hard")</f>
        <v>Hard</v>
      </c>
      <c r="F309" s="23">
        <f>IFERROR(__xludf.DUMMYFUNCTION("""COMPUTED_VALUE"""),652.0)</f>
        <v>652</v>
      </c>
      <c r="G309" s="23">
        <f>IFERROR(__xludf.DUMMYFUNCTION("""COMPUTED_VALUE"""),75.0)</f>
        <v>75</v>
      </c>
      <c r="H309" s="23" t="str">
        <f>IFERROR(__xludf.DUMMYFUNCTION("""COMPUTED_VALUE"""),"Algorithms")</f>
        <v>Algorithms</v>
      </c>
      <c r="I309" s="23">
        <f>IFERROR(__xludf.DUMMYFUNCTION("""COMPUTED_VALUE"""),0.41)</f>
        <v>0.41</v>
      </c>
      <c r="J309" s="23">
        <f>IFERROR(__xludf.DUMMYFUNCTION("""COMPUTED_VALUE"""),308.0)</f>
        <v>308</v>
      </c>
      <c r="K309" s="23" t="b">
        <f>IFERROR(__xludf.DUMMYFUNCTION("""COMPUTED_VALUE"""),TRUE)</f>
        <v>1</v>
      </c>
      <c r="L309" s="23" t="str">
        <f>IFERROR(__xludf.DUMMYFUNCTION("""COMPUTED_VALUE"""),"Array;Design;Binary Indexed Tree;Segment Tree;Matrix;")</f>
        <v>Array;Design;Binary Indexed Tree;Segment Tree;Matrix;</v>
      </c>
      <c r="M309" s="23" t="b">
        <f>IFERROR(__xludf.DUMMYFUNCTION("""COMPUTED_VALUE"""),TRUE)</f>
        <v>1</v>
      </c>
      <c r="N309" s="23" t="b">
        <f>IFERROR(__xludf.DUMMYFUNCTION("""COMPUTED_VALUE"""),FALSE)</f>
        <v>0</v>
      </c>
      <c r="O309" s="23">
        <f>IFERROR(__xludf.DUMMYFUNCTION("""COMPUTED_VALUE"""),41.0184712854326)</f>
        <v>41.01847129</v>
      </c>
      <c r="P309" s="23">
        <f>IFERROR(__xludf.DUMMYFUNCTION("""COMPUTED_VALUE"""),65132.0)</f>
        <v>65132</v>
      </c>
      <c r="Q309" s="23">
        <f>IFERROR(__xludf.DUMMYFUNCTION("""COMPUTED_VALUE"""),158787.0)</f>
        <v>158787</v>
      </c>
    </row>
    <row r="310">
      <c r="A310" s="23">
        <f>IFERROR(__xludf.DUMMYFUNCTION("""COMPUTED_VALUE"""),309.0)</f>
        <v>309</v>
      </c>
      <c r="B310" s="23" t="str">
        <f>IFERROR(__xludf.DUMMYFUNCTION("""COMPUTED_VALUE"""),"Best Time to Buy and Sell Stock with Cooldown")</f>
        <v>Best Time to Buy and Sell Stock with Cooldown</v>
      </c>
      <c r="C310" s="23" t="str">
        <f>IFERROR(__xludf.DUMMYFUNCTION("""COMPUTED_VALUE"""),"best-time-to-buy-and-sell-stock-with-cooldown")</f>
        <v>best-time-to-buy-and-sell-stock-with-cooldown</v>
      </c>
      <c r="D310" s="23" t="b">
        <f>IFERROR(__xludf.DUMMYFUNCTION("""COMPUTED_VALUE"""),FALSE)</f>
        <v>0</v>
      </c>
      <c r="E310" s="23" t="str">
        <f>IFERROR(__xludf.DUMMYFUNCTION("""COMPUTED_VALUE"""),"Medium")</f>
        <v>Medium</v>
      </c>
      <c r="F310" s="23">
        <f>IFERROR(__xludf.DUMMYFUNCTION("""COMPUTED_VALUE"""),5625.0)</f>
        <v>5625</v>
      </c>
      <c r="G310" s="23">
        <f>IFERROR(__xludf.DUMMYFUNCTION("""COMPUTED_VALUE"""),200.0)</f>
        <v>200</v>
      </c>
      <c r="H310" s="23" t="str">
        <f>IFERROR(__xludf.DUMMYFUNCTION("""COMPUTED_VALUE"""),"Algorithms")</f>
        <v>Algorithms</v>
      </c>
      <c r="I310" s="23">
        <f>IFERROR(__xludf.DUMMYFUNCTION("""COMPUTED_VALUE"""),0.524)</f>
        <v>0.524</v>
      </c>
      <c r="J310" s="23">
        <f>IFERROR(__xludf.DUMMYFUNCTION("""COMPUTED_VALUE"""),309.0)</f>
        <v>309</v>
      </c>
      <c r="K310" s="23" t="b">
        <f>IFERROR(__xludf.DUMMYFUNCTION("""COMPUTED_VALUE"""),FALSE)</f>
        <v>0</v>
      </c>
      <c r="L310" s="23" t="str">
        <f>IFERROR(__xludf.DUMMYFUNCTION("""COMPUTED_VALUE"""),"Array;Dynamic Programming;")</f>
        <v>Array;Dynamic Programming;</v>
      </c>
      <c r="M310" s="23" t="b">
        <f>IFERROR(__xludf.DUMMYFUNCTION("""COMPUTED_VALUE"""),TRUE)</f>
        <v>1</v>
      </c>
      <c r="N310" s="23" t="b">
        <f>IFERROR(__xludf.DUMMYFUNCTION("""COMPUTED_VALUE"""),FALSE)</f>
        <v>0</v>
      </c>
      <c r="O310" s="23">
        <f>IFERROR(__xludf.DUMMYFUNCTION("""COMPUTED_VALUE"""),52.40511308519)</f>
        <v>52.40511309</v>
      </c>
      <c r="P310" s="23">
        <f>IFERROR(__xludf.DUMMYFUNCTION("""COMPUTED_VALUE"""),274432.0)</f>
        <v>274432</v>
      </c>
      <c r="Q310" s="23">
        <f>IFERROR(__xludf.DUMMYFUNCTION("""COMPUTED_VALUE"""),523675.0)</f>
        <v>523675</v>
      </c>
    </row>
    <row r="311">
      <c r="A311" s="23">
        <f>IFERROR(__xludf.DUMMYFUNCTION("""COMPUTED_VALUE"""),310.0)</f>
        <v>310</v>
      </c>
      <c r="B311" s="23" t="str">
        <f>IFERROR(__xludf.DUMMYFUNCTION("""COMPUTED_VALUE"""),"Minimum Height Trees")</f>
        <v>Minimum Height Trees</v>
      </c>
      <c r="C311" s="23" t="str">
        <f>IFERROR(__xludf.DUMMYFUNCTION("""COMPUTED_VALUE"""),"minimum-height-trees")</f>
        <v>minimum-height-trees</v>
      </c>
      <c r="D311" s="23" t="b">
        <f>IFERROR(__xludf.DUMMYFUNCTION("""COMPUTED_VALUE"""),FALSE)</f>
        <v>0</v>
      </c>
      <c r="E311" s="23" t="str">
        <f>IFERROR(__xludf.DUMMYFUNCTION("""COMPUTED_VALUE"""),"Medium")</f>
        <v>Medium</v>
      </c>
      <c r="F311" s="23">
        <f>IFERROR(__xludf.DUMMYFUNCTION("""COMPUTED_VALUE"""),5140.0)</f>
        <v>5140</v>
      </c>
      <c r="G311" s="23">
        <f>IFERROR(__xludf.DUMMYFUNCTION("""COMPUTED_VALUE"""),212.0)</f>
        <v>212</v>
      </c>
      <c r="H311" s="23" t="str">
        <f>IFERROR(__xludf.DUMMYFUNCTION("""COMPUTED_VALUE"""),"Algorithms")</f>
        <v>Algorithms</v>
      </c>
      <c r="I311" s="23">
        <f>IFERROR(__xludf.DUMMYFUNCTION("""COMPUTED_VALUE"""),0.381)</f>
        <v>0.381</v>
      </c>
      <c r="J311" s="23">
        <f>IFERROR(__xludf.DUMMYFUNCTION("""COMPUTED_VALUE"""),310.0)</f>
        <v>310</v>
      </c>
      <c r="K311" s="23" t="b">
        <f>IFERROR(__xludf.DUMMYFUNCTION("""COMPUTED_VALUE"""),FALSE)</f>
        <v>0</v>
      </c>
      <c r="L311" s="23" t="str">
        <f>IFERROR(__xludf.DUMMYFUNCTION("""COMPUTED_VALUE"""),"Depth-First Search;Breadth-First Search;Graph;Topological Sort;")</f>
        <v>Depth-First Search;Breadth-First Search;Graph;Topological Sort;</v>
      </c>
      <c r="M311" s="23" t="b">
        <f>IFERROR(__xludf.DUMMYFUNCTION("""COMPUTED_VALUE"""),TRUE)</f>
        <v>1</v>
      </c>
      <c r="N311" s="23" t="b">
        <f>IFERROR(__xludf.DUMMYFUNCTION("""COMPUTED_VALUE"""),FALSE)</f>
        <v>0</v>
      </c>
      <c r="O311" s="23">
        <f>IFERROR(__xludf.DUMMYFUNCTION("""COMPUTED_VALUE"""),38.1166428029324)</f>
        <v>38.1166428</v>
      </c>
      <c r="P311" s="23">
        <f>IFERROR(__xludf.DUMMYFUNCTION("""COMPUTED_VALUE"""),194864.0)</f>
        <v>194864</v>
      </c>
      <c r="Q311" s="23">
        <f>IFERROR(__xludf.DUMMYFUNCTION("""COMPUTED_VALUE"""),511233.0)</f>
        <v>511233</v>
      </c>
    </row>
    <row r="312">
      <c r="A312" s="23">
        <f>IFERROR(__xludf.DUMMYFUNCTION("""COMPUTED_VALUE"""),311.0)</f>
        <v>311</v>
      </c>
      <c r="B312" s="23" t="str">
        <f>IFERROR(__xludf.DUMMYFUNCTION("""COMPUTED_VALUE"""),"Sparse Matrix Multiplication")</f>
        <v>Sparse Matrix Multiplication</v>
      </c>
      <c r="C312" s="23" t="str">
        <f>IFERROR(__xludf.DUMMYFUNCTION("""COMPUTED_VALUE"""),"sparse-matrix-multiplication")</f>
        <v>sparse-matrix-multiplication</v>
      </c>
      <c r="D312" s="23" t="b">
        <f>IFERROR(__xludf.DUMMYFUNCTION("""COMPUTED_VALUE"""),TRUE)</f>
        <v>1</v>
      </c>
      <c r="E312" s="23" t="str">
        <f>IFERROR(__xludf.DUMMYFUNCTION("""COMPUTED_VALUE"""),"Medium")</f>
        <v>Medium</v>
      </c>
      <c r="F312" s="23">
        <f>IFERROR(__xludf.DUMMYFUNCTION("""COMPUTED_VALUE"""),853.0)</f>
        <v>853</v>
      </c>
      <c r="G312" s="23">
        <f>IFERROR(__xludf.DUMMYFUNCTION("""COMPUTED_VALUE"""),298.0)</f>
        <v>298</v>
      </c>
      <c r="H312" s="23" t="str">
        <f>IFERROR(__xludf.DUMMYFUNCTION("""COMPUTED_VALUE"""),"Algorithms")</f>
        <v>Algorithms</v>
      </c>
      <c r="I312" s="23">
        <f>IFERROR(__xludf.DUMMYFUNCTION("""COMPUTED_VALUE"""),0.663)</f>
        <v>0.663</v>
      </c>
      <c r="J312" s="23">
        <f>IFERROR(__xludf.DUMMYFUNCTION("""COMPUTED_VALUE"""),311.0)</f>
        <v>311</v>
      </c>
      <c r="K312" s="23" t="b">
        <f>IFERROR(__xludf.DUMMYFUNCTION("""COMPUTED_VALUE"""),TRUE)</f>
        <v>1</v>
      </c>
      <c r="L312" s="23" t="str">
        <f>IFERROR(__xludf.DUMMYFUNCTION("""COMPUTED_VALUE"""),"Array;Hash Table;Matrix;")</f>
        <v>Array;Hash Table;Matrix;</v>
      </c>
      <c r="M312" s="23" t="b">
        <f>IFERROR(__xludf.DUMMYFUNCTION("""COMPUTED_VALUE"""),TRUE)</f>
        <v>1</v>
      </c>
      <c r="N312" s="23" t="b">
        <f>IFERROR(__xludf.DUMMYFUNCTION("""COMPUTED_VALUE"""),FALSE)</f>
        <v>0</v>
      </c>
      <c r="O312" s="23">
        <f>IFERROR(__xludf.DUMMYFUNCTION("""COMPUTED_VALUE"""),66.3114406962774)</f>
        <v>66.3114407</v>
      </c>
      <c r="P312" s="23">
        <f>IFERROR(__xludf.DUMMYFUNCTION("""COMPUTED_VALUE"""),153446.0)</f>
        <v>153446</v>
      </c>
      <c r="Q312" s="23">
        <f>IFERROR(__xludf.DUMMYFUNCTION("""COMPUTED_VALUE"""),231402.0)</f>
        <v>231402</v>
      </c>
    </row>
    <row r="313">
      <c r="A313" s="23">
        <f>IFERROR(__xludf.DUMMYFUNCTION("""COMPUTED_VALUE"""),312.0)</f>
        <v>312</v>
      </c>
      <c r="B313" s="23" t="str">
        <f>IFERROR(__xludf.DUMMYFUNCTION("""COMPUTED_VALUE"""),"Burst Balloons")</f>
        <v>Burst Balloons</v>
      </c>
      <c r="C313" s="23" t="str">
        <f>IFERROR(__xludf.DUMMYFUNCTION("""COMPUTED_VALUE"""),"burst-balloons")</f>
        <v>burst-balloons</v>
      </c>
      <c r="D313" s="23" t="b">
        <f>IFERROR(__xludf.DUMMYFUNCTION("""COMPUTED_VALUE"""),FALSE)</f>
        <v>0</v>
      </c>
      <c r="E313" s="23" t="str">
        <f>IFERROR(__xludf.DUMMYFUNCTION("""COMPUTED_VALUE"""),"Hard")</f>
        <v>Hard</v>
      </c>
      <c r="F313" s="23">
        <f>IFERROR(__xludf.DUMMYFUNCTION("""COMPUTED_VALUE"""),5846.0)</f>
        <v>5846</v>
      </c>
      <c r="G313" s="23">
        <f>IFERROR(__xludf.DUMMYFUNCTION("""COMPUTED_VALUE"""),156.0)</f>
        <v>156</v>
      </c>
      <c r="H313" s="23" t="str">
        <f>IFERROR(__xludf.DUMMYFUNCTION("""COMPUTED_VALUE"""),"Algorithms")</f>
        <v>Algorithms</v>
      </c>
      <c r="I313" s="23">
        <f>IFERROR(__xludf.DUMMYFUNCTION("""COMPUTED_VALUE"""),0.563)</f>
        <v>0.563</v>
      </c>
      <c r="J313" s="23">
        <f>IFERROR(__xludf.DUMMYFUNCTION("""COMPUTED_VALUE"""),312.0)</f>
        <v>312</v>
      </c>
      <c r="K313" s="23" t="b">
        <f>IFERROR(__xludf.DUMMYFUNCTION("""COMPUTED_VALUE"""),FALSE)</f>
        <v>0</v>
      </c>
      <c r="L313" s="23" t="str">
        <f>IFERROR(__xludf.DUMMYFUNCTION("""COMPUTED_VALUE"""),"Array;Dynamic Programming;")</f>
        <v>Array;Dynamic Programming;</v>
      </c>
      <c r="M313" s="23" t="b">
        <f>IFERROR(__xludf.DUMMYFUNCTION("""COMPUTED_VALUE"""),TRUE)</f>
        <v>1</v>
      </c>
      <c r="N313" s="23" t="b">
        <f>IFERROR(__xludf.DUMMYFUNCTION("""COMPUTED_VALUE"""),FALSE)</f>
        <v>0</v>
      </c>
      <c r="O313" s="23">
        <f>IFERROR(__xludf.DUMMYFUNCTION("""COMPUTED_VALUE"""),56.2872128421747)</f>
        <v>56.28721284</v>
      </c>
      <c r="P313" s="23">
        <f>IFERROR(__xludf.DUMMYFUNCTION("""COMPUTED_VALUE"""),184155.0)</f>
        <v>184155</v>
      </c>
      <c r="Q313" s="23">
        <f>IFERROR(__xludf.DUMMYFUNCTION("""COMPUTED_VALUE"""),327169.0)</f>
        <v>327169</v>
      </c>
    </row>
    <row r="314">
      <c r="A314" s="23">
        <f>IFERROR(__xludf.DUMMYFUNCTION("""COMPUTED_VALUE"""),313.0)</f>
        <v>313</v>
      </c>
      <c r="B314" s="23" t="str">
        <f>IFERROR(__xludf.DUMMYFUNCTION("""COMPUTED_VALUE"""),"Super Ugly Number")</f>
        <v>Super Ugly Number</v>
      </c>
      <c r="C314" s="23" t="str">
        <f>IFERROR(__xludf.DUMMYFUNCTION("""COMPUTED_VALUE"""),"super-ugly-number")</f>
        <v>super-ugly-number</v>
      </c>
      <c r="D314" s="23" t="b">
        <f>IFERROR(__xludf.DUMMYFUNCTION("""COMPUTED_VALUE"""),FALSE)</f>
        <v>0</v>
      </c>
      <c r="E314" s="23" t="str">
        <f>IFERROR(__xludf.DUMMYFUNCTION("""COMPUTED_VALUE"""),"Medium")</f>
        <v>Medium</v>
      </c>
      <c r="F314" s="23">
        <f>IFERROR(__xludf.DUMMYFUNCTION("""COMPUTED_VALUE"""),1474.0)</f>
        <v>1474</v>
      </c>
      <c r="G314" s="23">
        <f>IFERROR(__xludf.DUMMYFUNCTION("""COMPUTED_VALUE"""),280.0)</f>
        <v>280</v>
      </c>
      <c r="H314" s="23" t="str">
        <f>IFERROR(__xludf.DUMMYFUNCTION("""COMPUTED_VALUE"""),"Algorithms")</f>
        <v>Algorithms</v>
      </c>
      <c r="I314" s="23">
        <f>IFERROR(__xludf.DUMMYFUNCTION("""COMPUTED_VALUE"""),0.457)</f>
        <v>0.457</v>
      </c>
      <c r="J314" s="23">
        <f>IFERROR(__xludf.DUMMYFUNCTION("""COMPUTED_VALUE"""),313.0)</f>
        <v>313</v>
      </c>
      <c r="K314" s="23" t="b">
        <f>IFERROR(__xludf.DUMMYFUNCTION("""COMPUTED_VALUE"""),FALSE)</f>
        <v>0</v>
      </c>
      <c r="L314" s="23" t="str">
        <f>IFERROR(__xludf.DUMMYFUNCTION("""COMPUTED_VALUE"""),"Array;Hash Table;Math;Dynamic Programming;Heap (Priority Queue);")</f>
        <v>Array;Hash Table;Math;Dynamic Programming;Heap (Priority Queue);</v>
      </c>
      <c r="M314" s="23" t="b">
        <f>IFERROR(__xludf.DUMMYFUNCTION("""COMPUTED_VALUE"""),FALSE)</f>
        <v>0</v>
      </c>
      <c r="N314" s="23" t="b">
        <f>IFERROR(__xludf.DUMMYFUNCTION("""COMPUTED_VALUE"""),FALSE)</f>
        <v>0</v>
      </c>
      <c r="O314" s="23">
        <f>IFERROR(__xludf.DUMMYFUNCTION("""COMPUTED_VALUE"""),45.6909891940468)</f>
        <v>45.69098919</v>
      </c>
      <c r="P314" s="23">
        <f>IFERROR(__xludf.DUMMYFUNCTION("""COMPUTED_VALUE"""),104226.0)</f>
        <v>104226</v>
      </c>
      <c r="Q314" s="23">
        <f>IFERROR(__xludf.DUMMYFUNCTION("""COMPUTED_VALUE"""),228112.0)</f>
        <v>228112</v>
      </c>
    </row>
    <row r="315">
      <c r="A315" s="23">
        <f>IFERROR(__xludf.DUMMYFUNCTION("""COMPUTED_VALUE"""),314.0)</f>
        <v>314</v>
      </c>
      <c r="B315" s="23" t="str">
        <f>IFERROR(__xludf.DUMMYFUNCTION("""COMPUTED_VALUE"""),"Binary Tree Vertical Order Traversal")</f>
        <v>Binary Tree Vertical Order Traversal</v>
      </c>
      <c r="C315" s="23" t="str">
        <f>IFERROR(__xludf.DUMMYFUNCTION("""COMPUTED_VALUE"""),"binary-tree-vertical-order-traversal")</f>
        <v>binary-tree-vertical-order-traversal</v>
      </c>
      <c r="D315" s="23" t="b">
        <f>IFERROR(__xludf.DUMMYFUNCTION("""COMPUTED_VALUE"""),TRUE)</f>
        <v>1</v>
      </c>
      <c r="E315" s="23" t="str">
        <f>IFERROR(__xludf.DUMMYFUNCTION("""COMPUTED_VALUE"""),"Medium")</f>
        <v>Medium</v>
      </c>
      <c r="F315" s="23">
        <f>IFERROR(__xludf.DUMMYFUNCTION("""COMPUTED_VALUE"""),2386.0)</f>
        <v>2386</v>
      </c>
      <c r="G315" s="23">
        <f>IFERROR(__xludf.DUMMYFUNCTION("""COMPUTED_VALUE"""),259.0)</f>
        <v>259</v>
      </c>
      <c r="H315" s="23" t="str">
        <f>IFERROR(__xludf.DUMMYFUNCTION("""COMPUTED_VALUE"""),"Algorithms")</f>
        <v>Algorithms</v>
      </c>
      <c r="I315" s="23">
        <f>IFERROR(__xludf.DUMMYFUNCTION("""COMPUTED_VALUE"""),0.512)</f>
        <v>0.512</v>
      </c>
      <c r="J315" s="23">
        <f>IFERROR(__xludf.DUMMYFUNCTION("""COMPUTED_VALUE"""),314.0)</f>
        <v>314</v>
      </c>
      <c r="K315" s="23" t="b">
        <f>IFERROR(__xludf.DUMMYFUNCTION("""COMPUTED_VALUE"""),TRUE)</f>
        <v>1</v>
      </c>
      <c r="L315" s="23" t="str">
        <f>IFERROR(__xludf.DUMMYFUNCTION("""COMPUTED_VALUE"""),"Hash Table;Tree;Depth-First Search;Breadth-First Search;Binary Tree;")</f>
        <v>Hash Table;Tree;Depth-First Search;Breadth-First Search;Binary Tree;</v>
      </c>
      <c r="M315" s="23" t="b">
        <f>IFERROR(__xludf.DUMMYFUNCTION("""COMPUTED_VALUE"""),TRUE)</f>
        <v>1</v>
      </c>
      <c r="N315" s="23" t="b">
        <f>IFERROR(__xludf.DUMMYFUNCTION("""COMPUTED_VALUE"""),FALSE)</f>
        <v>0</v>
      </c>
      <c r="O315" s="23">
        <f>IFERROR(__xludf.DUMMYFUNCTION("""COMPUTED_VALUE"""),51.1911844886793)</f>
        <v>51.19118449</v>
      </c>
      <c r="P315" s="23">
        <f>IFERROR(__xludf.DUMMYFUNCTION("""COMPUTED_VALUE"""),267584.0)</f>
        <v>267584</v>
      </c>
      <c r="Q315" s="23">
        <f>IFERROR(__xludf.DUMMYFUNCTION("""COMPUTED_VALUE"""),522715.0)</f>
        <v>522715</v>
      </c>
    </row>
    <row r="316">
      <c r="A316" s="23">
        <f>IFERROR(__xludf.DUMMYFUNCTION("""COMPUTED_VALUE"""),315.0)</f>
        <v>315</v>
      </c>
      <c r="B316" s="23" t="str">
        <f>IFERROR(__xludf.DUMMYFUNCTION("""COMPUTED_VALUE"""),"Count of Smaller Numbers After Self")</f>
        <v>Count of Smaller Numbers After Self</v>
      </c>
      <c r="C316" s="23" t="str">
        <f>IFERROR(__xludf.DUMMYFUNCTION("""COMPUTED_VALUE"""),"count-of-smaller-numbers-after-self")</f>
        <v>count-of-smaller-numbers-after-self</v>
      </c>
      <c r="D316" s="23" t="b">
        <f>IFERROR(__xludf.DUMMYFUNCTION("""COMPUTED_VALUE"""),FALSE)</f>
        <v>0</v>
      </c>
      <c r="E316" s="23" t="str">
        <f>IFERROR(__xludf.DUMMYFUNCTION("""COMPUTED_VALUE"""),"Hard")</f>
        <v>Hard</v>
      </c>
      <c r="F316" s="23">
        <f>IFERROR(__xludf.DUMMYFUNCTION("""COMPUTED_VALUE"""),5435.0)</f>
        <v>5435</v>
      </c>
      <c r="G316" s="23">
        <f>IFERROR(__xludf.DUMMYFUNCTION("""COMPUTED_VALUE"""),154.0)</f>
        <v>154</v>
      </c>
      <c r="H316" s="23" t="str">
        <f>IFERROR(__xludf.DUMMYFUNCTION("""COMPUTED_VALUE"""),"Algorithms")</f>
        <v>Algorithms</v>
      </c>
      <c r="I316" s="23">
        <f>IFERROR(__xludf.DUMMYFUNCTION("""COMPUTED_VALUE"""),0.42)</f>
        <v>0.42</v>
      </c>
      <c r="J316" s="23">
        <f>IFERROR(__xludf.DUMMYFUNCTION("""COMPUTED_VALUE"""),315.0)</f>
        <v>315</v>
      </c>
      <c r="K316" s="23" t="b">
        <f>IFERROR(__xludf.DUMMYFUNCTION("""COMPUTED_VALUE"""),FALSE)</f>
        <v>0</v>
      </c>
      <c r="L316" s="23" t="str">
        <f>IFERROR(__xludf.DUMMYFUNCTION("""COMPUTED_VALUE"""),"Array;Binary Search;Divide and Conquer;Binary Indexed Tree;Segment Tree;Merge Sort;Ordered Set;")</f>
        <v>Array;Binary Search;Divide and Conquer;Binary Indexed Tree;Segment Tree;Merge Sort;Ordered Set;</v>
      </c>
      <c r="M316" s="23" t="b">
        <f>IFERROR(__xludf.DUMMYFUNCTION("""COMPUTED_VALUE"""),TRUE)</f>
        <v>1</v>
      </c>
      <c r="N316" s="23" t="b">
        <f>IFERROR(__xludf.DUMMYFUNCTION("""COMPUTED_VALUE"""),FALSE)</f>
        <v>0</v>
      </c>
      <c r="O316" s="23">
        <f>IFERROR(__xludf.DUMMYFUNCTION("""COMPUTED_VALUE"""),42.0471942833828)</f>
        <v>42.04719428</v>
      </c>
      <c r="P316" s="23">
        <f>IFERROR(__xludf.DUMMYFUNCTION("""COMPUTED_VALUE"""),224659.0)</f>
        <v>224659</v>
      </c>
      <c r="Q316" s="23">
        <f>IFERROR(__xludf.DUMMYFUNCTION("""COMPUTED_VALUE"""),534302.0)</f>
        <v>534302</v>
      </c>
    </row>
    <row r="317">
      <c r="A317" s="23">
        <f>IFERROR(__xludf.DUMMYFUNCTION("""COMPUTED_VALUE"""),316.0)</f>
        <v>316</v>
      </c>
      <c r="B317" s="23" t="str">
        <f>IFERROR(__xludf.DUMMYFUNCTION("""COMPUTED_VALUE"""),"Remove Duplicate Letters")</f>
        <v>Remove Duplicate Letters</v>
      </c>
      <c r="C317" s="23" t="str">
        <f>IFERROR(__xludf.DUMMYFUNCTION("""COMPUTED_VALUE"""),"remove-duplicate-letters")</f>
        <v>remove-duplicate-letters</v>
      </c>
      <c r="D317" s="23" t="b">
        <f>IFERROR(__xludf.DUMMYFUNCTION("""COMPUTED_VALUE"""),FALSE)</f>
        <v>0</v>
      </c>
      <c r="E317" s="23" t="str">
        <f>IFERROR(__xludf.DUMMYFUNCTION("""COMPUTED_VALUE"""),"Medium")</f>
        <v>Medium</v>
      </c>
      <c r="F317" s="23">
        <f>IFERROR(__xludf.DUMMYFUNCTION("""COMPUTED_VALUE"""),5221.0)</f>
        <v>5221</v>
      </c>
      <c r="G317" s="23">
        <f>IFERROR(__xludf.DUMMYFUNCTION("""COMPUTED_VALUE"""),341.0)</f>
        <v>341</v>
      </c>
      <c r="H317" s="23" t="str">
        <f>IFERROR(__xludf.DUMMYFUNCTION("""COMPUTED_VALUE"""),"Algorithms")</f>
        <v>Algorithms</v>
      </c>
      <c r="I317" s="23">
        <f>IFERROR(__xludf.DUMMYFUNCTION("""COMPUTED_VALUE"""),0.439)</f>
        <v>0.439</v>
      </c>
      <c r="J317" s="23">
        <f>IFERROR(__xludf.DUMMYFUNCTION("""COMPUTED_VALUE"""),316.0)</f>
        <v>316</v>
      </c>
      <c r="K317" s="23" t="b">
        <f>IFERROR(__xludf.DUMMYFUNCTION("""COMPUTED_VALUE"""),FALSE)</f>
        <v>0</v>
      </c>
      <c r="L317" s="23" t="str">
        <f>IFERROR(__xludf.DUMMYFUNCTION("""COMPUTED_VALUE"""),"String;Stack;Greedy;Monotonic Stack;")</f>
        <v>String;Stack;Greedy;Monotonic Stack;</v>
      </c>
      <c r="M317" s="23" t="b">
        <f>IFERROR(__xludf.DUMMYFUNCTION("""COMPUTED_VALUE"""),TRUE)</f>
        <v>1</v>
      </c>
      <c r="N317" s="23" t="b">
        <f>IFERROR(__xludf.DUMMYFUNCTION("""COMPUTED_VALUE"""),FALSE)</f>
        <v>0</v>
      </c>
      <c r="O317" s="23">
        <f>IFERROR(__xludf.DUMMYFUNCTION("""COMPUTED_VALUE"""),43.8801684929269)</f>
        <v>43.88016849</v>
      </c>
      <c r="P317" s="23">
        <f>IFERROR(__xludf.DUMMYFUNCTION("""COMPUTED_VALUE"""),190735.0)</f>
        <v>190735</v>
      </c>
      <c r="Q317" s="23">
        <f>IFERROR(__xludf.DUMMYFUNCTION("""COMPUTED_VALUE"""),434672.0)</f>
        <v>434672</v>
      </c>
    </row>
    <row r="318">
      <c r="A318" s="23">
        <f>IFERROR(__xludf.DUMMYFUNCTION("""COMPUTED_VALUE"""),317.0)</f>
        <v>317</v>
      </c>
      <c r="B318" s="23" t="str">
        <f>IFERROR(__xludf.DUMMYFUNCTION("""COMPUTED_VALUE"""),"Shortest Distance from All Buildings")</f>
        <v>Shortest Distance from All Buildings</v>
      </c>
      <c r="C318" s="23" t="str">
        <f>IFERROR(__xludf.DUMMYFUNCTION("""COMPUTED_VALUE"""),"shortest-distance-from-all-buildings")</f>
        <v>shortest-distance-from-all-buildings</v>
      </c>
      <c r="D318" s="23" t="b">
        <f>IFERROR(__xludf.DUMMYFUNCTION("""COMPUTED_VALUE"""),TRUE)</f>
        <v>1</v>
      </c>
      <c r="E318" s="23" t="str">
        <f>IFERROR(__xludf.DUMMYFUNCTION("""COMPUTED_VALUE"""),"Hard")</f>
        <v>Hard</v>
      </c>
      <c r="F318" s="23">
        <f>IFERROR(__xludf.DUMMYFUNCTION("""COMPUTED_VALUE"""),1546.0)</f>
        <v>1546</v>
      </c>
      <c r="G318" s="23">
        <f>IFERROR(__xludf.DUMMYFUNCTION("""COMPUTED_VALUE"""),172.0)</f>
        <v>172</v>
      </c>
      <c r="H318" s="23" t="str">
        <f>IFERROR(__xludf.DUMMYFUNCTION("""COMPUTED_VALUE"""),"Algorithms")</f>
        <v>Algorithms</v>
      </c>
      <c r="I318" s="23">
        <f>IFERROR(__xludf.DUMMYFUNCTION("""COMPUTED_VALUE"""),0.433)</f>
        <v>0.433</v>
      </c>
      <c r="J318" s="23">
        <f>IFERROR(__xludf.DUMMYFUNCTION("""COMPUTED_VALUE"""),317.0)</f>
        <v>317</v>
      </c>
      <c r="K318" s="23" t="b">
        <f>IFERROR(__xludf.DUMMYFUNCTION("""COMPUTED_VALUE"""),TRUE)</f>
        <v>1</v>
      </c>
      <c r="L318" s="23" t="str">
        <f>IFERROR(__xludf.DUMMYFUNCTION("""COMPUTED_VALUE"""),"Array;Breadth-First Search;Matrix;")</f>
        <v>Array;Breadth-First Search;Matrix;</v>
      </c>
      <c r="M318" s="23" t="b">
        <f>IFERROR(__xludf.DUMMYFUNCTION("""COMPUTED_VALUE"""),TRUE)</f>
        <v>1</v>
      </c>
      <c r="N318" s="23" t="b">
        <f>IFERROR(__xludf.DUMMYFUNCTION("""COMPUTED_VALUE"""),FALSE)</f>
        <v>0</v>
      </c>
      <c r="O318" s="23">
        <f>IFERROR(__xludf.DUMMYFUNCTION("""COMPUTED_VALUE"""),43.310434447998)</f>
        <v>43.31043445</v>
      </c>
      <c r="P318" s="23">
        <f>IFERROR(__xludf.DUMMYFUNCTION("""COMPUTED_VALUE"""),137313.0)</f>
        <v>137313</v>
      </c>
      <c r="Q318" s="23">
        <f>IFERROR(__xludf.DUMMYFUNCTION("""COMPUTED_VALUE"""),317045.0)</f>
        <v>317045</v>
      </c>
    </row>
    <row r="319">
      <c r="A319" s="23">
        <f>IFERROR(__xludf.DUMMYFUNCTION("""COMPUTED_VALUE"""),318.0)</f>
        <v>318</v>
      </c>
      <c r="B319" s="23" t="str">
        <f>IFERROR(__xludf.DUMMYFUNCTION("""COMPUTED_VALUE"""),"Maximum Product of Word Lengths")</f>
        <v>Maximum Product of Word Lengths</v>
      </c>
      <c r="C319" s="23" t="str">
        <f>IFERROR(__xludf.DUMMYFUNCTION("""COMPUTED_VALUE"""),"maximum-product-of-word-lengths")</f>
        <v>maximum-product-of-word-lengths</v>
      </c>
      <c r="D319" s="23" t="b">
        <f>IFERROR(__xludf.DUMMYFUNCTION("""COMPUTED_VALUE"""),FALSE)</f>
        <v>0</v>
      </c>
      <c r="E319" s="23" t="str">
        <f>IFERROR(__xludf.DUMMYFUNCTION("""COMPUTED_VALUE"""),"Medium")</f>
        <v>Medium</v>
      </c>
      <c r="F319" s="23">
        <f>IFERROR(__xludf.DUMMYFUNCTION("""COMPUTED_VALUE"""),1710.0)</f>
        <v>1710</v>
      </c>
      <c r="G319" s="23">
        <f>IFERROR(__xludf.DUMMYFUNCTION("""COMPUTED_VALUE"""),94.0)</f>
        <v>94</v>
      </c>
      <c r="H319" s="23" t="str">
        <f>IFERROR(__xludf.DUMMYFUNCTION("""COMPUTED_VALUE"""),"Algorithms")</f>
        <v>Algorithms</v>
      </c>
      <c r="I319" s="23">
        <f>IFERROR(__xludf.DUMMYFUNCTION("""COMPUTED_VALUE"""),0.566)</f>
        <v>0.566</v>
      </c>
      <c r="J319" s="23">
        <f>IFERROR(__xludf.DUMMYFUNCTION("""COMPUTED_VALUE"""),318.0)</f>
        <v>318</v>
      </c>
      <c r="K319" s="23" t="b">
        <f>IFERROR(__xludf.DUMMYFUNCTION("""COMPUTED_VALUE"""),FALSE)</f>
        <v>0</v>
      </c>
      <c r="L319" s="23" t="str">
        <f>IFERROR(__xludf.DUMMYFUNCTION("""COMPUTED_VALUE"""),"Array;String;Bit Manipulation;")</f>
        <v>Array;String;Bit Manipulation;</v>
      </c>
      <c r="M319" s="23" t="b">
        <f>IFERROR(__xludf.DUMMYFUNCTION("""COMPUTED_VALUE"""),TRUE)</f>
        <v>1</v>
      </c>
      <c r="N319" s="23" t="b">
        <f>IFERROR(__xludf.DUMMYFUNCTION("""COMPUTED_VALUE"""),FALSE)</f>
        <v>0</v>
      </c>
      <c r="O319" s="23">
        <f>IFERROR(__xludf.DUMMYFUNCTION("""COMPUTED_VALUE"""),56.6449458433641)</f>
        <v>56.64494584</v>
      </c>
      <c r="P319" s="23">
        <f>IFERROR(__xludf.DUMMYFUNCTION("""COMPUTED_VALUE"""),142824.0)</f>
        <v>142824</v>
      </c>
      <c r="Q319" s="23">
        <f>IFERROR(__xludf.DUMMYFUNCTION("""COMPUTED_VALUE"""),252139.0)</f>
        <v>252139</v>
      </c>
    </row>
    <row r="320">
      <c r="A320" s="23">
        <f>IFERROR(__xludf.DUMMYFUNCTION("""COMPUTED_VALUE"""),319.0)</f>
        <v>319</v>
      </c>
      <c r="B320" s="23" t="str">
        <f>IFERROR(__xludf.DUMMYFUNCTION("""COMPUTED_VALUE"""),"Bulb Switcher")</f>
        <v>Bulb Switcher</v>
      </c>
      <c r="C320" s="23" t="str">
        <f>IFERROR(__xludf.DUMMYFUNCTION("""COMPUTED_VALUE"""),"bulb-switcher")</f>
        <v>bulb-switcher</v>
      </c>
      <c r="D320" s="23" t="b">
        <f>IFERROR(__xludf.DUMMYFUNCTION("""COMPUTED_VALUE"""),FALSE)</f>
        <v>0</v>
      </c>
      <c r="E320" s="23" t="str">
        <f>IFERROR(__xludf.DUMMYFUNCTION("""COMPUTED_VALUE"""),"Medium")</f>
        <v>Medium</v>
      </c>
      <c r="F320" s="23">
        <f>IFERROR(__xludf.DUMMYFUNCTION("""COMPUTED_VALUE"""),917.0)</f>
        <v>917</v>
      </c>
      <c r="G320" s="23">
        <f>IFERROR(__xludf.DUMMYFUNCTION("""COMPUTED_VALUE"""),1649.0)</f>
        <v>1649</v>
      </c>
      <c r="H320" s="23" t="str">
        <f>IFERROR(__xludf.DUMMYFUNCTION("""COMPUTED_VALUE"""),"Algorithms")</f>
        <v>Algorithms</v>
      </c>
      <c r="I320" s="23">
        <f>IFERROR(__xludf.DUMMYFUNCTION("""COMPUTED_VALUE"""),0.472)</f>
        <v>0.472</v>
      </c>
      <c r="J320" s="23">
        <f>IFERROR(__xludf.DUMMYFUNCTION("""COMPUTED_VALUE"""),319.0)</f>
        <v>319</v>
      </c>
      <c r="K320" s="23" t="b">
        <f>IFERROR(__xludf.DUMMYFUNCTION("""COMPUTED_VALUE"""),FALSE)</f>
        <v>0</v>
      </c>
      <c r="L320" s="23" t="str">
        <f>IFERROR(__xludf.DUMMYFUNCTION("""COMPUTED_VALUE"""),"Math;Brainteaser;")</f>
        <v>Math;Brainteaser;</v>
      </c>
      <c r="M320" s="23" t="b">
        <f>IFERROR(__xludf.DUMMYFUNCTION("""COMPUTED_VALUE"""),FALSE)</f>
        <v>0</v>
      </c>
      <c r="N320" s="23" t="b">
        <f>IFERROR(__xludf.DUMMYFUNCTION("""COMPUTED_VALUE"""),FALSE)</f>
        <v>0</v>
      </c>
      <c r="O320" s="23">
        <f>IFERROR(__xludf.DUMMYFUNCTION("""COMPUTED_VALUE"""),47.2494795079587)</f>
        <v>47.24947951</v>
      </c>
      <c r="P320" s="23">
        <f>IFERROR(__xludf.DUMMYFUNCTION("""COMPUTED_VALUE"""),113927.0)</f>
        <v>113927</v>
      </c>
      <c r="Q320" s="23">
        <f>IFERROR(__xludf.DUMMYFUNCTION("""COMPUTED_VALUE"""),241118.0)</f>
        <v>241118</v>
      </c>
    </row>
    <row r="321">
      <c r="A321" s="23">
        <f>IFERROR(__xludf.DUMMYFUNCTION("""COMPUTED_VALUE"""),320.0)</f>
        <v>320</v>
      </c>
      <c r="B321" s="23" t="str">
        <f>IFERROR(__xludf.DUMMYFUNCTION("""COMPUTED_VALUE"""),"Generalized Abbreviation")</f>
        <v>Generalized Abbreviation</v>
      </c>
      <c r="C321" s="23" t="str">
        <f>IFERROR(__xludf.DUMMYFUNCTION("""COMPUTED_VALUE"""),"generalized-abbreviation")</f>
        <v>generalized-abbreviation</v>
      </c>
      <c r="D321" s="23" t="b">
        <f>IFERROR(__xludf.DUMMYFUNCTION("""COMPUTED_VALUE"""),TRUE)</f>
        <v>1</v>
      </c>
      <c r="E321" s="23" t="str">
        <f>IFERROR(__xludf.DUMMYFUNCTION("""COMPUTED_VALUE"""),"Medium")</f>
        <v>Medium</v>
      </c>
      <c r="F321" s="23">
        <f>IFERROR(__xludf.DUMMYFUNCTION("""COMPUTED_VALUE"""),598.0)</f>
        <v>598</v>
      </c>
      <c r="G321" s="23">
        <f>IFERROR(__xludf.DUMMYFUNCTION("""COMPUTED_VALUE"""),207.0)</f>
        <v>207</v>
      </c>
      <c r="H321" s="23" t="str">
        <f>IFERROR(__xludf.DUMMYFUNCTION("""COMPUTED_VALUE"""),"Algorithms")</f>
        <v>Algorithms</v>
      </c>
      <c r="I321" s="23">
        <f>IFERROR(__xludf.DUMMYFUNCTION("""COMPUTED_VALUE"""),0.563)</f>
        <v>0.563</v>
      </c>
      <c r="J321" s="23">
        <f>IFERROR(__xludf.DUMMYFUNCTION("""COMPUTED_VALUE"""),320.0)</f>
        <v>320</v>
      </c>
      <c r="K321" s="23" t="b">
        <f>IFERROR(__xludf.DUMMYFUNCTION("""COMPUTED_VALUE"""),TRUE)</f>
        <v>1</v>
      </c>
      <c r="L321" s="23" t="str">
        <f>IFERROR(__xludf.DUMMYFUNCTION("""COMPUTED_VALUE"""),"String;Backtracking;Bit Manipulation;")</f>
        <v>String;Backtracking;Bit Manipulation;</v>
      </c>
      <c r="M321" s="23" t="b">
        <f>IFERROR(__xludf.DUMMYFUNCTION("""COMPUTED_VALUE"""),TRUE)</f>
        <v>1</v>
      </c>
      <c r="N321" s="23" t="b">
        <f>IFERROR(__xludf.DUMMYFUNCTION("""COMPUTED_VALUE"""),FALSE)</f>
        <v>0</v>
      </c>
      <c r="O321" s="23">
        <f>IFERROR(__xludf.DUMMYFUNCTION("""COMPUTED_VALUE"""),56.3446625892516)</f>
        <v>56.34466259</v>
      </c>
      <c r="P321" s="23">
        <f>IFERROR(__xludf.DUMMYFUNCTION("""COMPUTED_VALUE"""),60526.0)</f>
        <v>60526</v>
      </c>
      <c r="Q321" s="23">
        <f>IFERROR(__xludf.DUMMYFUNCTION("""COMPUTED_VALUE"""),107421.0)</f>
        <v>107421</v>
      </c>
    </row>
    <row r="322">
      <c r="A322" s="23">
        <f>IFERROR(__xludf.DUMMYFUNCTION("""COMPUTED_VALUE"""),321.0)</f>
        <v>321</v>
      </c>
      <c r="B322" s="23" t="str">
        <f>IFERROR(__xludf.DUMMYFUNCTION("""COMPUTED_VALUE"""),"Create Maximum Number")</f>
        <v>Create Maximum Number</v>
      </c>
      <c r="C322" s="23" t="str">
        <f>IFERROR(__xludf.DUMMYFUNCTION("""COMPUTED_VALUE"""),"create-maximum-number")</f>
        <v>create-maximum-number</v>
      </c>
      <c r="D322" s="23" t="b">
        <f>IFERROR(__xludf.DUMMYFUNCTION("""COMPUTED_VALUE"""),FALSE)</f>
        <v>0</v>
      </c>
      <c r="E322" s="23" t="str">
        <f>IFERROR(__xludf.DUMMYFUNCTION("""COMPUTED_VALUE"""),"Hard")</f>
        <v>Hard</v>
      </c>
      <c r="F322" s="23">
        <f>IFERROR(__xludf.DUMMYFUNCTION("""COMPUTED_VALUE"""),1341.0)</f>
        <v>1341</v>
      </c>
      <c r="G322" s="23">
        <f>IFERROR(__xludf.DUMMYFUNCTION("""COMPUTED_VALUE"""),309.0)</f>
        <v>309</v>
      </c>
      <c r="H322" s="23" t="str">
        <f>IFERROR(__xludf.DUMMYFUNCTION("""COMPUTED_VALUE"""),"Algorithms")</f>
        <v>Algorithms</v>
      </c>
      <c r="I322" s="23">
        <f>IFERROR(__xludf.DUMMYFUNCTION("""COMPUTED_VALUE"""),0.284)</f>
        <v>0.284</v>
      </c>
      <c r="J322" s="23">
        <f>IFERROR(__xludf.DUMMYFUNCTION("""COMPUTED_VALUE"""),321.0)</f>
        <v>321</v>
      </c>
      <c r="K322" s="23" t="b">
        <f>IFERROR(__xludf.DUMMYFUNCTION("""COMPUTED_VALUE"""),FALSE)</f>
        <v>0</v>
      </c>
      <c r="L322" s="23" t="str">
        <f>IFERROR(__xludf.DUMMYFUNCTION("""COMPUTED_VALUE"""),"Stack;Greedy;Monotonic Stack;")</f>
        <v>Stack;Greedy;Monotonic Stack;</v>
      </c>
      <c r="M322" s="23" t="b">
        <f>IFERROR(__xludf.DUMMYFUNCTION("""COMPUTED_VALUE"""),FALSE)</f>
        <v>0</v>
      </c>
      <c r="N322" s="23" t="b">
        <f>IFERROR(__xludf.DUMMYFUNCTION("""COMPUTED_VALUE"""),FALSE)</f>
        <v>0</v>
      </c>
      <c r="O322" s="23">
        <f>IFERROR(__xludf.DUMMYFUNCTION("""COMPUTED_VALUE"""),28.4004552718409)</f>
        <v>28.40045527</v>
      </c>
      <c r="P322" s="23">
        <f>IFERROR(__xludf.DUMMYFUNCTION("""COMPUTED_VALUE"""),49406.0)</f>
        <v>49406</v>
      </c>
      <c r="Q322" s="23">
        <f>IFERROR(__xludf.DUMMYFUNCTION("""COMPUTED_VALUE"""),173962.0)</f>
        <v>173962</v>
      </c>
    </row>
    <row r="323">
      <c r="A323" s="23">
        <f>IFERROR(__xludf.DUMMYFUNCTION("""COMPUTED_VALUE"""),322.0)</f>
        <v>322</v>
      </c>
      <c r="B323" s="23" t="str">
        <f>IFERROR(__xludf.DUMMYFUNCTION("""COMPUTED_VALUE"""),"Coin Change")</f>
        <v>Coin Change</v>
      </c>
      <c r="C323" s="23" t="str">
        <f>IFERROR(__xludf.DUMMYFUNCTION("""COMPUTED_VALUE"""),"coin-change")</f>
        <v>coin-change</v>
      </c>
      <c r="D323" s="23" t="b">
        <f>IFERROR(__xludf.DUMMYFUNCTION("""COMPUTED_VALUE"""),FALSE)</f>
        <v>0</v>
      </c>
      <c r="E323" s="23" t="str">
        <f>IFERROR(__xludf.DUMMYFUNCTION("""COMPUTED_VALUE"""),"Medium")</f>
        <v>Medium</v>
      </c>
      <c r="F323" s="23">
        <f>IFERROR(__xludf.DUMMYFUNCTION("""COMPUTED_VALUE"""),10926.0)</f>
        <v>10926</v>
      </c>
      <c r="G323" s="23">
        <f>IFERROR(__xludf.DUMMYFUNCTION("""COMPUTED_VALUE"""),264.0)</f>
        <v>264</v>
      </c>
      <c r="H323" s="23" t="str">
        <f>IFERROR(__xludf.DUMMYFUNCTION("""COMPUTED_VALUE"""),"Algorithms")</f>
        <v>Algorithms</v>
      </c>
      <c r="I323" s="23">
        <f>IFERROR(__xludf.DUMMYFUNCTION("""COMPUTED_VALUE"""),0.401)</f>
        <v>0.401</v>
      </c>
      <c r="J323" s="23">
        <f>IFERROR(__xludf.DUMMYFUNCTION("""COMPUTED_VALUE"""),322.0)</f>
        <v>322</v>
      </c>
      <c r="K323" s="23" t="b">
        <f>IFERROR(__xludf.DUMMYFUNCTION("""COMPUTED_VALUE"""),FALSE)</f>
        <v>0</v>
      </c>
      <c r="L323" s="23" t="str">
        <f>IFERROR(__xludf.DUMMYFUNCTION("""COMPUTED_VALUE"""),"Array;Dynamic Programming;Breadth-First Search;")</f>
        <v>Array;Dynamic Programming;Breadth-First Search;</v>
      </c>
      <c r="M323" s="23" t="b">
        <f>IFERROR(__xludf.DUMMYFUNCTION("""COMPUTED_VALUE"""),TRUE)</f>
        <v>1</v>
      </c>
      <c r="N323" s="23" t="b">
        <f>IFERROR(__xludf.DUMMYFUNCTION("""COMPUTED_VALUE"""),TRUE)</f>
        <v>1</v>
      </c>
      <c r="O323" s="23">
        <f>IFERROR(__xludf.DUMMYFUNCTION("""COMPUTED_VALUE"""),40.0846168952762)</f>
        <v>40.0846169</v>
      </c>
      <c r="P323" s="23">
        <f>IFERROR(__xludf.DUMMYFUNCTION("""COMPUTED_VALUE"""),961360.0)</f>
        <v>961360</v>
      </c>
      <c r="Q323" s="23">
        <f>IFERROR(__xludf.DUMMYFUNCTION("""COMPUTED_VALUE"""),2398325.0)</f>
        <v>2398325</v>
      </c>
    </row>
    <row r="324">
      <c r="A324" s="23">
        <f>IFERROR(__xludf.DUMMYFUNCTION("""COMPUTED_VALUE"""),323.0)</f>
        <v>323</v>
      </c>
      <c r="B324" s="23" t="str">
        <f>IFERROR(__xludf.DUMMYFUNCTION("""COMPUTED_VALUE"""),"Number of Connected Components in an Undirected Graph")</f>
        <v>Number of Connected Components in an Undirected Graph</v>
      </c>
      <c r="C324" s="23" t="str">
        <f>IFERROR(__xludf.DUMMYFUNCTION("""COMPUTED_VALUE"""),"number-of-connected-components-in-an-undirected-graph")</f>
        <v>number-of-connected-components-in-an-undirected-graph</v>
      </c>
      <c r="D324" s="23" t="b">
        <f>IFERROR(__xludf.DUMMYFUNCTION("""COMPUTED_VALUE"""),TRUE)</f>
        <v>1</v>
      </c>
      <c r="E324" s="23" t="str">
        <f>IFERROR(__xludf.DUMMYFUNCTION("""COMPUTED_VALUE"""),"Medium")</f>
        <v>Medium</v>
      </c>
      <c r="F324" s="23">
        <f>IFERROR(__xludf.DUMMYFUNCTION("""COMPUTED_VALUE"""),1947.0)</f>
        <v>1947</v>
      </c>
      <c r="G324" s="23">
        <f>IFERROR(__xludf.DUMMYFUNCTION("""COMPUTED_VALUE"""),60.0)</f>
        <v>60</v>
      </c>
      <c r="H324" s="23" t="str">
        <f>IFERROR(__xludf.DUMMYFUNCTION("""COMPUTED_VALUE"""),"Algorithms")</f>
        <v>Algorithms</v>
      </c>
      <c r="I324" s="23">
        <f>IFERROR(__xludf.DUMMYFUNCTION("""COMPUTED_VALUE"""),0.611)</f>
        <v>0.611</v>
      </c>
      <c r="J324" s="23">
        <f>IFERROR(__xludf.DUMMYFUNCTION("""COMPUTED_VALUE"""),323.0)</f>
        <v>323</v>
      </c>
      <c r="K324" s="23" t="b">
        <f>IFERROR(__xludf.DUMMYFUNCTION("""COMPUTED_VALUE"""),TRUE)</f>
        <v>1</v>
      </c>
      <c r="L324" s="23" t="str">
        <f>IFERROR(__xludf.DUMMYFUNCTION("""COMPUTED_VALUE"""),"Depth-First Search;Breadth-First Search;Union Find;Graph;")</f>
        <v>Depth-First Search;Breadth-First Search;Union Find;Graph;</v>
      </c>
      <c r="M324" s="23" t="b">
        <f>IFERROR(__xludf.DUMMYFUNCTION("""COMPUTED_VALUE"""),TRUE)</f>
        <v>1</v>
      </c>
      <c r="N324" s="23" t="b">
        <f>IFERROR(__xludf.DUMMYFUNCTION("""COMPUTED_VALUE"""),TRUE)</f>
        <v>1</v>
      </c>
      <c r="O324" s="23">
        <f>IFERROR(__xludf.DUMMYFUNCTION("""COMPUTED_VALUE"""),61.0800984063312)</f>
        <v>61.08009841</v>
      </c>
      <c r="P324" s="23">
        <f>IFERROR(__xludf.DUMMYFUNCTION("""COMPUTED_VALUE"""),247284.0)</f>
        <v>247284</v>
      </c>
      <c r="Q324" s="23">
        <f>IFERROR(__xludf.DUMMYFUNCTION("""COMPUTED_VALUE"""),404852.0)</f>
        <v>404852</v>
      </c>
    </row>
    <row r="325">
      <c r="A325" s="23">
        <f>IFERROR(__xludf.DUMMYFUNCTION("""COMPUTED_VALUE"""),324.0)</f>
        <v>324</v>
      </c>
      <c r="B325" s="23" t="str">
        <f>IFERROR(__xludf.DUMMYFUNCTION("""COMPUTED_VALUE"""),"Wiggle Sort II")</f>
        <v>Wiggle Sort II</v>
      </c>
      <c r="C325" s="23" t="str">
        <f>IFERROR(__xludf.DUMMYFUNCTION("""COMPUTED_VALUE"""),"wiggle-sort-ii")</f>
        <v>wiggle-sort-ii</v>
      </c>
      <c r="D325" s="23" t="b">
        <f>IFERROR(__xludf.DUMMYFUNCTION("""COMPUTED_VALUE"""),FALSE)</f>
        <v>0</v>
      </c>
      <c r="E325" s="23" t="str">
        <f>IFERROR(__xludf.DUMMYFUNCTION("""COMPUTED_VALUE"""),"Medium")</f>
        <v>Medium</v>
      </c>
      <c r="F325" s="23">
        <f>IFERROR(__xludf.DUMMYFUNCTION("""COMPUTED_VALUE"""),2072.0)</f>
        <v>2072</v>
      </c>
      <c r="G325" s="23">
        <f>IFERROR(__xludf.DUMMYFUNCTION("""COMPUTED_VALUE"""),797.0)</f>
        <v>797</v>
      </c>
      <c r="H325" s="23" t="str">
        <f>IFERROR(__xludf.DUMMYFUNCTION("""COMPUTED_VALUE"""),"Algorithms")</f>
        <v>Algorithms</v>
      </c>
      <c r="I325" s="23">
        <f>IFERROR(__xludf.DUMMYFUNCTION("""COMPUTED_VALUE"""),0.322)</f>
        <v>0.322</v>
      </c>
      <c r="J325" s="23">
        <f>IFERROR(__xludf.DUMMYFUNCTION("""COMPUTED_VALUE"""),324.0)</f>
        <v>324</v>
      </c>
      <c r="K325" s="23" t="b">
        <f>IFERROR(__xludf.DUMMYFUNCTION("""COMPUTED_VALUE"""),FALSE)</f>
        <v>0</v>
      </c>
      <c r="L325" s="23" t="str">
        <f>IFERROR(__xludf.DUMMYFUNCTION("""COMPUTED_VALUE"""),"Array;Divide and Conquer;Sorting;Quickselect;")</f>
        <v>Array;Divide and Conquer;Sorting;Quickselect;</v>
      </c>
      <c r="M325" s="23" t="b">
        <f>IFERROR(__xludf.DUMMYFUNCTION("""COMPUTED_VALUE"""),FALSE)</f>
        <v>0</v>
      </c>
      <c r="N325" s="23" t="b">
        <f>IFERROR(__xludf.DUMMYFUNCTION("""COMPUTED_VALUE"""),FALSE)</f>
        <v>0</v>
      </c>
      <c r="O325" s="23">
        <f>IFERROR(__xludf.DUMMYFUNCTION("""COMPUTED_VALUE"""),32.2126149620311)</f>
        <v>32.21261496</v>
      </c>
      <c r="P325" s="23">
        <f>IFERROR(__xludf.DUMMYFUNCTION("""COMPUTED_VALUE"""),120556.0)</f>
        <v>120556</v>
      </c>
      <c r="Q325" s="23">
        <f>IFERROR(__xludf.DUMMYFUNCTION("""COMPUTED_VALUE"""),374253.0)</f>
        <v>374253</v>
      </c>
    </row>
    <row r="326">
      <c r="A326" s="23">
        <f>IFERROR(__xludf.DUMMYFUNCTION("""COMPUTED_VALUE"""),325.0)</f>
        <v>325</v>
      </c>
      <c r="B326" s="23" t="str">
        <f>IFERROR(__xludf.DUMMYFUNCTION("""COMPUTED_VALUE"""),"Maximum Size Subarray Sum Equals k")</f>
        <v>Maximum Size Subarray Sum Equals k</v>
      </c>
      <c r="C326" s="23" t="str">
        <f>IFERROR(__xludf.DUMMYFUNCTION("""COMPUTED_VALUE"""),"maximum-size-subarray-sum-equals-k")</f>
        <v>maximum-size-subarray-sum-equals-k</v>
      </c>
      <c r="D326" s="23" t="b">
        <f>IFERROR(__xludf.DUMMYFUNCTION("""COMPUTED_VALUE"""),TRUE)</f>
        <v>1</v>
      </c>
      <c r="E326" s="23" t="str">
        <f>IFERROR(__xludf.DUMMYFUNCTION("""COMPUTED_VALUE"""),"Medium")</f>
        <v>Medium</v>
      </c>
      <c r="F326" s="23">
        <f>IFERROR(__xludf.DUMMYFUNCTION("""COMPUTED_VALUE"""),1638.0)</f>
        <v>1638</v>
      </c>
      <c r="G326" s="23">
        <f>IFERROR(__xludf.DUMMYFUNCTION("""COMPUTED_VALUE"""),47.0)</f>
        <v>47</v>
      </c>
      <c r="H326" s="23" t="str">
        <f>IFERROR(__xludf.DUMMYFUNCTION("""COMPUTED_VALUE"""),"Algorithms")</f>
        <v>Algorithms</v>
      </c>
      <c r="I326" s="23">
        <f>IFERROR(__xludf.DUMMYFUNCTION("""COMPUTED_VALUE"""),0.491)</f>
        <v>0.491</v>
      </c>
      <c r="J326" s="23">
        <f>IFERROR(__xludf.DUMMYFUNCTION("""COMPUTED_VALUE"""),325.0)</f>
        <v>325</v>
      </c>
      <c r="K326" s="23" t="b">
        <f>IFERROR(__xludf.DUMMYFUNCTION("""COMPUTED_VALUE"""),TRUE)</f>
        <v>1</v>
      </c>
      <c r="L326" s="23" t="str">
        <f>IFERROR(__xludf.DUMMYFUNCTION("""COMPUTED_VALUE"""),"Array;Hash Table;")</f>
        <v>Array;Hash Table;</v>
      </c>
      <c r="M326" s="23" t="b">
        <f>IFERROR(__xludf.DUMMYFUNCTION("""COMPUTED_VALUE"""),TRUE)</f>
        <v>1</v>
      </c>
      <c r="N326" s="23" t="b">
        <f>IFERROR(__xludf.DUMMYFUNCTION("""COMPUTED_VALUE"""),FALSE)</f>
        <v>0</v>
      </c>
      <c r="O326" s="23">
        <f>IFERROR(__xludf.DUMMYFUNCTION("""COMPUTED_VALUE"""),49.1405724415649)</f>
        <v>49.14057244</v>
      </c>
      <c r="P326" s="23">
        <f>IFERROR(__xludf.DUMMYFUNCTION("""COMPUTED_VALUE"""),154124.0)</f>
        <v>154124</v>
      </c>
      <c r="Q326" s="23">
        <f>IFERROR(__xludf.DUMMYFUNCTION("""COMPUTED_VALUE"""),313639.0)</f>
        <v>313639</v>
      </c>
    </row>
    <row r="327">
      <c r="A327" s="23">
        <f>IFERROR(__xludf.DUMMYFUNCTION("""COMPUTED_VALUE"""),326.0)</f>
        <v>326</v>
      </c>
      <c r="B327" s="23" t="str">
        <f>IFERROR(__xludf.DUMMYFUNCTION("""COMPUTED_VALUE"""),"Power of Three")</f>
        <v>Power of Three</v>
      </c>
      <c r="C327" s="23" t="str">
        <f>IFERROR(__xludf.DUMMYFUNCTION("""COMPUTED_VALUE"""),"power-of-three")</f>
        <v>power-of-three</v>
      </c>
      <c r="D327" s="23" t="b">
        <f>IFERROR(__xludf.DUMMYFUNCTION("""COMPUTED_VALUE"""),FALSE)</f>
        <v>0</v>
      </c>
      <c r="E327" s="23" t="str">
        <f>IFERROR(__xludf.DUMMYFUNCTION("""COMPUTED_VALUE"""),"Easy")</f>
        <v>Easy</v>
      </c>
      <c r="F327" s="23">
        <f>IFERROR(__xludf.DUMMYFUNCTION("""COMPUTED_VALUE"""),924.0)</f>
        <v>924</v>
      </c>
      <c r="G327" s="23">
        <f>IFERROR(__xludf.DUMMYFUNCTION("""COMPUTED_VALUE"""),118.0)</f>
        <v>118</v>
      </c>
      <c r="H327" s="23" t="str">
        <f>IFERROR(__xludf.DUMMYFUNCTION("""COMPUTED_VALUE"""),"Algorithms")</f>
        <v>Algorithms</v>
      </c>
      <c r="I327" s="23">
        <f>IFERROR(__xludf.DUMMYFUNCTION("""COMPUTED_VALUE"""),0.435)</f>
        <v>0.435</v>
      </c>
      <c r="J327" s="23">
        <f>IFERROR(__xludf.DUMMYFUNCTION("""COMPUTED_VALUE"""),326.0)</f>
        <v>326</v>
      </c>
      <c r="K327" s="23" t="b">
        <f>IFERROR(__xludf.DUMMYFUNCTION("""COMPUTED_VALUE"""),FALSE)</f>
        <v>0</v>
      </c>
      <c r="L327" s="23" t="str">
        <f>IFERROR(__xludf.DUMMYFUNCTION("""COMPUTED_VALUE"""),"Math;Recursion;")</f>
        <v>Math;Recursion;</v>
      </c>
      <c r="M327" s="23" t="b">
        <f>IFERROR(__xludf.DUMMYFUNCTION("""COMPUTED_VALUE"""),TRUE)</f>
        <v>1</v>
      </c>
      <c r="N327" s="23" t="b">
        <f>IFERROR(__xludf.DUMMYFUNCTION("""COMPUTED_VALUE"""),FALSE)</f>
        <v>0</v>
      </c>
      <c r="O327" s="23">
        <f>IFERROR(__xludf.DUMMYFUNCTION("""COMPUTED_VALUE"""),43.4532247221587)</f>
        <v>43.45322472</v>
      </c>
      <c r="P327" s="23">
        <f>IFERROR(__xludf.DUMMYFUNCTION("""COMPUTED_VALUE"""),458278.0)</f>
        <v>458278</v>
      </c>
      <c r="Q327" s="23">
        <f>IFERROR(__xludf.DUMMYFUNCTION("""COMPUTED_VALUE"""),1054647.0)</f>
        <v>1054647</v>
      </c>
    </row>
    <row r="328">
      <c r="A328" s="23">
        <f>IFERROR(__xludf.DUMMYFUNCTION("""COMPUTED_VALUE"""),327.0)</f>
        <v>327</v>
      </c>
      <c r="B328" s="23" t="str">
        <f>IFERROR(__xludf.DUMMYFUNCTION("""COMPUTED_VALUE"""),"Count of Range Sum")</f>
        <v>Count of Range Sum</v>
      </c>
      <c r="C328" s="23" t="str">
        <f>IFERROR(__xludf.DUMMYFUNCTION("""COMPUTED_VALUE"""),"count-of-range-sum")</f>
        <v>count-of-range-sum</v>
      </c>
      <c r="D328" s="23" t="b">
        <f>IFERROR(__xludf.DUMMYFUNCTION("""COMPUTED_VALUE"""),FALSE)</f>
        <v>0</v>
      </c>
      <c r="E328" s="23" t="str">
        <f>IFERROR(__xludf.DUMMYFUNCTION("""COMPUTED_VALUE"""),"Hard")</f>
        <v>Hard</v>
      </c>
      <c r="F328" s="23">
        <f>IFERROR(__xludf.DUMMYFUNCTION("""COMPUTED_VALUE"""),1515.0)</f>
        <v>1515</v>
      </c>
      <c r="G328" s="23">
        <f>IFERROR(__xludf.DUMMYFUNCTION("""COMPUTED_VALUE"""),157.0)</f>
        <v>157</v>
      </c>
      <c r="H328" s="23" t="str">
        <f>IFERROR(__xludf.DUMMYFUNCTION("""COMPUTED_VALUE"""),"Algorithms")</f>
        <v>Algorithms</v>
      </c>
      <c r="I328" s="23">
        <f>IFERROR(__xludf.DUMMYFUNCTION("""COMPUTED_VALUE"""),0.36)</f>
        <v>0.36</v>
      </c>
      <c r="J328" s="23">
        <f>IFERROR(__xludf.DUMMYFUNCTION("""COMPUTED_VALUE"""),327.0)</f>
        <v>327</v>
      </c>
      <c r="K328" s="23" t="b">
        <f>IFERROR(__xludf.DUMMYFUNCTION("""COMPUTED_VALUE"""),FALSE)</f>
        <v>0</v>
      </c>
      <c r="L328" s="23" t="str">
        <f>IFERROR(__xludf.DUMMYFUNCTION("""COMPUTED_VALUE"""),"Array;Binary Search;Divide and Conquer;Binary Indexed Tree;Segment Tree;Merge Sort;Ordered Set;")</f>
        <v>Array;Binary Search;Divide and Conquer;Binary Indexed Tree;Segment Tree;Merge Sort;Ordered Set;</v>
      </c>
      <c r="M328" s="23" t="b">
        <f>IFERROR(__xludf.DUMMYFUNCTION("""COMPUTED_VALUE"""),FALSE)</f>
        <v>0</v>
      </c>
      <c r="N328" s="23" t="b">
        <f>IFERROR(__xludf.DUMMYFUNCTION("""COMPUTED_VALUE"""),FALSE)</f>
        <v>0</v>
      </c>
      <c r="O328" s="23">
        <f>IFERROR(__xludf.DUMMYFUNCTION("""COMPUTED_VALUE"""),36.0366657954082)</f>
        <v>36.0366658</v>
      </c>
      <c r="P328" s="23">
        <f>IFERROR(__xludf.DUMMYFUNCTION("""COMPUTED_VALUE"""),59285.0)</f>
        <v>59285</v>
      </c>
      <c r="Q328" s="23">
        <f>IFERROR(__xludf.DUMMYFUNCTION("""COMPUTED_VALUE"""),164513.0)</f>
        <v>164513</v>
      </c>
    </row>
    <row r="329">
      <c r="A329" s="23">
        <f>IFERROR(__xludf.DUMMYFUNCTION("""COMPUTED_VALUE"""),328.0)</f>
        <v>328</v>
      </c>
      <c r="B329" s="23" t="str">
        <f>IFERROR(__xludf.DUMMYFUNCTION("""COMPUTED_VALUE"""),"Odd Even Linked List")</f>
        <v>Odd Even Linked List</v>
      </c>
      <c r="C329" s="23" t="str">
        <f>IFERROR(__xludf.DUMMYFUNCTION("""COMPUTED_VALUE"""),"odd-even-linked-list")</f>
        <v>odd-even-linked-list</v>
      </c>
      <c r="D329" s="23" t="b">
        <f>IFERROR(__xludf.DUMMYFUNCTION("""COMPUTED_VALUE"""),FALSE)</f>
        <v>0</v>
      </c>
      <c r="E329" s="23" t="str">
        <f>IFERROR(__xludf.DUMMYFUNCTION("""COMPUTED_VALUE"""),"Medium")</f>
        <v>Medium</v>
      </c>
      <c r="F329" s="23">
        <f>IFERROR(__xludf.DUMMYFUNCTION("""COMPUTED_VALUE"""),5239.0)</f>
        <v>5239</v>
      </c>
      <c r="G329" s="23">
        <f>IFERROR(__xludf.DUMMYFUNCTION("""COMPUTED_VALUE"""),384.0)</f>
        <v>384</v>
      </c>
      <c r="H329" s="23" t="str">
        <f>IFERROR(__xludf.DUMMYFUNCTION("""COMPUTED_VALUE"""),"Algorithms")</f>
        <v>Algorithms</v>
      </c>
      <c r="I329" s="23">
        <f>IFERROR(__xludf.DUMMYFUNCTION("""COMPUTED_VALUE"""),0.595)</f>
        <v>0.595</v>
      </c>
      <c r="J329" s="23">
        <f>IFERROR(__xludf.DUMMYFUNCTION("""COMPUTED_VALUE"""),328.0)</f>
        <v>328</v>
      </c>
      <c r="K329" s="23" t="b">
        <f>IFERROR(__xludf.DUMMYFUNCTION("""COMPUTED_VALUE"""),FALSE)</f>
        <v>0</v>
      </c>
      <c r="L329" s="23" t="str">
        <f>IFERROR(__xludf.DUMMYFUNCTION("""COMPUTED_VALUE"""),"Linked List;")</f>
        <v>Linked List;</v>
      </c>
      <c r="M329" s="23" t="b">
        <f>IFERROR(__xludf.DUMMYFUNCTION("""COMPUTED_VALUE"""),TRUE)</f>
        <v>1</v>
      </c>
      <c r="N329" s="23" t="b">
        <f>IFERROR(__xludf.DUMMYFUNCTION("""COMPUTED_VALUE"""),FALSE)</f>
        <v>0</v>
      </c>
      <c r="O329" s="23">
        <f>IFERROR(__xludf.DUMMYFUNCTION("""COMPUTED_VALUE"""),59.5192089564659)</f>
        <v>59.51920896</v>
      </c>
      <c r="P329" s="23">
        <f>IFERROR(__xludf.DUMMYFUNCTION("""COMPUTED_VALUE"""),522114.0)</f>
        <v>522114</v>
      </c>
      <c r="Q329" s="23">
        <f>IFERROR(__xludf.DUMMYFUNCTION("""COMPUTED_VALUE"""),877218.0)</f>
        <v>877218</v>
      </c>
    </row>
    <row r="330">
      <c r="A330" s="23">
        <f>IFERROR(__xludf.DUMMYFUNCTION("""COMPUTED_VALUE"""),329.0)</f>
        <v>329</v>
      </c>
      <c r="B330" s="23" t="str">
        <f>IFERROR(__xludf.DUMMYFUNCTION("""COMPUTED_VALUE"""),"Longest Increasing Path in a Matrix")</f>
        <v>Longest Increasing Path in a Matrix</v>
      </c>
      <c r="C330" s="23" t="str">
        <f>IFERROR(__xludf.DUMMYFUNCTION("""COMPUTED_VALUE"""),"longest-increasing-path-in-a-matrix")</f>
        <v>longest-increasing-path-in-a-matrix</v>
      </c>
      <c r="D330" s="23" t="b">
        <f>IFERROR(__xludf.DUMMYFUNCTION("""COMPUTED_VALUE"""),FALSE)</f>
        <v>0</v>
      </c>
      <c r="E330" s="23" t="str">
        <f>IFERROR(__xludf.DUMMYFUNCTION("""COMPUTED_VALUE"""),"Hard")</f>
        <v>Hard</v>
      </c>
      <c r="F330" s="23">
        <f>IFERROR(__xludf.DUMMYFUNCTION("""COMPUTED_VALUE"""),5216.0)</f>
        <v>5216</v>
      </c>
      <c r="G330" s="23">
        <f>IFERROR(__xludf.DUMMYFUNCTION("""COMPUTED_VALUE"""),89.0)</f>
        <v>89</v>
      </c>
      <c r="H330" s="23" t="str">
        <f>IFERROR(__xludf.DUMMYFUNCTION("""COMPUTED_VALUE"""),"Algorithms")</f>
        <v>Algorithms</v>
      </c>
      <c r="I330" s="23">
        <f>IFERROR(__xludf.DUMMYFUNCTION("""COMPUTED_VALUE"""),0.497)</f>
        <v>0.497</v>
      </c>
      <c r="J330" s="23">
        <f>IFERROR(__xludf.DUMMYFUNCTION("""COMPUTED_VALUE"""),329.0)</f>
        <v>329</v>
      </c>
      <c r="K330" s="23" t="b">
        <f>IFERROR(__xludf.DUMMYFUNCTION("""COMPUTED_VALUE"""),FALSE)</f>
        <v>0</v>
      </c>
      <c r="L330" s="23" t="str">
        <f>IFERROR(__xludf.DUMMYFUNCTION("""COMPUTED_VALUE"""),"Dynamic Programming;Depth-First Search;Breadth-First Search;Graph;Topological Sort;Memoization;")</f>
        <v>Dynamic Programming;Depth-First Search;Breadth-First Search;Graph;Topological Sort;Memoization;</v>
      </c>
      <c r="M330" s="23" t="b">
        <f>IFERROR(__xludf.DUMMYFUNCTION("""COMPUTED_VALUE"""),TRUE)</f>
        <v>1</v>
      </c>
      <c r="N330" s="23" t="b">
        <f>IFERROR(__xludf.DUMMYFUNCTION("""COMPUTED_VALUE"""),FALSE)</f>
        <v>0</v>
      </c>
      <c r="O330" s="23">
        <f>IFERROR(__xludf.DUMMYFUNCTION("""COMPUTED_VALUE"""),49.6794702890037)</f>
        <v>49.67947029</v>
      </c>
      <c r="P330" s="23">
        <f>IFERROR(__xludf.DUMMYFUNCTION("""COMPUTED_VALUE"""),320521.0)</f>
        <v>320521</v>
      </c>
      <c r="Q330" s="23">
        <f>IFERROR(__xludf.DUMMYFUNCTION("""COMPUTED_VALUE"""),645177.0)</f>
        <v>645177</v>
      </c>
    </row>
    <row r="331">
      <c r="A331" s="23">
        <f>IFERROR(__xludf.DUMMYFUNCTION("""COMPUTED_VALUE"""),330.0)</f>
        <v>330</v>
      </c>
      <c r="B331" s="23" t="str">
        <f>IFERROR(__xludf.DUMMYFUNCTION("""COMPUTED_VALUE"""),"Patching Array")</f>
        <v>Patching Array</v>
      </c>
      <c r="C331" s="23" t="str">
        <f>IFERROR(__xludf.DUMMYFUNCTION("""COMPUTED_VALUE"""),"patching-array")</f>
        <v>patching-array</v>
      </c>
      <c r="D331" s="23" t="b">
        <f>IFERROR(__xludf.DUMMYFUNCTION("""COMPUTED_VALUE"""),FALSE)</f>
        <v>0</v>
      </c>
      <c r="E331" s="23" t="str">
        <f>IFERROR(__xludf.DUMMYFUNCTION("""COMPUTED_VALUE"""),"Hard")</f>
        <v>Hard</v>
      </c>
      <c r="F331" s="23">
        <f>IFERROR(__xludf.DUMMYFUNCTION("""COMPUTED_VALUE"""),1092.0)</f>
        <v>1092</v>
      </c>
      <c r="G331" s="23">
        <f>IFERROR(__xludf.DUMMYFUNCTION("""COMPUTED_VALUE"""),114.0)</f>
        <v>114</v>
      </c>
      <c r="H331" s="23" t="str">
        <f>IFERROR(__xludf.DUMMYFUNCTION("""COMPUTED_VALUE"""),"Algorithms")</f>
        <v>Algorithms</v>
      </c>
      <c r="I331" s="23">
        <f>IFERROR(__xludf.DUMMYFUNCTION("""COMPUTED_VALUE"""),0.395)</f>
        <v>0.395</v>
      </c>
      <c r="J331" s="23">
        <f>IFERROR(__xludf.DUMMYFUNCTION("""COMPUTED_VALUE"""),330.0)</f>
        <v>330</v>
      </c>
      <c r="K331" s="23" t="b">
        <f>IFERROR(__xludf.DUMMYFUNCTION("""COMPUTED_VALUE"""),FALSE)</f>
        <v>0</v>
      </c>
      <c r="L331" s="23" t="str">
        <f>IFERROR(__xludf.DUMMYFUNCTION("""COMPUTED_VALUE"""),"Array;Greedy;")</f>
        <v>Array;Greedy;</v>
      </c>
      <c r="M331" s="23" t="b">
        <f>IFERROR(__xludf.DUMMYFUNCTION("""COMPUTED_VALUE"""),TRUE)</f>
        <v>1</v>
      </c>
      <c r="N331" s="23" t="b">
        <f>IFERROR(__xludf.DUMMYFUNCTION("""COMPUTED_VALUE"""),FALSE)</f>
        <v>0</v>
      </c>
      <c r="O331" s="23">
        <f>IFERROR(__xludf.DUMMYFUNCTION("""COMPUTED_VALUE"""),39.5173677164799)</f>
        <v>39.51736772</v>
      </c>
      <c r="P331" s="23">
        <f>IFERROR(__xludf.DUMMYFUNCTION("""COMPUTED_VALUE"""),56087.0)</f>
        <v>56087</v>
      </c>
      <c r="Q331" s="23">
        <f>IFERROR(__xludf.DUMMYFUNCTION("""COMPUTED_VALUE"""),141930.0)</f>
        <v>141930</v>
      </c>
    </row>
    <row r="332">
      <c r="A332" s="23">
        <f>IFERROR(__xludf.DUMMYFUNCTION("""COMPUTED_VALUE"""),331.0)</f>
        <v>331</v>
      </c>
      <c r="B332" s="23" t="str">
        <f>IFERROR(__xludf.DUMMYFUNCTION("""COMPUTED_VALUE"""),"Verify Preorder Serialization of a Binary Tree")</f>
        <v>Verify Preorder Serialization of a Binary Tree</v>
      </c>
      <c r="C332" s="23" t="str">
        <f>IFERROR(__xludf.DUMMYFUNCTION("""COMPUTED_VALUE"""),"verify-preorder-serialization-of-a-binary-tree")</f>
        <v>verify-preorder-serialization-of-a-binary-tree</v>
      </c>
      <c r="D332" s="23" t="b">
        <f>IFERROR(__xludf.DUMMYFUNCTION("""COMPUTED_VALUE"""),FALSE)</f>
        <v>0</v>
      </c>
      <c r="E332" s="23" t="str">
        <f>IFERROR(__xludf.DUMMYFUNCTION("""COMPUTED_VALUE"""),"Medium")</f>
        <v>Medium</v>
      </c>
      <c r="F332" s="23">
        <f>IFERROR(__xludf.DUMMYFUNCTION("""COMPUTED_VALUE"""),1672.0)</f>
        <v>1672</v>
      </c>
      <c r="G332" s="23">
        <f>IFERROR(__xludf.DUMMYFUNCTION("""COMPUTED_VALUE"""),83.0)</f>
        <v>83</v>
      </c>
      <c r="H332" s="23" t="str">
        <f>IFERROR(__xludf.DUMMYFUNCTION("""COMPUTED_VALUE"""),"Algorithms")</f>
        <v>Algorithms</v>
      </c>
      <c r="I332" s="23">
        <f>IFERROR(__xludf.DUMMYFUNCTION("""COMPUTED_VALUE"""),0.437)</f>
        <v>0.437</v>
      </c>
      <c r="J332" s="23">
        <f>IFERROR(__xludf.DUMMYFUNCTION("""COMPUTED_VALUE"""),331.0)</f>
        <v>331</v>
      </c>
      <c r="K332" s="23" t="b">
        <f>IFERROR(__xludf.DUMMYFUNCTION("""COMPUTED_VALUE"""),FALSE)</f>
        <v>0</v>
      </c>
      <c r="L332" s="23" t="str">
        <f>IFERROR(__xludf.DUMMYFUNCTION("""COMPUTED_VALUE"""),"String;Stack;Tree;Binary Tree;")</f>
        <v>String;Stack;Tree;Binary Tree;</v>
      </c>
      <c r="M332" s="23" t="b">
        <f>IFERROR(__xludf.DUMMYFUNCTION("""COMPUTED_VALUE"""),TRUE)</f>
        <v>1</v>
      </c>
      <c r="N332" s="23" t="b">
        <f>IFERROR(__xludf.DUMMYFUNCTION("""COMPUTED_VALUE"""),FALSE)</f>
        <v>0</v>
      </c>
      <c r="O332" s="23">
        <f>IFERROR(__xludf.DUMMYFUNCTION("""COMPUTED_VALUE"""),43.7077272306124)</f>
        <v>43.70772723</v>
      </c>
      <c r="P332" s="23">
        <f>IFERROR(__xludf.DUMMYFUNCTION("""COMPUTED_VALUE"""),113216.0)</f>
        <v>113216</v>
      </c>
      <c r="Q332" s="23">
        <f>IFERROR(__xludf.DUMMYFUNCTION("""COMPUTED_VALUE"""),259025.0)</f>
        <v>259025</v>
      </c>
    </row>
    <row r="333">
      <c r="A333" s="23">
        <f>IFERROR(__xludf.DUMMYFUNCTION("""COMPUTED_VALUE"""),332.0)</f>
        <v>332</v>
      </c>
      <c r="B333" s="23" t="str">
        <f>IFERROR(__xludf.DUMMYFUNCTION("""COMPUTED_VALUE"""),"Reconstruct Itinerary")</f>
        <v>Reconstruct Itinerary</v>
      </c>
      <c r="C333" s="23" t="str">
        <f>IFERROR(__xludf.DUMMYFUNCTION("""COMPUTED_VALUE"""),"reconstruct-itinerary")</f>
        <v>reconstruct-itinerary</v>
      </c>
      <c r="D333" s="23" t="b">
        <f>IFERROR(__xludf.DUMMYFUNCTION("""COMPUTED_VALUE"""),FALSE)</f>
        <v>0</v>
      </c>
      <c r="E333" s="23" t="str">
        <f>IFERROR(__xludf.DUMMYFUNCTION("""COMPUTED_VALUE"""),"Hard")</f>
        <v>Hard</v>
      </c>
      <c r="F333" s="23">
        <f>IFERROR(__xludf.DUMMYFUNCTION("""COMPUTED_VALUE"""),3790.0)</f>
        <v>3790</v>
      </c>
      <c r="G333" s="23">
        <f>IFERROR(__xludf.DUMMYFUNCTION("""COMPUTED_VALUE"""),1547.0)</f>
        <v>1547</v>
      </c>
      <c r="H333" s="23" t="str">
        <f>IFERROR(__xludf.DUMMYFUNCTION("""COMPUTED_VALUE"""),"Algorithms")</f>
        <v>Algorithms</v>
      </c>
      <c r="I333" s="23">
        <f>IFERROR(__xludf.DUMMYFUNCTION("""COMPUTED_VALUE"""),0.402)</f>
        <v>0.402</v>
      </c>
      <c r="J333" s="23">
        <f>IFERROR(__xludf.DUMMYFUNCTION("""COMPUTED_VALUE"""),332.0)</f>
        <v>332</v>
      </c>
      <c r="K333" s="23" t="b">
        <f>IFERROR(__xludf.DUMMYFUNCTION("""COMPUTED_VALUE"""),FALSE)</f>
        <v>0</v>
      </c>
      <c r="L333" s="23" t="str">
        <f>IFERROR(__xludf.DUMMYFUNCTION("""COMPUTED_VALUE"""),"Depth-First Search;Graph;Eulerian Circuit;")</f>
        <v>Depth-First Search;Graph;Eulerian Circuit;</v>
      </c>
      <c r="M333" s="23" t="b">
        <f>IFERROR(__xludf.DUMMYFUNCTION("""COMPUTED_VALUE"""),TRUE)</f>
        <v>1</v>
      </c>
      <c r="N333" s="23" t="b">
        <f>IFERROR(__xludf.DUMMYFUNCTION("""COMPUTED_VALUE"""),FALSE)</f>
        <v>0</v>
      </c>
      <c r="O333" s="23">
        <f>IFERROR(__xludf.DUMMYFUNCTION("""COMPUTED_VALUE"""),40.156221160945)</f>
        <v>40.15622116</v>
      </c>
      <c r="P333" s="23">
        <f>IFERROR(__xludf.DUMMYFUNCTION("""COMPUTED_VALUE"""),278484.0)</f>
        <v>278484</v>
      </c>
      <c r="Q333" s="23">
        <f>IFERROR(__xludf.DUMMYFUNCTION("""COMPUTED_VALUE"""),693502.0)</f>
        <v>693502</v>
      </c>
    </row>
    <row r="334">
      <c r="A334" s="23">
        <f>IFERROR(__xludf.DUMMYFUNCTION("""COMPUTED_VALUE"""),333.0)</f>
        <v>333</v>
      </c>
      <c r="B334" s="23" t="str">
        <f>IFERROR(__xludf.DUMMYFUNCTION("""COMPUTED_VALUE"""),"Largest BST Subtree")</f>
        <v>Largest BST Subtree</v>
      </c>
      <c r="C334" s="23" t="str">
        <f>IFERROR(__xludf.DUMMYFUNCTION("""COMPUTED_VALUE"""),"largest-bst-subtree")</f>
        <v>largest-bst-subtree</v>
      </c>
      <c r="D334" s="23" t="b">
        <f>IFERROR(__xludf.DUMMYFUNCTION("""COMPUTED_VALUE"""),TRUE)</f>
        <v>1</v>
      </c>
      <c r="E334" s="23" t="str">
        <f>IFERROR(__xludf.DUMMYFUNCTION("""COMPUTED_VALUE"""),"Medium")</f>
        <v>Medium</v>
      </c>
      <c r="F334" s="23">
        <f>IFERROR(__xludf.DUMMYFUNCTION("""COMPUTED_VALUE"""),1189.0)</f>
        <v>1189</v>
      </c>
      <c r="G334" s="23">
        <f>IFERROR(__xludf.DUMMYFUNCTION("""COMPUTED_VALUE"""),99.0)</f>
        <v>99</v>
      </c>
      <c r="H334" s="23" t="str">
        <f>IFERROR(__xludf.DUMMYFUNCTION("""COMPUTED_VALUE"""),"Algorithms")</f>
        <v>Algorithms</v>
      </c>
      <c r="I334" s="23">
        <f>IFERROR(__xludf.DUMMYFUNCTION("""COMPUTED_VALUE"""),0.413)</f>
        <v>0.413</v>
      </c>
      <c r="J334" s="23">
        <f>IFERROR(__xludf.DUMMYFUNCTION("""COMPUTED_VALUE"""),333.0)</f>
        <v>333</v>
      </c>
      <c r="K334" s="23" t="b">
        <f>IFERROR(__xludf.DUMMYFUNCTION("""COMPUTED_VALUE"""),TRUE)</f>
        <v>1</v>
      </c>
      <c r="L334" s="23" t="str">
        <f>IFERROR(__xludf.DUMMYFUNCTION("""COMPUTED_VALUE"""),"Dynamic Programming;Tree;Depth-First Search;Binary Search Tree;Binary Tree;")</f>
        <v>Dynamic Programming;Tree;Depth-First Search;Binary Search Tree;Binary Tree;</v>
      </c>
      <c r="M334" s="23" t="b">
        <f>IFERROR(__xludf.DUMMYFUNCTION("""COMPUTED_VALUE"""),TRUE)</f>
        <v>1</v>
      </c>
      <c r="N334" s="23" t="b">
        <f>IFERROR(__xludf.DUMMYFUNCTION("""COMPUTED_VALUE"""),FALSE)</f>
        <v>0</v>
      </c>
      <c r="O334" s="23">
        <f>IFERROR(__xludf.DUMMYFUNCTION("""COMPUTED_VALUE"""),41.2795608108108)</f>
        <v>41.27956081</v>
      </c>
      <c r="P334" s="23">
        <f>IFERROR(__xludf.DUMMYFUNCTION("""COMPUTED_VALUE"""),82109.0)</f>
        <v>82109</v>
      </c>
      <c r="Q334" s="23">
        <f>IFERROR(__xludf.DUMMYFUNCTION("""COMPUTED_VALUE"""),198911.0)</f>
        <v>198911</v>
      </c>
    </row>
    <row r="335">
      <c r="A335" s="23">
        <f>IFERROR(__xludf.DUMMYFUNCTION("""COMPUTED_VALUE"""),334.0)</f>
        <v>334</v>
      </c>
      <c r="B335" s="23" t="str">
        <f>IFERROR(__xludf.DUMMYFUNCTION("""COMPUTED_VALUE"""),"Increasing Triplet Subsequence")</f>
        <v>Increasing Triplet Subsequence</v>
      </c>
      <c r="C335" s="23" t="str">
        <f>IFERROR(__xludf.DUMMYFUNCTION("""COMPUTED_VALUE"""),"increasing-triplet-subsequence")</f>
        <v>increasing-triplet-subsequence</v>
      </c>
      <c r="D335" s="23" t="b">
        <f>IFERROR(__xludf.DUMMYFUNCTION("""COMPUTED_VALUE"""),FALSE)</f>
        <v>0</v>
      </c>
      <c r="E335" s="23" t="str">
        <f>IFERROR(__xludf.DUMMYFUNCTION("""COMPUTED_VALUE"""),"Medium")</f>
        <v>Medium</v>
      </c>
      <c r="F335" s="23">
        <f>IFERROR(__xludf.DUMMYFUNCTION("""COMPUTED_VALUE"""),3803.0)</f>
        <v>3803</v>
      </c>
      <c r="G335" s="23">
        <f>IFERROR(__xludf.DUMMYFUNCTION("""COMPUTED_VALUE"""),210.0)</f>
        <v>210</v>
      </c>
      <c r="H335" s="23" t="str">
        <f>IFERROR(__xludf.DUMMYFUNCTION("""COMPUTED_VALUE"""),"Algorithms")</f>
        <v>Algorithms</v>
      </c>
      <c r="I335" s="23">
        <f>IFERROR(__xludf.DUMMYFUNCTION("""COMPUTED_VALUE"""),0.415)</f>
        <v>0.415</v>
      </c>
      <c r="J335" s="23">
        <f>IFERROR(__xludf.DUMMYFUNCTION("""COMPUTED_VALUE"""),334.0)</f>
        <v>334</v>
      </c>
      <c r="K335" s="23" t="b">
        <f>IFERROR(__xludf.DUMMYFUNCTION("""COMPUTED_VALUE"""),FALSE)</f>
        <v>0</v>
      </c>
      <c r="L335" s="23" t="str">
        <f>IFERROR(__xludf.DUMMYFUNCTION("""COMPUTED_VALUE"""),"Array;Greedy;")</f>
        <v>Array;Greedy;</v>
      </c>
      <c r="M335" s="23" t="b">
        <f>IFERROR(__xludf.DUMMYFUNCTION("""COMPUTED_VALUE"""),TRUE)</f>
        <v>1</v>
      </c>
      <c r="N335" s="23" t="b">
        <f>IFERROR(__xludf.DUMMYFUNCTION("""COMPUTED_VALUE"""),FALSE)</f>
        <v>0</v>
      </c>
      <c r="O335" s="23">
        <f>IFERROR(__xludf.DUMMYFUNCTION("""COMPUTED_VALUE"""),41.4909794491545)</f>
        <v>41.49097945</v>
      </c>
      <c r="P335" s="23">
        <f>IFERROR(__xludf.DUMMYFUNCTION("""COMPUTED_VALUE"""),268478.0)</f>
        <v>268478</v>
      </c>
      <c r="Q335" s="23">
        <f>IFERROR(__xludf.DUMMYFUNCTION("""COMPUTED_VALUE"""),647074.0)</f>
        <v>647074</v>
      </c>
    </row>
    <row r="336">
      <c r="A336" s="23">
        <f>IFERROR(__xludf.DUMMYFUNCTION("""COMPUTED_VALUE"""),335.0)</f>
        <v>335</v>
      </c>
      <c r="B336" s="23" t="str">
        <f>IFERROR(__xludf.DUMMYFUNCTION("""COMPUTED_VALUE"""),"Self Crossing")</f>
        <v>Self Crossing</v>
      </c>
      <c r="C336" s="23" t="str">
        <f>IFERROR(__xludf.DUMMYFUNCTION("""COMPUTED_VALUE"""),"self-crossing")</f>
        <v>self-crossing</v>
      </c>
      <c r="D336" s="23" t="b">
        <f>IFERROR(__xludf.DUMMYFUNCTION("""COMPUTED_VALUE"""),FALSE)</f>
        <v>0</v>
      </c>
      <c r="E336" s="23" t="str">
        <f>IFERROR(__xludf.DUMMYFUNCTION("""COMPUTED_VALUE"""),"Hard")</f>
        <v>Hard</v>
      </c>
      <c r="F336" s="23">
        <f>IFERROR(__xludf.DUMMYFUNCTION("""COMPUTED_VALUE"""),253.0)</f>
        <v>253</v>
      </c>
      <c r="G336" s="23">
        <f>IFERROR(__xludf.DUMMYFUNCTION("""COMPUTED_VALUE"""),445.0)</f>
        <v>445</v>
      </c>
      <c r="H336" s="23" t="str">
        <f>IFERROR(__xludf.DUMMYFUNCTION("""COMPUTED_VALUE"""),"Algorithms")</f>
        <v>Algorithms</v>
      </c>
      <c r="I336" s="23">
        <f>IFERROR(__xludf.DUMMYFUNCTION("""COMPUTED_VALUE"""),0.291)</f>
        <v>0.291</v>
      </c>
      <c r="J336" s="23">
        <f>IFERROR(__xludf.DUMMYFUNCTION("""COMPUTED_VALUE"""),335.0)</f>
        <v>335</v>
      </c>
      <c r="K336" s="23" t="b">
        <f>IFERROR(__xludf.DUMMYFUNCTION("""COMPUTED_VALUE"""),FALSE)</f>
        <v>0</v>
      </c>
      <c r="L336" s="23" t="str">
        <f>IFERROR(__xludf.DUMMYFUNCTION("""COMPUTED_VALUE"""),"Array;Math;Geometry;")</f>
        <v>Array;Math;Geometry;</v>
      </c>
      <c r="M336" s="23" t="b">
        <f>IFERROR(__xludf.DUMMYFUNCTION("""COMPUTED_VALUE"""),FALSE)</f>
        <v>0</v>
      </c>
      <c r="N336" s="23" t="b">
        <f>IFERROR(__xludf.DUMMYFUNCTION("""COMPUTED_VALUE"""),FALSE)</f>
        <v>0</v>
      </c>
      <c r="O336" s="23">
        <f>IFERROR(__xludf.DUMMYFUNCTION("""COMPUTED_VALUE"""),29.1002722610329)</f>
        <v>29.10027226</v>
      </c>
      <c r="P336" s="23">
        <f>IFERROR(__xludf.DUMMYFUNCTION("""COMPUTED_VALUE"""),27576.0)</f>
        <v>27576</v>
      </c>
      <c r="Q336" s="23">
        <f>IFERROR(__xludf.DUMMYFUNCTION("""COMPUTED_VALUE"""),94762.0)</f>
        <v>94762</v>
      </c>
    </row>
    <row r="337">
      <c r="A337" s="23">
        <f>IFERROR(__xludf.DUMMYFUNCTION("""COMPUTED_VALUE"""),336.0)</f>
        <v>336</v>
      </c>
      <c r="B337" s="23" t="str">
        <f>IFERROR(__xludf.DUMMYFUNCTION("""COMPUTED_VALUE"""),"Palindrome Pairs")</f>
        <v>Palindrome Pairs</v>
      </c>
      <c r="C337" s="23" t="str">
        <f>IFERROR(__xludf.DUMMYFUNCTION("""COMPUTED_VALUE"""),"palindrome-pairs")</f>
        <v>palindrome-pairs</v>
      </c>
      <c r="D337" s="23" t="b">
        <f>IFERROR(__xludf.DUMMYFUNCTION("""COMPUTED_VALUE"""),FALSE)</f>
        <v>0</v>
      </c>
      <c r="E337" s="23" t="str">
        <f>IFERROR(__xludf.DUMMYFUNCTION("""COMPUTED_VALUE"""),"Hard")</f>
        <v>Hard</v>
      </c>
      <c r="F337" s="23">
        <f>IFERROR(__xludf.DUMMYFUNCTION("""COMPUTED_VALUE"""),2639.0)</f>
        <v>2639</v>
      </c>
      <c r="G337" s="23">
        <f>IFERROR(__xludf.DUMMYFUNCTION("""COMPUTED_VALUE"""),248.0)</f>
        <v>248</v>
      </c>
      <c r="H337" s="23" t="str">
        <f>IFERROR(__xludf.DUMMYFUNCTION("""COMPUTED_VALUE"""),"Algorithms")</f>
        <v>Algorithms</v>
      </c>
      <c r="I337" s="23">
        <f>IFERROR(__xludf.DUMMYFUNCTION("""COMPUTED_VALUE"""),0.358)</f>
        <v>0.358</v>
      </c>
      <c r="J337" s="23">
        <f>IFERROR(__xludf.DUMMYFUNCTION("""COMPUTED_VALUE"""),336.0)</f>
        <v>336</v>
      </c>
      <c r="K337" s="23" t="b">
        <f>IFERROR(__xludf.DUMMYFUNCTION("""COMPUTED_VALUE"""),FALSE)</f>
        <v>0</v>
      </c>
      <c r="L337" s="23" t="str">
        <f>IFERROR(__xludf.DUMMYFUNCTION("""COMPUTED_VALUE"""),"Array;Hash Table;String;Trie;")</f>
        <v>Array;Hash Table;String;Trie;</v>
      </c>
      <c r="M337" s="23" t="b">
        <f>IFERROR(__xludf.DUMMYFUNCTION("""COMPUTED_VALUE"""),TRUE)</f>
        <v>1</v>
      </c>
      <c r="N337" s="23" t="b">
        <f>IFERROR(__xludf.DUMMYFUNCTION("""COMPUTED_VALUE"""),FALSE)</f>
        <v>0</v>
      </c>
      <c r="O337" s="23">
        <f>IFERROR(__xludf.DUMMYFUNCTION("""COMPUTED_VALUE"""),35.822783578386)</f>
        <v>35.82278358</v>
      </c>
      <c r="P337" s="23">
        <f>IFERROR(__xludf.DUMMYFUNCTION("""COMPUTED_VALUE"""),147256.0)</f>
        <v>147256</v>
      </c>
      <c r="Q337" s="23">
        <f>IFERROR(__xludf.DUMMYFUNCTION("""COMPUTED_VALUE"""),411068.0)</f>
        <v>411068</v>
      </c>
    </row>
    <row r="338">
      <c r="A338" s="23">
        <f>IFERROR(__xludf.DUMMYFUNCTION("""COMPUTED_VALUE"""),337.0)</f>
        <v>337</v>
      </c>
      <c r="B338" s="23" t="str">
        <f>IFERROR(__xludf.DUMMYFUNCTION("""COMPUTED_VALUE"""),"House Robber III")</f>
        <v>House Robber III</v>
      </c>
      <c r="C338" s="23" t="str">
        <f>IFERROR(__xludf.DUMMYFUNCTION("""COMPUTED_VALUE"""),"house-robber-iii")</f>
        <v>house-robber-iii</v>
      </c>
      <c r="D338" s="23" t="b">
        <f>IFERROR(__xludf.DUMMYFUNCTION("""COMPUTED_VALUE"""),FALSE)</f>
        <v>0</v>
      </c>
      <c r="E338" s="23" t="str">
        <f>IFERROR(__xludf.DUMMYFUNCTION("""COMPUTED_VALUE"""),"Medium")</f>
        <v>Medium</v>
      </c>
      <c r="F338" s="23">
        <f>IFERROR(__xludf.DUMMYFUNCTION("""COMPUTED_VALUE"""),6165.0)</f>
        <v>6165</v>
      </c>
      <c r="G338" s="23">
        <f>IFERROR(__xludf.DUMMYFUNCTION("""COMPUTED_VALUE"""),95.0)</f>
        <v>95</v>
      </c>
      <c r="H338" s="23" t="str">
        <f>IFERROR(__xludf.DUMMYFUNCTION("""COMPUTED_VALUE"""),"Algorithms")</f>
        <v>Algorithms</v>
      </c>
      <c r="I338" s="23">
        <f>IFERROR(__xludf.DUMMYFUNCTION("""COMPUTED_VALUE"""),0.535)</f>
        <v>0.535</v>
      </c>
      <c r="J338" s="23">
        <f>IFERROR(__xludf.DUMMYFUNCTION("""COMPUTED_VALUE"""),337.0)</f>
        <v>337</v>
      </c>
      <c r="K338" s="23" t="b">
        <f>IFERROR(__xludf.DUMMYFUNCTION("""COMPUTED_VALUE"""),FALSE)</f>
        <v>0</v>
      </c>
      <c r="L338" s="23" t="str">
        <f>IFERROR(__xludf.DUMMYFUNCTION("""COMPUTED_VALUE"""),"Dynamic Programming;Tree;Depth-First Search;Binary Tree;")</f>
        <v>Dynamic Programming;Tree;Depth-First Search;Binary Tree;</v>
      </c>
      <c r="M338" s="23" t="b">
        <f>IFERROR(__xludf.DUMMYFUNCTION("""COMPUTED_VALUE"""),TRUE)</f>
        <v>1</v>
      </c>
      <c r="N338" s="23" t="b">
        <f>IFERROR(__xludf.DUMMYFUNCTION("""COMPUTED_VALUE"""),FALSE)</f>
        <v>0</v>
      </c>
      <c r="O338" s="23">
        <f>IFERROR(__xludf.DUMMYFUNCTION("""COMPUTED_VALUE"""),53.4972868961414)</f>
        <v>53.4972869</v>
      </c>
      <c r="P338" s="23">
        <f>IFERROR(__xludf.DUMMYFUNCTION("""COMPUTED_VALUE"""),284137.0)</f>
        <v>284137</v>
      </c>
      <c r="Q338" s="23">
        <f>IFERROR(__xludf.DUMMYFUNCTION("""COMPUTED_VALUE"""),531125.0)</f>
        <v>531125</v>
      </c>
    </row>
    <row r="339">
      <c r="A339" s="23">
        <f>IFERROR(__xludf.DUMMYFUNCTION("""COMPUTED_VALUE"""),338.0)</f>
        <v>338</v>
      </c>
      <c r="B339" s="23" t="str">
        <f>IFERROR(__xludf.DUMMYFUNCTION("""COMPUTED_VALUE"""),"Counting Bits")</f>
        <v>Counting Bits</v>
      </c>
      <c r="C339" s="23" t="str">
        <f>IFERROR(__xludf.DUMMYFUNCTION("""COMPUTED_VALUE"""),"counting-bits")</f>
        <v>counting-bits</v>
      </c>
      <c r="D339" s="23" t="b">
        <f>IFERROR(__xludf.DUMMYFUNCTION("""COMPUTED_VALUE"""),FALSE)</f>
        <v>0</v>
      </c>
      <c r="E339" s="23" t="str">
        <f>IFERROR(__xludf.DUMMYFUNCTION("""COMPUTED_VALUE"""),"Easy")</f>
        <v>Easy</v>
      </c>
      <c r="F339" s="23">
        <f>IFERROR(__xludf.DUMMYFUNCTION("""COMPUTED_VALUE"""),6822.0)</f>
        <v>6822</v>
      </c>
      <c r="G339" s="23">
        <f>IFERROR(__xludf.DUMMYFUNCTION("""COMPUTED_VALUE"""),317.0)</f>
        <v>317</v>
      </c>
      <c r="H339" s="23" t="str">
        <f>IFERROR(__xludf.DUMMYFUNCTION("""COMPUTED_VALUE"""),"Algorithms")</f>
        <v>Algorithms</v>
      </c>
      <c r="I339" s="23">
        <f>IFERROR(__xludf.DUMMYFUNCTION("""COMPUTED_VALUE"""),0.743)</f>
        <v>0.743</v>
      </c>
      <c r="J339" s="23">
        <f>IFERROR(__xludf.DUMMYFUNCTION("""COMPUTED_VALUE"""),338.0)</f>
        <v>338</v>
      </c>
      <c r="K339" s="23" t="b">
        <f>IFERROR(__xludf.DUMMYFUNCTION("""COMPUTED_VALUE"""),FALSE)</f>
        <v>0</v>
      </c>
      <c r="L339" s="23" t="str">
        <f>IFERROR(__xludf.DUMMYFUNCTION("""COMPUTED_VALUE"""),"Dynamic Programming;Bit Manipulation;")</f>
        <v>Dynamic Programming;Bit Manipulation;</v>
      </c>
      <c r="M339" s="23" t="b">
        <f>IFERROR(__xludf.DUMMYFUNCTION("""COMPUTED_VALUE"""),TRUE)</f>
        <v>1</v>
      </c>
      <c r="N339" s="23" t="b">
        <f>IFERROR(__xludf.DUMMYFUNCTION("""COMPUTED_VALUE"""),FALSE)</f>
        <v>0</v>
      </c>
      <c r="O339" s="23">
        <f>IFERROR(__xludf.DUMMYFUNCTION("""COMPUTED_VALUE"""),74.2610964489012)</f>
        <v>74.26109645</v>
      </c>
      <c r="P339" s="23">
        <f>IFERROR(__xludf.DUMMYFUNCTION("""COMPUTED_VALUE"""),568664.0)</f>
        <v>568664</v>
      </c>
      <c r="Q339" s="23">
        <f>IFERROR(__xludf.DUMMYFUNCTION("""COMPUTED_VALUE"""),765763.0)</f>
        <v>765763</v>
      </c>
    </row>
    <row r="340">
      <c r="A340" s="23">
        <f>IFERROR(__xludf.DUMMYFUNCTION("""COMPUTED_VALUE"""),339.0)</f>
        <v>339</v>
      </c>
      <c r="B340" s="23" t="str">
        <f>IFERROR(__xludf.DUMMYFUNCTION("""COMPUTED_VALUE"""),"Nested List Weight Sum")</f>
        <v>Nested List Weight Sum</v>
      </c>
      <c r="C340" s="23" t="str">
        <f>IFERROR(__xludf.DUMMYFUNCTION("""COMPUTED_VALUE"""),"nested-list-weight-sum")</f>
        <v>nested-list-weight-sum</v>
      </c>
      <c r="D340" s="23" t="b">
        <f>IFERROR(__xludf.DUMMYFUNCTION("""COMPUTED_VALUE"""),TRUE)</f>
        <v>1</v>
      </c>
      <c r="E340" s="23" t="str">
        <f>IFERROR(__xludf.DUMMYFUNCTION("""COMPUTED_VALUE"""),"Medium")</f>
        <v>Medium</v>
      </c>
      <c r="F340" s="23">
        <f>IFERROR(__xludf.DUMMYFUNCTION("""COMPUTED_VALUE"""),1296.0)</f>
        <v>1296</v>
      </c>
      <c r="G340" s="23">
        <f>IFERROR(__xludf.DUMMYFUNCTION("""COMPUTED_VALUE"""),301.0)</f>
        <v>301</v>
      </c>
      <c r="H340" s="23" t="str">
        <f>IFERROR(__xludf.DUMMYFUNCTION("""COMPUTED_VALUE"""),"Algorithms")</f>
        <v>Algorithms</v>
      </c>
      <c r="I340" s="23">
        <f>IFERROR(__xludf.DUMMYFUNCTION("""COMPUTED_VALUE"""),0.812)</f>
        <v>0.812</v>
      </c>
      <c r="J340" s="23">
        <f>IFERROR(__xludf.DUMMYFUNCTION("""COMPUTED_VALUE"""),339.0)</f>
        <v>339</v>
      </c>
      <c r="K340" s="23" t="b">
        <f>IFERROR(__xludf.DUMMYFUNCTION("""COMPUTED_VALUE"""),TRUE)</f>
        <v>1</v>
      </c>
      <c r="L340" s="23" t="str">
        <f>IFERROR(__xludf.DUMMYFUNCTION("""COMPUTED_VALUE"""),"Depth-First Search;Breadth-First Search;")</f>
        <v>Depth-First Search;Breadth-First Search;</v>
      </c>
      <c r="M340" s="23" t="b">
        <f>IFERROR(__xludf.DUMMYFUNCTION("""COMPUTED_VALUE"""),TRUE)</f>
        <v>1</v>
      </c>
      <c r="N340" s="23" t="b">
        <f>IFERROR(__xludf.DUMMYFUNCTION("""COMPUTED_VALUE"""),TRUE)</f>
        <v>1</v>
      </c>
      <c r="O340" s="23">
        <f>IFERROR(__xludf.DUMMYFUNCTION("""COMPUTED_VALUE"""),81.1724040932706)</f>
        <v>81.17240409</v>
      </c>
      <c r="P340" s="23">
        <f>IFERROR(__xludf.DUMMYFUNCTION("""COMPUTED_VALUE"""),190454.0)</f>
        <v>190454</v>
      </c>
      <c r="Q340" s="23">
        <f>IFERROR(__xludf.DUMMYFUNCTION("""COMPUTED_VALUE"""),234629.0)</f>
        <v>234629</v>
      </c>
    </row>
    <row r="341">
      <c r="A341" s="23">
        <f>IFERROR(__xludf.DUMMYFUNCTION("""COMPUTED_VALUE"""),340.0)</f>
        <v>340</v>
      </c>
      <c r="B341" s="23" t="str">
        <f>IFERROR(__xludf.DUMMYFUNCTION("""COMPUTED_VALUE"""),"Longest Substring with At Most K Distinct Characters")</f>
        <v>Longest Substring with At Most K Distinct Characters</v>
      </c>
      <c r="C341" s="23" t="str">
        <f>IFERROR(__xludf.DUMMYFUNCTION("""COMPUTED_VALUE"""),"longest-substring-with-at-most-k-distinct-characters")</f>
        <v>longest-substring-with-at-most-k-distinct-characters</v>
      </c>
      <c r="D341" s="23" t="b">
        <f>IFERROR(__xludf.DUMMYFUNCTION("""COMPUTED_VALUE"""),TRUE)</f>
        <v>1</v>
      </c>
      <c r="E341" s="23" t="str">
        <f>IFERROR(__xludf.DUMMYFUNCTION("""COMPUTED_VALUE"""),"Medium")</f>
        <v>Medium</v>
      </c>
      <c r="F341" s="23">
        <f>IFERROR(__xludf.DUMMYFUNCTION("""COMPUTED_VALUE"""),2270.0)</f>
        <v>2270</v>
      </c>
      <c r="G341" s="23">
        <f>IFERROR(__xludf.DUMMYFUNCTION("""COMPUTED_VALUE"""),69.0)</f>
        <v>69</v>
      </c>
      <c r="H341" s="23" t="str">
        <f>IFERROR(__xludf.DUMMYFUNCTION("""COMPUTED_VALUE"""),"Algorithms")</f>
        <v>Algorithms</v>
      </c>
      <c r="I341" s="23">
        <f>IFERROR(__xludf.DUMMYFUNCTION("""COMPUTED_VALUE"""),0.473)</f>
        <v>0.473</v>
      </c>
      <c r="J341" s="23">
        <f>IFERROR(__xludf.DUMMYFUNCTION("""COMPUTED_VALUE"""),340.0)</f>
        <v>340</v>
      </c>
      <c r="K341" s="23" t="b">
        <f>IFERROR(__xludf.DUMMYFUNCTION("""COMPUTED_VALUE"""),TRUE)</f>
        <v>1</v>
      </c>
      <c r="L341" s="23" t="str">
        <f>IFERROR(__xludf.DUMMYFUNCTION("""COMPUTED_VALUE"""),"Hash Table;String;Sliding Window;")</f>
        <v>Hash Table;String;Sliding Window;</v>
      </c>
      <c r="M341" s="23" t="b">
        <f>IFERROR(__xludf.DUMMYFUNCTION("""COMPUTED_VALUE"""),TRUE)</f>
        <v>1</v>
      </c>
      <c r="N341" s="23" t="b">
        <f>IFERROR(__xludf.DUMMYFUNCTION("""COMPUTED_VALUE"""),TRUE)</f>
        <v>1</v>
      </c>
      <c r="O341" s="23">
        <f>IFERROR(__xludf.DUMMYFUNCTION("""COMPUTED_VALUE"""),47.3179344900985)</f>
        <v>47.31793449</v>
      </c>
      <c r="P341" s="23">
        <f>IFERROR(__xludf.DUMMYFUNCTION("""COMPUTED_VALUE"""),272539.0)</f>
        <v>272539</v>
      </c>
      <c r="Q341" s="23">
        <f>IFERROR(__xludf.DUMMYFUNCTION("""COMPUTED_VALUE"""),575972.0)</f>
        <v>575972</v>
      </c>
    </row>
    <row r="342">
      <c r="A342" s="23">
        <f>IFERROR(__xludf.DUMMYFUNCTION("""COMPUTED_VALUE"""),341.0)</f>
        <v>341</v>
      </c>
      <c r="B342" s="23" t="str">
        <f>IFERROR(__xludf.DUMMYFUNCTION("""COMPUTED_VALUE"""),"Flatten Nested List Iterator")</f>
        <v>Flatten Nested List Iterator</v>
      </c>
      <c r="C342" s="23" t="str">
        <f>IFERROR(__xludf.DUMMYFUNCTION("""COMPUTED_VALUE"""),"flatten-nested-list-iterator")</f>
        <v>flatten-nested-list-iterator</v>
      </c>
      <c r="D342" s="23" t="b">
        <f>IFERROR(__xludf.DUMMYFUNCTION("""COMPUTED_VALUE"""),FALSE)</f>
        <v>0</v>
      </c>
      <c r="E342" s="23" t="str">
        <f>IFERROR(__xludf.DUMMYFUNCTION("""COMPUTED_VALUE"""),"Medium")</f>
        <v>Medium</v>
      </c>
      <c r="F342" s="23">
        <f>IFERROR(__xludf.DUMMYFUNCTION("""COMPUTED_VALUE"""),3077.0)</f>
        <v>3077</v>
      </c>
      <c r="G342" s="23">
        <f>IFERROR(__xludf.DUMMYFUNCTION("""COMPUTED_VALUE"""),1079.0)</f>
        <v>1079</v>
      </c>
      <c r="H342" s="23" t="str">
        <f>IFERROR(__xludf.DUMMYFUNCTION("""COMPUTED_VALUE"""),"Algorithms")</f>
        <v>Algorithms</v>
      </c>
      <c r="I342" s="23">
        <f>IFERROR(__xludf.DUMMYFUNCTION("""COMPUTED_VALUE"""),0.587)</f>
        <v>0.587</v>
      </c>
      <c r="J342" s="23">
        <f>IFERROR(__xludf.DUMMYFUNCTION("""COMPUTED_VALUE"""),341.0)</f>
        <v>341</v>
      </c>
      <c r="K342" s="23" t="b">
        <f>IFERROR(__xludf.DUMMYFUNCTION("""COMPUTED_VALUE"""),FALSE)</f>
        <v>0</v>
      </c>
      <c r="L342" s="23" t="str">
        <f>IFERROR(__xludf.DUMMYFUNCTION("""COMPUTED_VALUE"""),"Stack;Tree;Depth-First Search;Design;Queue;Iterator;")</f>
        <v>Stack;Tree;Depth-First Search;Design;Queue;Iterator;</v>
      </c>
      <c r="M342" s="23" t="b">
        <f>IFERROR(__xludf.DUMMYFUNCTION("""COMPUTED_VALUE"""),TRUE)</f>
        <v>1</v>
      </c>
      <c r="N342" s="23" t="b">
        <f>IFERROR(__xludf.DUMMYFUNCTION("""COMPUTED_VALUE"""),FALSE)</f>
        <v>0</v>
      </c>
      <c r="O342" s="23">
        <f>IFERROR(__xludf.DUMMYFUNCTION("""COMPUTED_VALUE"""),58.7350769697989)</f>
        <v>58.73507697</v>
      </c>
      <c r="P342" s="23">
        <f>IFERROR(__xludf.DUMMYFUNCTION("""COMPUTED_VALUE"""),286235.0)</f>
        <v>286235</v>
      </c>
      <c r="Q342" s="23">
        <f>IFERROR(__xludf.DUMMYFUNCTION("""COMPUTED_VALUE"""),487333.0)</f>
        <v>487333</v>
      </c>
    </row>
    <row r="343">
      <c r="A343" s="23">
        <f>IFERROR(__xludf.DUMMYFUNCTION("""COMPUTED_VALUE"""),342.0)</f>
        <v>342</v>
      </c>
      <c r="B343" s="23" t="str">
        <f>IFERROR(__xludf.DUMMYFUNCTION("""COMPUTED_VALUE"""),"Power of Four")</f>
        <v>Power of Four</v>
      </c>
      <c r="C343" s="23" t="str">
        <f>IFERROR(__xludf.DUMMYFUNCTION("""COMPUTED_VALUE"""),"power-of-four")</f>
        <v>power-of-four</v>
      </c>
      <c r="D343" s="23" t="b">
        <f>IFERROR(__xludf.DUMMYFUNCTION("""COMPUTED_VALUE"""),FALSE)</f>
        <v>0</v>
      </c>
      <c r="E343" s="23" t="str">
        <f>IFERROR(__xludf.DUMMYFUNCTION("""COMPUTED_VALUE"""),"Easy")</f>
        <v>Easy</v>
      </c>
      <c r="F343" s="23">
        <f>IFERROR(__xludf.DUMMYFUNCTION("""COMPUTED_VALUE"""),1463.0)</f>
        <v>1463</v>
      </c>
      <c r="G343" s="23">
        <f>IFERROR(__xludf.DUMMYFUNCTION("""COMPUTED_VALUE"""),285.0)</f>
        <v>285</v>
      </c>
      <c r="H343" s="23" t="str">
        <f>IFERROR(__xludf.DUMMYFUNCTION("""COMPUTED_VALUE"""),"Algorithms")</f>
        <v>Algorithms</v>
      </c>
      <c r="I343" s="23">
        <f>IFERROR(__xludf.DUMMYFUNCTION("""COMPUTED_VALUE"""),0.44)</f>
        <v>0.44</v>
      </c>
      <c r="J343" s="23">
        <f>IFERROR(__xludf.DUMMYFUNCTION("""COMPUTED_VALUE"""),342.0)</f>
        <v>342</v>
      </c>
      <c r="K343" s="23" t="b">
        <f>IFERROR(__xludf.DUMMYFUNCTION("""COMPUTED_VALUE"""),FALSE)</f>
        <v>0</v>
      </c>
      <c r="L343" s="23" t="str">
        <f>IFERROR(__xludf.DUMMYFUNCTION("""COMPUTED_VALUE"""),"Math;Bit Manipulation;Recursion;")</f>
        <v>Math;Bit Manipulation;Recursion;</v>
      </c>
      <c r="M343" s="23" t="b">
        <f>IFERROR(__xludf.DUMMYFUNCTION("""COMPUTED_VALUE"""),TRUE)</f>
        <v>1</v>
      </c>
      <c r="N343" s="23" t="b">
        <f>IFERROR(__xludf.DUMMYFUNCTION("""COMPUTED_VALUE"""),FALSE)</f>
        <v>0</v>
      </c>
      <c r="O343" s="23">
        <f>IFERROR(__xludf.DUMMYFUNCTION("""COMPUTED_VALUE"""),43.9659483236166)</f>
        <v>43.96594832</v>
      </c>
      <c r="P343" s="23">
        <f>IFERROR(__xludf.DUMMYFUNCTION("""COMPUTED_VALUE"""),293660.0)</f>
        <v>293660</v>
      </c>
      <c r="Q343" s="23">
        <f>IFERROR(__xludf.DUMMYFUNCTION("""COMPUTED_VALUE"""),667926.0)</f>
        <v>667926</v>
      </c>
    </row>
    <row r="344">
      <c r="A344" s="23">
        <f>IFERROR(__xludf.DUMMYFUNCTION("""COMPUTED_VALUE"""),343.0)</f>
        <v>343</v>
      </c>
      <c r="B344" s="23" t="str">
        <f>IFERROR(__xludf.DUMMYFUNCTION("""COMPUTED_VALUE"""),"Integer Break")</f>
        <v>Integer Break</v>
      </c>
      <c r="C344" s="23" t="str">
        <f>IFERROR(__xludf.DUMMYFUNCTION("""COMPUTED_VALUE"""),"integer-break")</f>
        <v>integer-break</v>
      </c>
      <c r="D344" s="23" t="b">
        <f>IFERROR(__xludf.DUMMYFUNCTION("""COMPUTED_VALUE"""),FALSE)</f>
        <v>0</v>
      </c>
      <c r="E344" s="23" t="str">
        <f>IFERROR(__xludf.DUMMYFUNCTION("""COMPUTED_VALUE"""),"Medium")</f>
        <v>Medium</v>
      </c>
      <c r="F344" s="23">
        <f>IFERROR(__xludf.DUMMYFUNCTION("""COMPUTED_VALUE"""),2722.0)</f>
        <v>2722</v>
      </c>
      <c r="G344" s="23">
        <f>IFERROR(__xludf.DUMMYFUNCTION("""COMPUTED_VALUE"""),325.0)</f>
        <v>325</v>
      </c>
      <c r="H344" s="23" t="str">
        <f>IFERROR(__xludf.DUMMYFUNCTION("""COMPUTED_VALUE"""),"Algorithms")</f>
        <v>Algorithms</v>
      </c>
      <c r="I344" s="23">
        <f>IFERROR(__xludf.DUMMYFUNCTION("""COMPUTED_VALUE"""),0.541)</f>
        <v>0.541</v>
      </c>
      <c r="J344" s="23">
        <f>IFERROR(__xludf.DUMMYFUNCTION("""COMPUTED_VALUE"""),343.0)</f>
        <v>343</v>
      </c>
      <c r="K344" s="23" t="b">
        <f>IFERROR(__xludf.DUMMYFUNCTION("""COMPUTED_VALUE"""),FALSE)</f>
        <v>0</v>
      </c>
      <c r="L344" s="23" t="str">
        <f>IFERROR(__xludf.DUMMYFUNCTION("""COMPUTED_VALUE"""),"Math;Dynamic Programming;")</f>
        <v>Math;Dynamic Programming;</v>
      </c>
      <c r="M344" s="23" t="b">
        <f>IFERROR(__xludf.DUMMYFUNCTION("""COMPUTED_VALUE"""),FALSE)</f>
        <v>0</v>
      </c>
      <c r="N344" s="23" t="b">
        <f>IFERROR(__xludf.DUMMYFUNCTION("""COMPUTED_VALUE"""),FALSE)</f>
        <v>0</v>
      </c>
      <c r="O344" s="23">
        <f>IFERROR(__xludf.DUMMYFUNCTION("""COMPUTED_VALUE"""),54.096824417614)</f>
        <v>54.09682442</v>
      </c>
      <c r="P344" s="23">
        <f>IFERROR(__xludf.DUMMYFUNCTION("""COMPUTED_VALUE"""),184151.0)</f>
        <v>184151</v>
      </c>
      <c r="Q344" s="23">
        <f>IFERROR(__xludf.DUMMYFUNCTION("""COMPUTED_VALUE"""),340410.0)</f>
        <v>340410</v>
      </c>
    </row>
    <row r="345">
      <c r="A345" s="23">
        <f>IFERROR(__xludf.DUMMYFUNCTION("""COMPUTED_VALUE"""),344.0)</f>
        <v>344</v>
      </c>
      <c r="B345" s="23" t="str">
        <f>IFERROR(__xludf.DUMMYFUNCTION("""COMPUTED_VALUE"""),"Reverse String")</f>
        <v>Reverse String</v>
      </c>
      <c r="C345" s="23" t="str">
        <f>IFERROR(__xludf.DUMMYFUNCTION("""COMPUTED_VALUE"""),"reverse-string")</f>
        <v>reverse-string</v>
      </c>
      <c r="D345" s="23" t="b">
        <f>IFERROR(__xludf.DUMMYFUNCTION("""COMPUTED_VALUE"""),FALSE)</f>
        <v>0</v>
      </c>
      <c r="E345" s="23" t="str">
        <f>IFERROR(__xludf.DUMMYFUNCTION("""COMPUTED_VALUE"""),"Easy")</f>
        <v>Easy</v>
      </c>
      <c r="F345" s="23">
        <f>IFERROR(__xludf.DUMMYFUNCTION("""COMPUTED_VALUE"""),4917.0)</f>
        <v>4917</v>
      </c>
      <c r="G345" s="23">
        <f>IFERROR(__xludf.DUMMYFUNCTION("""COMPUTED_VALUE"""),940.0)</f>
        <v>940</v>
      </c>
      <c r="H345" s="23" t="str">
        <f>IFERROR(__xludf.DUMMYFUNCTION("""COMPUTED_VALUE"""),"Algorithms")</f>
        <v>Algorithms</v>
      </c>
      <c r="I345" s="23">
        <f>IFERROR(__xludf.DUMMYFUNCTION("""COMPUTED_VALUE"""),0.748)</f>
        <v>0.748</v>
      </c>
      <c r="J345" s="23">
        <f>IFERROR(__xludf.DUMMYFUNCTION("""COMPUTED_VALUE"""),344.0)</f>
        <v>344</v>
      </c>
      <c r="K345" s="23" t="b">
        <f>IFERROR(__xludf.DUMMYFUNCTION("""COMPUTED_VALUE"""),FALSE)</f>
        <v>0</v>
      </c>
      <c r="L345" s="23" t="str">
        <f>IFERROR(__xludf.DUMMYFUNCTION("""COMPUTED_VALUE"""),"Two Pointers;String;Recursion;")</f>
        <v>Two Pointers;String;Recursion;</v>
      </c>
      <c r="M345" s="23" t="b">
        <f>IFERROR(__xludf.DUMMYFUNCTION("""COMPUTED_VALUE"""),TRUE)</f>
        <v>1</v>
      </c>
      <c r="N345" s="23" t="b">
        <f>IFERROR(__xludf.DUMMYFUNCTION("""COMPUTED_VALUE"""),TRUE)</f>
        <v>1</v>
      </c>
      <c r="O345" s="23">
        <f>IFERROR(__xludf.DUMMYFUNCTION("""COMPUTED_VALUE"""),74.8352482900697)</f>
        <v>74.83524829</v>
      </c>
      <c r="P345" s="23">
        <f>IFERROR(__xludf.DUMMYFUNCTION("""COMPUTED_VALUE"""),1570721.0)</f>
        <v>1570721</v>
      </c>
      <c r="Q345" s="23">
        <f>IFERROR(__xludf.DUMMYFUNCTION("""COMPUTED_VALUE"""),2098908.0)</f>
        <v>2098908</v>
      </c>
    </row>
    <row r="346">
      <c r="A346" s="23">
        <f>IFERROR(__xludf.DUMMYFUNCTION("""COMPUTED_VALUE"""),345.0)</f>
        <v>345</v>
      </c>
      <c r="B346" s="23" t="str">
        <f>IFERROR(__xludf.DUMMYFUNCTION("""COMPUTED_VALUE"""),"Reverse Vowels of a String")</f>
        <v>Reverse Vowels of a String</v>
      </c>
      <c r="C346" s="23" t="str">
        <f>IFERROR(__xludf.DUMMYFUNCTION("""COMPUTED_VALUE"""),"reverse-vowels-of-a-string")</f>
        <v>reverse-vowels-of-a-string</v>
      </c>
      <c r="D346" s="23" t="b">
        <f>IFERROR(__xludf.DUMMYFUNCTION("""COMPUTED_VALUE"""),FALSE)</f>
        <v>0</v>
      </c>
      <c r="E346" s="23" t="str">
        <f>IFERROR(__xludf.DUMMYFUNCTION("""COMPUTED_VALUE"""),"Easy")</f>
        <v>Easy</v>
      </c>
      <c r="F346" s="23">
        <f>IFERROR(__xludf.DUMMYFUNCTION("""COMPUTED_VALUE"""),1578.0)</f>
        <v>1578</v>
      </c>
      <c r="G346" s="23">
        <f>IFERROR(__xludf.DUMMYFUNCTION("""COMPUTED_VALUE"""),1834.0)</f>
        <v>1834</v>
      </c>
      <c r="H346" s="23" t="str">
        <f>IFERROR(__xludf.DUMMYFUNCTION("""COMPUTED_VALUE"""),"Algorithms")</f>
        <v>Algorithms</v>
      </c>
      <c r="I346" s="23">
        <f>IFERROR(__xludf.DUMMYFUNCTION("""COMPUTED_VALUE"""),0.469)</f>
        <v>0.469</v>
      </c>
      <c r="J346" s="23">
        <f>IFERROR(__xludf.DUMMYFUNCTION("""COMPUTED_VALUE"""),345.0)</f>
        <v>345</v>
      </c>
      <c r="K346" s="23" t="b">
        <f>IFERROR(__xludf.DUMMYFUNCTION("""COMPUTED_VALUE"""),FALSE)</f>
        <v>0</v>
      </c>
      <c r="L346" s="23" t="str">
        <f>IFERROR(__xludf.DUMMYFUNCTION("""COMPUTED_VALUE"""),"Two Pointers;String;")</f>
        <v>Two Pointers;String;</v>
      </c>
      <c r="M346" s="23" t="b">
        <f>IFERROR(__xludf.DUMMYFUNCTION("""COMPUTED_VALUE"""),FALSE)</f>
        <v>0</v>
      </c>
      <c r="N346" s="23" t="b">
        <f>IFERROR(__xludf.DUMMYFUNCTION("""COMPUTED_VALUE"""),FALSE)</f>
        <v>0</v>
      </c>
      <c r="O346" s="23">
        <f>IFERROR(__xludf.DUMMYFUNCTION("""COMPUTED_VALUE"""),46.9350454904129)</f>
        <v>46.93504549</v>
      </c>
      <c r="P346" s="23">
        <f>IFERROR(__xludf.DUMMYFUNCTION("""COMPUTED_VALUE"""),347959.0)</f>
        <v>347959</v>
      </c>
      <c r="Q346" s="23">
        <f>IFERROR(__xludf.DUMMYFUNCTION("""COMPUTED_VALUE"""),741363.0)</f>
        <v>741363</v>
      </c>
    </row>
    <row r="347">
      <c r="A347" s="23">
        <f>IFERROR(__xludf.DUMMYFUNCTION("""COMPUTED_VALUE"""),346.0)</f>
        <v>346</v>
      </c>
      <c r="B347" s="23" t="str">
        <f>IFERROR(__xludf.DUMMYFUNCTION("""COMPUTED_VALUE"""),"Moving Average from Data Stream")</f>
        <v>Moving Average from Data Stream</v>
      </c>
      <c r="C347" s="23" t="str">
        <f>IFERROR(__xludf.DUMMYFUNCTION("""COMPUTED_VALUE"""),"moving-average-from-data-stream")</f>
        <v>moving-average-from-data-stream</v>
      </c>
      <c r="D347" s="23" t="b">
        <f>IFERROR(__xludf.DUMMYFUNCTION("""COMPUTED_VALUE"""),TRUE)</f>
        <v>1</v>
      </c>
      <c r="E347" s="23" t="str">
        <f>IFERROR(__xludf.DUMMYFUNCTION("""COMPUTED_VALUE"""),"Easy")</f>
        <v>Easy</v>
      </c>
      <c r="F347" s="23">
        <f>IFERROR(__xludf.DUMMYFUNCTION("""COMPUTED_VALUE"""),1264.0)</f>
        <v>1264</v>
      </c>
      <c r="G347" s="23">
        <f>IFERROR(__xludf.DUMMYFUNCTION("""COMPUTED_VALUE"""),118.0)</f>
        <v>118</v>
      </c>
      <c r="H347" s="23" t="str">
        <f>IFERROR(__xludf.DUMMYFUNCTION("""COMPUTED_VALUE"""),"Algorithms")</f>
        <v>Algorithms</v>
      </c>
      <c r="I347" s="23">
        <f>IFERROR(__xludf.DUMMYFUNCTION("""COMPUTED_VALUE"""),0.763)</f>
        <v>0.763</v>
      </c>
      <c r="J347" s="23">
        <f>IFERROR(__xludf.DUMMYFUNCTION("""COMPUTED_VALUE"""),346.0)</f>
        <v>346</v>
      </c>
      <c r="K347" s="23" t="b">
        <f>IFERROR(__xludf.DUMMYFUNCTION("""COMPUTED_VALUE"""),TRUE)</f>
        <v>1</v>
      </c>
      <c r="L347" s="23" t="str">
        <f>IFERROR(__xludf.DUMMYFUNCTION("""COMPUTED_VALUE"""),"Array;Design;Queue;Data Stream;")</f>
        <v>Array;Design;Queue;Data Stream;</v>
      </c>
      <c r="M347" s="23" t="b">
        <f>IFERROR(__xludf.DUMMYFUNCTION("""COMPUTED_VALUE"""),TRUE)</f>
        <v>1</v>
      </c>
      <c r="N347" s="23" t="b">
        <f>IFERROR(__xludf.DUMMYFUNCTION("""COMPUTED_VALUE"""),FALSE)</f>
        <v>0</v>
      </c>
      <c r="O347" s="23">
        <f>IFERROR(__xludf.DUMMYFUNCTION("""COMPUTED_VALUE"""),76.3149145357501)</f>
        <v>76.31491454</v>
      </c>
      <c r="P347" s="23">
        <f>IFERROR(__xludf.DUMMYFUNCTION("""COMPUTED_VALUE"""),257078.0)</f>
        <v>257078</v>
      </c>
      <c r="Q347" s="23">
        <f>IFERROR(__xludf.DUMMYFUNCTION("""COMPUTED_VALUE"""),336862.0)</f>
        <v>336862</v>
      </c>
    </row>
    <row r="348">
      <c r="A348" s="23">
        <f>IFERROR(__xludf.DUMMYFUNCTION("""COMPUTED_VALUE"""),347.0)</f>
        <v>347</v>
      </c>
      <c r="B348" s="23" t="str">
        <f>IFERROR(__xludf.DUMMYFUNCTION("""COMPUTED_VALUE"""),"Top K Frequent Elements")</f>
        <v>Top K Frequent Elements</v>
      </c>
      <c r="C348" s="23" t="str">
        <f>IFERROR(__xludf.DUMMYFUNCTION("""COMPUTED_VALUE"""),"top-k-frequent-elements")</f>
        <v>top-k-frequent-elements</v>
      </c>
      <c r="D348" s="23" t="b">
        <f>IFERROR(__xludf.DUMMYFUNCTION("""COMPUTED_VALUE"""),FALSE)</f>
        <v>0</v>
      </c>
      <c r="E348" s="23" t="str">
        <f>IFERROR(__xludf.DUMMYFUNCTION("""COMPUTED_VALUE"""),"Medium")</f>
        <v>Medium</v>
      </c>
      <c r="F348" s="23">
        <f>IFERROR(__xludf.DUMMYFUNCTION("""COMPUTED_VALUE"""),8976.0)</f>
        <v>8976</v>
      </c>
      <c r="G348" s="23">
        <f>IFERROR(__xludf.DUMMYFUNCTION("""COMPUTED_VALUE"""),366.0)</f>
        <v>366</v>
      </c>
      <c r="H348" s="23" t="str">
        <f>IFERROR(__xludf.DUMMYFUNCTION("""COMPUTED_VALUE"""),"Algorithms")</f>
        <v>Algorithms</v>
      </c>
      <c r="I348" s="23">
        <f>IFERROR(__xludf.DUMMYFUNCTION("""COMPUTED_VALUE"""),0.651)</f>
        <v>0.651</v>
      </c>
      <c r="J348" s="23">
        <f>IFERROR(__xludf.DUMMYFUNCTION("""COMPUTED_VALUE"""),347.0)</f>
        <v>347</v>
      </c>
      <c r="K348" s="23" t="b">
        <f>IFERROR(__xludf.DUMMYFUNCTION("""COMPUTED_VALUE"""),FALSE)</f>
        <v>0</v>
      </c>
      <c r="L348" s="23" t="str">
        <f>IFERROR(__xludf.DUMMYFUNCTION("""COMPUTED_VALUE"""),"Array;Hash Table;Divide and Conquer;Sorting;Heap (Priority Queue);Bucket Sort;Counting;Quickselect;")</f>
        <v>Array;Hash Table;Divide and Conquer;Sorting;Heap (Priority Queue);Bucket Sort;Counting;Quickselect;</v>
      </c>
      <c r="M348" s="23" t="b">
        <f>IFERROR(__xludf.DUMMYFUNCTION("""COMPUTED_VALUE"""),TRUE)</f>
        <v>1</v>
      </c>
      <c r="N348" s="23" t="b">
        <f>IFERROR(__xludf.DUMMYFUNCTION("""COMPUTED_VALUE"""),FALSE)</f>
        <v>0</v>
      </c>
      <c r="O348" s="23">
        <f>IFERROR(__xludf.DUMMYFUNCTION("""COMPUTED_VALUE"""),65.0827593040554)</f>
        <v>65.0827593</v>
      </c>
      <c r="P348" s="23">
        <f>IFERROR(__xludf.DUMMYFUNCTION("""COMPUTED_VALUE"""),939241.0)</f>
        <v>939241</v>
      </c>
      <c r="Q348" s="23">
        <f>IFERROR(__xludf.DUMMYFUNCTION("""COMPUTED_VALUE"""),1443150.0)</f>
        <v>1443150</v>
      </c>
    </row>
    <row r="349">
      <c r="A349" s="23">
        <f>IFERROR(__xludf.DUMMYFUNCTION("""COMPUTED_VALUE"""),348.0)</f>
        <v>348</v>
      </c>
      <c r="B349" s="23" t="str">
        <f>IFERROR(__xludf.DUMMYFUNCTION("""COMPUTED_VALUE"""),"Design Tic-Tac-Toe")</f>
        <v>Design Tic-Tac-Toe</v>
      </c>
      <c r="C349" s="23" t="str">
        <f>IFERROR(__xludf.DUMMYFUNCTION("""COMPUTED_VALUE"""),"design-tic-tac-toe")</f>
        <v>design-tic-tac-toe</v>
      </c>
      <c r="D349" s="23" t="b">
        <f>IFERROR(__xludf.DUMMYFUNCTION("""COMPUTED_VALUE"""),TRUE)</f>
        <v>1</v>
      </c>
      <c r="E349" s="23" t="str">
        <f>IFERROR(__xludf.DUMMYFUNCTION("""COMPUTED_VALUE"""),"Medium")</f>
        <v>Medium</v>
      </c>
      <c r="F349" s="23">
        <f>IFERROR(__xludf.DUMMYFUNCTION("""COMPUTED_VALUE"""),1644.0)</f>
        <v>1644</v>
      </c>
      <c r="G349" s="23">
        <f>IFERROR(__xludf.DUMMYFUNCTION("""COMPUTED_VALUE"""),97.0)</f>
        <v>97</v>
      </c>
      <c r="H349" s="23" t="str">
        <f>IFERROR(__xludf.DUMMYFUNCTION("""COMPUTED_VALUE"""),"Algorithms")</f>
        <v>Algorithms</v>
      </c>
      <c r="I349" s="23">
        <f>IFERROR(__xludf.DUMMYFUNCTION("""COMPUTED_VALUE"""),0.573)</f>
        <v>0.573</v>
      </c>
      <c r="J349" s="23">
        <f>IFERROR(__xludf.DUMMYFUNCTION("""COMPUTED_VALUE"""),348.0)</f>
        <v>348</v>
      </c>
      <c r="K349" s="23" t="b">
        <f>IFERROR(__xludf.DUMMYFUNCTION("""COMPUTED_VALUE"""),TRUE)</f>
        <v>1</v>
      </c>
      <c r="L349" s="23" t="str">
        <f>IFERROR(__xludf.DUMMYFUNCTION("""COMPUTED_VALUE"""),"Array;Hash Table;Design;Matrix;")</f>
        <v>Array;Hash Table;Design;Matrix;</v>
      </c>
      <c r="M349" s="23" t="b">
        <f>IFERROR(__xludf.DUMMYFUNCTION("""COMPUTED_VALUE"""),TRUE)</f>
        <v>1</v>
      </c>
      <c r="N349" s="23" t="b">
        <f>IFERROR(__xludf.DUMMYFUNCTION("""COMPUTED_VALUE"""),FALSE)</f>
        <v>0</v>
      </c>
      <c r="O349" s="23">
        <f>IFERROR(__xludf.DUMMYFUNCTION("""COMPUTED_VALUE"""),57.2537147231791)</f>
        <v>57.25371472</v>
      </c>
      <c r="P349" s="23">
        <f>IFERROR(__xludf.DUMMYFUNCTION("""COMPUTED_VALUE"""),180983.0)</f>
        <v>180983</v>
      </c>
      <c r="Q349" s="23">
        <f>IFERROR(__xludf.DUMMYFUNCTION("""COMPUTED_VALUE"""),316107.0)</f>
        <v>316107</v>
      </c>
    </row>
    <row r="350">
      <c r="A350" s="23">
        <f>IFERROR(__xludf.DUMMYFUNCTION("""COMPUTED_VALUE"""),349.0)</f>
        <v>349</v>
      </c>
      <c r="B350" s="23" t="str">
        <f>IFERROR(__xludf.DUMMYFUNCTION("""COMPUTED_VALUE"""),"Intersection of Two Arrays")</f>
        <v>Intersection of Two Arrays</v>
      </c>
      <c r="C350" s="23" t="str">
        <f>IFERROR(__xludf.DUMMYFUNCTION("""COMPUTED_VALUE"""),"intersection-of-two-arrays")</f>
        <v>intersection-of-two-arrays</v>
      </c>
      <c r="D350" s="23" t="b">
        <f>IFERROR(__xludf.DUMMYFUNCTION("""COMPUTED_VALUE"""),FALSE)</f>
        <v>0</v>
      </c>
      <c r="E350" s="23" t="str">
        <f>IFERROR(__xludf.DUMMYFUNCTION("""COMPUTED_VALUE"""),"Easy")</f>
        <v>Easy</v>
      </c>
      <c r="F350" s="23">
        <f>IFERROR(__xludf.DUMMYFUNCTION("""COMPUTED_VALUE"""),2786.0)</f>
        <v>2786</v>
      </c>
      <c r="G350" s="23">
        <f>IFERROR(__xludf.DUMMYFUNCTION("""COMPUTED_VALUE"""),1889.0)</f>
        <v>1889</v>
      </c>
      <c r="H350" s="23" t="str">
        <f>IFERROR(__xludf.DUMMYFUNCTION("""COMPUTED_VALUE"""),"Algorithms")</f>
        <v>Algorithms</v>
      </c>
      <c r="I350" s="23">
        <f>IFERROR(__xludf.DUMMYFUNCTION("""COMPUTED_VALUE"""),0.69)</f>
        <v>0.69</v>
      </c>
      <c r="J350" s="23">
        <f>IFERROR(__xludf.DUMMYFUNCTION("""COMPUTED_VALUE"""),349.0)</f>
        <v>349</v>
      </c>
      <c r="K350" s="23" t="b">
        <f>IFERROR(__xludf.DUMMYFUNCTION("""COMPUTED_VALUE"""),FALSE)</f>
        <v>0</v>
      </c>
      <c r="L350" s="23" t="str">
        <f>IFERROR(__xludf.DUMMYFUNCTION("""COMPUTED_VALUE"""),"Array;Hash Table;Two Pointers;Binary Search;Sorting;")</f>
        <v>Array;Hash Table;Two Pointers;Binary Search;Sorting;</v>
      </c>
      <c r="M350" s="23" t="b">
        <f>IFERROR(__xludf.DUMMYFUNCTION("""COMPUTED_VALUE"""),TRUE)</f>
        <v>1</v>
      </c>
      <c r="N350" s="23" t="b">
        <f>IFERROR(__xludf.DUMMYFUNCTION("""COMPUTED_VALUE"""),FALSE)</f>
        <v>0</v>
      </c>
      <c r="O350" s="23">
        <f>IFERROR(__xludf.DUMMYFUNCTION("""COMPUTED_VALUE"""),69.0093952481522)</f>
        <v>69.00939525</v>
      </c>
      <c r="P350" s="23">
        <f>IFERROR(__xludf.DUMMYFUNCTION("""COMPUTED_VALUE"""),654153.0)</f>
        <v>654153</v>
      </c>
      <c r="Q350" s="23">
        <f>IFERROR(__xludf.DUMMYFUNCTION("""COMPUTED_VALUE"""),947916.0)</f>
        <v>947916</v>
      </c>
    </row>
    <row r="351">
      <c r="A351" s="23">
        <f>IFERROR(__xludf.DUMMYFUNCTION("""COMPUTED_VALUE"""),350.0)</f>
        <v>350</v>
      </c>
      <c r="B351" s="23" t="str">
        <f>IFERROR(__xludf.DUMMYFUNCTION("""COMPUTED_VALUE"""),"Intersection of Two Arrays II")</f>
        <v>Intersection of Two Arrays II</v>
      </c>
      <c r="C351" s="23" t="str">
        <f>IFERROR(__xludf.DUMMYFUNCTION("""COMPUTED_VALUE"""),"intersection-of-two-arrays-ii")</f>
        <v>intersection-of-two-arrays-ii</v>
      </c>
      <c r="D351" s="23" t="b">
        <f>IFERROR(__xludf.DUMMYFUNCTION("""COMPUTED_VALUE"""),FALSE)</f>
        <v>0</v>
      </c>
      <c r="E351" s="23" t="str">
        <f>IFERROR(__xludf.DUMMYFUNCTION("""COMPUTED_VALUE"""),"Easy")</f>
        <v>Easy</v>
      </c>
      <c r="F351" s="23">
        <f>IFERROR(__xludf.DUMMYFUNCTION("""COMPUTED_VALUE"""),4345.0)</f>
        <v>4345</v>
      </c>
      <c r="G351" s="23">
        <f>IFERROR(__xludf.DUMMYFUNCTION("""COMPUTED_VALUE"""),695.0)</f>
        <v>695</v>
      </c>
      <c r="H351" s="23" t="str">
        <f>IFERROR(__xludf.DUMMYFUNCTION("""COMPUTED_VALUE"""),"Algorithms")</f>
        <v>Algorithms</v>
      </c>
      <c r="I351" s="23">
        <f>IFERROR(__xludf.DUMMYFUNCTION("""COMPUTED_VALUE"""),0.549)</f>
        <v>0.549</v>
      </c>
      <c r="J351" s="23">
        <f>IFERROR(__xludf.DUMMYFUNCTION("""COMPUTED_VALUE"""),350.0)</f>
        <v>350</v>
      </c>
      <c r="K351" s="23" t="b">
        <f>IFERROR(__xludf.DUMMYFUNCTION("""COMPUTED_VALUE"""),FALSE)</f>
        <v>0</v>
      </c>
      <c r="L351" s="23" t="str">
        <f>IFERROR(__xludf.DUMMYFUNCTION("""COMPUTED_VALUE"""),"Array;Hash Table;Two Pointers;Binary Search;Sorting;")</f>
        <v>Array;Hash Table;Two Pointers;Binary Search;Sorting;</v>
      </c>
      <c r="M351" s="23" t="b">
        <f>IFERROR(__xludf.DUMMYFUNCTION("""COMPUTED_VALUE"""),TRUE)</f>
        <v>1</v>
      </c>
      <c r="N351" s="23" t="b">
        <f>IFERROR(__xludf.DUMMYFUNCTION("""COMPUTED_VALUE"""),FALSE)</f>
        <v>0</v>
      </c>
      <c r="O351" s="23">
        <f>IFERROR(__xludf.DUMMYFUNCTION("""COMPUTED_VALUE"""),54.8854052849326)</f>
        <v>54.88540528</v>
      </c>
      <c r="P351" s="23">
        <f>IFERROR(__xludf.DUMMYFUNCTION("""COMPUTED_VALUE"""),783108.0)</f>
        <v>783108</v>
      </c>
      <c r="Q351" s="23">
        <f>IFERROR(__xludf.DUMMYFUNCTION("""COMPUTED_VALUE"""),1426804.0)</f>
        <v>1426804</v>
      </c>
    </row>
    <row r="352">
      <c r="A352" s="23">
        <f>IFERROR(__xludf.DUMMYFUNCTION("""COMPUTED_VALUE"""),351.0)</f>
        <v>351</v>
      </c>
      <c r="B352" s="23" t="str">
        <f>IFERROR(__xludf.DUMMYFUNCTION("""COMPUTED_VALUE"""),"Android Unlock Patterns")</f>
        <v>Android Unlock Patterns</v>
      </c>
      <c r="C352" s="23" t="str">
        <f>IFERROR(__xludf.DUMMYFUNCTION("""COMPUTED_VALUE"""),"android-unlock-patterns")</f>
        <v>android-unlock-patterns</v>
      </c>
      <c r="D352" s="23" t="b">
        <f>IFERROR(__xludf.DUMMYFUNCTION("""COMPUTED_VALUE"""),TRUE)</f>
        <v>1</v>
      </c>
      <c r="E352" s="23" t="str">
        <f>IFERROR(__xludf.DUMMYFUNCTION("""COMPUTED_VALUE"""),"Medium")</f>
        <v>Medium</v>
      </c>
      <c r="F352" s="23">
        <f>IFERROR(__xludf.DUMMYFUNCTION("""COMPUTED_VALUE"""),94.0)</f>
        <v>94</v>
      </c>
      <c r="G352" s="23">
        <f>IFERROR(__xludf.DUMMYFUNCTION("""COMPUTED_VALUE"""),92.0)</f>
        <v>92</v>
      </c>
      <c r="H352" s="23" t="str">
        <f>IFERROR(__xludf.DUMMYFUNCTION("""COMPUTED_VALUE"""),"Algorithms")</f>
        <v>Algorithms</v>
      </c>
      <c r="I352" s="23">
        <f>IFERROR(__xludf.DUMMYFUNCTION("""COMPUTED_VALUE"""),0.51)</f>
        <v>0.51</v>
      </c>
      <c r="J352" s="23">
        <f>IFERROR(__xludf.DUMMYFUNCTION("""COMPUTED_VALUE"""),351.0)</f>
        <v>351</v>
      </c>
      <c r="K352" s="23" t="b">
        <f>IFERROR(__xludf.DUMMYFUNCTION("""COMPUTED_VALUE"""),TRUE)</f>
        <v>1</v>
      </c>
      <c r="L352" s="23" t="str">
        <f>IFERROR(__xludf.DUMMYFUNCTION("""COMPUTED_VALUE"""),"Dynamic Programming;Backtracking;")</f>
        <v>Dynamic Programming;Backtracking;</v>
      </c>
      <c r="M352" s="23" t="b">
        <f>IFERROR(__xludf.DUMMYFUNCTION("""COMPUTED_VALUE"""),FALSE)</f>
        <v>0</v>
      </c>
      <c r="N352" s="23" t="b">
        <f>IFERROR(__xludf.DUMMYFUNCTION("""COMPUTED_VALUE"""),FALSE)</f>
        <v>0</v>
      </c>
      <c r="O352" s="23">
        <f>IFERROR(__xludf.DUMMYFUNCTION("""COMPUTED_VALUE"""),50.9612386989504)</f>
        <v>50.9612387</v>
      </c>
      <c r="P352" s="23">
        <f>IFERROR(__xludf.DUMMYFUNCTION("""COMPUTED_VALUE"""),63752.0)</f>
        <v>63752</v>
      </c>
      <c r="Q352" s="23">
        <f>IFERROR(__xludf.DUMMYFUNCTION("""COMPUTED_VALUE"""),125099.0)</f>
        <v>125099</v>
      </c>
    </row>
    <row r="353">
      <c r="A353" s="23">
        <f>IFERROR(__xludf.DUMMYFUNCTION("""COMPUTED_VALUE"""),352.0)</f>
        <v>352</v>
      </c>
      <c r="B353" s="23" t="str">
        <f>IFERROR(__xludf.DUMMYFUNCTION("""COMPUTED_VALUE"""),"Data Stream as Disjoint Intervals")</f>
        <v>Data Stream as Disjoint Intervals</v>
      </c>
      <c r="C353" s="23" t="str">
        <f>IFERROR(__xludf.DUMMYFUNCTION("""COMPUTED_VALUE"""),"data-stream-as-disjoint-intervals")</f>
        <v>data-stream-as-disjoint-intervals</v>
      </c>
      <c r="D353" s="23" t="b">
        <f>IFERROR(__xludf.DUMMYFUNCTION("""COMPUTED_VALUE"""),FALSE)</f>
        <v>0</v>
      </c>
      <c r="E353" s="23" t="str">
        <f>IFERROR(__xludf.DUMMYFUNCTION("""COMPUTED_VALUE"""),"Hard")</f>
        <v>Hard</v>
      </c>
      <c r="F353" s="23">
        <f>IFERROR(__xludf.DUMMYFUNCTION("""COMPUTED_VALUE"""),630.0)</f>
        <v>630</v>
      </c>
      <c r="G353" s="23">
        <f>IFERROR(__xludf.DUMMYFUNCTION("""COMPUTED_VALUE"""),158.0)</f>
        <v>158</v>
      </c>
      <c r="H353" s="23" t="str">
        <f>IFERROR(__xludf.DUMMYFUNCTION("""COMPUTED_VALUE"""),"Algorithms")</f>
        <v>Algorithms</v>
      </c>
      <c r="I353" s="23">
        <f>IFERROR(__xludf.DUMMYFUNCTION("""COMPUTED_VALUE"""),0.506)</f>
        <v>0.506</v>
      </c>
      <c r="J353" s="23">
        <f>IFERROR(__xludf.DUMMYFUNCTION("""COMPUTED_VALUE"""),352.0)</f>
        <v>352</v>
      </c>
      <c r="K353" s="23" t="b">
        <f>IFERROR(__xludf.DUMMYFUNCTION("""COMPUTED_VALUE"""),FALSE)</f>
        <v>0</v>
      </c>
      <c r="L353" s="23" t="str">
        <f>IFERROR(__xludf.DUMMYFUNCTION("""COMPUTED_VALUE"""),"Binary Search;Design;Ordered Set;")</f>
        <v>Binary Search;Design;Ordered Set;</v>
      </c>
      <c r="M353" s="23" t="b">
        <f>IFERROR(__xludf.DUMMYFUNCTION("""COMPUTED_VALUE"""),FALSE)</f>
        <v>0</v>
      </c>
      <c r="N353" s="23" t="b">
        <f>IFERROR(__xludf.DUMMYFUNCTION("""COMPUTED_VALUE"""),FALSE)</f>
        <v>0</v>
      </c>
      <c r="O353" s="23">
        <f>IFERROR(__xludf.DUMMYFUNCTION("""COMPUTED_VALUE"""),50.6427732781437)</f>
        <v>50.64277328</v>
      </c>
      <c r="P353" s="23">
        <f>IFERROR(__xludf.DUMMYFUNCTION("""COMPUTED_VALUE"""),50897.0)</f>
        <v>50897</v>
      </c>
      <c r="Q353" s="23">
        <f>IFERROR(__xludf.DUMMYFUNCTION("""COMPUTED_VALUE"""),100502.0)</f>
        <v>100502</v>
      </c>
    </row>
    <row r="354">
      <c r="A354" s="23">
        <f>IFERROR(__xludf.DUMMYFUNCTION("""COMPUTED_VALUE"""),353.0)</f>
        <v>353</v>
      </c>
      <c r="B354" s="23" t="str">
        <f>IFERROR(__xludf.DUMMYFUNCTION("""COMPUTED_VALUE"""),"Design Snake Game")</f>
        <v>Design Snake Game</v>
      </c>
      <c r="C354" s="23" t="str">
        <f>IFERROR(__xludf.DUMMYFUNCTION("""COMPUTED_VALUE"""),"design-snake-game")</f>
        <v>design-snake-game</v>
      </c>
      <c r="D354" s="23" t="b">
        <f>IFERROR(__xludf.DUMMYFUNCTION("""COMPUTED_VALUE"""),TRUE)</f>
        <v>1</v>
      </c>
      <c r="E354" s="23" t="str">
        <f>IFERROR(__xludf.DUMMYFUNCTION("""COMPUTED_VALUE"""),"Medium")</f>
        <v>Medium</v>
      </c>
      <c r="F354" s="23">
        <f>IFERROR(__xludf.DUMMYFUNCTION("""COMPUTED_VALUE"""),705.0)</f>
        <v>705</v>
      </c>
      <c r="G354" s="23">
        <f>IFERROR(__xludf.DUMMYFUNCTION("""COMPUTED_VALUE"""),259.0)</f>
        <v>259</v>
      </c>
      <c r="H354" s="23" t="str">
        <f>IFERROR(__xludf.DUMMYFUNCTION("""COMPUTED_VALUE"""),"Algorithms")</f>
        <v>Algorithms</v>
      </c>
      <c r="I354" s="23">
        <f>IFERROR(__xludf.DUMMYFUNCTION("""COMPUTED_VALUE"""),0.382)</f>
        <v>0.382</v>
      </c>
      <c r="J354" s="23">
        <f>IFERROR(__xludf.DUMMYFUNCTION("""COMPUTED_VALUE"""),353.0)</f>
        <v>353</v>
      </c>
      <c r="K354" s="23" t="b">
        <f>IFERROR(__xludf.DUMMYFUNCTION("""COMPUTED_VALUE"""),TRUE)</f>
        <v>1</v>
      </c>
      <c r="L354" s="23" t="str">
        <f>IFERROR(__xludf.DUMMYFUNCTION("""COMPUTED_VALUE"""),"Array;Design;Queue;Matrix;")</f>
        <v>Array;Design;Queue;Matrix;</v>
      </c>
      <c r="M354" s="23" t="b">
        <f>IFERROR(__xludf.DUMMYFUNCTION("""COMPUTED_VALUE"""),TRUE)</f>
        <v>1</v>
      </c>
      <c r="N354" s="23" t="b">
        <f>IFERROR(__xludf.DUMMYFUNCTION("""COMPUTED_VALUE"""),FALSE)</f>
        <v>0</v>
      </c>
      <c r="O354" s="23">
        <f>IFERROR(__xludf.DUMMYFUNCTION("""COMPUTED_VALUE"""),38.1802851448719)</f>
        <v>38.18028514</v>
      </c>
      <c r="P354" s="23">
        <f>IFERROR(__xludf.DUMMYFUNCTION("""COMPUTED_VALUE"""),59772.0)</f>
        <v>59772</v>
      </c>
      <c r="Q354" s="23">
        <f>IFERROR(__xludf.DUMMYFUNCTION("""COMPUTED_VALUE"""),156552.0)</f>
        <v>156552</v>
      </c>
    </row>
    <row r="355">
      <c r="A355" s="23">
        <f>IFERROR(__xludf.DUMMYFUNCTION("""COMPUTED_VALUE"""),354.0)</f>
        <v>354</v>
      </c>
      <c r="B355" s="23" t="str">
        <f>IFERROR(__xludf.DUMMYFUNCTION("""COMPUTED_VALUE"""),"Russian Doll Envelopes")</f>
        <v>Russian Doll Envelopes</v>
      </c>
      <c r="C355" s="23" t="str">
        <f>IFERROR(__xludf.DUMMYFUNCTION("""COMPUTED_VALUE"""),"russian-doll-envelopes")</f>
        <v>russian-doll-envelopes</v>
      </c>
      <c r="D355" s="23" t="b">
        <f>IFERROR(__xludf.DUMMYFUNCTION("""COMPUTED_VALUE"""),FALSE)</f>
        <v>0</v>
      </c>
      <c r="E355" s="23" t="str">
        <f>IFERROR(__xludf.DUMMYFUNCTION("""COMPUTED_VALUE"""),"Hard")</f>
        <v>Hard</v>
      </c>
      <c r="F355" s="23">
        <f>IFERROR(__xludf.DUMMYFUNCTION("""COMPUTED_VALUE"""),3006.0)</f>
        <v>3006</v>
      </c>
      <c r="G355" s="23">
        <f>IFERROR(__xludf.DUMMYFUNCTION("""COMPUTED_VALUE"""),73.0)</f>
        <v>73</v>
      </c>
      <c r="H355" s="23" t="str">
        <f>IFERROR(__xludf.DUMMYFUNCTION("""COMPUTED_VALUE"""),"Algorithms")</f>
        <v>Algorithms</v>
      </c>
      <c r="I355" s="23">
        <f>IFERROR(__xludf.DUMMYFUNCTION("""COMPUTED_VALUE"""),0.389)</f>
        <v>0.389</v>
      </c>
      <c r="J355" s="23">
        <f>IFERROR(__xludf.DUMMYFUNCTION("""COMPUTED_VALUE"""),354.0)</f>
        <v>354</v>
      </c>
      <c r="K355" s="23" t="b">
        <f>IFERROR(__xludf.DUMMYFUNCTION("""COMPUTED_VALUE"""),FALSE)</f>
        <v>0</v>
      </c>
      <c r="L355" s="23" t="str">
        <f>IFERROR(__xludf.DUMMYFUNCTION("""COMPUTED_VALUE"""),"Array;Binary Search;Dynamic Programming;Sorting;")</f>
        <v>Array;Binary Search;Dynamic Programming;Sorting;</v>
      </c>
      <c r="M355" s="23" t="b">
        <f>IFERROR(__xludf.DUMMYFUNCTION("""COMPUTED_VALUE"""),TRUE)</f>
        <v>1</v>
      </c>
      <c r="N355" s="23" t="b">
        <f>IFERROR(__xludf.DUMMYFUNCTION("""COMPUTED_VALUE"""),FALSE)</f>
        <v>0</v>
      </c>
      <c r="O355" s="23">
        <f>IFERROR(__xludf.DUMMYFUNCTION("""COMPUTED_VALUE"""),38.9281111187829)</f>
        <v>38.92811112</v>
      </c>
      <c r="P355" s="23">
        <f>IFERROR(__xludf.DUMMYFUNCTION("""COMPUTED_VALUE"""),135311.0)</f>
        <v>135311</v>
      </c>
      <c r="Q355" s="23">
        <f>IFERROR(__xludf.DUMMYFUNCTION("""COMPUTED_VALUE"""),347591.0)</f>
        <v>347591</v>
      </c>
    </row>
    <row r="356">
      <c r="A356" s="23">
        <f>IFERROR(__xludf.DUMMYFUNCTION("""COMPUTED_VALUE"""),355.0)</f>
        <v>355</v>
      </c>
      <c r="B356" s="23" t="str">
        <f>IFERROR(__xludf.DUMMYFUNCTION("""COMPUTED_VALUE"""),"Design Twitter")</f>
        <v>Design Twitter</v>
      </c>
      <c r="C356" s="23" t="str">
        <f>IFERROR(__xludf.DUMMYFUNCTION("""COMPUTED_VALUE"""),"design-twitter")</f>
        <v>design-twitter</v>
      </c>
      <c r="D356" s="23" t="b">
        <f>IFERROR(__xludf.DUMMYFUNCTION("""COMPUTED_VALUE"""),FALSE)</f>
        <v>0</v>
      </c>
      <c r="E356" s="23" t="str">
        <f>IFERROR(__xludf.DUMMYFUNCTION("""COMPUTED_VALUE"""),"Medium")</f>
        <v>Medium</v>
      </c>
      <c r="F356" s="23">
        <f>IFERROR(__xludf.DUMMYFUNCTION("""COMPUTED_VALUE"""),1985.0)</f>
        <v>1985</v>
      </c>
      <c r="G356" s="23">
        <f>IFERROR(__xludf.DUMMYFUNCTION("""COMPUTED_VALUE"""),275.0)</f>
        <v>275</v>
      </c>
      <c r="H356" s="23" t="str">
        <f>IFERROR(__xludf.DUMMYFUNCTION("""COMPUTED_VALUE"""),"Algorithms")</f>
        <v>Algorithms</v>
      </c>
      <c r="I356" s="23">
        <f>IFERROR(__xludf.DUMMYFUNCTION("""COMPUTED_VALUE"""),0.345)</f>
        <v>0.345</v>
      </c>
      <c r="J356" s="23">
        <f>IFERROR(__xludf.DUMMYFUNCTION("""COMPUTED_VALUE"""),355.0)</f>
        <v>355</v>
      </c>
      <c r="K356" s="23" t="b">
        <f>IFERROR(__xludf.DUMMYFUNCTION("""COMPUTED_VALUE"""),FALSE)</f>
        <v>0</v>
      </c>
      <c r="L356" s="23" t="str">
        <f>IFERROR(__xludf.DUMMYFUNCTION("""COMPUTED_VALUE"""),"Hash Table;Linked List;Design;Heap (Priority Queue);")</f>
        <v>Hash Table;Linked List;Design;Heap (Priority Queue);</v>
      </c>
      <c r="M356" s="23" t="b">
        <f>IFERROR(__xludf.DUMMYFUNCTION("""COMPUTED_VALUE"""),FALSE)</f>
        <v>0</v>
      </c>
      <c r="N356" s="23" t="b">
        <f>IFERROR(__xludf.DUMMYFUNCTION("""COMPUTED_VALUE"""),FALSE)</f>
        <v>0</v>
      </c>
      <c r="O356" s="23">
        <f>IFERROR(__xludf.DUMMYFUNCTION("""COMPUTED_VALUE"""),34.4753217796696)</f>
        <v>34.47532178</v>
      </c>
      <c r="P356" s="23">
        <f>IFERROR(__xludf.DUMMYFUNCTION("""COMPUTED_VALUE"""),85042.0)</f>
        <v>85042</v>
      </c>
      <c r="Q356" s="23">
        <f>IFERROR(__xludf.DUMMYFUNCTION("""COMPUTED_VALUE"""),246675.0)</f>
        <v>246675</v>
      </c>
    </row>
    <row r="357">
      <c r="A357" s="23">
        <f>IFERROR(__xludf.DUMMYFUNCTION("""COMPUTED_VALUE"""),356.0)</f>
        <v>356</v>
      </c>
      <c r="B357" s="23" t="str">
        <f>IFERROR(__xludf.DUMMYFUNCTION("""COMPUTED_VALUE"""),"Line Reflection")</f>
        <v>Line Reflection</v>
      </c>
      <c r="C357" s="23" t="str">
        <f>IFERROR(__xludf.DUMMYFUNCTION("""COMPUTED_VALUE"""),"line-reflection")</f>
        <v>line-reflection</v>
      </c>
      <c r="D357" s="23" t="b">
        <f>IFERROR(__xludf.DUMMYFUNCTION("""COMPUTED_VALUE"""),TRUE)</f>
        <v>1</v>
      </c>
      <c r="E357" s="23" t="str">
        <f>IFERROR(__xludf.DUMMYFUNCTION("""COMPUTED_VALUE"""),"Medium")</f>
        <v>Medium</v>
      </c>
      <c r="F357" s="23">
        <f>IFERROR(__xludf.DUMMYFUNCTION("""COMPUTED_VALUE"""),225.0)</f>
        <v>225</v>
      </c>
      <c r="G357" s="23">
        <f>IFERROR(__xludf.DUMMYFUNCTION("""COMPUTED_VALUE"""),481.0)</f>
        <v>481</v>
      </c>
      <c r="H357" s="23" t="str">
        <f>IFERROR(__xludf.DUMMYFUNCTION("""COMPUTED_VALUE"""),"Algorithms")</f>
        <v>Algorithms</v>
      </c>
      <c r="I357" s="23">
        <f>IFERROR(__xludf.DUMMYFUNCTION("""COMPUTED_VALUE"""),0.344)</f>
        <v>0.344</v>
      </c>
      <c r="J357" s="23">
        <f>IFERROR(__xludf.DUMMYFUNCTION("""COMPUTED_VALUE"""),356.0)</f>
        <v>356</v>
      </c>
      <c r="K357" s="23" t="b">
        <f>IFERROR(__xludf.DUMMYFUNCTION("""COMPUTED_VALUE"""),TRUE)</f>
        <v>1</v>
      </c>
      <c r="L357" s="23" t="str">
        <f>IFERROR(__xludf.DUMMYFUNCTION("""COMPUTED_VALUE"""),"Array;Hash Table;Math;")</f>
        <v>Array;Hash Table;Math;</v>
      </c>
      <c r="M357" s="23" t="b">
        <f>IFERROR(__xludf.DUMMYFUNCTION("""COMPUTED_VALUE"""),FALSE)</f>
        <v>0</v>
      </c>
      <c r="N357" s="23" t="b">
        <f>IFERROR(__xludf.DUMMYFUNCTION("""COMPUTED_VALUE"""),FALSE)</f>
        <v>0</v>
      </c>
      <c r="O357" s="23">
        <f>IFERROR(__xludf.DUMMYFUNCTION("""COMPUTED_VALUE"""),34.3607441358856)</f>
        <v>34.36074414</v>
      </c>
      <c r="P357" s="23">
        <f>IFERROR(__xludf.DUMMYFUNCTION("""COMPUTED_VALUE"""),31861.0)</f>
        <v>31861</v>
      </c>
      <c r="Q357" s="23">
        <f>IFERROR(__xludf.DUMMYFUNCTION("""COMPUTED_VALUE"""),92723.0)</f>
        <v>92723</v>
      </c>
    </row>
    <row r="358">
      <c r="A358" s="23">
        <f>IFERROR(__xludf.DUMMYFUNCTION("""COMPUTED_VALUE"""),357.0)</f>
        <v>357</v>
      </c>
      <c r="B358" s="23" t="str">
        <f>IFERROR(__xludf.DUMMYFUNCTION("""COMPUTED_VALUE"""),"Count Numbers with Unique Digits")</f>
        <v>Count Numbers with Unique Digits</v>
      </c>
      <c r="C358" s="23" t="str">
        <f>IFERROR(__xludf.DUMMYFUNCTION("""COMPUTED_VALUE"""),"count-numbers-with-unique-digits")</f>
        <v>count-numbers-with-unique-digits</v>
      </c>
      <c r="D358" s="23" t="b">
        <f>IFERROR(__xludf.DUMMYFUNCTION("""COMPUTED_VALUE"""),FALSE)</f>
        <v>0</v>
      </c>
      <c r="E358" s="23" t="str">
        <f>IFERROR(__xludf.DUMMYFUNCTION("""COMPUTED_VALUE"""),"Medium")</f>
        <v>Medium</v>
      </c>
      <c r="F358" s="23">
        <f>IFERROR(__xludf.DUMMYFUNCTION("""COMPUTED_VALUE"""),877.0)</f>
        <v>877</v>
      </c>
      <c r="G358" s="23">
        <f>IFERROR(__xludf.DUMMYFUNCTION("""COMPUTED_VALUE"""),1228.0)</f>
        <v>1228</v>
      </c>
      <c r="H358" s="23" t="str">
        <f>IFERROR(__xludf.DUMMYFUNCTION("""COMPUTED_VALUE"""),"Algorithms")</f>
        <v>Algorithms</v>
      </c>
      <c r="I358" s="23">
        <f>IFERROR(__xludf.DUMMYFUNCTION("""COMPUTED_VALUE"""),0.506)</f>
        <v>0.506</v>
      </c>
      <c r="J358" s="23">
        <f>IFERROR(__xludf.DUMMYFUNCTION("""COMPUTED_VALUE"""),357.0)</f>
        <v>357</v>
      </c>
      <c r="K358" s="23" t="b">
        <f>IFERROR(__xludf.DUMMYFUNCTION("""COMPUTED_VALUE"""),FALSE)</f>
        <v>0</v>
      </c>
      <c r="L358" s="23" t="str">
        <f>IFERROR(__xludf.DUMMYFUNCTION("""COMPUTED_VALUE"""),"Math;Dynamic Programming;Backtracking;")</f>
        <v>Math;Dynamic Programming;Backtracking;</v>
      </c>
      <c r="M358" s="23" t="b">
        <f>IFERROR(__xludf.DUMMYFUNCTION("""COMPUTED_VALUE"""),FALSE)</f>
        <v>0</v>
      </c>
      <c r="N358" s="23" t="b">
        <f>IFERROR(__xludf.DUMMYFUNCTION("""COMPUTED_VALUE"""),FALSE)</f>
        <v>0</v>
      </c>
      <c r="O358" s="23">
        <f>IFERROR(__xludf.DUMMYFUNCTION("""COMPUTED_VALUE"""),50.6182288042938)</f>
        <v>50.6182288</v>
      </c>
      <c r="P358" s="23">
        <f>IFERROR(__xludf.DUMMYFUNCTION("""COMPUTED_VALUE"""),101854.0)</f>
        <v>101854</v>
      </c>
      <c r="Q358" s="23">
        <f>IFERROR(__xludf.DUMMYFUNCTION("""COMPUTED_VALUE"""),201220.0)</f>
        <v>201220</v>
      </c>
    </row>
    <row r="359">
      <c r="A359" s="23">
        <f>IFERROR(__xludf.DUMMYFUNCTION("""COMPUTED_VALUE"""),358.0)</f>
        <v>358</v>
      </c>
      <c r="B359" s="23" t="str">
        <f>IFERROR(__xludf.DUMMYFUNCTION("""COMPUTED_VALUE"""),"Rearrange String k Distance Apart")</f>
        <v>Rearrange String k Distance Apart</v>
      </c>
      <c r="C359" s="23" t="str">
        <f>IFERROR(__xludf.DUMMYFUNCTION("""COMPUTED_VALUE"""),"rearrange-string-k-distance-apart")</f>
        <v>rearrange-string-k-distance-apart</v>
      </c>
      <c r="D359" s="23" t="b">
        <f>IFERROR(__xludf.DUMMYFUNCTION("""COMPUTED_VALUE"""),TRUE)</f>
        <v>1</v>
      </c>
      <c r="E359" s="23" t="str">
        <f>IFERROR(__xludf.DUMMYFUNCTION("""COMPUTED_VALUE"""),"Hard")</f>
        <v>Hard</v>
      </c>
      <c r="F359" s="23">
        <f>IFERROR(__xludf.DUMMYFUNCTION("""COMPUTED_VALUE"""),745.0)</f>
        <v>745</v>
      </c>
      <c r="G359" s="23">
        <f>IFERROR(__xludf.DUMMYFUNCTION("""COMPUTED_VALUE"""),34.0)</f>
        <v>34</v>
      </c>
      <c r="H359" s="23" t="str">
        <f>IFERROR(__xludf.DUMMYFUNCTION("""COMPUTED_VALUE"""),"Algorithms")</f>
        <v>Algorithms</v>
      </c>
      <c r="I359" s="23">
        <f>IFERROR(__xludf.DUMMYFUNCTION("""COMPUTED_VALUE"""),0.37)</f>
        <v>0.37</v>
      </c>
      <c r="J359" s="23">
        <f>IFERROR(__xludf.DUMMYFUNCTION("""COMPUTED_VALUE"""),358.0)</f>
        <v>358</v>
      </c>
      <c r="K359" s="23" t="b">
        <f>IFERROR(__xludf.DUMMYFUNCTION("""COMPUTED_VALUE"""),TRUE)</f>
        <v>1</v>
      </c>
      <c r="L359" s="23" t="str">
        <f>IFERROR(__xludf.DUMMYFUNCTION("""COMPUTED_VALUE"""),"Hash Table;String;Greedy;Sorting;Heap (Priority Queue);Counting;")</f>
        <v>Hash Table;String;Greedy;Sorting;Heap (Priority Queue);Counting;</v>
      </c>
      <c r="M359" s="23" t="b">
        <f>IFERROR(__xludf.DUMMYFUNCTION("""COMPUTED_VALUE"""),FALSE)</f>
        <v>0</v>
      </c>
      <c r="N359" s="23" t="b">
        <f>IFERROR(__xludf.DUMMYFUNCTION("""COMPUTED_VALUE"""),FALSE)</f>
        <v>0</v>
      </c>
      <c r="O359" s="23">
        <f>IFERROR(__xludf.DUMMYFUNCTION("""COMPUTED_VALUE"""),37.0477299850642)</f>
        <v>37.04772999</v>
      </c>
      <c r="P359" s="23">
        <f>IFERROR(__xludf.DUMMYFUNCTION("""COMPUTED_VALUE"""),51842.0)</f>
        <v>51842</v>
      </c>
      <c r="Q359" s="23">
        <f>IFERROR(__xludf.DUMMYFUNCTION("""COMPUTED_VALUE"""),139933.0)</f>
        <v>139933</v>
      </c>
    </row>
    <row r="360">
      <c r="A360" s="23">
        <f>IFERROR(__xludf.DUMMYFUNCTION("""COMPUTED_VALUE"""),359.0)</f>
        <v>359</v>
      </c>
      <c r="B360" s="23" t="str">
        <f>IFERROR(__xludf.DUMMYFUNCTION("""COMPUTED_VALUE"""),"Logger Rate Limiter")</f>
        <v>Logger Rate Limiter</v>
      </c>
      <c r="C360" s="23" t="str">
        <f>IFERROR(__xludf.DUMMYFUNCTION("""COMPUTED_VALUE"""),"logger-rate-limiter")</f>
        <v>logger-rate-limiter</v>
      </c>
      <c r="D360" s="23" t="b">
        <f>IFERROR(__xludf.DUMMYFUNCTION("""COMPUTED_VALUE"""),TRUE)</f>
        <v>1</v>
      </c>
      <c r="E360" s="23" t="str">
        <f>IFERROR(__xludf.DUMMYFUNCTION("""COMPUTED_VALUE"""),"Easy")</f>
        <v>Easy</v>
      </c>
      <c r="F360" s="23">
        <f>IFERROR(__xludf.DUMMYFUNCTION("""COMPUTED_VALUE"""),1224.0)</f>
        <v>1224</v>
      </c>
      <c r="G360" s="23">
        <f>IFERROR(__xludf.DUMMYFUNCTION("""COMPUTED_VALUE"""),162.0)</f>
        <v>162</v>
      </c>
      <c r="H360" s="23" t="str">
        <f>IFERROR(__xludf.DUMMYFUNCTION("""COMPUTED_VALUE"""),"Algorithms")</f>
        <v>Algorithms</v>
      </c>
      <c r="I360" s="23">
        <f>IFERROR(__xludf.DUMMYFUNCTION("""COMPUTED_VALUE"""),0.749)</f>
        <v>0.749</v>
      </c>
      <c r="J360" s="23">
        <f>IFERROR(__xludf.DUMMYFUNCTION("""COMPUTED_VALUE"""),359.0)</f>
        <v>359</v>
      </c>
      <c r="K360" s="23" t="b">
        <f>IFERROR(__xludf.DUMMYFUNCTION("""COMPUTED_VALUE"""),TRUE)</f>
        <v>1</v>
      </c>
      <c r="L360" s="23" t="str">
        <f>IFERROR(__xludf.DUMMYFUNCTION("""COMPUTED_VALUE"""),"Hash Table;Design;")</f>
        <v>Hash Table;Design;</v>
      </c>
      <c r="M360" s="23" t="b">
        <f>IFERROR(__xludf.DUMMYFUNCTION("""COMPUTED_VALUE"""),TRUE)</f>
        <v>1</v>
      </c>
      <c r="N360" s="23" t="b">
        <f>IFERROR(__xludf.DUMMYFUNCTION("""COMPUTED_VALUE"""),FALSE)</f>
        <v>0</v>
      </c>
      <c r="O360" s="23">
        <f>IFERROR(__xludf.DUMMYFUNCTION("""COMPUTED_VALUE"""),74.901367656712)</f>
        <v>74.90136766</v>
      </c>
      <c r="P360" s="23">
        <f>IFERROR(__xludf.DUMMYFUNCTION("""COMPUTED_VALUE"""),221365.0)</f>
        <v>221365</v>
      </c>
      <c r="Q360" s="23">
        <f>IFERROR(__xludf.DUMMYFUNCTION("""COMPUTED_VALUE"""),295542.0)</f>
        <v>295542</v>
      </c>
    </row>
    <row r="361">
      <c r="A361" s="23">
        <f>IFERROR(__xludf.DUMMYFUNCTION("""COMPUTED_VALUE"""),360.0)</f>
        <v>360</v>
      </c>
      <c r="B361" s="23" t="str">
        <f>IFERROR(__xludf.DUMMYFUNCTION("""COMPUTED_VALUE"""),"Sort Transformed Array")</f>
        <v>Sort Transformed Array</v>
      </c>
      <c r="C361" s="23" t="str">
        <f>IFERROR(__xludf.DUMMYFUNCTION("""COMPUTED_VALUE"""),"sort-transformed-array")</f>
        <v>sort-transformed-array</v>
      </c>
      <c r="D361" s="23" t="b">
        <f>IFERROR(__xludf.DUMMYFUNCTION("""COMPUTED_VALUE"""),TRUE)</f>
        <v>1</v>
      </c>
      <c r="E361" s="23" t="str">
        <f>IFERROR(__xludf.DUMMYFUNCTION("""COMPUTED_VALUE"""),"Medium")</f>
        <v>Medium</v>
      </c>
      <c r="F361" s="23">
        <f>IFERROR(__xludf.DUMMYFUNCTION("""COMPUTED_VALUE"""),561.0)</f>
        <v>561</v>
      </c>
      <c r="G361" s="23">
        <f>IFERROR(__xludf.DUMMYFUNCTION("""COMPUTED_VALUE"""),160.0)</f>
        <v>160</v>
      </c>
      <c r="H361" s="23" t="str">
        <f>IFERROR(__xludf.DUMMYFUNCTION("""COMPUTED_VALUE"""),"Algorithms")</f>
        <v>Algorithms</v>
      </c>
      <c r="I361" s="23">
        <f>IFERROR(__xludf.DUMMYFUNCTION("""COMPUTED_VALUE"""),0.535)</f>
        <v>0.535</v>
      </c>
      <c r="J361" s="23">
        <f>IFERROR(__xludf.DUMMYFUNCTION("""COMPUTED_VALUE"""),360.0)</f>
        <v>360</v>
      </c>
      <c r="K361" s="23" t="b">
        <f>IFERROR(__xludf.DUMMYFUNCTION("""COMPUTED_VALUE"""),TRUE)</f>
        <v>1</v>
      </c>
      <c r="L361" s="23" t="str">
        <f>IFERROR(__xludf.DUMMYFUNCTION("""COMPUTED_VALUE"""),"Array;Math;Two Pointers;Sorting;")</f>
        <v>Array;Math;Two Pointers;Sorting;</v>
      </c>
      <c r="M361" s="23" t="b">
        <f>IFERROR(__xludf.DUMMYFUNCTION("""COMPUTED_VALUE"""),FALSE)</f>
        <v>0</v>
      </c>
      <c r="N361" s="23" t="b">
        <f>IFERROR(__xludf.DUMMYFUNCTION("""COMPUTED_VALUE"""),FALSE)</f>
        <v>0</v>
      </c>
      <c r="O361" s="23">
        <f>IFERROR(__xludf.DUMMYFUNCTION("""COMPUTED_VALUE"""),53.4820245649337)</f>
        <v>53.48202456</v>
      </c>
      <c r="P361" s="23">
        <f>IFERROR(__xludf.DUMMYFUNCTION("""COMPUTED_VALUE"""),53689.0)</f>
        <v>53689</v>
      </c>
      <c r="Q361" s="23">
        <f>IFERROR(__xludf.DUMMYFUNCTION("""COMPUTED_VALUE"""),100387.0)</f>
        <v>100387</v>
      </c>
    </row>
    <row r="362">
      <c r="A362" s="23">
        <f>IFERROR(__xludf.DUMMYFUNCTION("""COMPUTED_VALUE"""),361.0)</f>
        <v>361</v>
      </c>
      <c r="B362" s="23" t="str">
        <f>IFERROR(__xludf.DUMMYFUNCTION("""COMPUTED_VALUE"""),"Bomb Enemy")</f>
        <v>Bomb Enemy</v>
      </c>
      <c r="C362" s="23" t="str">
        <f>IFERROR(__xludf.DUMMYFUNCTION("""COMPUTED_VALUE"""),"bomb-enemy")</f>
        <v>bomb-enemy</v>
      </c>
      <c r="D362" s="23" t="b">
        <f>IFERROR(__xludf.DUMMYFUNCTION("""COMPUTED_VALUE"""),TRUE)</f>
        <v>1</v>
      </c>
      <c r="E362" s="23" t="str">
        <f>IFERROR(__xludf.DUMMYFUNCTION("""COMPUTED_VALUE"""),"Medium")</f>
        <v>Medium</v>
      </c>
      <c r="F362" s="23">
        <f>IFERROR(__xludf.DUMMYFUNCTION("""COMPUTED_VALUE"""),773.0)</f>
        <v>773</v>
      </c>
      <c r="G362" s="23">
        <f>IFERROR(__xludf.DUMMYFUNCTION("""COMPUTED_VALUE"""),93.0)</f>
        <v>93</v>
      </c>
      <c r="H362" s="23" t="str">
        <f>IFERROR(__xludf.DUMMYFUNCTION("""COMPUTED_VALUE"""),"Algorithms")</f>
        <v>Algorithms</v>
      </c>
      <c r="I362" s="23">
        <f>IFERROR(__xludf.DUMMYFUNCTION("""COMPUTED_VALUE"""),0.5)</f>
        <v>0.5</v>
      </c>
      <c r="J362" s="23">
        <f>IFERROR(__xludf.DUMMYFUNCTION("""COMPUTED_VALUE"""),361.0)</f>
        <v>361</v>
      </c>
      <c r="K362" s="23" t="b">
        <f>IFERROR(__xludf.DUMMYFUNCTION("""COMPUTED_VALUE"""),TRUE)</f>
        <v>1</v>
      </c>
      <c r="L362" s="23" t="str">
        <f>IFERROR(__xludf.DUMMYFUNCTION("""COMPUTED_VALUE"""),"Array;Dynamic Programming;Matrix;")</f>
        <v>Array;Dynamic Programming;Matrix;</v>
      </c>
      <c r="M362" s="23" t="b">
        <f>IFERROR(__xludf.DUMMYFUNCTION("""COMPUTED_VALUE"""),TRUE)</f>
        <v>1</v>
      </c>
      <c r="N362" s="23" t="b">
        <f>IFERROR(__xludf.DUMMYFUNCTION("""COMPUTED_VALUE"""),FALSE)</f>
        <v>0</v>
      </c>
      <c r="O362" s="23">
        <f>IFERROR(__xludf.DUMMYFUNCTION("""COMPUTED_VALUE"""),50.0338581344167)</f>
        <v>50.03385813</v>
      </c>
      <c r="P362" s="23">
        <f>IFERROR(__xludf.DUMMYFUNCTION("""COMPUTED_VALUE"""),65019.0)</f>
        <v>65019</v>
      </c>
      <c r="Q362" s="23">
        <f>IFERROR(__xludf.DUMMYFUNCTION("""COMPUTED_VALUE"""),129952.0)</f>
        <v>129952</v>
      </c>
    </row>
    <row r="363">
      <c r="A363" s="23">
        <f>IFERROR(__xludf.DUMMYFUNCTION("""COMPUTED_VALUE"""),362.0)</f>
        <v>362</v>
      </c>
      <c r="B363" s="23" t="str">
        <f>IFERROR(__xludf.DUMMYFUNCTION("""COMPUTED_VALUE"""),"Design Hit Counter")</f>
        <v>Design Hit Counter</v>
      </c>
      <c r="C363" s="23" t="str">
        <f>IFERROR(__xludf.DUMMYFUNCTION("""COMPUTED_VALUE"""),"design-hit-counter")</f>
        <v>design-hit-counter</v>
      </c>
      <c r="D363" s="23" t="b">
        <f>IFERROR(__xludf.DUMMYFUNCTION("""COMPUTED_VALUE"""),TRUE)</f>
        <v>1</v>
      </c>
      <c r="E363" s="23" t="str">
        <f>IFERROR(__xludf.DUMMYFUNCTION("""COMPUTED_VALUE"""),"Medium")</f>
        <v>Medium</v>
      </c>
      <c r="F363" s="23">
        <f>IFERROR(__xludf.DUMMYFUNCTION("""COMPUTED_VALUE"""),1501.0)</f>
        <v>1501</v>
      </c>
      <c r="G363" s="23">
        <f>IFERROR(__xludf.DUMMYFUNCTION("""COMPUTED_VALUE"""),129.0)</f>
        <v>129</v>
      </c>
      <c r="H363" s="23" t="str">
        <f>IFERROR(__xludf.DUMMYFUNCTION("""COMPUTED_VALUE"""),"Algorithms")</f>
        <v>Algorithms</v>
      </c>
      <c r="I363" s="23">
        <f>IFERROR(__xludf.DUMMYFUNCTION("""COMPUTED_VALUE"""),0.674)</f>
        <v>0.674</v>
      </c>
      <c r="J363" s="23">
        <f>IFERROR(__xludf.DUMMYFUNCTION("""COMPUTED_VALUE"""),362.0)</f>
        <v>362</v>
      </c>
      <c r="K363" s="23" t="b">
        <f>IFERROR(__xludf.DUMMYFUNCTION("""COMPUTED_VALUE"""),TRUE)</f>
        <v>1</v>
      </c>
      <c r="L363" s="23" t="str">
        <f>IFERROR(__xludf.DUMMYFUNCTION("""COMPUTED_VALUE"""),"Array;Hash Table;Binary Search;Design;Queue;")</f>
        <v>Array;Hash Table;Binary Search;Design;Queue;</v>
      </c>
      <c r="M363" s="23" t="b">
        <f>IFERROR(__xludf.DUMMYFUNCTION("""COMPUTED_VALUE"""),TRUE)</f>
        <v>1</v>
      </c>
      <c r="N363" s="23" t="b">
        <f>IFERROR(__xludf.DUMMYFUNCTION("""COMPUTED_VALUE"""),FALSE)</f>
        <v>0</v>
      </c>
      <c r="O363" s="23">
        <f>IFERROR(__xludf.DUMMYFUNCTION("""COMPUTED_VALUE"""),67.3715798028632)</f>
        <v>67.3715798</v>
      </c>
      <c r="P363" s="23">
        <f>IFERROR(__xludf.DUMMYFUNCTION("""COMPUTED_VALUE"""),161648.0)</f>
        <v>161648</v>
      </c>
      <c r="Q363" s="23">
        <f>IFERROR(__xludf.DUMMYFUNCTION("""COMPUTED_VALUE"""),239935.0)</f>
        <v>239935</v>
      </c>
    </row>
    <row r="364">
      <c r="A364" s="23">
        <f>IFERROR(__xludf.DUMMYFUNCTION("""COMPUTED_VALUE"""),363.0)</f>
        <v>363</v>
      </c>
      <c r="B364" s="23" t="str">
        <f>IFERROR(__xludf.DUMMYFUNCTION("""COMPUTED_VALUE"""),"Max Sum of Rectangle No Larger Than K")</f>
        <v>Max Sum of Rectangle No Larger Than K</v>
      </c>
      <c r="C364" s="23" t="str">
        <f>IFERROR(__xludf.DUMMYFUNCTION("""COMPUTED_VALUE"""),"max-sum-of-rectangle-no-larger-than-k")</f>
        <v>max-sum-of-rectangle-no-larger-than-k</v>
      </c>
      <c r="D364" s="23" t="b">
        <f>IFERROR(__xludf.DUMMYFUNCTION("""COMPUTED_VALUE"""),FALSE)</f>
        <v>0</v>
      </c>
      <c r="E364" s="23" t="str">
        <f>IFERROR(__xludf.DUMMYFUNCTION("""COMPUTED_VALUE"""),"Hard")</f>
        <v>Hard</v>
      </c>
      <c r="F364" s="23">
        <f>IFERROR(__xludf.DUMMYFUNCTION("""COMPUTED_VALUE"""),1896.0)</f>
        <v>1896</v>
      </c>
      <c r="G364" s="23">
        <f>IFERROR(__xludf.DUMMYFUNCTION("""COMPUTED_VALUE"""),107.0)</f>
        <v>107</v>
      </c>
      <c r="H364" s="23" t="str">
        <f>IFERROR(__xludf.DUMMYFUNCTION("""COMPUTED_VALUE"""),"Algorithms")</f>
        <v>Algorithms</v>
      </c>
      <c r="I364" s="23">
        <f>IFERROR(__xludf.DUMMYFUNCTION("""COMPUTED_VALUE"""),0.401)</f>
        <v>0.401</v>
      </c>
      <c r="J364" s="23">
        <f>IFERROR(__xludf.DUMMYFUNCTION("""COMPUTED_VALUE"""),363.0)</f>
        <v>363</v>
      </c>
      <c r="K364" s="23" t="b">
        <f>IFERROR(__xludf.DUMMYFUNCTION("""COMPUTED_VALUE"""),FALSE)</f>
        <v>0</v>
      </c>
      <c r="L364" s="23" t="str">
        <f>IFERROR(__xludf.DUMMYFUNCTION("""COMPUTED_VALUE"""),"Array;Binary Search;Dynamic Programming;Matrix;Ordered Set;")</f>
        <v>Array;Binary Search;Dynamic Programming;Matrix;Ordered Set;</v>
      </c>
      <c r="M364" s="23" t="b">
        <f>IFERROR(__xludf.DUMMYFUNCTION("""COMPUTED_VALUE"""),TRUE)</f>
        <v>1</v>
      </c>
      <c r="N364" s="23" t="b">
        <f>IFERROR(__xludf.DUMMYFUNCTION("""COMPUTED_VALUE"""),FALSE)</f>
        <v>0</v>
      </c>
      <c r="O364" s="23">
        <f>IFERROR(__xludf.DUMMYFUNCTION("""COMPUTED_VALUE"""),40.1361447444349)</f>
        <v>40.13614474</v>
      </c>
      <c r="P364" s="23">
        <f>IFERROR(__xludf.DUMMYFUNCTION("""COMPUTED_VALUE"""),78595.0)</f>
        <v>78595</v>
      </c>
      <c r="Q364" s="23">
        <f>IFERROR(__xludf.DUMMYFUNCTION("""COMPUTED_VALUE"""),195821.0)</f>
        <v>195821</v>
      </c>
    </row>
    <row r="365">
      <c r="A365" s="23">
        <f>IFERROR(__xludf.DUMMYFUNCTION("""COMPUTED_VALUE"""),364.0)</f>
        <v>364</v>
      </c>
      <c r="B365" s="23" t="str">
        <f>IFERROR(__xludf.DUMMYFUNCTION("""COMPUTED_VALUE"""),"Nested List Weight Sum II")</f>
        <v>Nested List Weight Sum II</v>
      </c>
      <c r="C365" s="23" t="str">
        <f>IFERROR(__xludf.DUMMYFUNCTION("""COMPUTED_VALUE"""),"nested-list-weight-sum-ii")</f>
        <v>nested-list-weight-sum-ii</v>
      </c>
      <c r="D365" s="23" t="b">
        <f>IFERROR(__xludf.DUMMYFUNCTION("""COMPUTED_VALUE"""),TRUE)</f>
        <v>1</v>
      </c>
      <c r="E365" s="23" t="str">
        <f>IFERROR(__xludf.DUMMYFUNCTION("""COMPUTED_VALUE"""),"Medium")</f>
        <v>Medium</v>
      </c>
      <c r="F365" s="23">
        <f>IFERROR(__xludf.DUMMYFUNCTION("""COMPUTED_VALUE"""),964.0)</f>
        <v>964</v>
      </c>
      <c r="G365" s="23">
        <f>IFERROR(__xludf.DUMMYFUNCTION("""COMPUTED_VALUE"""),290.0)</f>
        <v>290</v>
      </c>
      <c r="H365" s="23" t="str">
        <f>IFERROR(__xludf.DUMMYFUNCTION("""COMPUTED_VALUE"""),"Algorithms")</f>
        <v>Algorithms</v>
      </c>
      <c r="I365" s="23">
        <f>IFERROR(__xludf.DUMMYFUNCTION("""COMPUTED_VALUE"""),0.684)</f>
        <v>0.684</v>
      </c>
      <c r="J365" s="23">
        <f>IFERROR(__xludf.DUMMYFUNCTION("""COMPUTED_VALUE"""),364.0)</f>
        <v>364</v>
      </c>
      <c r="K365" s="23" t="b">
        <f>IFERROR(__xludf.DUMMYFUNCTION("""COMPUTED_VALUE"""),TRUE)</f>
        <v>1</v>
      </c>
      <c r="L365" s="23" t="str">
        <f>IFERROR(__xludf.DUMMYFUNCTION("""COMPUTED_VALUE"""),"Stack;Depth-First Search;Breadth-First Search;")</f>
        <v>Stack;Depth-First Search;Breadth-First Search;</v>
      </c>
      <c r="M365" s="23" t="b">
        <f>IFERROR(__xludf.DUMMYFUNCTION("""COMPUTED_VALUE"""),TRUE)</f>
        <v>1</v>
      </c>
      <c r="N365" s="23" t="b">
        <f>IFERROR(__xludf.DUMMYFUNCTION("""COMPUTED_VALUE"""),FALSE)</f>
        <v>0</v>
      </c>
      <c r="O365" s="23">
        <f>IFERROR(__xludf.DUMMYFUNCTION("""COMPUTED_VALUE"""),68.3709375695493)</f>
        <v>68.37093757</v>
      </c>
      <c r="P365" s="23">
        <f>IFERROR(__xludf.DUMMYFUNCTION("""COMPUTED_VALUE"""),113666.0)</f>
        <v>113666</v>
      </c>
      <c r="Q365" s="23">
        <f>IFERROR(__xludf.DUMMYFUNCTION("""COMPUTED_VALUE"""),166249.0)</f>
        <v>166249</v>
      </c>
    </row>
    <row r="366">
      <c r="A366" s="23">
        <f>IFERROR(__xludf.DUMMYFUNCTION("""COMPUTED_VALUE"""),365.0)</f>
        <v>365</v>
      </c>
      <c r="B366" s="23" t="str">
        <f>IFERROR(__xludf.DUMMYFUNCTION("""COMPUTED_VALUE"""),"Water and Jug Problem")</f>
        <v>Water and Jug Problem</v>
      </c>
      <c r="C366" s="23" t="str">
        <f>IFERROR(__xludf.DUMMYFUNCTION("""COMPUTED_VALUE"""),"water-and-jug-problem")</f>
        <v>water-and-jug-problem</v>
      </c>
      <c r="D366" s="23" t="b">
        <f>IFERROR(__xludf.DUMMYFUNCTION("""COMPUTED_VALUE"""),FALSE)</f>
        <v>0</v>
      </c>
      <c r="E366" s="23" t="str">
        <f>IFERROR(__xludf.DUMMYFUNCTION("""COMPUTED_VALUE"""),"Medium")</f>
        <v>Medium</v>
      </c>
      <c r="F366" s="23">
        <f>IFERROR(__xludf.DUMMYFUNCTION("""COMPUTED_VALUE"""),772.0)</f>
        <v>772</v>
      </c>
      <c r="G366" s="23">
        <f>IFERROR(__xludf.DUMMYFUNCTION("""COMPUTED_VALUE"""),1126.0)</f>
        <v>1126</v>
      </c>
      <c r="H366" s="23" t="str">
        <f>IFERROR(__xludf.DUMMYFUNCTION("""COMPUTED_VALUE"""),"Algorithms")</f>
        <v>Algorithms</v>
      </c>
      <c r="I366" s="23">
        <f>IFERROR(__xludf.DUMMYFUNCTION("""COMPUTED_VALUE"""),0.346)</f>
        <v>0.346</v>
      </c>
      <c r="J366" s="23">
        <f>IFERROR(__xludf.DUMMYFUNCTION("""COMPUTED_VALUE"""),365.0)</f>
        <v>365</v>
      </c>
      <c r="K366" s="23" t="b">
        <f>IFERROR(__xludf.DUMMYFUNCTION("""COMPUTED_VALUE"""),FALSE)</f>
        <v>0</v>
      </c>
      <c r="L366" s="23" t="str">
        <f>IFERROR(__xludf.DUMMYFUNCTION("""COMPUTED_VALUE"""),"Math;Depth-First Search;Breadth-First Search;")</f>
        <v>Math;Depth-First Search;Breadth-First Search;</v>
      </c>
      <c r="M366" s="23" t="b">
        <f>IFERROR(__xludf.DUMMYFUNCTION("""COMPUTED_VALUE"""),FALSE)</f>
        <v>0</v>
      </c>
      <c r="N366" s="23" t="b">
        <f>IFERROR(__xludf.DUMMYFUNCTION("""COMPUTED_VALUE"""),FALSE)</f>
        <v>0</v>
      </c>
      <c r="O366" s="23">
        <f>IFERROR(__xludf.DUMMYFUNCTION("""COMPUTED_VALUE"""),34.5573730522862)</f>
        <v>34.55737305</v>
      </c>
      <c r="P366" s="23">
        <f>IFERROR(__xludf.DUMMYFUNCTION("""COMPUTED_VALUE"""),62365.0)</f>
        <v>62365</v>
      </c>
      <c r="Q366" s="23">
        <f>IFERROR(__xludf.DUMMYFUNCTION("""COMPUTED_VALUE"""),180468.0)</f>
        <v>180468</v>
      </c>
    </row>
    <row r="367">
      <c r="A367" s="23">
        <f>IFERROR(__xludf.DUMMYFUNCTION("""COMPUTED_VALUE"""),366.0)</f>
        <v>366</v>
      </c>
      <c r="B367" s="23" t="str">
        <f>IFERROR(__xludf.DUMMYFUNCTION("""COMPUTED_VALUE"""),"Find Leaves of Binary Tree")</f>
        <v>Find Leaves of Binary Tree</v>
      </c>
      <c r="C367" s="23" t="str">
        <f>IFERROR(__xludf.DUMMYFUNCTION("""COMPUTED_VALUE"""),"find-leaves-of-binary-tree")</f>
        <v>find-leaves-of-binary-tree</v>
      </c>
      <c r="D367" s="23" t="b">
        <f>IFERROR(__xludf.DUMMYFUNCTION("""COMPUTED_VALUE"""),TRUE)</f>
        <v>1</v>
      </c>
      <c r="E367" s="23" t="str">
        <f>IFERROR(__xludf.DUMMYFUNCTION("""COMPUTED_VALUE"""),"Medium")</f>
        <v>Medium</v>
      </c>
      <c r="F367" s="23">
        <f>IFERROR(__xludf.DUMMYFUNCTION("""COMPUTED_VALUE"""),2367.0)</f>
        <v>2367</v>
      </c>
      <c r="G367" s="23">
        <f>IFERROR(__xludf.DUMMYFUNCTION("""COMPUTED_VALUE"""),42.0)</f>
        <v>42</v>
      </c>
      <c r="H367" s="23" t="str">
        <f>IFERROR(__xludf.DUMMYFUNCTION("""COMPUTED_VALUE"""),"Algorithms")</f>
        <v>Algorithms</v>
      </c>
      <c r="I367" s="23">
        <f>IFERROR(__xludf.DUMMYFUNCTION("""COMPUTED_VALUE"""),0.785)</f>
        <v>0.785</v>
      </c>
      <c r="J367" s="23">
        <f>IFERROR(__xludf.DUMMYFUNCTION("""COMPUTED_VALUE"""),366.0)</f>
        <v>366</v>
      </c>
      <c r="K367" s="23" t="b">
        <f>IFERROR(__xludf.DUMMYFUNCTION("""COMPUTED_VALUE"""),TRUE)</f>
        <v>1</v>
      </c>
      <c r="L367" s="23" t="str">
        <f>IFERROR(__xludf.DUMMYFUNCTION("""COMPUTED_VALUE"""),"Tree;Depth-First Search;Binary Tree;")</f>
        <v>Tree;Depth-First Search;Binary Tree;</v>
      </c>
      <c r="M367" s="23" t="b">
        <f>IFERROR(__xludf.DUMMYFUNCTION("""COMPUTED_VALUE"""),TRUE)</f>
        <v>1</v>
      </c>
      <c r="N367" s="23" t="b">
        <f>IFERROR(__xludf.DUMMYFUNCTION("""COMPUTED_VALUE"""),FALSE)</f>
        <v>0</v>
      </c>
      <c r="O367" s="23">
        <f>IFERROR(__xludf.DUMMYFUNCTION("""COMPUTED_VALUE"""),78.5159084788929)</f>
        <v>78.51590848</v>
      </c>
      <c r="P367" s="23">
        <f>IFERROR(__xludf.DUMMYFUNCTION("""COMPUTED_VALUE"""),172025.0)</f>
        <v>172025</v>
      </c>
      <c r="Q367" s="23">
        <f>IFERROR(__xludf.DUMMYFUNCTION("""COMPUTED_VALUE"""),219095.0)</f>
        <v>219095</v>
      </c>
    </row>
    <row r="368">
      <c r="A368" s="23">
        <f>IFERROR(__xludf.DUMMYFUNCTION("""COMPUTED_VALUE"""),367.0)</f>
        <v>367</v>
      </c>
      <c r="B368" s="23" t="str">
        <f>IFERROR(__xludf.DUMMYFUNCTION("""COMPUTED_VALUE"""),"Valid Perfect Square")</f>
        <v>Valid Perfect Square</v>
      </c>
      <c r="C368" s="23" t="str">
        <f>IFERROR(__xludf.DUMMYFUNCTION("""COMPUTED_VALUE"""),"valid-perfect-square")</f>
        <v>valid-perfect-square</v>
      </c>
      <c r="D368" s="23" t="b">
        <f>IFERROR(__xludf.DUMMYFUNCTION("""COMPUTED_VALUE"""),FALSE)</f>
        <v>0</v>
      </c>
      <c r="E368" s="23" t="str">
        <f>IFERROR(__xludf.DUMMYFUNCTION("""COMPUTED_VALUE"""),"Easy")</f>
        <v>Easy</v>
      </c>
      <c r="F368" s="23">
        <f>IFERROR(__xludf.DUMMYFUNCTION("""COMPUTED_VALUE"""),2218.0)</f>
        <v>2218</v>
      </c>
      <c r="G368" s="23">
        <f>IFERROR(__xludf.DUMMYFUNCTION("""COMPUTED_VALUE"""),232.0)</f>
        <v>232</v>
      </c>
      <c r="H368" s="23" t="str">
        <f>IFERROR(__xludf.DUMMYFUNCTION("""COMPUTED_VALUE"""),"Algorithms")</f>
        <v>Algorithms</v>
      </c>
      <c r="I368" s="23">
        <f>IFERROR(__xludf.DUMMYFUNCTION("""COMPUTED_VALUE"""),0.43)</f>
        <v>0.43</v>
      </c>
      <c r="J368" s="23">
        <f>IFERROR(__xludf.DUMMYFUNCTION("""COMPUTED_VALUE"""),367.0)</f>
        <v>367</v>
      </c>
      <c r="K368" s="23" t="b">
        <f>IFERROR(__xludf.DUMMYFUNCTION("""COMPUTED_VALUE"""),FALSE)</f>
        <v>0</v>
      </c>
      <c r="L368" s="23" t="str">
        <f>IFERROR(__xludf.DUMMYFUNCTION("""COMPUTED_VALUE"""),"Math;Binary Search;")</f>
        <v>Math;Binary Search;</v>
      </c>
      <c r="M368" s="23" t="b">
        <f>IFERROR(__xludf.DUMMYFUNCTION("""COMPUTED_VALUE"""),TRUE)</f>
        <v>1</v>
      </c>
      <c r="N368" s="23" t="b">
        <f>IFERROR(__xludf.DUMMYFUNCTION("""COMPUTED_VALUE"""),FALSE)</f>
        <v>0</v>
      </c>
      <c r="O368" s="23">
        <f>IFERROR(__xludf.DUMMYFUNCTION("""COMPUTED_VALUE"""),42.9990684256393)</f>
        <v>42.99906843</v>
      </c>
      <c r="P368" s="23">
        <f>IFERROR(__xludf.DUMMYFUNCTION("""COMPUTED_VALUE"""),357717.0)</f>
        <v>357717</v>
      </c>
      <c r="Q368" s="23">
        <f>IFERROR(__xludf.DUMMYFUNCTION("""COMPUTED_VALUE"""),831922.0)</f>
        <v>831922</v>
      </c>
    </row>
    <row r="369">
      <c r="A369" s="23">
        <f>IFERROR(__xludf.DUMMYFUNCTION("""COMPUTED_VALUE"""),368.0)</f>
        <v>368</v>
      </c>
      <c r="B369" s="23" t="str">
        <f>IFERROR(__xludf.DUMMYFUNCTION("""COMPUTED_VALUE"""),"Largest Divisible Subset")</f>
        <v>Largest Divisible Subset</v>
      </c>
      <c r="C369" s="23" t="str">
        <f>IFERROR(__xludf.DUMMYFUNCTION("""COMPUTED_VALUE"""),"largest-divisible-subset")</f>
        <v>largest-divisible-subset</v>
      </c>
      <c r="D369" s="23" t="b">
        <f>IFERROR(__xludf.DUMMYFUNCTION("""COMPUTED_VALUE"""),FALSE)</f>
        <v>0</v>
      </c>
      <c r="E369" s="23" t="str">
        <f>IFERROR(__xludf.DUMMYFUNCTION("""COMPUTED_VALUE"""),"Medium")</f>
        <v>Medium</v>
      </c>
      <c r="F369" s="23">
        <f>IFERROR(__xludf.DUMMYFUNCTION("""COMPUTED_VALUE"""),3168.0)</f>
        <v>3168</v>
      </c>
      <c r="G369" s="23">
        <f>IFERROR(__xludf.DUMMYFUNCTION("""COMPUTED_VALUE"""),148.0)</f>
        <v>148</v>
      </c>
      <c r="H369" s="23" t="str">
        <f>IFERROR(__xludf.DUMMYFUNCTION("""COMPUTED_VALUE"""),"Algorithms")</f>
        <v>Algorithms</v>
      </c>
      <c r="I369" s="23">
        <f>IFERROR(__xludf.DUMMYFUNCTION("""COMPUTED_VALUE"""),0.405)</f>
        <v>0.405</v>
      </c>
      <c r="J369" s="23">
        <f>IFERROR(__xludf.DUMMYFUNCTION("""COMPUTED_VALUE"""),368.0)</f>
        <v>368</v>
      </c>
      <c r="K369" s="23" t="b">
        <f>IFERROR(__xludf.DUMMYFUNCTION("""COMPUTED_VALUE"""),FALSE)</f>
        <v>0</v>
      </c>
      <c r="L369" s="23" t="str">
        <f>IFERROR(__xludf.DUMMYFUNCTION("""COMPUTED_VALUE"""),"Array;Math;Dynamic Programming;Sorting;")</f>
        <v>Array;Math;Dynamic Programming;Sorting;</v>
      </c>
      <c r="M369" s="23" t="b">
        <f>IFERROR(__xludf.DUMMYFUNCTION("""COMPUTED_VALUE"""),TRUE)</f>
        <v>1</v>
      </c>
      <c r="N369" s="23" t="b">
        <f>IFERROR(__xludf.DUMMYFUNCTION("""COMPUTED_VALUE"""),FALSE)</f>
        <v>0</v>
      </c>
      <c r="O369" s="23">
        <f>IFERROR(__xludf.DUMMYFUNCTION("""COMPUTED_VALUE"""),40.5368064155044)</f>
        <v>40.53680642</v>
      </c>
      <c r="P369" s="23">
        <f>IFERROR(__xludf.DUMMYFUNCTION("""COMPUTED_VALUE"""),149927.0)</f>
        <v>149927</v>
      </c>
      <c r="Q369" s="23">
        <f>IFERROR(__xludf.DUMMYFUNCTION("""COMPUTED_VALUE"""),369854.0)</f>
        <v>369854</v>
      </c>
    </row>
    <row r="370">
      <c r="A370" s="23">
        <f>IFERROR(__xludf.DUMMYFUNCTION("""COMPUTED_VALUE"""),369.0)</f>
        <v>369</v>
      </c>
      <c r="B370" s="23" t="str">
        <f>IFERROR(__xludf.DUMMYFUNCTION("""COMPUTED_VALUE"""),"Plus One Linked List")</f>
        <v>Plus One Linked List</v>
      </c>
      <c r="C370" s="23" t="str">
        <f>IFERROR(__xludf.DUMMYFUNCTION("""COMPUTED_VALUE"""),"plus-one-linked-list")</f>
        <v>plus-one-linked-list</v>
      </c>
      <c r="D370" s="23" t="b">
        <f>IFERROR(__xludf.DUMMYFUNCTION("""COMPUTED_VALUE"""),TRUE)</f>
        <v>1</v>
      </c>
      <c r="E370" s="23" t="str">
        <f>IFERROR(__xludf.DUMMYFUNCTION("""COMPUTED_VALUE"""),"Medium")</f>
        <v>Medium</v>
      </c>
      <c r="F370" s="23">
        <f>IFERROR(__xludf.DUMMYFUNCTION("""COMPUTED_VALUE"""),774.0)</f>
        <v>774</v>
      </c>
      <c r="G370" s="23">
        <f>IFERROR(__xludf.DUMMYFUNCTION("""COMPUTED_VALUE"""),40.0)</f>
        <v>40</v>
      </c>
      <c r="H370" s="23" t="str">
        <f>IFERROR(__xludf.DUMMYFUNCTION("""COMPUTED_VALUE"""),"Algorithms")</f>
        <v>Algorithms</v>
      </c>
      <c r="I370" s="23">
        <f>IFERROR(__xludf.DUMMYFUNCTION("""COMPUTED_VALUE"""),0.605)</f>
        <v>0.605</v>
      </c>
      <c r="J370" s="23">
        <f>IFERROR(__xludf.DUMMYFUNCTION("""COMPUTED_VALUE"""),369.0)</f>
        <v>369</v>
      </c>
      <c r="K370" s="23" t="b">
        <f>IFERROR(__xludf.DUMMYFUNCTION("""COMPUTED_VALUE"""),TRUE)</f>
        <v>1</v>
      </c>
      <c r="L370" s="23" t="str">
        <f>IFERROR(__xludf.DUMMYFUNCTION("""COMPUTED_VALUE"""),"Linked List;Math;")</f>
        <v>Linked List;Math;</v>
      </c>
      <c r="M370" s="23" t="b">
        <f>IFERROR(__xludf.DUMMYFUNCTION("""COMPUTED_VALUE"""),TRUE)</f>
        <v>1</v>
      </c>
      <c r="N370" s="23" t="b">
        <f>IFERROR(__xludf.DUMMYFUNCTION("""COMPUTED_VALUE"""),TRUE)</f>
        <v>1</v>
      </c>
      <c r="O370" s="23">
        <f>IFERROR(__xludf.DUMMYFUNCTION("""COMPUTED_VALUE"""),60.4719022436904)</f>
        <v>60.47190224</v>
      </c>
      <c r="P370" s="23">
        <f>IFERROR(__xludf.DUMMYFUNCTION("""COMPUTED_VALUE"""),67353.0)</f>
        <v>67353</v>
      </c>
      <c r="Q370" s="23">
        <f>IFERROR(__xludf.DUMMYFUNCTION("""COMPUTED_VALUE"""),111379.0)</f>
        <v>111379</v>
      </c>
    </row>
    <row r="371">
      <c r="A371" s="23">
        <f>IFERROR(__xludf.DUMMYFUNCTION("""COMPUTED_VALUE"""),370.0)</f>
        <v>370</v>
      </c>
      <c r="B371" s="23" t="str">
        <f>IFERROR(__xludf.DUMMYFUNCTION("""COMPUTED_VALUE"""),"Range Addition")</f>
        <v>Range Addition</v>
      </c>
      <c r="C371" s="23" t="str">
        <f>IFERROR(__xludf.DUMMYFUNCTION("""COMPUTED_VALUE"""),"range-addition")</f>
        <v>range-addition</v>
      </c>
      <c r="D371" s="23" t="b">
        <f>IFERROR(__xludf.DUMMYFUNCTION("""COMPUTED_VALUE"""),TRUE)</f>
        <v>1</v>
      </c>
      <c r="E371" s="23" t="str">
        <f>IFERROR(__xludf.DUMMYFUNCTION("""COMPUTED_VALUE"""),"Medium")</f>
        <v>Medium</v>
      </c>
      <c r="F371" s="23">
        <f>IFERROR(__xludf.DUMMYFUNCTION("""COMPUTED_VALUE"""),1270.0)</f>
        <v>1270</v>
      </c>
      <c r="G371" s="23">
        <f>IFERROR(__xludf.DUMMYFUNCTION("""COMPUTED_VALUE"""),65.0)</f>
        <v>65</v>
      </c>
      <c r="H371" s="23" t="str">
        <f>IFERROR(__xludf.DUMMYFUNCTION("""COMPUTED_VALUE"""),"Algorithms")</f>
        <v>Algorithms</v>
      </c>
      <c r="I371" s="23">
        <f>IFERROR(__xludf.DUMMYFUNCTION("""COMPUTED_VALUE"""),0.695)</f>
        <v>0.695</v>
      </c>
      <c r="J371" s="23">
        <f>IFERROR(__xludf.DUMMYFUNCTION("""COMPUTED_VALUE"""),370.0)</f>
        <v>370</v>
      </c>
      <c r="K371" s="23" t="b">
        <f>IFERROR(__xludf.DUMMYFUNCTION("""COMPUTED_VALUE"""),TRUE)</f>
        <v>1</v>
      </c>
      <c r="L371" s="23" t="str">
        <f>IFERROR(__xludf.DUMMYFUNCTION("""COMPUTED_VALUE"""),"Array;Prefix Sum;")</f>
        <v>Array;Prefix Sum;</v>
      </c>
      <c r="M371" s="23" t="b">
        <f>IFERROR(__xludf.DUMMYFUNCTION("""COMPUTED_VALUE"""),TRUE)</f>
        <v>1</v>
      </c>
      <c r="N371" s="23" t="b">
        <f>IFERROR(__xludf.DUMMYFUNCTION("""COMPUTED_VALUE"""),FALSE)</f>
        <v>0</v>
      </c>
      <c r="O371" s="23">
        <f>IFERROR(__xludf.DUMMYFUNCTION("""COMPUTED_VALUE"""),69.496172624326)</f>
        <v>69.49617262</v>
      </c>
      <c r="P371" s="23">
        <f>IFERROR(__xludf.DUMMYFUNCTION("""COMPUTED_VALUE"""),68180.0)</f>
        <v>68180</v>
      </c>
      <c r="Q371" s="23">
        <f>IFERROR(__xludf.DUMMYFUNCTION("""COMPUTED_VALUE"""),98107.0)</f>
        <v>98107</v>
      </c>
    </row>
    <row r="372">
      <c r="A372" s="23">
        <f>IFERROR(__xludf.DUMMYFUNCTION("""COMPUTED_VALUE"""),371.0)</f>
        <v>371</v>
      </c>
      <c r="B372" s="23" t="str">
        <f>IFERROR(__xludf.DUMMYFUNCTION("""COMPUTED_VALUE"""),"Sum of Two Integers")</f>
        <v>Sum of Two Integers</v>
      </c>
      <c r="C372" s="23" t="str">
        <f>IFERROR(__xludf.DUMMYFUNCTION("""COMPUTED_VALUE"""),"sum-of-two-integers")</f>
        <v>sum-of-two-integers</v>
      </c>
      <c r="D372" s="23" t="b">
        <f>IFERROR(__xludf.DUMMYFUNCTION("""COMPUTED_VALUE"""),FALSE)</f>
        <v>0</v>
      </c>
      <c r="E372" s="23" t="str">
        <f>IFERROR(__xludf.DUMMYFUNCTION("""COMPUTED_VALUE"""),"Medium")</f>
        <v>Medium</v>
      </c>
      <c r="F372" s="23">
        <f>IFERROR(__xludf.DUMMYFUNCTION("""COMPUTED_VALUE"""),2504.0)</f>
        <v>2504</v>
      </c>
      <c r="G372" s="23">
        <f>IFERROR(__xludf.DUMMYFUNCTION("""COMPUTED_VALUE"""),3747.0)</f>
        <v>3747</v>
      </c>
      <c r="H372" s="23" t="str">
        <f>IFERROR(__xludf.DUMMYFUNCTION("""COMPUTED_VALUE"""),"Algorithms")</f>
        <v>Algorithms</v>
      </c>
      <c r="I372" s="23">
        <f>IFERROR(__xludf.DUMMYFUNCTION("""COMPUTED_VALUE"""),0.506)</f>
        <v>0.506</v>
      </c>
      <c r="J372" s="23">
        <f>IFERROR(__xludf.DUMMYFUNCTION("""COMPUTED_VALUE"""),371.0)</f>
        <v>371</v>
      </c>
      <c r="K372" s="23" t="b">
        <f>IFERROR(__xludf.DUMMYFUNCTION("""COMPUTED_VALUE"""),FALSE)</f>
        <v>0</v>
      </c>
      <c r="L372" s="23" t="str">
        <f>IFERROR(__xludf.DUMMYFUNCTION("""COMPUTED_VALUE"""),"Math;Bit Manipulation;")</f>
        <v>Math;Bit Manipulation;</v>
      </c>
      <c r="M372" s="23" t="b">
        <f>IFERROR(__xludf.DUMMYFUNCTION("""COMPUTED_VALUE"""),TRUE)</f>
        <v>1</v>
      </c>
      <c r="N372" s="23" t="b">
        <f>IFERROR(__xludf.DUMMYFUNCTION("""COMPUTED_VALUE"""),FALSE)</f>
        <v>0</v>
      </c>
      <c r="O372" s="23">
        <f>IFERROR(__xludf.DUMMYFUNCTION("""COMPUTED_VALUE"""),50.6392946331607)</f>
        <v>50.63929463</v>
      </c>
      <c r="P372" s="23">
        <f>IFERROR(__xludf.DUMMYFUNCTION("""COMPUTED_VALUE"""),294230.0)</f>
        <v>294230</v>
      </c>
      <c r="Q372" s="23">
        <f>IFERROR(__xludf.DUMMYFUNCTION("""COMPUTED_VALUE"""),581031.0)</f>
        <v>581031</v>
      </c>
    </row>
    <row r="373">
      <c r="A373" s="23">
        <f>IFERROR(__xludf.DUMMYFUNCTION("""COMPUTED_VALUE"""),372.0)</f>
        <v>372</v>
      </c>
      <c r="B373" s="23" t="str">
        <f>IFERROR(__xludf.DUMMYFUNCTION("""COMPUTED_VALUE"""),"Super Pow")</f>
        <v>Super Pow</v>
      </c>
      <c r="C373" s="23" t="str">
        <f>IFERROR(__xludf.DUMMYFUNCTION("""COMPUTED_VALUE"""),"super-pow")</f>
        <v>super-pow</v>
      </c>
      <c r="D373" s="23" t="b">
        <f>IFERROR(__xludf.DUMMYFUNCTION("""COMPUTED_VALUE"""),FALSE)</f>
        <v>0</v>
      </c>
      <c r="E373" s="23" t="str">
        <f>IFERROR(__xludf.DUMMYFUNCTION("""COMPUTED_VALUE"""),"Medium")</f>
        <v>Medium</v>
      </c>
      <c r="F373" s="23">
        <f>IFERROR(__xludf.DUMMYFUNCTION("""COMPUTED_VALUE"""),468.0)</f>
        <v>468</v>
      </c>
      <c r="G373" s="23">
        <f>IFERROR(__xludf.DUMMYFUNCTION("""COMPUTED_VALUE"""),1088.0)</f>
        <v>1088</v>
      </c>
      <c r="H373" s="23" t="str">
        <f>IFERROR(__xludf.DUMMYFUNCTION("""COMPUTED_VALUE"""),"Algorithms")</f>
        <v>Algorithms</v>
      </c>
      <c r="I373" s="23">
        <f>IFERROR(__xludf.DUMMYFUNCTION("""COMPUTED_VALUE"""),0.376)</f>
        <v>0.376</v>
      </c>
      <c r="J373" s="23">
        <f>IFERROR(__xludf.DUMMYFUNCTION("""COMPUTED_VALUE"""),372.0)</f>
        <v>372</v>
      </c>
      <c r="K373" s="23" t="b">
        <f>IFERROR(__xludf.DUMMYFUNCTION("""COMPUTED_VALUE"""),FALSE)</f>
        <v>0</v>
      </c>
      <c r="L373" s="23" t="str">
        <f>IFERROR(__xludf.DUMMYFUNCTION("""COMPUTED_VALUE"""),"Math;Divide and Conquer;")</f>
        <v>Math;Divide and Conquer;</v>
      </c>
      <c r="M373" s="23" t="b">
        <f>IFERROR(__xludf.DUMMYFUNCTION("""COMPUTED_VALUE"""),FALSE)</f>
        <v>0</v>
      </c>
      <c r="N373" s="23" t="b">
        <f>IFERROR(__xludf.DUMMYFUNCTION("""COMPUTED_VALUE"""),FALSE)</f>
        <v>0</v>
      </c>
      <c r="O373" s="23">
        <f>IFERROR(__xludf.DUMMYFUNCTION("""COMPUTED_VALUE"""),37.5701107153024)</f>
        <v>37.57011072</v>
      </c>
      <c r="P373" s="23">
        <f>IFERROR(__xludf.DUMMYFUNCTION("""COMPUTED_VALUE"""),48831.0)</f>
        <v>48831</v>
      </c>
      <c r="Q373" s="23">
        <f>IFERROR(__xludf.DUMMYFUNCTION("""COMPUTED_VALUE"""),129973.0)</f>
        <v>129973</v>
      </c>
    </row>
    <row r="374">
      <c r="A374" s="23">
        <f>IFERROR(__xludf.DUMMYFUNCTION("""COMPUTED_VALUE"""),373.0)</f>
        <v>373</v>
      </c>
      <c r="B374" s="23" t="str">
        <f>IFERROR(__xludf.DUMMYFUNCTION("""COMPUTED_VALUE"""),"Find K Pairs with Smallest Sums")</f>
        <v>Find K Pairs with Smallest Sums</v>
      </c>
      <c r="C374" s="23" t="str">
        <f>IFERROR(__xludf.DUMMYFUNCTION("""COMPUTED_VALUE"""),"find-k-pairs-with-smallest-sums")</f>
        <v>find-k-pairs-with-smallest-sums</v>
      </c>
      <c r="D374" s="23" t="b">
        <f>IFERROR(__xludf.DUMMYFUNCTION("""COMPUTED_VALUE"""),FALSE)</f>
        <v>0</v>
      </c>
      <c r="E374" s="23" t="str">
        <f>IFERROR(__xludf.DUMMYFUNCTION("""COMPUTED_VALUE"""),"Medium")</f>
        <v>Medium</v>
      </c>
      <c r="F374" s="23">
        <f>IFERROR(__xludf.DUMMYFUNCTION("""COMPUTED_VALUE"""),3007.0)</f>
        <v>3007</v>
      </c>
      <c r="G374" s="23">
        <f>IFERROR(__xludf.DUMMYFUNCTION("""COMPUTED_VALUE"""),186.0)</f>
        <v>186</v>
      </c>
      <c r="H374" s="23" t="str">
        <f>IFERROR(__xludf.DUMMYFUNCTION("""COMPUTED_VALUE"""),"Algorithms")</f>
        <v>Algorithms</v>
      </c>
      <c r="I374" s="23">
        <f>IFERROR(__xludf.DUMMYFUNCTION("""COMPUTED_VALUE"""),0.388)</f>
        <v>0.388</v>
      </c>
      <c r="J374" s="23">
        <f>IFERROR(__xludf.DUMMYFUNCTION("""COMPUTED_VALUE"""),373.0)</f>
        <v>373</v>
      </c>
      <c r="K374" s="23" t="b">
        <f>IFERROR(__xludf.DUMMYFUNCTION("""COMPUTED_VALUE"""),FALSE)</f>
        <v>0</v>
      </c>
      <c r="L374" s="23" t="str">
        <f>IFERROR(__xludf.DUMMYFUNCTION("""COMPUTED_VALUE"""),"Array;Heap (Priority Queue);")</f>
        <v>Array;Heap (Priority Queue);</v>
      </c>
      <c r="M374" s="23" t="b">
        <f>IFERROR(__xludf.DUMMYFUNCTION("""COMPUTED_VALUE"""),FALSE)</f>
        <v>0</v>
      </c>
      <c r="N374" s="23" t="b">
        <f>IFERROR(__xludf.DUMMYFUNCTION("""COMPUTED_VALUE"""),FALSE)</f>
        <v>0</v>
      </c>
      <c r="O374" s="23">
        <f>IFERROR(__xludf.DUMMYFUNCTION("""COMPUTED_VALUE"""),38.7691450079586)</f>
        <v>38.76914501</v>
      </c>
      <c r="P374" s="23">
        <f>IFERROR(__xludf.DUMMYFUNCTION("""COMPUTED_VALUE"""),168305.0)</f>
        <v>168305</v>
      </c>
      <c r="Q374" s="23">
        <f>IFERROR(__xludf.DUMMYFUNCTION("""COMPUTED_VALUE"""),434121.0)</f>
        <v>434121</v>
      </c>
    </row>
    <row r="375">
      <c r="A375" s="23">
        <f>IFERROR(__xludf.DUMMYFUNCTION("""COMPUTED_VALUE"""),374.0)</f>
        <v>374</v>
      </c>
      <c r="B375" s="23" t="str">
        <f>IFERROR(__xludf.DUMMYFUNCTION("""COMPUTED_VALUE"""),"Guess Number Higher or Lower")</f>
        <v>Guess Number Higher or Lower</v>
      </c>
      <c r="C375" s="23" t="str">
        <f>IFERROR(__xludf.DUMMYFUNCTION("""COMPUTED_VALUE"""),"guess-number-higher-or-lower")</f>
        <v>guess-number-higher-or-lower</v>
      </c>
      <c r="D375" s="23" t="b">
        <f>IFERROR(__xludf.DUMMYFUNCTION("""COMPUTED_VALUE"""),FALSE)</f>
        <v>0</v>
      </c>
      <c r="E375" s="23" t="str">
        <f>IFERROR(__xludf.DUMMYFUNCTION("""COMPUTED_VALUE"""),"Easy")</f>
        <v>Easy</v>
      </c>
      <c r="F375" s="23">
        <f>IFERROR(__xludf.DUMMYFUNCTION("""COMPUTED_VALUE"""),897.0)</f>
        <v>897</v>
      </c>
      <c r="G375" s="23">
        <f>IFERROR(__xludf.DUMMYFUNCTION("""COMPUTED_VALUE"""),151.0)</f>
        <v>151</v>
      </c>
      <c r="H375" s="23" t="str">
        <f>IFERROR(__xludf.DUMMYFUNCTION("""COMPUTED_VALUE"""),"Algorithms")</f>
        <v>Algorithms</v>
      </c>
      <c r="I375" s="23">
        <f>IFERROR(__xludf.DUMMYFUNCTION("""COMPUTED_VALUE"""),0.491)</f>
        <v>0.491</v>
      </c>
      <c r="J375" s="23">
        <f>IFERROR(__xludf.DUMMYFUNCTION("""COMPUTED_VALUE"""),374.0)</f>
        <v>374</v>
      </c>
      <c r="K375" s="23" t="b">
        <f>IFERROR(__xludf.DUMMYFUNCTION("""COMPUTED_VALUE"""),FALSE)</f>
        <v>0</v>
      </c>
      <c r="L375" s="23" t="str">
        <f>IFERROR(__xludf.DUMMYFUNCTION("""COMPUTED_VALUE"""),"Binary Search;Interactive;")</f>
        <v>Binary Search;Interactive;</v>
      </c>
      <c r="M375" s="23" t="b">
        <f>IFERROR(__xludf.DUMMYFUNCTION("""COMPUTED_VALUE"""),TRUE)</f>
        <v>1</v>
      </c>
      <c r="N375" s="23" t="b">
        <f>IFERROR(__xludf.DUMMYFUNCTION("""COMPUTED_VALUE"""),FALSE)</f>
        <v>0</v>
      </c>
      <c r="O375" s="23">
        <f>IFERROR(__xludf.DUMMYFUNCTION("""COMPUTED_VALUE"""),49.0898667502842)</f>
        <v>49.08986675</v>
      </c>
      <c r="P375" s="23">
        <f>IFERROR(__xludf.DUMMYFUNCTION("""COMPUTED_VALUE"""),309976.0)</f>
        <v>309976</v>
      </c>
      <c r="Q375" s="23">
        <f>IFERROR(__xludf.DUMMYFUNCTION("""COMPUTED_VALUE"""),631446.0)</f>
        <v>631446</v>
      </c>
    </row>
    <row r="376">
      <c r="A376" s="23">
        <f>IFERROR(__xludf.DUMMYFUNCTION("""COMPUTED_VALUE"""),375.0)</f>
        <v>375</v>
      </c>
      <c r="B376" s="23" t="str">
        <f>IFERROR(__xludf.DUMMYFUNCTION("""COMPUTED_VALUE"""),"Guess Number Higher or Lower II")</f>
        <v>Guess Number Higher or Lower II</v>
      </c>
      <c r="C376" s="23" t="str">
        <f>IFERROR(__xludf.DUMMYFUNCTION("""COMPUTED_VALUE"""),"guess-number-higher-or-lower-ii")</f>
        <v>guess-number-higher-or-lower-ii</v>
      </c>
      <c r="D376" s="23" t="b">
        <f>IFERROR(__xludf.DUMMYFUNCTION("""COMPUTED_VALUE"""),FALSE)</f>
        <v>0</v>
      </c>
      <c r="E376" s="23" t="str">
        <f>IFERROR(__xludf.DUMMYFUNCTION("""COMPUTED_VALUE"""),"Medium")</f>
        <v>Medium</v>
      </c>
      <c r="F376" s="23">
        <f>IFERROR(__xludf.DUMMYFUNCTION("""COMPUTED_VALUE"""),1446.0)</f>
        <v>1446</v>
      </c>
      <c r="G376" s="23">
        <f>IFERROR(__xludf.DUMMYFUNCTION("""COMPUTED_VALUE"""),1779.0)</f>
        <v>1779</v>
      </c>
      <c r="H376" s="23" t="str">
        <f>IFERROR(__xludf.DUMMYFUNCTION("""COMPUTED_VALUE"""),"Algorithms")</f>
        <v>Algorithms</v>
      </c>
      <c r="I376" s="23">
        <f>IFERROR(__xludf.DUMMYFUNCTION("""COMPUTED_VALUE"""),0.454)</f>
        <v>0.454</v>
      </c>
      <c r="J376" s="23">
        <f>IFERROR(__xludf.DUMMYFUNCTION("""COMPUTED_VALUE"""),375.0)</f>
        <v>375</v>
      </c>
      <c r="K376" s="23" t="b">
        <f>IFERROR(__xludf.DUMMYFUNCTION("""COMPUTED_VALUE"""),FALSE)</f>
        <v>0</v>
      </c>
      <c r="L376" s="23" t="str">
        <f>IFERROR(__xludf.DUMMYFUNCTION("""COMPUTED_VALUE"""),"Math;Dynamic Programming;Game Theory;")</f>
        <v>Math;Dynamic Programming;Game Theory;</v>
      </c>
      <c r="M376" s="23" t="b">
        <f>IFERROR(__xludf.DUMMYFUNCTION("""COMPUTED_VALUE"""),FALSE)</f>
        <v>0</v>
      </c>
      <c r="N376" s="23" t="b">
        <f>IFERROR(__xludf.DUMMYFUNCTION("""COMPUTED_VALUE"""),FALSE)</f>
        <v>0</v>
      </c>
      <c r="O376" s="23">
        <f>IFERROR(__xludf.DUMMYFUNCTION("""COMPUTED_VALUE"""),45.4050978718812)</f>
        <v>45.40509787</v>
      </c>
      <c r="P376" s="23">
        <f>IFERROR(__xludf.DUMMYFUNCTION("""COMPUTED_VALUE"""),92576.0)</f>
        <v>92576</v>
      </c>
      <c r="Q376" s="23">
        <f>IFERROR(__xludf.DUMMYFUNCTION("""COMPUTED_VALUE"""),203889.0)</f>
        <v>203889</v>
      </c>
    </row>
    <row r="377">
      <c r="A377" s="23">
        <f>IFERROR(__xludf.DUMMYFUNCTION("""COMPUTED_VALUE"""),376.0)</f>
        <v>376</v>
      </c>
      <c r="B377" s="23" t="str">
        <f>IFERROR(__xludf.DUMMYFUNCTION("""COMPUTED_VALUE"""),"Wiggle Subsequence")</f>
        <v>Wiggle Subsequence</v>
      </c>
      <c r="C377" s="23" t="str">
        <f>IFERROR(__xludf.DUMMYFUNCTION("""COMPUTED_VALUE"""),"wiggle-subsequence")</f>
        <v>wiggle-subsequence</v>
      </c>
      <c r="D377" s="23" t="b">
        <f>IFERROR(__xludf.DUMMYFUNCTION("""COMPUTED_VALUE"""),FALSE)</f>
        <v>0</v>
      </c>
      <c r="E377" s="23" t="str">
        <f>IFERROR(__xludf.DUMMYFUNCTION("""COMPUTED_VALUE"""),"Medium")</f>
        <v>Medium</v>
      </c>
      <c r="F377" s="23">
        <f>IFERROR(__xludf.DUMMYFUNCTION("""COMPUTED_VALUE"""),2636.0)</f>
        <v>2636</v>
      </c>
      <c r="G377" s="23">
        <f>IFERROR(__xludf.DUMMYFUNCTION("""COMPUTED_VALUE"""),93.0)</f>
        <v>93</v>
      </c>
      <c r="H377" s="23" t="str">
        <f>IFERROR(__xludf.DUMMYFUNCTION("""COMPUTED_VALUE"""),"Algorithms")</f>
        <v>Algorithms</v>
      </c>
      <c r="I377" s="23">
        <f>IFERROR(__xludf.DUMMYFUNCTION("""COMPUTED_VALUE"""),0.449)</f>
        <v>0.449</v>
      </c>
      <c r="J377" s="23">
        <f>IFERROR(__xludf.DUMMYFUNCTION("""COMPUTED_VALUE"""),376.0)</f>
        <v>376</v>
      </c>
      <c r="K377" s="23" t="b">
        <f>IFERROR(__xludf.DUMMYFUNCTION("""COMPUTED_VALUE"""),FALSE)</f>
        <v>0</v>
      </c>
      <c r="L377" s="23" t="str">
        <f>IFERROR(__xludf.DUMMYFUNCTION("""COMPUTED_VALUE"""),"Array;Dynamic Programming;Greedy;")</f>
        <v>Array;Dynamic Programming;Greedy;</v>
      </c>
      <c r="M377" s="23" t="b">
        <f>IFERROR(__xludf.DUMMYFUNCTION("""COMPUTED_VALUE"""),TRUE)</f>
        <v>1</v>
      </c>
      <c r="N377" s="23" t="b">
        <f>IFERROR(__xludf.DUMMYFUNCTION("""COMPUTED_VALUE"""),FALSE)</f>
        <v>0</v>
      </c>
      <c r="O377" s="23">
        <f>IFERROR(__xludf.DUMMYFUNCTION("""COMPUTED_VALUE"""),44.9062448508815)</f>
        <v>44.90624485</v>
      </c>
      <c r="P377" s="23">
        <f>IFERROR(__xludf.DUMMYFUNCTION("""COMPUTED_VALUE"""),136268.0)</f>
        <v>136268</v>
      </c>
      <c r="Q377" s="23">
        <f>IFERROR(__xludf.DUMMYFUNCTION("""COMPUTED_VALUE"""),303450.0)</f>
        <v>303450</v>
      </c>
    </row>
    <row r="378">
      <c r="A378" s="23">
        <f>IFERROR(__xludf.DUMMYFUNCTION("""COMPUTED_VALUE"""),377.0)</f>
        <v>377</v>
      </c>
      <c r="B378" s="23" t="str">
        <f>IFERROR(__xludf.DUMMYFUNCTION("""COMPUTED_VALUE"""),"Combination Sum IV")</f>
        <v>Combination Sum IV</v>
      </c>
      <c r="C378" s="23" t="str">
        <f>IFERROR(__xludf.DUMMYFUNCTION("""COMPUTED_VALUE"""),"combination-sum-iv")</f>
        <v>combination-sum-iv</v>
      </c>
      <c r="D378" s="23" t="b">
        <f>IFERROR(__xludf.DUMMYFUNCTION("""COMPUTED_VALUE"""),FALSE)</f>
        <v>0</v>
      </c>
      <c r="E378" s="23" t="str">
        <f>IFERROR(__xludf.DUMMYFUNCTION("""COMPUTED_VALUE"""),"Medium")</f>
        <v>Medium</v>
      </c>
      <c r="F378" s="23">
        <f>IFERROR(__xludf.DUMMYFUNCTION("""COMPUTED_VALUE"""),3357.0)</f>
        <v>3357</v>
      </c>
      <c r="G378" s="23">
        <f>IFERROR(__xludf.DUMMYFUNCTION("""COMPUTED_VALUE"""),386.0)</f>
        <v>386</v>
      </c>
      <c r="H378" s="23" t="str">
        <f>IFERROR(__xludf.DUMMYFUNCTION("""COMPUTED_VALUE"""),"Algorithms")</f>
        <v>Algorithms</v>
      </c>
      <c r="I378" s="23">
        <f>IFERROR(__xludf.DUMMYFUNCTION("""COMPUTED_VALUE"""),0.494)</f>
        <v>0.494</v>
      </c>
      <c r="J378" s="23">
        <f>IFERROR(__xludf.DUMMYFUNCTION("""COMPUTED_VALUE"""),377.0)</f>
        <v>377</v>
      </c>
      <c r="K378" s="23" t="b">
        <f>IFERROR(__xludf.DUMMYFUNCTION("""COMPUTED_VALUE"""),FALSE)</f>
        <v>0</v>
      </c>
      <c r="L378" s="23" t="str">
        <f>IFERROR(__xludf.DUMMYFUNCTION("""COMPUTED_VALUE"""),"Array;Dynamic Programming;")</f>
        <v>Array;Dynamic Programming;</v>
      </c>
      <c r="M378" s="23" t="b">
        <f>IFERROR(__xludf.DUMMYFUNCTION("""COMPUTED_VALUE"""),TRUE)</f>
        <v>1</v>
      </c>
      <c r="N378" s="23" t="b">
        <f>IFERROR(__xludf.DUMMYFUNCTION("""COMPUTED_VALUE"""),FALSE)</f>
        <v>0</v>
      </c>
      <c r="O378" s="23">
        <f>IFERROR(__xludf.DUMMYFUNCTION("""COMPUTED_VALUE"""),49.3878298516799)</f>
        <v>49.38782985</v>
      </c>
      <c r="P378" s="23">
        <f>IFERROR(__xludf.DUMMYFUNCTION("""COMPUTED_VALUE"""),240011.0)</f>
        <v>240011</v>
      </c>
      <c r="Q378" s="23">
        <f>IFERROR(__xludf.DUMMYFUNCTION("""COMPUTED_VALUE"""),485971.0)</f>
        <v>485971</v>
      </c>
    </row>
    <row r="379">
      <c r="A379" s="23">
        <f>IFERROR(__xludf.DUMMYFUNCTION("""COMPUTED_VALUE"""),378.0)</f>
        <v>378</v>
      </c>
      <c r="B379" s="23" t="str">
        <f>IFERROR(__xludf.DUMMYFUNCTION("""COMPUTED_VALUE"""),"Kth Smallest Element in a Sorted Matrix")</f>
        <v>Kth Smallest Element in a Sorted Matrix</v>
      </c>
      <c r="C379" s="23" t="str">
        <f>IFERROR(__xludf.DUMMYFUNCTION("""COMPUTED_VALUE"""),"kth-smallest-element-in-a-sorted-matrix")</f>
        <v>kth-smallest-element-in-a-sorted-matrix</v>
      </c>
      <c r="D379" s="23" t="b">
        <f>IFERROR(__xludf.DUMMYFUNCTION("""COMPUTED_VALUE"""),FALSE)</f>
        <v>0</v>
      </c>
      <c r="E379" s="23" t="str">
        <f>IFERROR(__xludf.DUMMYFUNCTION("""COMPUTED_VALUE"""),"Medium")</f>
        <v>Medium</v>
      </c>
      <c r="F379" s="23">
        <f>IFERROR(__xludf.DUMMYFUNCTION("""COMPUTED_VALUE"""),5758.0)</f>
        <v>5758</v>
      </c>
      <c r="G379" s="23">
        <f>IFERROR(__xludf.DUMMYFUNCTION("""COMPUTED_VALUE"""),237.0)</f>
        <v>237</v>
      </c>
      <c r="H379" s="23" t="str">
        <f>IFERROR(__xludf.DUMMYFUNCTION("""COMPUTED_VALUE"""),"Algorithms")</f>
        <v>Algorithms</v>
      </c>
      <c r="I379" s="23">
        <f>IFERROR(__xludf.DUMMYFUNCTION("""COMPUTED_VALUE"""),0.596)</f>
        <v>0.596</v>
      </c>
      <c r="J379" s="23">
        <f>IFERROR(__xludf.DUMMYFUNCTION("""COMPUTED_VALUE"""),378.0)</f>
        <v>378</v>
      </c>
      <c r="K379" s="23" t="b">
        <f>IFERROR(__xludf.DUMMYFUNCTION("""COMPUTED_VALUE"""),FALSE)</f>
        <v>0</v>
      </c>
      <c r="L379" s="23" t="str">
        <f>IFERROR(__xludf.DUMMYFUNCTION("""COMPUTED_VALUE"""),"Array;Binary Search;Sorting;Heap (Priority Queue);Matrix;")</f>
        <v>Array;Binary Search;Sorting;Heap (Priority Queue);Matrix;</v>
      </c>
      <c r="M379" s="23" t="b">
        <f>IFERROR(__xludf.DUMMYFUNCTION("""COMPUTED_VALUE"""),TRUE)</f>
        <v>1</v>
      </c>
      <c r="N379" s="23" t="b">
        <f>IFERROR(__xludf.DUMMYFUNCTION("""COMPUTED_VALUE"""),FALSE)</f>
        <v>0</v>
      </c>
      <c r="O379" s="23">
        <f>IFERROR(__xludf.DUMMYFUNCTION("""COMPUTED_VALUE"""),59.6457381448699)</f>
        <v>59.64573814</v>
      </c>
      <c r="P379" s="23">
        <f>IFERROR(__xludf.DUMMYFUNCTION("""COMPUTED_VALUE"""),380272.0)</f>
        <v>380272</v>
      </c>
      <c r="Q379" s="23">
        <f>IFERROR(__xludf.DUMMYFUNCTION("""COMPUTED_VALUE"""),637551.0)</f>
        <v>637551</v>
      </c>
    </row>
    <row r="380">
      <c r="A380" s="23">
        <f>IFERROR(__xludf.DUMMYFUNCTION("""COMPUTED_VALUE"""),379.0)</f>
        <v>379</v>
      </c>
      <c r="B380" s="23" t="str">
        <f>IFERROR(__xludf.DUMMYFUNCTION("""COMPUTED_VALUE"""),"Design Phone Directory")</f>
        <v>Design Phone Directory</v>
      </c>
      <c r="C380" s="23" t="str">
        <f>IFERROR(__xludf.DUMMYFUNCTION("""COMPUTED_VALUE"""),"design-phone-directory")</f>
        <v>design-phone-directory</v>
      </c>
      <c r="D380" s="23" t="b">
        <f>IFERROR(__xludf.DUMMYFUNCTION("""COMPUTED_VALUE"""),TRUE)</f>
        <v>1</v>
      </c>
      <c r="E380" s="23" t="str">
        <f>IFERROR(__xludf.DUMMYFUNCTION("""COMPUTED_VALUE"""),"Medium")</f>
        <v>Medium</v>
      </c>
      <c r="F380" s="23">
        <f>IFERROR(__xludf.DUMMYFUNCTION("""COMPUTED_VALUE"""),281.0)</f>
        <v>281</v>
      </c>
      <c r="G380" s="23">
        <f>IFERROR(__xludf.DUMMYFUNCTION("""COMPUTED_VALUE"""),396.0)</f>
        <v>396</v>
      </c>
      <c r="H380" s="23" t="str">
        <f>IFERROR(__xludf.DUMMYFUNCTION("""COMPUTED_VALUE"""),"Algorithms")</f>
        <v>Algorithms</v>
      </c>
      <c r="I380" s="23">
        <f>IFERROR(__xludf.DUMMYFUNCTION("""COMPUTED_VALUE"""),0.503)</f>
        <v>0.503</v>
      </c>
      <c r="J380" s="23">
        <f>IFERROR(__xludf.DUMMYFUNCTION("""COMPUTED_VALUE"""),379.0)</f>
        <v>379</v>
      </c>
      <c r="K380" s="23" t="b">
        <f>IFERROR(__xludf.DUMMYFUNCTION("""COMPUTED_VALUE"""),TRUE)</f>
        <v>1</v>
      </c>
      <c r="L380" s="23" t="str">
        <f>IFERROR(__xludf.DUMMYFUNCTION("""COMPUTED_VALUE"""),"Array;Hash Table;Linked List;Design;Queue;")</f>
        <v>Array;Hash Table;Linked List;Design;Queue;</v>
      </c>
      <c r="M380" s="23" t="b">
        <f>IFERROR(__xludf.DUMMYFUNCTION("""COMPUTED_VALUE"""),FALSE)</f>
        <v>0</v>
      </c>
      <c r="N380" s="23" t="b">
        <f>IFERROR(__xludf.DUMMYFUNCTION("""COMPUTED_VALUE"""),FALSE)</f>
        <v>0</v>
      </c>
      <c r="O380" s="23">
        <f>IFERROR(__xludf.DUMMYFUNCTION("""COMPUTED_VALUE"""),50.2906256026004)</f>
        <v>50.2906256</v>
      </c>
      <c r="P380" s="23">
        <f>IFERROR(__xludf.DUMMYFUNCTION("""COMPUTED_VALUE"""),54768.0)</f>
        <v>54768</v>
      </c>
      <c r="Q380" s="23">
        <f>IFERROR(__xludf.DUMMYFUNCTION("""COMPUTED_VALUE"""),108903.0)</f>
        <v>108903</v>
      </c>
    </row>
    <row r="381">
      <c r="A381" s="23">
        <f>IFERROR(__xludf.DUMMYFUNCTION("""COMPUTED_VALUE"""),380.0)</f>
        <v>380</v>
      </c>
      <c r="B381" s="23" t="str">
        <f>IFERROR(__xludf.DUMMYFUNCTION("""COMPUTED_VALUE"""),"Insert Delete GetRandom O(1)")</f>
        <v>Insert Delete GetRandom O(1)</v>
      </c>
      <c r="C381" s="23" t="str">
        <f>IFERROR(__xludf.DUMMYFUNCTION("""COMPUTED_VALUE"""),"insert-delete-getrandom-o1")</f>
        <v>insert-delete-getrandom-o1</v>
      </c>
      <c r="D381" s="23" t="b">
        <f>IFERROR(__xludf.DUMMYFUNCTION("""COMPUTED_VALUE"""),FALSE)</f>
        <v>0</v>
      </c>
      <c r="E381" s="23" t="str">
        <f>IFERROR(__xludf.DUMMYFUNCTION("""COMPUTED_VALUE"""),"Medium")</f>
        <v>Medium</v>
      </c>
      <c r="F381" s="23">
        <f>IFERROR(__xludf.DUMMYFUNCTION("""COMPUTED_VALUE"""),5358.0)</f>
        <v>5358</v>
      </c>
      <c r="G381" s="23">
        <f>IFERROR(__xludf.DUMMYFUNCTION("""COMPUTED_VALUE"""),289.0)</f>
        <v>289</v>
      </c>
      <c r="H381" s="23" t="str">
        <f>IFERROR(__xludf.DUMMYFUNCTION("""COMPUTED_VALUE"""),"Algorithms")</f>
        <v>Algorithms</v>
      </c>
      <c r="I381" s="23">
        <f>IFERROR(__xludf.DUMMYFUNCTION("""COMPUTED_VALUE"""),0.513)</f>
        <v>0.513</v>
      </c>
      <c r="J381" s="23">
        <f>IFERROR(__xludf.DUMMYFUNCTION("""COMPUTED_VALUE"""),380.0)</f>
        <v>380</v>
      </c>
      <c r="K381" s="23" t="b">
        <f>IFERROR(__xludf.DUMMYFUNCTION("""COMPUTED_VALUE"""),FALSE)</f>
        <v>0</v>
      </c>
      <c r="L381" s="23" t="str">
        <f>IFERROR(__xludf.DUMMYFUNCTION("""COMPUTED_VALUE"""),"Array;Hash Table;Math;Design;Randomized;")</f>
        <v>Array;Hash Table;Math;Design;Randomized;</v>
      </c>
      <c r="M381" s="23" t="b">
        <f>IFERROR(__xludf.DUMMYFUNCTION("""COMPUTED_VALUE"""),TRUE)</f>
        <v>1</v>
      </c>
      <c r="N381" s="23" t="b">
        <f>IFERROR(__xludf.DUMMYFUNCTION("""COMPUTED_VALUE"""),FALSE)</f>
        <v>0</v>
      </c>
      <c r="O381" s="23">
        <f>IFERROR(__xludf.DUMMYFUNCTION("""COMPUTED_VALUE"""),51.3459364544681)</f>
        <v>51.34593645</v>
      </c>
      <c r="P381" s="23">
        <f>IFERROR(__xludf.DUMMYFUNCTION("""COMPUTED_VALUE"""),472836.0)</f>
        <v>472836</v>
      </c>
      <c r="Q381" s="23">
        <f>IFERROR(__xludf.DUMMYFUNCTION("""COMPUTED_VALUE"""),920883.0)</f>
        <v>920883</v>
      </c>
    </row>
    <row r="382">
      <c r="A382" s="23">
        <f>IFERROR(__xludf.DUMMYFUNCTION("""COMPUTED_VALUE"""),381.0)</f>
        <v>381</v>
      </c>
      <c r="B382" s="23" t="str">
        <f>IFERROR(__xludf.DUMMYFUNCTION("""COMPUTED_VALUE"""),"Insert Delete GetRandom O(1) - Duplicates allowed")</f>
        <v>Insert Delete GetRandom O(1) - Duplicates allowed</v>
      </c>
      <c r="C382" s="23" t="str">
        <f>IFERROR(__xludf.DUMMYFUNCTION("""COMPUTED_VALUE"""),"insert-delete-getrandom-o1-duplicates-allowed")</f>
        <v>insert-delete-getrandom-o1-duplicates-allowed</v>
      </c>
      <c r="D382" s="23" t="b">
        <f>IFERROR(__xludf.DUMMYFUNCTION("""COMPUTED_VALUE"""),FALSE)</f>
        <v>0</v>
      </c>
      <c r="E382" s="23" t="str">
        <f>IFERROR(__xludf.DUMMYFUNCTION("""COMPUTED_VALUE"""),"Hard")</f>
        <v>Hard</v>
      </c>
      <c r="F382" s="23">
        <f>IFERROR(__xludf.DUMMYFUNCTION("""COMPUTED_VALUE"""),1610.0)</f>
        <v>1610</v>
      </c>
      <c r="G382" s="23">
        <f>IFERROR(__xludf.DUMMYFUNCTION("""COMPUTED_VALUE"""),116.0)</f>
        <v>116</v>
      </c>
      <c r="H382" s="23" t="str">
        <f>IFERROR(__xludf.DUMMYFUNCTION("""COMPUTED_VALUE"""),"Algorithms")</f>
        <v>Algorithms</v>
      </c>
      <c r="I382" s="23">
        <f>IFERROR(__xludf.DUMMYFUNCTION("""COMPUTED_VALUE"""),0.355)</f>
        <v>0.355</v>
      </c>
      <c r="J382" s="23">
        <f>IFERROR(__xludf.DUMMYFUNCTION("""COMPUTED_VALUE"""),381.0)</f>
        <v>381</v>
      </c>
      <c r="K382" s="23" t="b">
        <f>IFERROR(__xludf.DUMMYFUNCTION("""COMPUTED_VALUE"""),FALSE)</f>
        <v>0</v>
      </c>
      <c r="L382" s="23" t="str">
        <f>IFERROR(__xludf.DUMMYFUNCTION("""COMPUTED_VALUE"""),"Array;Hash Table;Math;Design;Randomized;")</f>
        <v>Array;Hash Table;Math;Design;Randomized;</v>
      </c>
      <c r="M382" s="23" t="b">
        <f>IFERROR(__xludf.DUMMYFUNCTION("""COMPUTED_VALUE"""),TRUE)</f>
        <v>1</v>
      </c>
      <c r="N382" s="23" t="b">
        <f>IFERROR(__xludf.DUMMYFUNCTION("""COMPUTED_VALUE"""),FALSE)</f>
        <v>0</v>
      </c>
      <c r="O382" s="23">
        <f>IFERROR(__xludf.DUMMYFUNCTION("""COMPUTED_VALUE"""),35.4855414493843)</f>
        <v>35.48554145</v>
      </c>
      <c r="P382" s="23">
        <f>IFERROR(__xludf.DUMMYFUNCTION("""COMPUTED_VALUE"""),107584.0)</f>
        <v>107584</v>
      </c>
      <c r="Q382" s="23">
        <f>IFERROR(__xludf.DUMMYFUNCTION("""COMPUTED_VALUE"""),303177.0)</f>
        <v>303177</v>
      </c>
    </row>
    <row r="383">
      <c r="A383" s="23">
        <f>IFERROR(__xludf.DUMMYFUNCTION("""COMPUTED_VALUE"""),382.0)</f>
        <v>382</v>
      </c>
      <c r="B383" s="23" t="str">
        <f>IFERROR(__xludf.DUMMYFUNCTION("""COMPUTED_VALUE"""),"Linked List Random Node")</f>
        <v>Linked List Random Node</v>
      </c>
      <c r="C383" s="23" t="str">
        <f>IFERROR(__xludf.DUMMYFUNCTION("""COMPUTED_VALUE"""),"linked-list-random-node")</f>
        <v>linked-list-random-node</v>
      </c>
      <c r="D383" s="23" t="b">
        <f>IFERROR(__xludf.DUMMYFUNCTION("""COMPUTED_VALUE"""),FALSE)</f>
        <v>0</v>
      </c>
      <c r="E383" s="23" t="str">
        <f>IFERROR(__xludf.DUMMYFUNCTION("""COMPUTED_VALUE"""),"Medium")</f>
        <v>Medium</v>
      </c>
      <c r="F383" s="23">
        <f>IFERROR(__xludf.DUMMYFUNCTION("""COMPUTED_VALUE"""),1719.0)</f>
        <v>1719</v>
      </c>
      <c r="G383" s="23">
        <f>IFERROR(__xludf.DUMMYFUNCTION("""COMPUTED_VALUE"""),434.0)</f>
        <v>434</v>
      </c>
      <c r="H383" s="23" t="str">
        <f>IFERROR(__xludf.DUMMYFUNCTION("""COMPUTED_VALUE"""),"Algorithms")</f>
        <v>Algorithms</v>
      </c>
      <c r="I383" s="23">
        <f>IFERROR(__xludf.DUMMYFUNCTION("""COMPUTED_VALUE"""),0.589)</f>
        <v>0.589</v>
      </c>
      <c r="J383" s="23">
        <f>IFERROR(__xludf.DUMMYFUNCTION("""COMPUTED_VALUE"""),382.0)</f>
        <v>382</v>
      </c>
      <c r="K383" s="23" t="b">
        <f>IFERROR(__xludf.DUMMYFUNCTION("""COMPUTED_VALUE"""),FALSE)</f>
        <v>0</v>
      </c>
      <c r="L383" s="23" t="str">
        <f>IFERROR(__xludf.DUMMYFUNCTION("""COMPUTED_VALUE"""),"Linked List;Math;Reservoir Sampling;Randomized;")</f>
        <v>Linked List;Math;Reservoir Sampling;Randomized;</v>
      </c>
      <c r="M383" s="23" t="b">
        <f>IFERROR(__xludf.DUMMYFUNCTION("""COMPUTED_VALUE"""),TRUE)</f>
        <v>1</v>
      </c>
      <c r="N383" s="23" t="b">
        <f>IFERROR(__xludf.DUMMYFUNCTION("""COMPUTED_VALUE"""),FALSE)</f>
        <v>0</v>
      </c>
      <c r="O383" s="23">
        <f>IFERROR(__xludf.DUMMYFUNCTION("""COMPUTED_VALUE"""),58.9321845578058)</f>
        <v>58.93218456</v>
      </c>
      <c r="P383" s="23">
        <f>IFERROR(__xludf.DUMMYFUNCTION("""COMPUTED_VALUE"""),151163.0)</f>
        <v>151163</v>
      </c>
      <c r="Q383" s="23">
        <f>IFERROR(__xludf.DUMMYFUNCTION("""COMPUTED_VALUE"""),256504.0)</f>
        <v>256504</v>
      </c>
    </row>
    <row r="384">
      <c r="A384" s="23">
        <f>IFERROR(__xludf.DUMMYFUNCTION("""COMPUTED_VALUE"""),383.0)</f>
        <v>383</v>
      </c>
      <c r="B384" s="23" t="str">
        <f>IFERROR(__xludf.DUMMYFUNCTION("""COMPUTED_VALUE"""),"Ransom Note")</f>
        <v>Ransom Note</v>
      </c>
      <c r="C384" s="23" t="str">
        <f>IFERROR(__xludf.DUMMYFUNCTION("""COMPUTED_VALUE"""),"ransom-note")</f>
        <v>ransom-note</v>
      </c>
      <c r="D384" s="23" t="b">
        <f>IFERROR(__xludf.DUMMYFUNCTION("""COMPUTED_VALUE"""),FALSE)</f>
        <v>0</v>
      </c>
      <c r="E384" s="23" t="str">
        <f>IFERROR(__xludf.DUMMYFUNCTION("""COMPUTED_VALUE"""),"Easy")</f>
        <v>Easy</v>
      </c>
      <c r="F384" s="23">
        <f>IFERROR(__xludf.DUMMYFUNCTION("""COMPUTED_VALUE"""),1670.0)</f>
        <v>1670</v>
      </c>
      <c r="G384" s="23">
        <f>IFERROR(__xludf.DUMMYFUNCTION("""COMPUTED_VALUE"""),303.0)</f>
        <v>303</v>
      </c>
      <c r="H384" s="23" t="str">
        <f>IFERROR(__xludf.DUMMYFUNCTION("""COMPUTED_VALUE"""),"Algorithms")</f>
        <v>Algorithms</v>
      </c>
      <c r="I384" s="23">
        <f>IFERROR(__xludf.DUMMYFUNCTION("""COMPUTED_VALUE"""),0.558)</f>
        <v>0.558</v>
      </c>
      <c r="J384" s="23">
        <f>IFERROR(__xludf.DUMMYFUNCTION("""COMPUTED_VALUE"""),383.0)</f>
        <v>383</v>
      </c>
      <c r="K384" s="23" t="b">
        <f>IFERROR(__xludf.DUMMYFUNCTION("""COMPUTED_VALUE"""),FALSE)</f>
        <v>0</v>
      </c>
      <c r="L384" s="23" t="str">
        <f>IFERROR(__xludf.DUMMYFUNCTION("""COMPUTED_VALUE"""),"Hash Table;String;Counting;")</f>
        <v>Hash Table;String;Counting;</v>
      </c>
      <c r="M384" s="23" t="b">
        <f>IFERROR(__xludf.DUMMYFUNCTION("""COMPUTED_VALUE"""),TRUE)</f>
        <v>1</v>
      </c>
      <c r="N384" s="23" t="b">
        <f>IFERROR(__xludf.DUMMYFUNCTION("""COMPUTED_VALUE"""),FALSE)</f>
        <v>0</v>
      </c>
      <c r="O384" s="23">
        <f>IFERROR(__xludf.DUMMYFUNCTION("""COMPUTED_VALUE"""),55.8167445910164)</f>
        <v>55.81674459</v>
      </c>
      <c r="P384" s="23">
        <f>IFERROR(__xludf.DUMMYFUNCTION("""COMPUTED_VALUE"""),374383.0)</f>
        <v>374383</v>
      </c>
      <c r="Q384" s="23">
        <f>IFERROR(__xludf.DUMMYFUNCTION("""COMPUTED_VALUE"""),670733.0)</f>
        <v>670733</v>
      </c>
    </row>
    <row r="385">
      <c r="A385" s="23">
        <f>IFERROR(__xludf.DUMMYFUNCTION("""COMPUTED_VALUE"""),384.0)</f>
        <v>384</v>
      </c>
      <c r="B385" s="23" t="str">
        <f>IFERROR(__xludf.DUMMYFUNCTION("""COMPUTED_VALUE"""),"Shuffle an Array")</f>
        <v>Shuffle an Array</v>
      </c>
      <c r="C385" s="23" t="str">
        <f>IFERROR(__xludf.DUMMYFUNCTION("""COMPUTED_VALUE"""),"shuffle-an-array")</f>
        <v>shuffle-an-array</v>
      </c>
      <c r="D385" s="23" t="b">
        <f>IFERROR(__xludf.DUMMYFUNCTION("""COMPUTED_VALUE"""),FALSE)</f>
        <v>0</v>
      </c>
      <c r="E385" s="23" t="str">
        <f>IFERROR(__xludf.DUMMYFUNCTION("""COMPUTED_VALUE"""),"Medium")</f>
        <v>Medium</v>
      </c>
      <c r="F385" s="23">
        <f>IFERROR(__xludf.DUMMYFUNCTION("""COMPUTED_VALUE"""),761.0)</f>
        <v>761</v>
      </c>
      <c r="G385" s="23">
        <f>IFERROR(__xludf.DUMMYFUNCTION("""COMPUTED_VALUE"""),652.0)</f>
        <v>652</v>
      </c>
      <c r="H385" s="23" t="str">
        <f>IFERROR(__xludf.DUMMYFUNCTION("""COMPUTED_VALUE"""),"Algorithms")</f>
        <v>Algorithms</v>
      </c>
      <c r="I385" s="23">
        <f>IFERROR(__xludf.DUMMYFUNCTION("""COMPUTED_VALUE"""),0.57)</f>
        <v>0.57</v>
      </c>
      <c r="J385" s="23">
        <f>IFERROR(__xludf.DUMMYFUNCTION("""COMPUTED_VALUE"""),384.0)</f>
        <v>384</v>
      </c>
      <c r="K385" s="23" t="b">
        <f>IFERROR(__xludf.DUMMYFUNCTION("""COMPUTED_VALUE"""),FALSE)</f>
        <v>0</v>
      </c>
      <c r="L385" s="23" t="str">
        <f>IFERROR(__xludf.DUMMYFUNCTION("""COMPUTED_VALUE"""),"Array;Math;Randomized;")</f>
        <v>Array;Math;Randomized;</v>
      </c>
      <c r="M385" s="23" t="b">
        <f>IFERROR(__xludf.DUMMYFUNCTION("""COMPUTED_VALUE"""),TRUE)</f>
        <v>1</v>
      </c>
      <c r="N385" s="23" t="b">
        <f>IFERROR(__xludf.DUMMYFUNCTION("""COMPUTED_VALUE"""),FALSE)</f>
        <v>0</v>
      </c>
      <c r="O385" s="23">
        <f>IFERROR(__xludf.DUMMYFUNCTION("""COMPUTED_VALUE"""),57.0095656437078)</f>
        <v>57.00956564</v>
      </c>
      <c r="P385" s="23">
        <f>IFERROR(__xludf.DUMMYFUNCTION("""COMPUTED_VALUE"""),259312.0)</f>
        <v>259312</v>
      </c>
      <c r="Q385" s="23">
        <f>IFERROR(__xludf.DUMMYFUNCTION("""COMPUTED_VALUE"""),454856.0)</f>
        <v>454856</v>
      </c>
    </row>
    <row r="386">
      <c r="A386" s="23">
        <f>IFERROR(__xludf.DUMMYFUNCTION("""COMPUTED_VALUE"""),385.0)</f>
        <v>385</v>
      </c>
      <c r="B386" s="23" t="str">
        <f>IFERROR(__xludf.DUMMYFUNCTION("""COMPUTED_VALUE"""),"Mini Parser")</f>
        <v>Mini Parser</v>
      </c>
      <c r="C386" s="23" t="str">
        <f>IFERROR(__xludf.DUMMYFUNCTION("""COMPUTED_VALUE"""),"mini-parser")</f>
        <v>mini-parser</v>
      </c>
      <c r="D386" s="23" t="b">
        <f>IFERROR(__xludf.DUMMYFUNCTION("""COMPUTED_VALUE"""),FALSE)</f>
        <v>0</v>
      </c>
      <c r="E386" s="23" t="str">
        <f>IFERROR(__xludf.DUMMYFUNCTION("""COMPUTED_VALUE"""),"Medium")</f>
        <v>Medium</v>
      </c>
      <c r="F386" s="23">
        <f>IFERROR(__xludf.DUMMYFUNCTION("""COMPUTED_VALUE"""),363.0)</f>
        <v>363</v>
      </c>
      <c r="G386" s="23">
        <f>IFERROR(__xludf.DUMMYFUNCTION("""COMPUTED_VALUE"""),1134.0)</f>
        <v>1134</v>
      </c>
      <c r="H386" s="23" t="str">
        <f>IFERROR(__xludf.DUMMYFUNCTION("""COMPUTED_VALUE"""),"Algorithms")</f>
        <v>Algorithms</v>
      </c>
      <c r="I386" s="23">
        <f>IFERROR(__xludf.DUMMYFUNCTION("""COMPUTED_VALUE"""),0.358)</f>
        <v>0.358</v>
      </c>
      <c r="J386" s="23">
        <f>IFERROR(__xludf.DUMMYFUNCTION("""COMPUTED_VALUE"""),385.0)</f>
        <v>385</v>
      </c>
      <c r="K386" s="23" t="b">
        <f>IFERROR(__xludf.DUMMYFUNCTION("""COMPUTED_VALUE"""),FALSE)</f>
        <v>0</v>
      </c>
      <c r="L386" s="23" t="str">
        <f>IFERROR(__xludf.DUMMYFUNCTION("""COMPUTED_VALUE"""),"String;Stack;Depth-First Search;")</f>
        <v>String;Stack;Depth-First Search;</v>
      </c>
      <c r="M386" s="23" t="b">
        <f>IFERROR(__xludf.DUMMYFUNCTION("""COMPUTED_VALUE"""),FALSE)</f>
        <v>0</v>
      </c>
      <c r="N386" s="23" t="b">
        <f>IFERROR(__xludf.DUMMYFUNCTION("""COMPUTED_VALUE"""),FALSE)</f>
        <v>0</v>
      </c>
      <c r="O386" s="23">
        <f>IFERROR(__xludf.DUMMYFUNCTION("""COMPUTED_VALUE"""),35.8468068512463)</f>
        <v>35.84680685</v>
      </c>
      <c r="P386" s="23">
        <f>IFERROR(__xludf.DUMMYFUNCTION("""COMPUTED_VALUE"""),47801.0)</f>
        <v>47801</v>
      </c>
      <c r="Q386" s="23">
        <f>IFERROR(__xludf.DUMMYFUNCTION("""COMPUTED_VALUE"""),133348.0)</f>
        <v>133348</v>
      </c>
    </row>
    <row r="387">
      <c r="A387" s="23">
        <f>IFERROR(__xludf.DUMMYFUNCTION("""COMPUTED_VALUE"""),386.0)</f>
        <v>386</v>
      </c>
      <c r="B387" s="23" t="str">
        <f>IFERROR(__xludf.DUMMYFUNCTION("""COMPUTED_VALUE"""),"Lexicographical Numbers")</f>
        <v>Lexicographical Numbers</v>
      </c>
      <c r="C387" s="23" t="str">
        <f>IFERROR(__xludf.DUMMYFUNCTION("""COMPUTED_VALUE"""),"lexicographical-numbers")</f>
        <v>lexicographical-numbers</v>
      </c>
      <c r="D387" s="23" t="b">
        <f>IFERROR(__xludf.DUMMYFUNCTION("""COMPUTED_VALUE"""),FALSE)</f>
        <v>0</v>
      </c>
      <c r="E387" s="23" t="str">
        <f>IFERROR(__xludf.DUMMYFUNCTION("""COMPUTED_VALUE"""),"Medium")</f>
        <v>Medium</v>
      </c>
      <c r="F387" s="23">
        <f>IFERROR(__xludf.DUMMYFUNCTION("""COMPUTED_VALUE"""),1211.0)</f>
        <v>1211</v>
      </c>
      <c r="G387" s="23">
        <f>IFERROR(__xludf.DUMMYFUNCTION("""COMPUTED_VALUE"""),113.0)</f>
        <v>113</v>
      </c>
      <c r="H387" s="23" t="str">
        <f>IFERROR(__xludf.DUMMYFUNCTION("""COMPUTED_VALUE"""),"Algorithms")</f>
        <v>Algorithms</v>
      </c>
      <c r="I387" s="23">
        <f>IFERROR(__xludf.DUMMYFUNCTION("""COMPUTED_VALUE"""),0.589)</f>
        <v>0.589</v>
      </c>
      <c r="J387" s="23">
        <f>IFERROR(__xludf.DUMMYFUNCTION("""COMPUTED_VALUE"""),386.0)</f>
        <v>386</v>
      </c>
      <c r="K387" s="23" t="b">
        <f>IFERROR(__xludf.DUMMYFUNCTION("""COMPUTED_VALUE"""),FALSE)</f>
        <v>0</v>
      </c>
      <c r="L387" s="23" t="str">
        <f>IFERROR(__xludf.DUMMYFUNCTION("""COMPUTED_VALUE"""),"Depth-First Search;Trie;")</f>
        <v>Depth-First Search;Trie;</v>
      </c>
      <c r="M387" s="23" t="b">
        <f>IFERROR(__xludf.DUMMYFUNCTION("""COMPUTED_VALUE"""),FALSE)</f>
        <v>0</v>
      </c>
      <c r="N387" s="23" t="b">
        <f>IFERROR(__xludf.DUMMYFUNCTION("""COMPUTED_VALUE"""),FALSE)</f>
        <v>0</v>
      </c>
      <c r="O387" s="23">
        <f>IFERROR(__xludf.DUMMYFUNCTION("""COMPUTED_VALUE"""),58.8526204663487)</f>
        <v>58.85262047</v>
      </c>
      <c r="P387" s="23">
        <f>IFERROR(__xludf.DUMMYFUNCTION("""COMPUTED_VALUE"""),83063.0)</f>
        <v>83063</v>
      </c>
      <c r="Q387" s="23">
        <f>IFERROR(__xludf.DUMMYFUNCTION("""COMPUTED_VALUE"""),141138.0)</f>
        <v>141138</v>
      </c>
    </row>
    <row r="388">
      <c r="A388" s="23">
        <f>IFERROR(__xludf.DUMMYFUNCTION("""COMPUTED_VALUE"""),387.0)</f>
        <v>387</v>
      </c>
      <c r="B388" s="23" t="str">
        <f>IFERROR(__xludf.DUMMYFUNCTION("""COMPUTED_VALUE"""),"First Unique Character in a String")</f>
        <v>First Unique Character in a String</v>
      </c>
      <c r="C388" s="23" t="str">
        <f>IFERROR(__xludf.DUMMYFUNCTION("""COMPUTED_VALUE"""),"first-unique-character-in-a-string")</f>
        <v>first-unique-character-in-a-string</v>
      </c>
      <c r="D388" s="23" t="b">
        <f>IFERROR(__xludf.DUMMYFUNCTION("""COMPUTED_VALUE"""),FALSE)</f>
        <v>0</v>
      </c>
      <c r="E388" s="23" t="str">
        <f>IFERROR(__xludf.DUMMYFUNCTION("""COMPUTED_VALUE"""),"Easy")</f>
        <v>Easy</v>
      </c>
      <c r="F388" s="23">
        <f>IFERROR(__xludf.DUMMYFUNCTION("""COMPUTED_VALUE"""),4888.0)</f>
        <v>4888</v>
      </c>
      <c r="G388" s="23">
        <f>IFERROR(__xludf.DUMMYFUNCTION("""COMPUTED_VALUE"""),194.0)</f>
        <v>194</v>
      </c>
      <c r="H388" s="23" t="str">
        <f>IFERROR(__xludf.DUMMYFUNCTION("""COMPUTED_VALUE"""),"Algorithms")</f>
        <v>Algorithms</v>
      </c>
      <c r="I388" s="23">
        <f>IFERROR(__xludf.DUMMYFUNCTION("""COMPUTED_VALUE"""),0.571)</f>
        <v>0.571</v>
      </c>
      <c r="J388" s="23">
        <f>IFERROR(__xludf.DUMMYFUNCTION("""COMPUTED_VALUE"""),387.0)</f>
        <v>387</v>
      </c>
      <c r="K388" s="23" t="b">
        <f>IFERROR(__xludf.DUMMYFUNCTION("""COMPUTED_VALUE"""),FALSE)</f>
        <v>0</v>
      </c>
      <c r="L388" s="23" t="str">
        <f>IFERROR(__xludf.DUMMYFUNCTION("""COMPUTED_VALUE"""),"Hash Table;String;Queue;Counting;")</f>
        <v>Hash Table;String;Queue;Counting;</v>
      </c>
      <c r="M388" s="23" t="b">
        <f>IFERROR(__xludf.DUMMYFUNCTION("""COMPUTED_VALUE"""),TRUE)</f>
        <v>1</v>
      </c>
      <c r="N388" s="23" t="b">
        <f>IFERROR(__xludf.DUMMYFUNCTION("""COMPUTED_VALUE"""),FALSE)</f>
        <v>0</v>
      </c>
      <c r="O388" s="23">
        <f>IFERROR(__xludf.DUMMYFUNCTION("""COMPUTED_VALUE"""),57.0695962617337)</f>
        <v>57.06959626</v>
      </c>
      <c r="P388" s="23">
        <f>IFERROR(__xludf.DUMMYFUNCTION("""COMPUTED_VALUE"""),1035052.0)</f>
        <v>1035052</v>
      </c>
      <c r="Q388" s="23">
        <f>IFERROR(__xludf.DUMMYFUNCTION("""COMPUTED_VALUE"""),1813669.0)</f>
        <v>1813669</v>
      </c>
    </row>
    <row r="389">
      <c r="A389" s="23">
        <f>IFERROR(__xludf.DUMMYFUNCTION("""COMPUTED_VALUE"""),388.0)</f>
        <v>388</v>
      </c>
      <c r="B389" s="23" t="str">
        <f>IFERROR(__xludf.DUMMYFUNCTION("""COMPUTED_VALUE"""),"Longest Absolute File Path")</f>
        <v>Longest Absolute File Path</v>
      </c>
      <c r="C389" s="23" t="str">
        <f>IFERROR(__xludf.DUMMYFUNCTION("""COMPUTED_VALUE"""),"longest-absolute-file-path")</f>
        <v>longest-absolute-file-path</v>
      </c>
      <c r="D389" s="23" t="b">
        <f>IFERROR(__xludf.DUMMYFUNCTION("""COMPUTED_VALUE"""),FALSE)</f>
        <v>0</v>
      </c>
      <c r="E389" s="23" t="str">
        <f>IFERROR(__xludf.DUMMYFUNCTION("""COMPUTED_VALUE"""),"Medium")</f>
        <v>Medium</v>
      </c>
      <c r="F389" s="23">
        <f>IFERROR(__xludf.DUMMYFUNCTION("""COMPUTED_VALUE"""),986.0)</f>
        <v>986</v>
      </c>
      <c r="G389" s="23">
        <f>IFERROR(__xludf.DUMMYFUNCTION("""COMPUTED_VALUE"""),2128.0)</f>
        <v>2128</v>
      </c>
      <c r="H389" s="23" t="str">
        <f>IFERROR(__xludf.DUMMYFUNCTION("""COMPUTED_VALUE"""),"Algorithms")</f>
        <v>Algorithms</v>
      </c>
      <c r="I389" s="23">
        <f>IFERROR(__xludf.DUMMYFUNCTION("""COMPUTED_VALUE"""),0.459)</f>
        <v>0.459</v>
      </c>
      <c r="J389" s="23">
        <f>IFERROR(__xludf.DUMMYFUNCTION("""COMPUTED_VALUE"""),388.0)</f>
        <v>388</v>
      </c>
      <c r="K389" s="23" t="b">
        <f>IFERROR(__xludf.DUMMYFUNCTION("""COMPUTED_VALUE"""),FALSE)</f>
        <v>0</v>
      </c>
      <c r="L389" s="23" t="str">
        <f>IFERROR(__xludf.DUMMYFUNCTION("""COMPUTED_VALUE"""),"String;Stack;Depth-First Search;")</f>
        <v>String;Stack;Depth-First Search;</v>
      </c>
      <c r="M389" s="23" t="b">
        <f>IFERROR(__xludf.DUMMYFUNCTION("""COMPUTED_VALUE"""),FALSE)</f>
        <v>0</v>
      </c>
      <c r="N389" s="23" t="b">
        <f>IFERROR(__xludf.DUMMYFUNCTION("""COMPUTED_VALUE"""),FALSE)</f>
        <v>0</v>
      </c>
      <c r="O389" s="23">
        <f>IFERROR(__xludf.DUMMYFUNCTION("""COMPUTED_VALUE"""),45.8867060108041)</f>
        <v>45.88670601</v>
      </c>
      <c r="P389" s="23">
        <f>IFERROR(__xludf.DUMMYFUNCTION("""COMPUTED_VALUE"""),128603.0)</f>
        <v>128603</v>
      </c>
      <c r="Q389" s="23">
        <f>IFERROR(__xludf.DUMMYFUNCTION("""COMPUTED_VALUE"""),280262.0)</f>
        <v>280262</v>
      </c>
    </row>
    <row r="390">
      <c r="A390" s="23">
        <f>IFERROR(__xludf.DUMMYFUNCTION("""COMPUTED_VALUE"""),389.0)</f>
        <v>389</v>
      </c>
      <c r="B390" s="23" t="str">
        <f>IFERROR(__xludf.DUMMYFUNCTION("""COMPUTED_VALUE"""),"Find the Difference")</f>
        <v>Find the Difference</v>
      </c>
      <c r="C390" s="23" t="str">
        <f>IFERROR(__xludf.DUMMYFUNCTION("""COMPUTED_VALUE"""),"find-the-difference")</f>
        <v>find-the-difference</v>
      </c>
      <c r="D390" s="23" t="b">
        <f>IFERROR(__xludf.DUMMYFUNCTION("""COMPUTED_VALUE"""),FALSE)</f>
        <v>0</v>
      </c>
      <c r="E390" s="23" t="str">
        <f>IFERROR(__xludf.DUMMYFUNCTION("""COMPUTED_VALUE"""),"Easy")</f>
        <v>Easy</v>
      </c>
      <c r="F390" s="23">
        <f>IFERROR(__xludf.DUMMYFUNCTION("""COMPUTED_VALUE"""),2726.0)</f>
        <v>2726</v>
      </c>
      <c r="G390" s="23">
        <f>IFERROR(__xludf.DUMMYFUNCTION("""COMPUTED_VALUE"""),381.0)</f>
        <v>381</v>
      </c>
      <c r="H390" s="23" t="str">
        <f>IFERROR(__xludf.DUMMYFUNCTION("""COMPUTED_VALUE"""),"Algorithms")</f>
        <v>Algorithms</v>
      </c>
      <c r="I390" s="23">
        <f>IFERROR(__xludf.DUMMYFUNCTION("""COMPUTED_VALUE"""),0.605)</f>
        <v>0.605</v>
      </c>
      <c r="J390" s="23">
        <f>IFERROR(__xludf.DUMMYFUNCTION("""COMPUTED_VALUE"""),389.0)</f>
        <v>389</v>
      </c>
      <c r="K390" s="23" t="b">
        <f>IFERROR(__xludf.DUMMYFUNCTION("""COMPUTED_VALUE"""),FALSE)</f>
        <v>0</v>
      </c>
      <c r="L390" s="23" t="str">
        <f>IFERROR(__xludf.DUMMYFUNCTION("""COMPUTED_VALUE"""),"Hash Table;String;Bit Manipulation;Sorting;")</f>
        <v>Hash Table;String;Bit Manipulation;Sorting;</v>
      </c>
      <c r="M390" s="23" t="b">
        <f>IFERROR(__xludf.DUMMYFUNCTION("""COMPUTED_VALUE"""),TRUE)</f>
        <v>1</v>
      </c>
      <c r="N390" s="23" t="b">
        <f>IFERROR(__xludf.DUMMYFUNCTION("""COMPUTED_VALUE"""),FALSE)</f>
        <v>0</v>
      </c>
      <c r="O390" s="23">
        <f>IFERROR(__xludf.DUMMYFUNCTION("""COMPUTED_VALUE"""),60.5397392586582)</f>
        <v>60.53973926</v>
      </c>
      <c r="P390" s="23">
        <f>IFERROR(__xludf.DUMMYFUNCTION("""COMPUTED_VALUE"""),387974.0)</f>
        <v>387974</v>
      </c>
      <c r="Q390" s="23">
        <f>IFERROR(__xludf.DUMMYFUNCTION("""COMPUTED_VALUE"""),640858.0)</f>
        <v>640858</v>
      </c>
    </row>
    <row r="391">
      <c r="A391" s="23">
        <f>IFERROR(__xludf.DUMMYFUNCTION("""COMPUTED_VALUE"""),390.0)</f>
        <v>390</v>
      </c>
      <c r="B391" s="23" t="str">
        <f>IFERROR(__xludf.DUMMYFUNCTION("""COMPUTED_VALUE"""),"Elimination Game")</f>
        <v>Elimination Game</v>
      </c>
      <c r="C391" s="23" t="str">
        <f>IFERROR(__xludf.DUMMYFUNCTION("""COMPUTED_VALUE"""),"elimination-game")</f>
        <v>elimination-game</v>
      </c>
      <c r="D391" s="23" t="b">
        <f>IFERROR(__xludf.DUMMYFUNCTION("""COMPUTED_VALUE"""),FALSE)</f>
        <v>0</v>
      </c>
      <c r="E391" s="23" t="str">
        <f>IFERROR(__xludf.DUMMYFUNCTION("""COMPUTED_VALUE"""),"Medium")</f>
        <v>Medium</v>
      </c>
      <c r="F391" s="23">
        <f>IFERROR(__xludf.DUMMYFUNCTION("""COMPUTED_VALUE"""),753.0)</f>
        <v>753</v>
      </c>
      <c r="G391" s="23">
        <f>IFERROR(__xludf.DUMMYFUNCTION("""COMPUTED_VALUE"""),503.0)</f>
        <v>503</v>
      </c>
      <c r="H391" s="23" t="str">
        <f>IFERROR(__xludf.DUMMYFUNCTION("""COMPUTED_VALUE"""),"Algorithms")</f>
        <v>Algorithms</v>
      </c>
      <c r="I391" s="23">
        <f>IFERROR(__xludf.DUMMYFUNCTION("""COMPUTED_VALUE"""),0.464)</f>
        <v>0.464</v>
      </c>
      <c r="J391" s="23">
        <f>IFERROR(__xludf.DUMMYFUNCTION("""COMPUTED_VALUE"""),390.0)</f>
        <v>390</v>
      </c>
      <c r="K391" s="23" t="b">
        <f>IFERROR(__xludf.DUMMYFUNCTION("""COMPUTED_VALUE"""),FALSE)</f>
        <v>0</v>
      </c>
      <c r="L391" s="23" t="str">
        <f>IFERROR(__xludf.DUMMYFUNCTION("""COMPUTED_VALUE"""),"Math;")</f>
        <v>Math;</v>
      </c>
      <c r="M391" s="23" t="b">
        <f>IFERROR(__xludf.DUMMYFUNCTION("""COMPUTED_VALUE"""),FALSE)</f>
        <v>0</v>
      </c>
      <c r="N391" s="23" t="b">
        <f>IFERROR(__xludf.DUMMYFUNCTION("""COMPUTED_VALUE"""),FALSE)</f>
        <v>0</v>
      </c>
      <c r="O391" s="23">
        <f>IFERROR(__xludf.DUMMYFUNCTION("""COMPUTED_VALUE"""),46.3761975135123)</f>
        <v>46.37619751</v>
      </c>
      <c r="P391" s="23">
        <f>IFERROR(__xludf.DUMMYFUNCTION("""COMPUTED_VALUE"""),44874.0)</f>
        <v>44874</v>
      </c>
      <c r="Q391" s="23">
        <f>IFERROR(__xludf.DUMMYFUNCTION("""COMPUTED_VALUE"""),96761.0)</f>
        <v>96761</v>
      </c>
    </row>
    <row r="392">
      <c r="A392" s="23">
        <f>IFERROR(__xludf.DUMMYFUNCTION("""COMPUTED_VALUE"""),391.0)</f>
        <v>391</v>
      </c>
      <c r="B392" s="23" t="str">
        <f>IFERROR(__xludf.DUMMYFUNCTION("""COMPUTED_VALUE"""),"Perfect Rectangle")</f>
        <v>Perfect Rectangle</v>
      </c>
      <c r="C392" s="23" t="str">
        <f>IFERROR(__xludf.DUMMYFUNCTION("""COMPUTED_VALUE"""),"perfect-rectangle")</f>
        <v>perfect-rectangle</v>
      </c>
      <c r="D392" s="23" t="b">
        <f>IFERROR(__xludf.DUMMYFUNCTION("""COMPUTED_VALUE"""),FALSE)</f>
        <v>0</v>
      </c>
      <c r="E392" s="23" t="str">
        <f>IFERROR(__xludf.DUMMYFUNCTION("""COMPUTED_VALUE"""),"Hard")</f>
        <v>Hard</v>
      </c>
      <c r="F392" s="23">
        <f>IFERROR(__xludf.DUMMYFUNCTION("""COMPUTED_VALUE"""),593.0)</f>
        <v>593</v>
      </c>
      <c r="G392" s="23">
        <f>IFERROR(__xludf.DUMMYFUNCTION("""COMPUTED_VALUE"""),97.0)</f>
        <v>97</v>
      </c>
      <c r="H392" s="23" t="str">
        <f>IFERROR(__xludf.DUMMYFUNCTION("""COMPUTED_VALUE"""),"Algorithms")</f>
        <v>Algorithms</v>
      </c>
      <c r="I392" s="23">
        <f>IFERROR(__xludf.DUMMYFUNCTION("""COMPUTED_VALUE"""),0.321)</f>
        <v>0.321</v>
      </c>
      <c r="J392" s="23">
        <f>IFERROR(__xludf.DUMMYFUNCTION("""COMPUTED_VALUE"""),391.0)</f>
        <v>391</v>
      </c>
      <c r="K392" s="23" t="b">
        <f>IFERROR(__xludf.DUMMYFUNCTION("""COMPUTED_VALUE"""),FALSE)</f>
        <v>0</v>
      </c>
      <c r="L392" s="23" t="str">
        <f>IFERROR(__xludf.DUMMYFUNCTION("""COMPUTED_VALUE"""),"Array;Line Sweep;")</f>
        <v>Array;Line Sweep;</v>
      </c>
      <c r="M392" s="23" t="b">
        <f>IFERROR(__xludf.DUMMYFUNCTION("""COMPUTED_VALUE"""),FALSE)</f>
        <v>0</v>
      </c>
      <c r="N392" s="23" t="b">
        <f>IFERROR(__xludf.DUMMYFUNCTION("""COMPUTED_VALUE"""),FALSE)</f>
        <v>0</v>
      </c>
      <c r="O392" s="23">
        <f>IFERROR(__xludf.DUMMYFUNCTION("""COMPUTED_VALUE"""),32.091171194861)</f>
        <v>32.09117119</v>
      </c>
      <c r="P392" s="23">
        <f>IFERROR(__xludf.DUMMYFUNCTION("""COMPUTED_VALUE"""),34171.0)</f>
        <v>34171</v>
      </c>
      <c r="Q392" s="23">
        <f>IFERROR(__xludf.DUMMYFUNCTION("""COMPUTED_VALUE"""),106481.0)</f>
        <v>106481</v>
      </c>
    </row>
    <row r="393">
      <c r="A393" s="23">
        <f>IFERROR(__xludf.DUMMYFUNCTION("""COMPUTED_VALUE"""),392.0)</f>
        <v>392</v>
      </c>
      <c r="B393" s="23" t="str">
        <f>IFERROR(__xludf.DUMMYFUNCTION("""COMPUTED_VALUE"""),"Is Subsequence")</f>
        <v>Is Subsequence</v>
      </c>
      <c r="C393" s="23" t="str">
        <f>IFERROR(__xludf.DUMMYFUNCTION("""COMPUTED_VALUE"""),"is-subsequence")</f>
        <v>is-subsequence</v>
      </c>
      <c r="D393" s="23" t="b">
        <f>IFERROR(__xludf.DUMMYFUNCTION("""COMPUTED_VALUE"""),FALSE)</f>
        <v>0</v>
      </c>
      <c r="E393" s="23" t="str">
        <f>IFERROR(__xludf.DUMMYFUNCTION("""COMPUTED_VALUE"""),"Easy")</f>
        <v>Easy</v>
      </c>
      <c r="F393" s="23">
        <f>IFERROR(__xludf.DUMMYFUNCTION("""COMPUTED_VALUE"""),4669.0)</f>
        <v>4669</v>
      </c>
      <c r="G393" s="23">
        <f>IFERROR(__xludf.DUMMYFUNCTION("""COMPUTED_VALUE"""),285.0)</f>
        <v>285</v>
      </c>
      <c r="H393" s="23" t="str">
        <f>IFERROR(__xludf.DUMMYFUNCTION("""COMPUTED_VALUE"""),"Algorithms")</f>
        <v>Algorithms</v>
      </c>
      <c r="I393" s="23">
        <f>IFERROR(__xludf.DUMMYFUNCTION("""COMPUTED_VALUE"""),0.51)</f>
        <v>0.51</v>
      </c>
      <c r="J393" s="23">
        <f>IFERROR(__xludf.DUMMYFUNCTION("""COMPUTED_VALUE"""),392.0)</f>
        <v>392</v>
      </c>
      <c r="K393" s="23" t="b">
        <f>IFERROR(__xludf.DUMMYFUNCTION("""COMPUTED_VALUE"""),FALSE)</f>
        <v>0</v>
      </c>
      <c r="L393" s="23" t="str">
        <f>IFERROR(__xludf.DUMMYFUNCTION("""COMPUTED_VALUE"""),"Two Pointers;String;Dynamic Programming;")</f>
        <v>Two Pointers;String;Dynamic Programming;</v>
      </c>
      <c r="M393" s="23" t="b">
        <f>IFERROR(__xludf.DUMMYFUNCTION("""COMPUTED_VALUE"""),TRUE)</f>
        <v>1</v>
      </c>
      <c r="N393" s="23" t="b">
        <f>IFERROR(__xludf.DUMMYFUNCTION("""COMPUTED_VALUE"""),FALSE)</f>
        <v>0</v>
      </c>
      <c r="O393" s="23">
        <f>IFERROR(__xludf.DUMMYFUNCTION("""COMPUTED_VALUE"""),50.9659585941347)</f>
        <v>50.96595859</v>
      </c>
      <c r="P393" s="23">
        <f>IFERROR(__xludf.DUMMYFUNCTION("""COMPUTED_VALUE"""),457446.0)</f>
        <v>457446</v>
      </c>
      <c r="Q393" s="23">
        <f>IFERROR(__xludf.DUMMYFUNCTION("""COMPUTED_VALUE"""),897551.0)</f>
        <v>897551</v>
      </c>
    </row>
    <row r="394">
      <c r="A394" s="23">
        <f>IFERROR(__xludf.DUMMYFUNCTION("""COMPUTED_VALUE"""),393.0)</f>
        <v>393</v>
      </c>
      <c r="B394" s="23" t="str">
        <f>IFERROR(__xludf.DUMMYFUNCTION("""COMPUTED_VALUE"""),"UTF-8 Validation")</f>
        <v>UTF-8 Validation</v>
      </c>
      <c r="C394" s="23" t="str">
        <f>IFERROR(__xludf.DUMMYFUNCTION("""COMPUTED_VALUE"""),"utf-8-validation")</f>
        <v>utf-8-validation</v>
      </c>
      <c r="D394" s="23" t="b">
        <f>IFERROR(__xludf.DUMMYFUNCTION("""COMPUTED_VALUE"""),FALSE)</f>
        <v>0</v>
      </c>
      <c r="E394" s="23" t="str">
        <f>IFERROR(__xludf.DUMMYFUNCTION("""COMPUTED_VALUE"""),"Medium")</f>
        <v>Medium</v>
      </c>
      <c r="F394" s="23">
        <f>IFERROR(__xludf.DUMMYFUNCTION("""COMPUTED_VALUE"""),367.0)</f>
        <v>367</v>
      </c>
      <c r="G394" s="23">
        <f>IFERROR(__xludf.DUMMYFUNCTION("""COMPUTED_VALUE"""),1512.0)</f>
        <v>1512</v>
      </c>
      <c r="H394" s="23" t="str">
        <f>IFERROR(__xludf.DUMMYFUNCTION("""COMPUTED_VALUE"""),"Algorithms")</f>
        <v>Algorithms</v>
      </c>
      <c r="I394" s="23">
        <f>IFERROR(__xludf.DUMMYFUNCTION("""COMPUTED_VALUE"""),0.392)</f>
        <v>0.392</v>
      </c>
      <c r="J394" s="23">
        <f>IFERROR(__xludf.DUMMYFUNCTION("""COMPUTED_VALUE"""),393.0)</f>
        <v>393</v>
      </c>
      <c r="K394" s="23" t="b">
        <f>IFERROR(__xludf.DUMMYFUNCTION("""COMPUTED_VALUE"""),FALSE)</f>
        <v>0</v>
      </c>
      <c r="L394" s="23" t="str">
        <f>IFERROR(__xludf.DUMMYFUNCTION("""COMPUTED_VALUE"""),"Array;Bit Manipulation;")</f>
        <v>Array;Bit Manipulation;</v>
      </c>
      <c r="M394" s="23" t="b">
        <f>IFERROR(__xludf.DUMMYFUNCTION("""COMPUTED_VALUE"""),TRUE)</f>
        <v>1</v>
      </c>
      <c r="N394" s="23" t="b">
        <f>IFERROR(__xludf.DUMMYFUNCTION("""COMPUTED_VALUE"""),FALSE)</f>
        <v>0</v>
      </c>
      <c r="O394" s="23">
        <f>IFERROR(__xludf.DUMMYFUNCTION("""COMPUTED_VALUE"""),39.1718334809566)</f>
        <v>39.17183348</v>
      </c>
      <c r="P394" s="23">
        <f>IFERROR(__xludf.DUMMYFUNCTION("""COMPUTED_VALUE"""),67222.0)</f>
        <v>67222</v>
      </c>
      <c r="Q394" s="23">
        <f>IFERROR(__xludf.DUMMYFUNCTION("""COMPUTED_VALUE"""),171608.0)</f>
        <v>171608</v>
      </c>
    </row>
    <row r="395">
      <c r="A395" s="23">
        <f>IFERROR(__xludf.DUMMYFUNCTION("""COMPUTED_VALUE"""),394.0)</f>
        <v>394</v>
      </c>
      <c r="B395" s="23" t="str">
        <f>IFERROR(__xludf.DUMMYFUNCTION("""COMPUTED_VALUE"""),"Decode String")</f>
        <v>Decode String</v>
      </c>
      <c r="C395" s="23" t="str">
        <f>IFERROR(__xludf.DUMMYFUNCTION("""COMPUTED_VALUE"""),"decode-string")</f>
        <v>decode-string</v>
      </c>
      <c r="D395" s="23" t="b">
        <f>IFERROR(__xludf.DUMMYFUNCTION("""COMPUTED_VALUE"""),FALSE)</f>
        <v>0</v>
      </c>
      <c r="E395" s="23" t="str">
        <f>IFERROR(__xludf.DUMMYFUNCTION("""COMPUTED_VALUE"""),"Medium")</f>
        <v>Medium</v>
      </c>
      <c r="F395" s="23">
        <f>IFERROR(__xludf.DUMMYFUNCTION("""COMPUTED_VALUE"""),8030.0)</f>
        <v>8030</v>
      </c>
      <c r="G395" s="23">
        <f>IFERROR(__xludf.DUMMYFUNCTION("""COMPUTED_VALUE"""),343.0)</f>
        <v>343</v>
      </c>
      <c r="H395" s="23" t="str">
        <f>IFERROR(__xludf.DUMMYFUNCTION("""COMPUTED_VALUE"""),"Algorithms")</f>
        <v>Algorithms</v>
      </c>
      <c r="I395" s="23">
        <f>IFERROR(__xludf.DUMMYFUNCTION("""COMPUTED_VALUE"""),0.563)</f>
        <v>0.563</v>
      </c>
      <c r="J395" s="23">
        <f>IFERROR(__xludf.DUMMYFUNCTION("""COMPUTED_VALUE"""),394.0)</f>
        <v>394</v>
      </c>
      <c r="K395" s="23" t="b">
        <f>IFERROR(__xludf.DUMMYFUNCTION("""COMPUTED_VALUE"""),FALSE)</f>
        <v>0</v>
      </c>
      <c r="L395" s="23" t="str">
        <f>IFERROR(__xludf.DUMMYFUNCTION("""COMPUTED_VALUE"""),"String;Stack;Recursion;")</f>
        <v>String;Stack;Recursion;</v>
      </c>
      <c r="M395" s="23" t="b">
        <f>IFERROR(__xludf.DUMMYFUNCTION("""COMPUTED_VALUE"""),TRUE)</f>
        <v>1</v>
      </c>
      <c r="N395" s="23" t="b">
        <f>IFERROR(__xludf.DUMMYFUNCTION("""COMPUTED_VALUE"""),FALSE)</f>
        <v>0</v>
      </c>
      <c r="O395" s="23">
        <f>IFERROR(__xludf.DUMMYFUNCTION("""COMPUTED_VALUE"""),56.3010623762652)</f>
        <v>56.30106238</v>
      </c>
      <c r="P395" s="23">
        <f>IFERROR(__xludf.DUMMYFUNCTION("""COMPUTED_VALUE"""),484585.0)</f>
        <v>484585</v>
      </c>
      <c r="Q395" s="23">
        <f>IFERROR(__xludf.DUMMYFUNCTION("""COMPUTED_VALUE"""),860707.0)</f>
        <v>860707</v>
      </c>
    </row>
    <row r="396">
      <c r="A396" s="23">
        <f>IFERROR(__xludf.DUMMYFUNCTION("""COMPUTED_VALUE"""),395.0)</f>
        <v>395</v>
      </c>
      <c r="B396" s="23" t="str">
        <f>IFERROR(__xludf.DUMMYFUNCTION("""COMPUTED_VALUE"""),"Longest Substring with At Least K Repeating Characters")</f>
        <v>Longest Substring with At Least K Repeating Characters</v>
      </c>
      <c r="C396" s="23" t="str">
        <f>IFERROR(__xludf.DUMMYFUNCTION("""COMPUTED_VALUE"""),"longest-substring-with-at-least-k-repeating-characters")</f>
        <v>longest-substring-with-at-least-k-repeating-characters</v>
      </c>
      <c r="D396" s="23" t="b">
        <f>IFERROR(__xludf.DUMMYFUNCTION("""COMPUTED_VALUE"""),FALSE)</f>
        <v>0</v>
      </c>
      <c r="E396" s="23" t="str">
        <f>IFERROR(__xludf.DUMMYFUNCTION("""COMPUTED_VALUE"""),"Medium")</f>
        <v>Medium</v>
      </c>
      <c r="F396" s="23">
        <f>IFERROR(__xludf.DUMMYFUNCTION("""COMPUTED_VALUE"""),3885.0)</f>
        <v>3885</v>
      </c>
      <c r="G396" s="23">
        <f>IFERROR(__xludf.DUMMYFUNCTION("""COMPUTED_VALUE"""),324.0)</f>
        <v>324</v>
      </c>
      <c r="H396" s="23" t="str">
        <f>IFERROR(__xludf.DUMMYFUNCTION("""COMPUTED_VALUE"""),"Algorithms")</f>
        <v>Algorithms</v>
      </c>
      <c r="I396" s="23">
        <f>IFERROR(__xludf.DUMMYFUNCTION("""COMPUTED_VALUE"""),0.446)</f>
        <v>0.446</v>
      </c>
      <c r="J396" s="23">
        <f>IFERROR(__xludf.DUMMYFUNCTION("""COMPUTED_VALUE"""),395.0)</f>
        <v>395</v>
      </c>
      <c r="K396" s="23" t="b">
        <f>IFERROR(__xludf.DUMMYFUNCTION("""COMPUTED_VALUE"""),FALSE)</f>
        <v>0</v>
      </c>
      <c r="L396" s="23" t="str">
        <f>IFERROR(__xludf.DUMMYFUNCTION("""COMPUTED_VALUE"""),"Hash Table;String;Divide and Conquer;Sliding Window;")</f>
        <v>Hash Table;String;Divide and Conquer;Sliding Window;</v>
      </c>
      <c r="M396" s="23" t="b">
        <f>IFERROR(__xludf.DUMMYFUNCTION("""COMPUTED_VALUE"""),TRUE)</f>
        <v>1</v>
      </c>
      <c r="N396" s="23" t="b">
        <f>IFERROR(__xludf.DUMMYFUNCTION("""COMPUTED_VALUE"""),FALSE)</f>
        <v>0</v>
      </c>
      <c r="O396" s="23">
        <f>IFERROR(__xludf.DUMMYFUNCTION("""COMPUTED_VALUE"""),44.5817665390232)</f>
        <v>44.58176654</v>
      </c>
      <c r="P396" s="23">
        <f>IFERROR(__xludf.DUMMYFUNCTION("""COMPUTED_VALUE"""),155074.0)</f>
        <v>155074</v>
      </c>
      <c r="Q396" s="23">
        <f>IFERROR(__xludf.DUMMYFUNCTION("""COMPUTED_VALUE"""),347843.0)</f>
        <v>347843</v>
      </c>
    </row>
    <row r="397">
      <c r="A397" s="23">
        <f>IFERROR(__xludf.DUMMYFUNCTION("""COMPUTED_VALUE"""),396.0)</f>
        <v>396</v>
      </c>
      <c r="B397" s="23" t="str">
        <f>IFERROR(__xludf.DUMMYFUNCTION("""COMPUTED_VALUE"""),"Rotate Function")</f>
        <v>Rotate Function</v>
      </c>
      <c r="C397" s="23" t="str">
        <f>IFERROR(__xludf.DUMMYFUNCTION("""COMPUTED_VALUE"""),"rotate-function")</f>
        <v>rotate-function</v>
      </c>
      <c r="D397" s="23" t="b">
        <f>IFERROR(__xludf.DUMMYFUNCTION("""COMPUTED_VALUE"""),FALSE)</f>
        <v>0</v>
      </c>
      <c r="E397" s="23" t="str">
        <f>IFERROR(__xludf.DUMMYFUNCTION("""COMPUTED_VALUE"""),"Medium")</f>
        <v>Medium</v>
      </c>
      <c r="F397" s="23">
        <f>IFERROR(__xludf.DUMMYFUNCTION("""COMPUTED_VALUE"""),824.0)</f>
        <v>824</v>
      </c>
      <c r="G397" s="23">
        <f>IFERROR(__xludf.DUMMYFUNCTION("""COMPUTED_VALUE"""),210.0)</f>
        <v>210</v>
      </c>
      <c r="H397" s="23" t="str">
        <f>IFERROR(__xludf.DUMMYFUNCTION("""COMPUTED_VALUE"""),"Algorithms")</f>
        <v>Algorithms</v>
      </c>
      <c r="I397" s="23">
        <f>IFERROR(__xludf.DUMMYFUNCTION("""COMPUTED_VALUE"""),0.392)</f>
        <v>0.392</v>
      </c>
      <c r="J397" s="23">
        <f>IFERROR(__xludf.DUMMYFUNCTION("""COMPUTED_VALUE"""),396.0)</f>
        <v>396</v>
      </c>
      <c r="K397" s="23" t="b">
        <f>IFERROR(__xludf.DUMMYFUNCTION("""COMPUTED_VALUE"""),FALSE)</f>
        <v>0</v>
      </c>
      <c r="L397" s="23" t="str">
        <f>IFERROR(__xludf.DUMMYFUNCTION("""COMPUTED_VALUE"""),"Array;Math;Dynamic Programming;")</f>
        <v>Array;Math;Dynamic Programming;</v>
      </c>
      <c r="M397" s="23" t="b">
        <f>IFERROR(__xludf.DUMMYFUNCTION("""COMPUTED_VALUE"""),FALSE)</f>
        <v>0</v>
      </c>
      <c r="N397" s="23" t="b">
        <f>IFERROR(__xludf.DUMMYFUNCTION("""COMPUTED_VALUE"""),FALSE)</f>
        <v>0</v>
      </c>
      <c r="O397" s="23">
        <f>IFERROR(__xludf.DUMMYFUNCTION("""COMPUTED_VALUE"""),39.2475063310765)</f>
        <v>39.24750633</v>
      </c>
      <c r="P397" s="23">
        <f>IFERROR(__xludf.DUMMYFUNCTION("""COMPUTED_VALUE"""),60751.0)</f>
        <v>60751</v>
      </c>
      <c r="Q397" s="23">
        <f>IFERROR(__xludf.DUMMYFUNCTION("""COMPUTED_VALUE"""),154791.0)</f>
        <v>154791</v>
      </c>
    </row>
    <row r="398">
      <c r="A398" s="23">
        <f>IFERROR(__xludf.DUMMYFUNCTION("""COMPUTED_VALUE"""),397.0)</f>
        <v>397</v>
      </c>
      <c r="B398" s="23" t="str">
        <f>IFERROR(__xludf.DUMMYFUNCTION("""COMPUTED_VALUE"""),"Integer Replacement")</f>
        <v>Integer Replacement</v>
      </c>
      <c r="C398" s="23" t="str">
        <f>IFERROR(__xludf.DUMMYFUNCTION("""COMPUTED_VALUE"""),"integer-replacement")</f>
        <v>integer-replacement</v>
      </c>
      <c r="D398" s="23" t="b">
        <f>IFERROR(__xludf.DUMMYFUNCTION("""COMPUTED_VALUE"""),FALSE)</f>
        <v>0</v>
      </c>
      <c r="E398" s="23" t="str">
        <f>IFERROR(__xludf.DUMMYFUNCTION("""COMPUTED_VALUE"""),"Medium")</f>
        <v>Medium</v>
      </c>
      <c r="F398" s="23">
        <f>IFERROR(__xludf.DUMMYFUNCTION("""COMPUTED_VALUE"""),812.0)</f>
        <v>812</v>
      </c>
      <c r="G398" s="23">
        <f>IFERROR(__xludf.DUMMYFUNCTION("""COMPUTED_VALUE"""),423.0)</f>
        <v>423</v>
      </c>
      <c r="H398" s="23" t="str">
        <f>IFERROR(__xludf.DUMMYFUNCTION("""COMPUTED_VALUE"""),"Algorithms")</f>
        <v>Algorithms</v>
      </c>
      <c r="I398" s="23">
        <f>IFERROR(__xludf.DUMMYFUNCTION("""COMPUTED_VALUE"""),0.347)</f>
        <v>0.347</v>
      </c>
      <c r="J398" s="23">
        <f>IFERROR(__xludf.DUMMYFUNCTION("""COMPUTED_VALUE"""),397.0)</f>
        <v>397</v>
      </c>
      <c r="K398" s="23" t="b">
        <f>IFERROR(__xludf.DUMMYFUNCTION("""COMPUTED_VALUE"""),FALSE)</f>
        <v>0</v>
      </c>
      <c r="L398" s="23" t="str">
        <f>IFERROR(__xludf.DUMMYFUNCTION("""COMPUTED_VALUE"""),"Dynamic Programming;Greedy;Bit Manipulation;Memoization;")</f>
        <v>Dynamic Programming;Greedy;Bit Manipulation;Memoization;</v>
      </c>
      <c r="M398" s="23" t="b">
        <f>IFERROR(__xludf.DUMMYFUNCTION("""COMPUTED_VALUE"""),FALSE)</f>
        <v>0</v>
      </c>
      <c r="N398" s="23" t="b">
        <f>IFERROR(__xludf.DUMMYFUNCTION("""COMPUTED_VALUE"""),FALSE)</f>
        <v>0</v>
      </c>
      <c r="O398" s="23">
        <f>IFERROR(__xludf.DUMMYFUNCTION("""COMPUTED_VALUE"""),34.6891496227907)</f>
        <v>34.68914962</v>
      </c>
      <c r="P398" s="23">
        <f>IFERROR(__xludf.DUMMYFUNCTION("""COMPUTED_VALUE"""),81157.0)</f>
        <v>81157</v>
      </c>
      <c r="Q398" s="23">
        <f>IFERROR(__xludf.DUMMYFUNCTION("""COMPUTED_VALUE"""),233955.0)</f>
        <v>233955</v>
      </c>
    </row>
    <row r="399">
      <c r="A399" s="23">
        <f>IFERROR(__xludf.DUMMYFUNCTION("""COMPUTED_VALUE"""),398.0)</f>
        <v>398</v>
      </c>
      <c r="B399" s="23" t="str">
        <f>IFERROR(__xludf.DUMMYFUNCTION("""COMPUTED_VALUE"""),"Random Pick Index")</f>
        <v>Random Pick Index</v>
      </c>
      <c r="C399" s="23" t="str">
        <f>IFERROR(__xludf.DUMMYFUNCTION("""COMPUTED_VALUE"""),"random-pick-index")</f>
        <v>random-pick-index</v>
      </c>
      <c r="D399" s="23" t="b">
        <f>IFERROR(__xludf.DUMMYFUNCTION("""COMPUTED_VALUE"""),FALSE)</f>
        <v>0</v>
      </c>
      <c r="E399" s="23" t="str">
        <f>IFERROR(__xludf.DUMMYFUNCTION("""COMPUTED_VALUE"""),"Medium")</f>
        <v>Medium</v>
      </c>
      <c r="F399" s="23">
        <f>IFERROR(__xludf.DUMMYFUNCTION("""COMPUTED_VALUE"""),966.0)</f>
        <v>966</v>
      </c>
      <c r="G399" s="23">
        <f>IFERROR(__xludf.DUMMYFUNCTION("""COMPUTED_VALUE"""),1035.0)</f>
        <v>1035</v>
      </c>
      <c r="H399" s="23" t="str">
        <f>IFERROR(__xludf.DUMMYFUNCTION("""COMPUTED_VALUE"""),"Algorithms")</f>
        <v>Algorithms</v>
      </c>
      <c r="I399" s="23">
        <f>IFERROR(__xludf.DUMMYFUNCTION("""COMPUTED_VALUE"""),0.638)</f>
        <v>0.638</v>
      </c>
      <c r="J399" s="23">
        <f>IFERROR(__xludf.DUMMYFUNCTION("""COMPUTED_VALUE"""),398.0)</f>
        <v>398</v>
      </c>
      <c r="K399" s="23" t="b">
        <f>IFERROR(__xludf.DUMMYFUNCTION("""COMPUTED_VALUE"""),FALSE)</f>
        <v>0</v>
      </c>
      <c r="L399" s="23" t="str">
        <f>IFERROR(__xludf.DUMMYFUNCTION("""COMPUTED_VALUE"""),"Hash Table;Math;Reservoir Sampling;Randomized;")</f>
        <v>Hash Table;Math;Reservoir Sampling;Randomized;</v>
      </c>
      <c r="M399" s="23" t="b">
        <f>IFERROR(__xludf.DUMMYFUNCTION("""COMPUTED_VALUE"""),TRUE)</f>
        <v>1</v>
      </c>
      <c r="N399" s="23" t="b">
        <f>IFERROR(__xludf.DUMMYFUNCTION("""COMPUTED_VALUE"""),FALSE)</f>
        <v>0</v>
      </c>
      <c r="O399" s="23">
        <f>IFERROR(__xludf.DUMMYFUNCTION("""COMPUTED_VALUE"""),63.774907205673)</f>
        <v>63.77490721</v>
      </c>
      <c r="P399" s="23">
        <f>IFERROR(__xludf.DUMMYFUNCTION("""COMPUTED_VALUE"""),168896.0)</f>
        <v>168896</v>
      </c>
      <c r="Q399" s="23">
        <f>IFERROR(__xludf.DUMMYFUNCTION("""COMPUTED_VALUE"""),264832.0)</f>
        <v>264832</v>
      </c>
    </row>
    <row r="400">
      <c r="A400" s="23">
        <f>IFERROR(__xludf.DUMMYFUNCTION("""COMPUTED_VALUE"""),399.0)</f>
        <v>399</v>
      </c>
      <c r="B400" s="23" t="str">
        <f>IFERROR(__xludf.DUMMYFUNCTION("""COMPUTED_VALUE"""),"Evaluate Division")</f>
        <v>Evaluate Division</v>
      </c>
      <c r="C400" s="23" t="str">
        <f>IFERROR(__xludf.DUMMYFUNCTION("""COMPUTED_VALUE"""),"evaluate-division")</f>
        <v>evaluate-division</v>
      </c>
      <c r="D400" s="23" t="b">
        <f>IFERROR(__xludf.DUMMYFUNCTION("""COMPUTED_VALUE"""),FALSE)</f>
        <v>0</v>
      </c>
      <c r="E400" s="23" t="str">
        <f>IFERROR(__xludf.DUMMYFUNCTION("""COMPUTED_VALUE"""),"Medium")</f>
        <v>Medium</v>
      </c>
      <c r="F400" s="23">
        <f>IFERROR(__xludf.DUMMYFUNCTION("""COMPUTED_VALUE"""),4956.0)</f>
        <v>4956</v>
      </c>
      <c r="G400" s="23">
        <f>IFERROR(__xludf.DUMMYFUNCTION("""COMPUTED_VALUE"""),422.0)</f>
        <v>422</v>
      </c>
      <c r="H400" s="23" t="str">
        <f>IFERROR(__xludf.DUMMYFUNCTION("""COMPUTED_VALUE"""),"Algorithms")</f>
        <v>Algorithms</v>
      </c>
      <c r="I400" s="23">
        <f>IFERROR(__xludf.DUMMYFUNCTION("""COMPUTED_VALUE"""),0.571)</f>
        <v>0.571</v>
      </c>
      <c r="J400" s="23">
        <f>IFERROR(__xludf.DUMMYFUNCTION("""COMPUTED_VALUE"""),399.0)</f>
        <v>399</v>
      </c>
      <c r="K400" s="23" t="b">
        <f>IFERROR(__xludf.DUMMYFUNCTION("""COMPUTED_VALUE"""),FALSE)</f>
        <v>0</v>
      </c>
      <c r="L400" s="23" t="str">
        <f>IFERROR(__xludf.DUMMYFUNCTION("""COMPUTED_VALUE"""),"Array;Depth-First Search;Breadth-First Search;Union Find;Graph;Shortest Path;")</f>
        <v>Array;Depth-First Search;Breadth-First Search;Union Find;Graph;Shortest Path;</v>
      </c>
      <c r="M400" s="23" t="b">
        <f>IFERROR(__xludf.DUMMYFUNCTION("""COMPUTED_VALUE"""),TRUE)</f>
        <v>1</v>
      </c>
      <c r="N400" s="23" t="b">
        <f>IFERROR(__xludf.DUMMYFUNCTION("""COMPUTED_VALUE"""),FALSE)</f>
        <v>0</v>
      </c>
      <c r="O400" s="23">
        <f>IFERROR(__xludf.DUMMYFUNCTION("""COMPUTED_VALUE"""),57.1284419870243)</f>
        <v>57.12844199</v>
      </c>
      <c r="P400" s="23">
        <f>IFERROR(__xludf.DUMMYFUNCTION("""COMPUTED_VALUE"""),249108.0)</f>
        <v>249108</v>
      </c>
      <c r="Q400" s="23">
        <f>IFERROR(__xludf.DUMMYFUNCTION("""COMPUTED_VALUE"""),436049.0)</f>
        <v>436049</v>
      </c>
    </row>
    <row r="401">
      <c r="A401" s="23">
        <f>IFERROR(__xludf.DUMMYFUNCTION("""COMPUTED_VALUE"""),400.0)</f>
        <v>400</v>
      </c>
      <c r="B401" s="23" t="str">
        <f>IFERROR(__xludf.DUMMYFUNCTION("""COMPUTED_VALUE"""),"Nth Digit")</f>
        <v>Nth Digit</v>
      </c>
      <c r="C401" s="23" t="str">
        <f>IFERROR(__xludf.DUMMYFUNCTION("""COMPUTED_VALUE"""),"nth-digit")</f>
        <v>nth-digit</v>
      </c>
      <c r="D401" s="23" t="b">
        <f>IFERROR(__xludf.DUMMYFUNCTION("""COMPUTED_VALUE"""),FALSE)</f>
        <v>0</v>
      </c>
      <c r="E401" s="23" t="str">
        <f>IFERROR(__xludf.DUMMYFUNCTION("""COMPUTED_VALUE"""),"Medium")</f>
        <v>Medium</v>
      </c>
      <c r="F401" s="23">
        <f>IFERROR(__xludf.DUMMYFUNCTION("""COMPUTED_VALUE"""),661.0)</f>
        <v>661</v>
      </c>
      <c r="G401" s="23">
        <f>IFERROR(__xludf.DUMMYFUNCTION("""COMPUTED_VALUE"""),1504.0)</f>
        <v>1504</v>
      </c>
      <c r="H401" s="23" t="str">
        <f>IFERROR(__xludf.DUMMYFUNCTION("""COMPUTED_VALUE"""),"Algorithms")</f>
        <v>Algorithms</v>
      </c>
      <c r="I401" s="23">
        <f>IFERROR(__xludf.DUMMYFUNCTION("""COMPUTED_VALUE"""),0.335)</f>
        <v>0.335</v>
      </c>
      <c r="J401" s="23">
        <f>IFERROR(__xludf.DUMMYFUNCTION("""COMPUTED_VALUE"""),400.0)</f>
        <v>400</v>
      </c>
      <c r="K401" s="23" t="b">
        <f>IFERROR(__xludf.DUMMYFUNCTION("""COMPUTED_VALUE"""),FALSE)</f>
        <v>0</v>
      </c>
      <c r="L401" s="23" t="str">
        <f>IFERROR(__xludf.DUMMYFUNCTION("""COMPUTED_VALUE"""),"Math;Binary Search;")</f>
        <v>Math;Binary Search;</v>
      </c>
      <c r="M401" s="23" t="b">
        <f>IFERROR(__xludf.DUMMYFUNCTION("""COMPUTED_VALUE"""),FALSE)</f>
        <v>0</v>
      </c>
      <c r="N401" s="23" t="b">
        <f>IFERROR(__xludf.DUMMYFUNCTION("""COMPUTED_VALUE"""),FALSE)</f>
        <v>0</v>
      </c>
      <c r="O401" s="23">
        <f>IFERROR(__xludf.DUMMYFUNCTION("""COMPUTED_VALUE"""),33.4959719103126)</f>
        <v>33.49597191</v>
      </c>
      <c r="P401" s="23">
        <f>IFERROR(__xludf.DUMMYFUNCTION("""COMPUTED_VALUE"""),75173.0)</f>
        <v>75173</v>
      </c>
      <c r="Q401" s="23">
        <f>IFERROR(__xludf.DUMMYFUNCTION("""COMPUTED_VALUE"""),224424.0)</f>
        <v>224424</v>
      </c>
    </row>
    <row r="402">
      <c r="A402" s="23">
        <f>IFERROR(__xludf.DUMMYFUNCTION("""COMPUTED_VALUE"""),401.0)</f>
        <v>401</v>
      </c>
      <c r="B402" s="23" t="str">
        <f>IFERROR(__xludf.DUMMYFUNCTION("""COMPUTED_VALUE"""),"Binary Watch")</f>
        <v>Binary Watch</v>
      </c>
      <c r="C402" s="23" t="str">
        <f>IFERROR(__xludf.DUMMYFUNCTION("""COMPUTED_VALUE"""),"binary-watch")</f>
        <v>binary-watch</v>
      </c>
      <c r="D402" s="23" t="b">
        <f>IFERROR(__xludf.DUMMYFUNCTION("""COMPUTED_VALUE"""),FALSE)</f>
        <v>0</v>
      </c>
      <c r="E402" s="23" t="str">
        <f>IFERROR(__xludf.DUMMYFUNCTION("""COMPUTED_VALUE"""),"Easy")</f>
        <v>Easy</v>
      </c>
      <c r="F402" s="23">
        <f>IFERROR(__xludf.DUMMYFUNCTION("""COMPUTED_VALUE"""),937.0)</f>
        <v>937</v>
      </c>
      <c r="G402" s="23">
        <f>IFERROR(__xludf.DUMMYFUNCTION("""COMPUTED_VALUE"""),1763.0)</f>
        <v>1763</v>
      </c>
      <c r="H402" s="23" t="str">
        <f>IFERROR(__xludf.DUMMYFUNCTION("""COMPUTED_VALUE"""),"Algorithms")</f>
        <v>Algorithms</v>
      </c>
      <c r="I402" s="23">
        <f>IFERROR(__xludf.DUMMYFUNCTION("""COMPUTED_VALUE"""),0.505)</f>
        <v>0.505</v>
      </c>
      <c r="J402" s="23">
        <f>IFERROR(__xludf.DUMMYFUNCTION("""COMPUTED_VALUE"""),401.0)</f>
        <v>401</v>
      </c>
      <c r="K402" s="23" t="b">
        <f>IFERROR(__xludf.DUMMYFUNCTION("""COMPUTED_VALUE"""),FALSE)</f>
        <v>0</v>
      </c>
      <c r="L402" s="23" t="str">
        <f>IFERROR(__xludf.DUMMYFUNCTION("""COMPUTED_VALUE"""),"Backtracking;Bit Manipulation;")</f>
        <v>Backtracking;Bit Manipulation;</v>
      </c>
      <c r="M402" s="23" t="b">
        <f>IFERROR(__xludf.DUMMYFUNCTION("""COMPUTED_VALUE"""),FALSE)</f>
        <v>0</v>
      </c>
      <c r="N402" s="23" t="b">
        <f>IFERROR(__xludf.DUMMYFUNCTION("""COMPUTED_VALUE"""),FALSE)</f>
        <v>0</v>
      </c>
      <c r="O402" s="23">
        <f>IFERROR(__xludf.DUMMYFUNCTION("""COMPUTED_VALUE"""),50.4735097960372)</f>
        <v>50.4735098</v>
      </c>
      <c r="P402" s="23">
        <f>IFERROR(__xludf.DUMMYFUNCTION("""COMPUTED_VALUE"""),109206.0)</f>
        <v>109206</v>
      </c>
      <c r="Q402" s="23">
        <f>IFERROR(__xludf.DUMMYFUNCTION("""COMPUTED_VALUE"""),216363.0)</f>
        <v>216363</v>
      </c>
    </row>
    <row r="403">
      <c r="A403" s="23">
        <f>IFERROR(__xludf.DUMMYFUNCTION("""COMPUTED_VALUE"""),402.0)</f>
        <v>402</v>
      </c>
      <c r="B403" s="23" t="str">
        <f>IFERROR(__xludf.DUMMYFUNCTION("""COMPUTED_VALUE"""),"Remove K Digits")</f>
        <v>Remove K Digits</v>
      </c>
      <c r="C403" s="23" t="str">
        <f>IFERROR(__xludf.DUMMYFUNCTION("""COMPUTED_VALUE"""),"remove-k-digits")</f>
        <v>remove-k-digits</v>
      </c>
      <c r="D403" s="23" t="b">
        <f>IFERROR(__xludf.DUMMYFUNCTION("""COMPUTED_VALUE"""),FALSE)</f>
        <v>0</v>
      </c>
      <c r="E403" s="23" t="str">
        <f>IFERROR(__xludf.DUMMYFUNCTION("""COMPUTED_VALUE"""),"Medium")</f>
        <v>Medium</v>
      </c>
      <c r="F403" s="23">
        <f>IFERROR(__xludf.DUMMYFUNCTION("""COMPUTED_VALUE"""),6000.0)</f>
        <v>6000</v>
      </c>
      <c r="G403" s="23">
        <f>IFERROR(__xludf.DUMMYFUNCTION("""COMPUTED_VALUE"""),250.0)</f>
        <v>250</v>
      </c>
      <c r="H403" s="23" t="str">
        <f>IFERROR(__xludf.DUMMYFUNCTION("""COMPUTED_VALUE"""),"Algorithms")</f>
        <v>Algorithms</v>
      </c>
      <c r="I403" s="23">
        <f>IFERROR(__xludf.DUMMYFUNCTION("""COMPUTED_VALUE"""),0.305)</f>
        <v>0.305</v>
      </c>
      <c r="J403" s="23">
        <f>IFERROR(__xludf.DUMMYFUNCTION("""COMPUTED_VALUE"""),402.0)</f>
        <v>402</v>
      </c>
      <c r="K403" s="23" t="b">
        <f>IFERROR(__xludf.DUMMYFUNCTION("""COMPUTED_VALUE"""),FALSE)</f>
        <v>0</v>
      </c>
      <c r="L403" s="23" t="str">
        <f>IFERROR(__xludf.DUMMYFUNCTION("""COMPUTED_VALUE"""),"String;Stack;Greedy;Monotonic Stack;")</f>
        <v>String;Stack;Greedy;Monotonic Stack;</v>
      </c>
      <c r="M403" s="23" t="b">
        <f>IFERROR(__xludf.DUMMYFUNCTION("""COMPUTED_VALUE"""),TRUE)</f>
        <v>1</v>
      </c>
      <c r="N403" s="23" t="b">
        <f>IFERROR(__xludf.DUMMYFUNCTION("""COMPUTED_VALUE"""),FALSE)</f>
        <v>0</v>
      </c>
      <c r="O403" s="23">
        <f>IFERROR(__xludf.DUMMYFUNCTION("""COMPUTED_VALUE"""),30.493555375319)</f>
        <v>30.49355538</v>
      </c>
      <c r="P403" s="23">
        <f>IFERROR(__xludf.DUMMYFUNCTION("""COMPUTED_VALUE"""),260544.0)</f>
        <v>260544</v>
      </c>
      <c r="Q403" s="23">
        <f>IFERROR(__xludf.DUMMYFUNCTION("""COMPUTED_VALUE"""),854429.0)</f>
        <v>854429</v>
      </c>
    </row>
    <row r="404">
      <c r="A404" s="23">
        <f>IFERROR(__xludf.DUMMYFUNCTION("""COMPUTED_VALUE"""),403.0)</f>
        <v>403</v>
      </c>
      <c r="B404" s="23" t="str">
        <f>IFERROR(__xludf.DUMMYFUNCTION("""COMPUTED_VALUE"""),"Frog Jump")</f>
        <v>Frog Jump</v>
      </c>
      <c r="C404" s="23" t="str">
        <f>IFERROR(__xludf.DUMMYFUNCTION("""COMPUTED_VALUE"""),"frog-jump")</f>
        <v>frog-jump</v>
      </c>
      <c r="D404" s="23" t="b">
        <f>IFERROR(__xludf.DUMMYFUNCTION("""COMPUTED_VALUE"""),FALSE)</f>
        <v>0</v>
      </c>
      <c r="E404" s="23" t="str">
        <f>IFERROR(__xludf.DUMMYFUNCTION("""COMPUTED_VALUE"""),"Hard")</f>
        <v>Hard</v>
      </c>
      <c r="F404" s="23">
        <f>IFERROR(__xludf.DUMMYFUNCTION("""COMPUTED_VALUE"""),2476.0)</f>
        <v>2476</v>
      </c>
      <c r="G404" s="23">
        <f>IFERROR(__xludf.DUMMYFUNCTION("""COMPUTED_VALUE"""),161.0)</f>
        <v>161</v>
      </c>
      <c r="H404" s="23" t="str">
        <f>IFERROR(__xludf.DUMMYFUNCTION("""COMPUTED_VALUE"""),"Algorithms")</f>
        <v>Algorithms</v>
      </c>
      <c r="I404" s="23">
        <f>IFERROR(__xludf.DUMMYFUNCTION("""COMPUTED_VALUE"""),0.43)</f>
        <v>0.43</v>
      </c>
      <c r="J404" s="23">
        <f>IFERROR(__xludf.DUMMYFUNCTION("""COMPUTED_VALUE"""),403.0)</f>
        <v>403</v>
      </c>
      <c r="K404" s="23" t="b">
        <f>IFERROR(__xludf.DUMMYFUNCTION("""COMPUTED_VALUE"""),FALSE)</f>
        <v>0</v>
      </c>
      <c r="L404" s="23" t="str">
        <f>IFERROR(__xludf.DUMMYFUNCTION("""COMPUTED_VALUE"""),"Array;Dynamic Programming;")</f>
        <v>Array;Dynamic Programming;</v>
      </c>
      <c r="M404" s="23" t="b">
        <f>IFERROR(__xludf.DUMMYFUNCTION("""COMPUTED_VALUE"""),TRUE)</f>
        <v>1</v>
      </c>
      <c r="N404" s="23" t="b">
        <f>IFERROR(__xludf.DUMMYFUNCTION("""COMPUTED_VALUE"""),FALSE)</f>
        <v>0</v>
      </c>
      <c r="O404" s="23">
        <f>IFERROR(__xludf.DUMMYFUNCTION("""COMPUTED_VALUE"""),42.9530900632487)</f>
        <v>42.95309006</v>
      </c>
      <c r="P404" s="23">
        <f>IFERROR(__xludf.DUMMYFUNCTION("""COMPUTED_VALUE"""),152527.0)</f>
        <v>152527</v>
      </c>
      <c r="Q404" s="23">
        <f>IFERROR(__xludf.DUMMYFUNCTION("""COMPUTED_VALUE"""),355104.0)</f>
        <v>355104</v>
      </c>
    </row>
    <row r="405">
      <c r="A405" s="23">
        <f>IFERROR(__xludf.DUMMYFUNCTION("""COMPUTED_VALUE"""),404.0)</f>
        <v>404</v>
      </c>
      <c r="B405" s="23" t="str">
        <f>IFERROR(__xludf.DUMMYFUNCTION("""COMPUTED_VALUE"""),"Sum of Left Leaves")</f>
        <v>Sum of Left Leaves</v>
      </c>
      <c r="C405" s="23" t="str">
        <f>IFERROR(__xludf.DUMMYFUNCTION("""COMPUTED_VALUE"""),"sum-of-left-leaves")</f>
        <v>sum-of-left-leaves</v>
      </c>
      <c r="D405" s="23" t="b">
        <f>IFERROR(__xludf.DUMMYFUNCTION("""COMPUTED_VALUE"""),FALSE)</f>
        <v>0</v>
      </c>
      <c r="E405" s="23" t="str">
        <f>IFERROR(__xludf.DUMMYFUNCTION("""COMPUTED_VALUE"""),"Easy")</f>
        <v>Easy</v>
      </c>
      <c r="F405" s="23">
        <f>IFERROR(__xludf.DUMMYFUNCTION("""COMPUTED_VALUE"""),3274.0)</f>
        <v>3274</v>
      </c>
      <c r="G405" s="23">
        <f>IFERROR(__xludf.DUMMYFUNCTION("""COMPUTED_VALUE"""),244.0)</f>
        <v>244</v>
      </c>
      <c r="H405" s="23" t="str">
        <f>IFERROR(__xludf.DUMMYFUNCTION("""COMPUTED_VALUE"""),"Algorithms")</f>
        <v>Algorithms</v>
      </c>
      <c r="I405" s="23">
        <f>IFERROR(__xludf.DUMMYFUNCTION("""COMPUTED_VALUE"""),0.551)</f>
        <v>0.551</v>
      </c>
      <c r="J405" s="23">
        <f>IFERROR(__xludf.DUMMYFUNCTION("""COMPUTED_VALUE"""),404.0)</f>
        <v>404</v>
      </c>
      <c r="K405" s="23" t="b">
        <f>IFERROR(__xludf.DUMMYFUNCTION("""COMPUTED_VALUE"""),FALSE)</f>
        <v>0</v>
      </c>
      <c r="L405" s="23" t="str">
        <f>IFERROR(__xludf.DUMMYFUNCTION("""COMPUTED_VALUE"""),"Tree;Depth-First Search;Breadth-First Search;Binary Tree;")</f>
        <v>Tree;Depth-First Search;Breadth-First Search;Binary Tree;</v>
      </c>
      <c r="M405" s="23" t="b">
        <f>IFERROR(__xludf.DUMMYFUNCTION("""COMPUTED_VALUE"""),TRUE)</f>
        <v>1</v>
      </c>
      <c r="N405" s="23" t="b">
        <f>IFERROR(__xludf.DUMMYFUNCTION("""COMPUTED_VALUE"""),FALSE)</f>
        <v>0</v>
      </c>
      <c r="O405" s="23">
        <f>IFERROR(__xludf.DUMMYFUNCTION("""COMPUTED_VALUE"""),55.0614748535191)</f>
        <v>55.06147485</v>
      </c>
      <c r="P405" s="23">
        <f>IFERROR(__xludf.DUMMYFUNCTION("""COMPUTED_VALUE"""),344789.0)</f>
        <v>344789</v>
      </c>
      <c r="Q405" s="23">
        <f>IFERROR(__xludf.DUMMYFUNCTION("""COMPUTED_VALUE"""),626190.0)</f>
        <v>626190</v>
      </c>
    </row>
    <row r="406">
      <c r="A406" s="23">
        <f>IFERROR(__xludf.DUMMYFUNCTION("""COMPUTED_VALUE"""),405.0)</f>
        <v>405</v>
      </c>
      <c r="B406" s="23" t="str">
        <f>IFERROR(__xludf.DUMMYFUNCTION("""COMPUTED_VALUE"""),"Convert a Number to Hexadecimal")</f>
        <v>Convert a Number to Hexadecimal</v>
      </c>
      <c r="C406" s="23" t="str">
        <f>IFERROR(__xludf.DUMMYFUNCTION("""COMPUTED_VALUE"""),"convert-a-number-to-hexadecimal")</f>
        <v>convert-a-number-to-hexadecimal</v>
      </c>
      <c r="D406" s="23" t="b">
        <f>IFERROR(__xludf.DUMMYFUNCTION("""COMPUTED_VALUE"""),FALSE)</f>
        <v>0</v>
      </c>
      <c r="E406" s="23" t="str">
        <f>IFERROR(__xludf.DUMMYFUNCTION("""COMPUTED_VALUE"""),"Easy")</f>
        <v>Easy</v>
      </c>
      <c r="F406" s="23">
        <f>IFERROR(__xludf.DUMMYFUNCTION("""COMPUTED_VALUE"""),866.0)</f>
        <v>866</v>
      </c>
      <c r="G406" s="23">
        <f>IFERROR(__xludf.DUMMYFUNCTION("""COMPUTED_VALUE"""),171.0)</f>
        <v>171</v>
      </c>
      <c r="H406" s="23" t="str">
        <f>IFERROR(__xludf.DUMMYFUNCTION("""COMPUTED_VALUE"""),"Algorithms")</f>
        <v>Algorithms</v>
      </c>
      <c r="I406" s="23">
        <f>IFERROR(__xludf.DUMMYFUNCTION("""COMPUTED_VALUE"""),0.458)</f>
        <v>0.458</v>
      </c>
      <c r="J406" s="23">
        <f>IFERROR(__xludf.DUMMYFUNCTION("""COMPUTED_VALUE"""),405.0)</f>
        <v>405</v>
      </c>
      <c r="K406" s="23" t="b">
        <f>IFERROR(__xludf.DUMMYFUNCTION("""COMPUTED_VALUE"""),FALSE)</f>
        <v>0</v>
      </c>
      <c r="L406" s="23" t="str">
        <f>IFERROR(__xludf.DUMMYFUNCTION("""COMPUTED_VALUE"""),"Math;Bit Manipulation;")</f>
        <v>Math;Bit Manipulation;</v>
      </c>
      <c r="M406" s="23" t="b">
        <f>IFERROR(__xludf.DUMMYFUNCTION("""COMPUTED_VALUE"""),FALSE)</f>
        <v>0</v>
      </c>
      <c r="N406" s="23" t="b">
        <f>IFERROR(__xludf.DUMMYFUNCTION("""COMPUTED_VALUE"""),FALSE)</f>
        <v>0</v>
      </c>
      <c r="O406" s="23">
        <f>IFERROR(__xludf.DUMMYFUNCTION("""COMPUTED_VALUE"""),45.7796304431131)</f>
        <v>45.77963044</v>
      </c>
      <c r="P406" s="23">
        <f>IFERROR(__xludf.DUMMYFUNCTION("""COMPUTED_VALUE"""),97962.0)</f>
        <v>97962</v>
      </c>
      <c r="Q406" s="23">
        <f>IFERROR(__xludf.DUMMYFUNCTION("""COMPUTED_VALUE"""),213981.0)</f>
        <v>213981</v>
      </c>
    </row>
    <row r="407">
      <c r="A407" s="23">
        <f>IFERROR(__xludf.DUMMYFUNCTION("""COMPUTED_VALUE"""),406.0)</f>
        <v>406</v>
      </c>
      <c r="B407" s="23" t="str">
        <f>IFERROR(__xludf.DUMMYFUNCTION("""COMPUTED_VALUE"""),"Queue Reconstruction by Height")</f>
        <v>Queue Reconstruction by Height</v>
      </c>
      <c r="C407" s="23" t="str">
        <f>IFERROR(__xludf.DUMMYFUNCTION("""COMPUTED_VALUE"""),"queue-reconstruction-by-height")</f>
        <v>queue-reconstruction-by-height</v>
      </c>
      <c r="D407" s="23" t="b">
        <f>IFERROR(__xludf.DUMMYFUNCTION("""COMPUTED_VALUE"""),FALSE)</f>
        <v>0</v>
      </c>
      <c r="E407" s="23" t="str">
        <f>IFERROR(__xludf.DUMMYFUNCTION("""COMPUTED_VALUE"""),"Medium")</f>
        <v>Medium</v>
      </c>
      <c r="F407" s="23">
        <f>IFERROR(__xludf.DUMMYFUNCTION("""COMPUTED_VALUE"""),4802.0)</f>
        <v>4802</v>
      </c>
      <c r="G407" s="23">
        <f>IFERROR(__xludf.DUMMYFUNCTION("""COMPUTED_VALUE"""),514.0)</f>
        <v>514</v>
      </c>
      <c r="H407" s="23" t="str">
        <f>IFERROR(__xludf.DUMMYFUNCTION("""COMPUTED_VALUE"""),"Algorithms")</f>
        <v>Algorithms</v>
      </c>
      <c r="I407" s="23">
        <f>IFERROR(__xludf.DUMMYFUNCTION("""COMPUTED_VALUE"""),0.701)</f>
        <v>0.701</v>
      </c>
      <c r="J407" s="23">
        <f>IFERROR(__xludf.DUMMYFUNCTION("""COMPUTED_VALUE"""),406.0)</f>
        <v>406</v>
      </c>
      <c r="K407" s="23" t="b">
        <f>IFERROR(__xludf.DUMMYFUNCTION("""COMPUTED_VALUE"""),FALSE)</f>
        <v>0</v>
      </c>
      <c r="L407" s="23" t="str">
        <f>IFERROR(__xludf.DUMMYFUNCTION("""COMPUTED_VALUE"""),"Array;Greedy;Binary Indexed Tree;Segment Tree;Sorting;")</f>
        <v>Array;Greedy;Binary Indexed Tree;Segment Tree;Sorting;</v>
      </c>
      <c r="M407" s="23" t="b">
        <f>IFERROR(__xludf.DUMMYFUNCTION("""COMPUTED_VALUE"""),TRUE)</f>
        <v>1</v>
      </c>
      <c r="N407" s="23" t="b">
        <f>IFERROR(__xludf.DUMMYFUNCTION("""COMPUTED_VALUE"""),FALSE)</f>
        <v>0</v>
      </c>
      <c r="O407" s="23">
        <f>IFERROR(__xludf.DUMMYFUNCTION("""COMPUTED_VALUE"""),70.123683294847)</f>
        <v>70.12368329</v>
      </c>
      <c r="P407" s="23">
        <f>IFERROR(__xludf.DUMMYFUNCTION("""COMPUTED_VALUE"""),221682.0)</f>
        <v>221682</v>
      </c>
      <c r="Q407" s="23">
        <f>IFERROR(__xludf.DUMMYFUNCTION("""COMPUTED_VALUE"""),316130.0)</f>
        <v>316130</v>
      </c>
    </row>
    <row r="408">
      <c r="A408" s="23">
        <f>IFERROR(__xludf.DUMMYFUNCTION("""COMPUTED_VALUE"""),407.0)</f>
        <v>407</v>
      </c>
      <c r="B408" s="23" t="str">
        <f>IFERROR(__xludf.DUMMYFUNCTION("""COMPUTED_VALUE"""),"Trapping Rain Water II")</f>
        <v>Trapping Rain Water II</v>
      </c>
      <c r="C408" s="23" t="str">
        <f>IFERROR(__xludf.DUMMYFUNCTION("""COMPUTED_VALUE"""),"trapping-rain-water-ii")</f>
        <v>trapping-rain-water-ii</v>
      </c>
      <c r="D408" s="23" t="b">
        <f>IFERROR(__xludf.DUMMYFUNCTION("""COMPUTED_VALUE"""),FALSE)</f>
        <v>0</v>
      </c>
      <c r="E408" s="23" t="str">
        <f>IFERROR(__xludf.DUMMYFUNCTION("""COMPUTED_VALUE"""),"Hard")</f>
        <v>Hard</v>
      </c>
      <c r="F408" s="23">
        <f>IFERROR(__xludf.DUMMYFUNCTION("""COMPUTED_VALUE"""),2687.0)</f>
        <v>2687</v>
      </c>
      <c r="G408" s="23">
        <f>IFERROR(__xludf.DUMMYFUNCTION("""COMPUTED_VALUE"""),60.0)</f>
        <v>60</v>
      </c>
      <c r="H408" s="23" t="str">
        <f>IFERROR(__xludf.DUMMYFUNCTION("""COMPUTED_VALUE"""),"Algorithms")</f>
        <v>Algorithms</v>
      </c>
      <c r="I408" s="23">
        <f>IFERROR(__xludf.DUMMYFUNCTION("""COMPUTED_VALUE"""),0.47)</f>
        <v>0.47</v>
      </c>
      <c r="J408" s="23">
        <f>IFERROR(__xludf.DUMMYFUNCTION("""COMPUTED_VALUE"""),407.0)</f>
        <v>407</v>
      </c>
      <c r="K408" s="23" t="b">
        <f>IFERROR(__xludf.DUMMYFUNCTION("""COMPUTED_VALUE"""),FALSE)</f>
        <v>0</v>
      </c>
      <c r="L408" s="23" t="str">
        <f>IFERROR(__xludf.DUMMYFUNCTION("""COMPUTED_VALUE"""),"Array;Breadth-First Search;Heap (Priority Queue);Matrix;")</f>
        <v>Array;Breadth-First Search;Heap (Priority Queue);Matrix;</v>
      </c>
      <c r="M408" s="23" t="b">
        <f>IFERROR(__xludf.DUMMYFUNCTION("""COMPUTED_VALUE"""),FALSE)</f>
        <v>0</v>
      </c>
      <c r="N408" s="23" t="b">
        <f>IFERROR(__xludf.DUMMYFUNCTION("""COMPUTED_VALUE"""),FALSE)</f>
        <v>0</v>
      </c>
      <c r="O408" s="23">
        <f>IFERROR(__xludf.DUMMYFUNCTION("""COMPUTED_VALUE"""),46.9654336708496)</f>
        <v>46.96543367</v>
      </c>
      <c r="P408" s="23">
        <f>IFERROR(__xludf.DUMMYFUNCTION("""COMPUTED_VALUE"""),68601.0)</f>
        <v>68601</v>
      </c>
      <c r="Q408" s="23">
        <f>IFERROR(__xludf.DUMMYFUNCTION("""COMPUTED_VALUE"""),146067.0)</f>
        <v>146067</v>
      </c>
    </row>
    <row r="409">
      <c r="A409" s="23">
        <f>IFERROR(__xludf.DUMMYFUNCTION("""COMPUTED_VALUE"""),408.0)</f>
        <v>408</v>
      </c>
      <c r="B409" s="23" t="str">
        <f>IFERROR(__xludf.DUMMYFUNCTION("""COMPUTED_VALUE"""),"Valid Word Abbreviation")</f>
        <v>Valid Word Abbreviation</v>
      </c>
      <c r="C409" s="23" t="str">
        <f>IFERROR(__xludf.DUMMYFUNCTION("""COMPUTED_VALUE"""),"valid-word-abbreviation")</f>
        <v>valid-word-abbreviation</v>
      </c>
      <c r="D409" s="23" t="b">
        <f>IFERROR(__xludf.DUMMYFUNCTION("""COMPUTED_VALUE"""),TRUE)</f>
        <v>1</v>
      </c>
      <c r="E409" s="23" t="str">
        <f>IFERROR(__xludf.DUMMYFUNCTION("""COMPUTED_VALUE"""),"Easy")</f>
        <v>Easy</v>
      </c>
      <c r="F409" s="23">
        <f>IFERROR(__xludf.DUMMYFUNCTION("""COMPUTED_VALUE"""),451.0)</f>
        <v>451</v>
      </c>
      <c r="G409" s="23">
        <f>IFERROR(__xludf.DUMMYFUNCTION("""COMPUTED_VALUE"""),1625.0)</f>
        <v>1625</v>
      </c>
      <c r="H409" s="23" t="str">
        <f>IFERROR(__xludf.DUMMYFUNCTION("""COMPUTED_VALUE"""),"Algorithms")</f>
        <v>Algorithms</v>
      </c>
      <c r="I409" s="23">
        <f>IFERROR(__xludf.DUMMYFUNCTION("""COMPUTED_VALUE"""),0.348)</f>
        <v>0.348</v>
      </c>
      <c r="J409" s="23">
        <f>IFERROR(__xludf.DUMMYFUNCTION("""COMPUTED_VALUE"""),408.0)</f>
        <v>408</v>
      </c>
      <c r="K409" s="23" t="b">
        <f>IFERROR(__xludf.DUMMYFUNCTION("""COMPUTED_VALUE"""),TRUE)</f>
        <v>1</v>
      </c>
      <c r="L409" s="23" t="str">
        <f>IFERROR(__xludf.DUMMYFUNCTION("""COMPUTED_VALUE"""),"Two Pointers;String;")</f>
        <v>Two Pointers;String;</v>
      </c>
      <c r="M409" s="23" t="b">
        <f>IFERROR(__xludf.DUMMYFUNCTION("""COMPUTED_VALUE"""),FALSE)</f>
        <v>0</v>
      </c>
      <c r="N409" s="23" t="b">
        <f>IFERROR(__xludf.DUMMYFUNCTION("""COMPUTED_VALUE"""),FALSE)</f>
        <v>0</v>
      </c>
      <c r="O409" s="23">
        <f>IFERROR(__xludf.DUMMYFUNCTION("""COMPUTED_VALUE"""),34.7531070815263)</f>
        <v>34.75310708</v>
      </c>
      <c r="P409" s="23">
        <f>IFERROR(__xludf.DUMMYFUNCTION("""COMPUTED_VALUE"""),95521.0)</f>
        <v>95521</v>
      </c>
      <c r="Q409" s="23">
        <f>IFERROR(__xludf.DUMMYFUNCTION("""COMPUTED_VALUE"""),274853.0)</f>
        <v>274853</v>
      </c>
    </row>
    <row r="410">
      <c r="A410" s="23">
        <f>IFERROR(__xludf.DUMMYFUNCTION("""COMPUTED_VALUE"""),409.0)</f>
        <v>409</v>
      </c>
      <c r="B410" s="23" t="str">
        <f>IFERROR(__xludf.DUMMYFUNCTION("""COMPUTED_VALUE"""),"Longest Palindrome")</f>
        <v>Longest Palindrome</v>
      </c>
      <c r="C410" s="23" t="str">
        <f>IFERROR(__xludf.DUMMYFUNCTION("""COMPUTED_VALUE"""),"longest-palindrome")</f>
        <v>longest-palindrome</v>
      </c>
      <c r="D410" s="23" t="b">
        <f>IFERROR(__xludf.DUMMYFUNCTION("""COMPUTED_VALUE"""),FALSE)</f>
        <v>0</v>
      </c>
      <c r="E410" s="23" t="str">
        <f>IFERROR(__xludf.DUMMYFUNCTION("""COMPUTED_VALUE"""),"Easy")</f>
        <v>Easy</v>
      </c>
      <c r="F410" s="23">
        <f>IFERROR(__xludf.DUMMYFUNCTION("""COMPUTED_VALUE"""),2622.0)</f>
        <v>2622</v>
      </c>
      <c r="G410" s="23">
        <f>IFERROR(__xludf.DUMMYFUNCTION("""COMPUTED_VALUE"""),154.0)</f>
        <v>154</v>
      </c>
      <c r="H410" s="23" t="str">
        <f>IFERROR(__xludf.DUMMYFUNCTION("""COMPUTED_VALUE"""),"Algorithms")</f>
        <v>Algorithms</v>
      </c>
      <c r="I410" s="23">
        <f>IFERROR(__xludf.DUMMYFUNCTION("""COMPUTED_VALUE"""),0.536)</f>
        <v>0.536</v>
      </c>
      <c r="J410" s="23">
        <f>IFERROR(__xludf.DUMMYFUNCTION("""COMPUTED_VALUE"""),409.0)</f>
        <v>409</v>
      </c>
      <c r="K410" s="23" t="b">
        <f>IFERROR(__xludf.DUMMYFUNCTION("""COMPUTED_VALUE"""),FALSE)</f>
        <v>0</v>
      </c>
      <c r="L410" s="23" t="str">
        <f>IFERROR(__xludf.DUMMYFUNCTION("""COMPUTED_VALUE"""),"Hash Table;String;Greedy;")</f>
        <v>Hash Table;String;Greedy;</v>
      </c>
      <c r="M410" s="23" t="b">
        <f>IFERROR(__xludf.DUMMYFUNCTION("""COMPUTED_VALUE"""),TRUE)</f>
        <v>1</v>
      </c>
      <c r="N410" s="23" t="b">
        <f>IFERROR(__xludf.DUMMYFUNCTION("""COMPUTED_VALUE"""),FALSE)</f>
        <v>0</v>
      </c>
      <c r="O410" s="23">
        <f>IFERROR(__xludf.DUMMYFUNCTION("""COMPUTED_VALUE"""),53.56703886091)</f>
        <v>53.56703886</v>
      </c>
      <c r="P410" s="23">
        <f>IFERROR(__xludf.DUMMYFUNCTION("""COMPUTED_VALUE"""),268462.0)</f>
        <v>268462</v>
      </c>
      <c r="Q410" s="23">
        <f>IFERROR(__xludf.DUMMYFUNCTION("""COMPUTED_VALUE"""),501171.0)</f>
        <v>501171</v>
      </c>
    </row>
    <row r="411">
      <c r="A411" s="23">
        <f>IFERROR(__xludf.DUMMYFUNCTION("""COMPUTED_VALUE"""),410.0)</f>
        <v>410</v>
      </c>
      <c r="B411" s="23" t="str">
        <f>IFERROR(__xludf.DUMMYFUNCTION("""COMPUTED_VALUE"""),"Split Array Largest Sum")</f>
        <v>Split Array Largest Sum</v>
      </c>
      <c r="C411" s="23" t="str">
        <f>IFERROR(__xludf.DUMMYFUNCTION("""COMPUTED_VALUE"""),"split-array-largest-sum")</f>
        <v>split-array-largest-sum</v>
      </c>
      <c r="D411" s="23" t="b">
        <f>IFERROR(__xludf.DUMMYFUNCTION("""COMPUTED_VALUE"""),FALSE)</f>
        <v>0</v>
      </c>
      <c r="E411" s="23" t="str">
        <f>IFERROR(__xludf.DUMMYFUNCTION("""COMPUTED_VALUE"""),"Hard")</f>
        <v>Hard</v>
      </c>
      <c r="F411" s="23">
        <f>IFERROR(__xludf.DUMMYFUNCTION("""COMPUTED_VALUE"""),5792.0)</f>
        <v>5792</v>
      </c>
      <c r="G411" s="23">
        <f>IFERROR(__xludf.DUMMYFUNCTION("""COMPUTED_VALUE"""),150.0)</f>
        <v>150</v>
      </c>
      <c r="H411" s="23" t="str">
        <f>IFERROR(__xludf.DUMMYFUNCTION("""COMPUTED_VALUE"""),"Algorithms")</f>
        <v>Algorithms</v>
      </c>
      <c r="I411" s="23">
        <f>IFERROR(__xludf.DUMMYFUNCTION("""COMPUTED_VALUE"""),0.52)</f>
        <v>0.52</v>
      </c>
      <c r="J411" s="23">
        <f>IFERROR(__xludf.DUMMYFUNCTION("""COMPUTED_VALUE"""),410.0)</f>
        <v>410</v>
      </c>
      <c r="K411" s="23" t="b">
        <f>IFERROR(__xludf.DUMMYFUNCTION("""COMPUTED_VALUE"""),FALSE)</f>
        <v>0</v>
      </c>
      <c r="L411" s="23" t="str">
        <f>IFERROR(__xludf.DUMMYFUNCTION("""COMPUTED_VALUE"""),"Array;Binary Search;Dynamic Programming;Greedy;")</f>
        <v>Array;Binary Search;Dynamic Programming;Greedy;</v>
      </c>
      <c r="M411" s="23" t="b">
        <f>IFERROR(__xludf.DUMMYFUNCTION("""COMPUTED_VALUE"""),TRUE)</f>
        <v>1</v>
      </c>
      <c r="N411" s="23" t="b">
        <f>IFERROR(__xludf.DUMMYFUNCTION("""COMPUTED_VALUE"""),FALSE)</f>
        <v>0</v>
      </c>
      <c r="O411" s="23">
        <f>IFERROR(__xludf.DUMMYFUNCTION("""COMPUTED_VALUE"""),52.0178671358638)</f>
        <v>52.01786714</v>
      </c>
      <c r="P411" s="23">
        <f>IFERROR(__xludf.DUMMYFUNCTION("""COMPUTED_VALUE"""),206356.0)</f>
        <v>206356</v>
      </c>
      <c r="Q411" s="23">
        <f>IFERROR(__xludf.DUMMYFUNCTION("""COMPUTED_VALUE"""),396704.0)</f>
        <v>396704</v>
      </c>
    </row>
    <row r="412">
      <c r="A412" s="23">
        <f>IFERROR(__xludf.DUMMYFUNCTION("""COMPUTED_VALUE"""),411.0)</f>
        <v>411</v>
      </c>
      <c r="B412" s="23" t="str">
        <f>IFERROR(__xludf.DUMMYFUNCTION("""COMPUTED_VALUE"""),"Minimum Unique Word Abbreviation")</f>
        <v>Minimum Unique Word Abbreviation</v>
      </c>
      <c r="C412" s="23" t="str">
        <f>IFERROR(__xludf.DUMMYFUNCTION("""COMPUTED_VALUE"""),"minimum-unique-word-abbreviation")</f>
        <v>minimum-unique-word-abbreviation</v>
      </c>
      <c r="D412" s="23" t="b">
        <f>IFERROR(__xludf.DUMMYFUNCTION("""COMPUTED_VALUE"""),TRUE)</f>
        <v>1</v>
      </c>
      <c r="E412" s="23" t="str">
        <f>IFERROR(__xludf.DUMMYFUNCTION("""COMPUTED_VALUE"""),"Hard")</f>
        <v>Hard</v>
      </c>
      <c r="F412" s="23">
        <f>IFERROR(__xludf.DUMMYFUNCTION("""COMPUTED_VALUE"""),164.0)</f>
        <v>164</v>
      </c>
      <c r="G412" s="23">
        <f>IFERROR(__xludf.DUMMYFUNCTION("""COMPUTED_VALUE"""),137.0)</f>
        <v>137</v>
      </c>
      <c r="H412" s="23" t="str">
        <f>IFERROR(__xludf.DUMMYFUNCTION("""COMPUTED_VALUE"""),"Algorithms")</f>
        <v>Algorithms</v>
      </c>
      <c r="I412" s="23">
        <f>IFERROR(__xludf.DUMMYFUNCTION("""COMPUTED_VALUE"""),0.384)</f>
        <v>0.384</v>
      </c>
      <c r="J412" s="23">
        <f>IFERROR(__xludf.DUMMYFUNCTION("""COMPUTED_VALUE"""),411.0)</f>
        <v>411</v>
      </c>
      <c r="K412" s="23" t="b">
        <f>IFERROR(__xludf.DUMMYFUNCTION("""COMPUTED_VALUE"""),TRUE)</f>
        <v>1</v>
      </c>
      <c r="L412" s="23" t="str">
        <f>IFERROR(__xludf.DUMMYFUNCTION("""COMPUTED_VALUE"""),"String;Backtracking;Bit Manipulation;")</f>
        <v>String;Backtracking;Bit Manipulation;</v>
      </c>
      <c r="M412" s="23" t="b">
        <f>IFERROR(__xludf.DUMMYFUNCTION("""COMPUTED_VALUE"""),FALSE)</f>
        <v>0</v>
      </c>
      <c r="N412" s="23" t="b">
        <f>IFERROR(__xludf.DUMMYFUNCTION("""COMPUTED_VALUE"""),FALSE)</f>
        <v>0</v>
      </c>
      <c r="O412" s="23">
        <f>IFERROR(__xludf.DUMMYFUNCTION("""COMPUTED_VALUE"""),38.4246278363925)</f>
        <v>38.42462784</v>
      </c>
      <c r="P412" s="23">
        <f>IFERROR(__xludf.DUMMYFUNCTION("""COMPUTED_VALUE"""),13293.0)</f>
        <v>13293</v>
      </c>
      <c r="Q412" s="23">
        <f>IFERROR(__xludf.DUMMYFUNCTION("""COMPUTED_VALUE"""),34595.0)</f>
        <v>34595</v>
      </c>
    </row>
    <row r="413">
      <c r="A413" s="23">
        <f>IFERROR(__xludf.DUMMYFUNCTION("""COMPUTED_VALUE"""),412.0)</f>
        <v>412</v>
      </c>
      <c r="B413" s="23" t="str">
        <f>IFERROR(__xludf.DUMMYFUNCTION("""COMPUTED_VALUE"""),"Fizz Buzz")</f>
        <v>Fizz Buzz</v>
      </c>
      <c r="C413" s="23" t="str">
        <f>IFERROR(__xludf.DUMMYFUNCTION("""COMPUTED_VALUE"""),"fizz-buzz")</f>
        <v>fizz-buzz</v>
      </c>
      <c r="D413" s="23" t="b">
        <f>IFERROR(__xludf.DUMMYFUNCTION("""COMPUTED_VALUE"""),FALSE)</f>
        <v>0</v>
      </c>
      <c r="E413" s="23" t="str">
        <f>IFERROR(__xludf.DUMMYFUNCTION("""COMPUTED_VALUE"""),"Easy")</f>
        <v>Easy</v>
      </c>
      <c r="F413" s="23">
        <f>IFERROR(__xludf.DUMMYFUNCTION("""COMPUTED_VALUE"""),359.0)</f>
        <v>359</v>
      </c>
      <c r="G413" s="23">
        <f>IFERROR(__xludf.DUMMYFUNCTION("""COMPUTED_VALUE"""),65.0)</f>
        <v>65</v>
      </c>
      <c r="H413" s="23" t="str">
        <f>IFERROR(__xludf.DUMMYFUNCTION("""COMPUTED_VALUE"""),"Algorithms")</f>
        <v>Algorithms</v>
      </c>
      <c r="I413" s="23">
        <f>IFERROR(__xludf.DUMMYFUNCTION("""COMPUTED_VALUE"""),0.666)</f>
        <v>0.666</v>
      </c>
      <c r="J413" s="23">
        <f>IFERROR(__xludf.DUMMYFUNCTION("""COMPUTED_VALUE"""),412.0)</f>
        <v>412</v>
      </c>
      <c r="K413" s="23" t="b">
        <f>IFERROR(__xludf.DUMMYFUNCTION("""COMPUTED_VALUE"""),FALSE)</f>
        <v>0</v>
      </c>
      <c r="L413" s="23" t="str">
        <f>IFERROR(__xludf.DUMMYFUNCTION("""COMPUTED_VALUE"""),"Math;String;Simulation;")</f>
        <v>Math;String;Simulation;</v>
      </c>
      <c r="M413" s="23" t="b">
        <f>IFERROR(__xludf.DUMMYFUNCTION("""COMPUTED_VALUE"""),TRUE)</f>
        <v>1</v>
      </c>
      <c r="N413" s="23" t="b">
        <f>IFERROR(__xludf.DUMMYFUNCTION("""COMPUTED_VALUE"""),FALSE)</f>
        <v>0</v>
      </c>
      <c r="O413" s="23">
        <f>IFERROR(__xludf.DUMMYFUNCTION("""COMPUTED_VALUE"""),66.6398355418386)</f>
        <v>66.63983554</v>
      </c>
      <c r="P413" s="23">
        <f>IFERROR(__xludf.DUMMYFUNCTION("""COMPUTED_VALUE"""),614296.0)</f>
        <v>614296</v>
      </c>
      <c r="Q413" s="23">
        <f>IFERROR(__xludf.DUMMYFUNCTION("""COMPUTED_VALUE"""),921815.0)</f>
        <v>921815</v>
      </c>
    </row>
    <row r="414">
      <c r="A414" s="23">
        <f>IFERROR(__xludf.DUMMYFUNCTION("""COMPUTED_VALUE"""),413.0)</f>
        <v>413</v>
      </c>
      <c r="B414" s="23" t="str">
        <f>IFERROR(__xludf.DUMMYFUNCTION("""COMPUTED_VALUE"""),"Arithmetic Slices")</f>
        <v>Arithmetic Slices</v>
      </c>
      <c r="C414" s="23" t="str">
        <f>IFERROR(__xludf.DUMMYFUNCTION("""COMPUTED_VALUE"""),"arithmetic-slices")</f>
        <v>arithmetic-slices</v>
      </c>
      <c r="D414" s="23" t="b">
        <f>IFERROR(__xludf.DUMMYFUNCTION("""COMPUTED_VALUE"""),FALSE)</f>
        <v>0</v>
      </c>
      <c r="E414" s="23" t="str">
        <f>IFERROR(__xludf.DUMMYFUNCTION("""COMPUTED_VALUE"""),"Medium")</f>
        <v>Medium</v>
      </c>
      <c r="F414" s="23">
        <f>IFERROR(__xludf.DUMMYFUNCTION("""COMPUTED_VALUE"""),3866.0)</f>
        <v>3866</v>
      </c>
      <c r="G414" s="23">
        <f>IFERROR(__xludf.DUMMYFUNCTION("""COMPUTED_VALUE"""),249.0)</f>
        <v>249</v>
      </c>
      <c r="H414" s="23" t="str">
        <f>IFERROR(__xludf.DUMMYFUNCTION("""COMPUTED_VALUE"""),"Algorithms")</f>
        <v>Algorithms</v>
      </c>
      <c r="I414" s="23">
        <f>IFERROR(__xludf.DUMMYFUNCTION("""COMPUTED_VALUE"""),0.644)</f>
        <v>0.644</v>
      </c>
      <c r="J414" s="23">
        <f>IFERROR(__xludf.DUMMYFUNCTION("""COMPUTED_VALUE"""),413.0)</f>
        <v>413</v>
      </c>
      <c r="K414" s="23" t="b">
        <f>IFERROR(__xludf.DUMMYFUNCTION("""COMPUTED_VALUE"""),FALSE)</f>
        <v>0</v>
      </c>
      <c r="L414" s="23" t="str">
        <f>IFERROR(__xludf.DUMMYFUNCTION("""COMPUTED_VALUE"""),"Array;Dynamic Programming;")</f>
        <v>Array;Dynamic Programming;</v>
      </c>
      <c r="M414" s="23" t="b">
        <f>IFERROR(__xludf.DUMMYFUNCTION("""COMPUTED_VALUE"""),TRUE)</f>
        <v>1</v>
      </c>
      <c r="N414" s="23" t="b">
        <f>IFERROR(__xludf.DUMMYFUNCTION("""COMPUTED_VALUE"""),FALSE)</f>
        <v>0</v>
      </c>
      <c r="O414" s="23">
        <f>IFERROR(__xludf.DUMMYFUNCTION("""COMPUTED_VALUE"""),64.4211667480219)</f>
        <v>64.42116675</v>
      </c>
      <c r="P414" s="23">
        <f>IFERROR(__xludf.DUMMYFUNCTION("""COMPUTED_VALUE"""),226996.0)</f>
        <v>226996</v>
      </c>
      <c r="Q414" s="23">
        <f>IFERROR(__xludf.DUMMYFUNCTION("""COMPUTED_VALUE"""),352363.0)</f>
        <v>352363</v>
      </c>
    </row>
    <row r="415">
      <c r="A415" s="23">
        <f>IFERROR(__xludf.DUMMYFUNCTION("""COMPUTED_VALUE"""),414.0)</f>
        <v>414</v>
      </c>
      <c r="B415" s="23" t="str">
        <f>IFERROR(__xludf.DUMMYFUNCTION("""COMPUTED_VALUE"""),"Third Maximum Number")</f>
        <v>Third Maximum Number</v>
      </c>
      <c r="C415" s="23" t="str">
        <f>IFERROR(__xludf.DUMMYFUNCTION("""COMPUTED_VALUE"""),"third-maximum-number")</f>
        <v>third-maximum-number</v>
      </c>
      <c r="D415" s="23" t="b">
        <f>IFERROR(__xludf.DUMMYFUNCTION("""COMPUTED_VALUE"""),FALSE)</f>
        <v>0</v>
      </c>
      <c r="E415" s="23" t="str">
        <f>IFERROR(__xludf.DUMMYFUNCTION("""COMPUTED_VALUE"""),"Easy")</f>
        <v>Easy</v>
      </c>
      <c r="F415" s="23">
        <f>IFERROR(__xludf.DUMMYFUNCTION("""COMPUTED_VALUE"""),1645.0)</f>
        <v>1645</v>
      </c>
      <c r="G415" s="23">
        <f>IFERROR(__xludf.DUMMYFUNCTION("""COMPUTED_VALUE"""),2286.0)</f>
        <v>2286</v>
      </c>
      <c r="H415" s="23" t="str">
        <f>IFERROR(__xludf.DUMMYFUNCTION("""COMPUTED_VALUE"""),"Algorithms")</f>
        <v>Algorithms</v>
      </c>
      <c r="I415" s="23">
        <f>IFERROR(__xludf.DUMMYFUNCTION("""COMPUTED_VALUE"""),0.318)</f>
        <v>0.318</v>
      </c>
      <c r="J415" s="23">
        <f>IFERROR(__xludf.DUMMYFUNCTION("""COMPUTED_VALUE"""),414.0)</f>
        <v>414</v>
      </c>
      <c r="K415" s="23" t="b">
        <f>IFERROR(__xludf.DUMMYFUNCTION("""COMPUTED_VALUE"""),FALSE)</f>
        <v>0</v>
      </c>
      <c r="L415" s="23" t="str">
        <f>IFERROR(__xludf.DUMMYFUNCTION("""COMPUTED_VALUE"""),"Array;Sorting;")</f>
        <v>Array;Sorting;</v>
      </c>
      <c r="M415" s="23" t="b">
        <f>IFERROR(__xludf.DUMMYFUNCTION("""COMPUTED_VALUE"""),TRUE)</f>
        <v>1</v>
      </c>
      <c r="N415" s="23" t="b">
        <f>IFERROR(__xludf.DUMMYFUNCTION("""COMPUTED_VALUE"""),FALSE)</f>
        <v>0</v>
      </c>
      <c r="O415" s="23">
        <f>IFERROR(__xludf.DUMMYFUNCTION("""COMPUTED_VALUE"""),31.8136091698276)</f>
        <v>31.81360917</v>
      </c>
      <c r="P415" s="23">
        <f>IFERROR(__xludf.DUMMYFUNCTION("""COMPUTED_VALUE"""),322568.0)</f>
        <v>322568</v>
      </c>
      <c r="Q415" s="23">
        <f>IFERROR(__xludf.DUMMYFUNCTION("""COMPUTED_VALUE"""),1013927.0)</f>
        <v>1013927</v>
      </c>
    </row>
    <row r="416">
      <c r="A416" s="23">
        <f>IFERROR(__xludf.DUMMYFUNCTION("""COMPUTED_VALUE"""),415.0)</f>
        <v>415</v>
      </c>
      <c r="B416" s="23" t="str">
        <f>IFERROR(__xludf.DUMMYFUNCTION("""COMPUTED_VALUE"""),"Add Strings")</f>
        <v>Add Strings</v>
      </c>
      <c r="C416" s="23" t="str">
        <f>IFERROR(__xludf.DUMMYFUNCTION("""COMPUTED_VALUE"""),"add-strings")</f>
        <v>add-strings</v>
      </c>
      <c r="D416" s="23" t="b">
        <f>IFERROR(__xludf.DUMMYFUNCTION("""COMPUTED_VALUE"""),FALSE)</f>
        <v>0</v>
      </c>
      <c r="E416" s="23" t="str">
        <f>IFERROR(__xludf.DUMMYFUNCTION("""COMPUTED_VALUE"""),"Easy")</f>
        <v>Easy</v>
      </c>
      <c r="F416" s="23">
        <f>IFERROR(__xludf.DUMMYFUNCTION("""COMPUTED_VALUE"""),3204.0)</f>
        <v>3204</v>
      </c>
      <c r="G416" s="23">
        <f>IFERROR(__xludf.DUMMYFUNCTION("""COMPUTED_VALUE"""),545.0)</f>
        <v>545</v>
      </c>
      <c r="H416" s="23" t="str">
        <f>IFERROR(__xludf.DUMMYFUNCTION("""COMPUTED_VALUE"""),"Algorithms")</f>
        <v>Algorithms</v>
      </c>
      <c r="I416" s="23">
        <f>IFERROR(__xludf.DUMMYFUNCTION("""COMPUTED_VALUE"""),0.521)</f>
        <v>0.521</v>
      </c>
      <c r="J416" s="23">
        <f>IFERROR(__xludf.DUMMYFUNCTION("""COMPUTED_VALUE"""),415.0)</f>
        <v>415</v>
      </c>
      <c r="K416" s="23" t="b">
        <f>IFERROR(__xludf.DUMMYFUNCTION("""COMPUTED_VALUE"""),FALSE)</f>
        <v>0</v>
      </c>
      <c r="L416" s="23" t="str">
        <f>IFERROR(__xludf.DUMMYFUNCTION("""COMPUTED_VALUE"""),"Math;String;Simulation;")</f>
        <v>Math;String;Simulation;</v>
      </c>
      <c r="M416" s="23" t="b">
        <f>IFERROR(__xludf.DUMMYFUNCTION("""COMPUTED_VALUE"""),TRUE)</f>
        <v>1</v>
      </c>
      <c r="N416" s="23" t="b">
        <f>IFERROR(__xludf.DUMMYFUNCTION("""COMPUTED_VALUE"""),FALSE)</f>
        <v>0</v>
      </c>
      <c r="O416" s="23">
        <f>IFERROR(__xludf.DUMMYFUNCTION("""COMPUTED_VALUE"""),52.1335573194836)</f>
        <v>52.13355732</v>
      </c>
      <c r="P416" s="23">
        <f>IFERROR(__xludf.DUMMYFUNCTION("""COMPUTED_VALUE"""),467366.0)</f>
        <v>467366</v>
      </c>
      <c r="Q416" s="23">
        <f>IFERROR(__xludf.DUMMYFUNCTION("""COMPUTED_VALUE"""),896481.0)</f>
        <v>896481</v>
      </c>
    </row>
    <row r="417">
      <c r="A417" s="23">
        <f>IFERROR(__xludf.DUMMYFUNCTION("""COMPUTED_VALUE"""),416.0)</f>
        <v>416</v>
      </c>
      <c r="B417" s="23" t="str">
        <f>IFERROR(__xludf.DUMMYFUNCTION("""COMPUTED_VALUE"""),"Partition Equal Subset Sum")</f>
        <v>Partition Equal Subset Sum</v>
      </c>
      <c r="C417" s="23" t="str">
        <f>IFERROR(__xludf.DUMMYFUNCTION("""COMPUTED_VALUE"""),"partition-equal-subset-sum")</f>
        <v>partition-equal-subset-sum</v>
      </c>
      <c r="D417" s="23" t="b">
        <f>IFERROR(__xludf.DUMMYFUNCTION("""COMPUTED_VALUE"""),FALSE)</f>
        <v>0</v>
      </c>
      <c r="E417" s="23" t="str">
        <f>IFERROR(__xludf.DUMMYFUNCTION("""COMPUTED_VALUE"""),"Medium")</f>
        <v>Medium</v>
      </c>
      <c r="F417" s="23">
        <f>IFERROR(__xludf.DUMMYFUNCTION("""COMPUTED_VALUE"""),7312.0)</f>
        <v>7312</v>
      </c>
      <c r="G417" s="23">
        <f>IFERROR(__xludf.DUMMYFUNCTION("""COMPUTED_VALUE"""),115.0)</f>
        <v>115</v>
      </c>
      <c r="H417" s="23" t="str">
        <f>IFERROR(__xludf.DUMMYFUNCTION("""COMPUTED_VALUE"""),"Algorithms")</f>
        <v>Algorithms</v>
      </c>
      <c r="I417" s="23">
        <f>IFERROR(__xludf.DUMMYFUNCTION("""COMPUTED_VALUE"""),0.464)</f>
        <v>0.464</v>
      </c>
      <c r="J417" s="23">
        <f>IFERROR(__xludf.DUMMYFUNCTION("""COMPUTED_VALUE"""),416.0)</f>
        <v>416</v>
      </c>
      <c r="K417" s="23" t="b">
        <f>IFERROR(__xludf.DUMMYFUNCTION("""COMPUTED_VALUE"""),FALSE)</f>
        <v>0</v>
      </c>
      <c r="L417" s="23" t="str">
        <f>IFERROR(__xludf.DUMMYFUNCTION("""COMPUTED_VALUE"""),"Array;Dynamic Programming;")</f>
        <v>Array;Dynamic Programming;</v>
      </c>
      <c r="M417" s="23" t="b">
        <f>IFERROR(__xludf.DUMMYFUNCTION("""COMPUTED_VALUE"""),TRUE)</f>
        <v>1</v>
      </c>
      <c r="N417" s="23" t="b">
        <f>IFERROR(__xludf.DUMMYFUNCTION("""COMPUTED_VALUE"""),TRUE)</f>
        <v>1</v>
      </c>
      <c r="O417" s="23">
        <f>IFERROR(__xludf.DUMMYFUNCTION("""COMPUTED_VALUE"""),46.3876412781139)</f>
        <v>46.38764128</v>
      </c>
      <c r="P417" s="23">
        <f>IFERROR(__xludf.DUMMYFUNCTION("""COMPUTED_VALUE"""),433982.0)</f>
        <v>433982</v>
      </c>
      <c r="Q417" s="23">
        <f>IFERROR(__xludf.DUMMYFUNCTION("""COMPUTED_VALUE"""),935561.0)</f>
        <v>935561</v>
      </c>
    </row>
    <row r="418">
      <c r="A418" s="23">
        <f>IFERROR(__xludf.DUMMYFUNCTION("""COMPUTED_VALUE"""),417.0)</f>
        <v>417</v>
      </c>
      <c r="B418" s="23" t="str">
        <f>IFERROR(__xludf.DUMMYFUNCTION("""COMPUTED_VALUE"""),"Pacific Atlantic Water Flow")</f>
        <v>Pacific Atlantic Water Flow</v>
      </c>
      <c r="C418" s="23" t="str">
        <f>IFERROR(__xludf.DUMMYFUNCTION("""COMPUTED_VALUE"""),"pacific-atlantic-water-flow")</f>
        <v>pacific-atlantic-water-flow</v>
      </c>
      <c r="D418" s="23" t="b">
        <f>IFERROR(__xludf.DUMMYFUNCTION("""COMPUTED_VALUE"""),FALSE)</f>
        <v>0</v>
      </c>
      <c r="E418" s="23" t="str">
        <f>IFERROR(__xludf.DUMMYFUNCTION("""COMPUTED_VALUE"""),"Medium")</f>
        <v>Medium</v>
      </c>
      <c r="F418" s="23">
        <f>IFERROR(__xludf.DUMMYFUNCTION("""COMPUTED_VALUE"""),3553.0)</f>
        <v>3553</v>
      </c>
      <c r="G418" s="23">
        <f>IFERROR(__xludf.DUMMYFUNCTION("""COMPUTED_VALUE"""),808.0)</f>
        <v>808</v>
      </c>
      <c r="H418" s="23" t="str">
        <f>IFERROR(__xludf.DUMMYFUNCTION("""COMPUTED_VALUE"""),"Algorithms")</f>
        <v>Algorithms</v>
      </c>
      <c r="I418" s="23">
        <f>IFERROR(__xludf.DUMMYFUNCTION("""COMPUTED_VALUE"""),0.491)</f>
        <v>0.491</v>
      </c>
      <c r="J418" s="23">
        <f>IFERROR(__xludf.DUMMYFUNCTION("""COMPUTED_VALUE"""),417.0)</f>
        <v>417</v>
      </c>
      <c r="K418" s="23" t="b">
        <f>IFERROR(__xludf.DUMMYFUNCTION("""COMPUTED_VALUE"""),FALSE)</f>
        <v>0</v>
      </c>
      <c r="L418" s="23" t="str">
        <f>IFERROR(__xludf.DUMMYFUNCTION("""COMPUTED_VALUE"""),"Array;Depth-First Search;Breadth-First Search;Matrix;")</f>
        <v>Array;Depth-First Search;Breadth-First Search;Matrix;</v>
      </c>
      <c r="M418" s="23" t="b">
        <f>IFERROR(__xludf.DUMMYFUNCTION("""COMPUTED_VALUE"""),TRUE)</f>
        <v>1</v>
      </c>
      <c r="N418" s="23" t="b">
        <f>IFERROR(__xludf.DUMMYFUNCTION("""COMPUTED_VALUE"""),FALSE)</f>
        <v>0</v>
      </c>
      <c r="O418" s="23">
        <f>IFERROR(__xludf.DUMMYFUNCTION("""COMPUTED_VALUE"""),49.1383243831385)</f>
        <v>49.13832438</v>
      </c>
      <c r="P418" s="23">
        <f>IFERROR(__xludf.DUMMYFUNCTION("""COMPUTED_VALUE"""),195997.0)</f>
        <v>195997</v>
      </c>
      <c r="Q418" s="23">
        <f>IFERROR(__xludf.DUMMYFUNCTION("""COMPUTED_VALUE"""),398870.0)</f>
        <v>398870</v>
      </c>
    </row>
    <row r="419">
      <c r="A419" s="23">
        <f>IFERROR(__xludf.DUMMYFUNCTION("""COMPUTED_VALUE"""),418.0)</f>
        <v>418</v>
      </c>
      <c r="B419" s="23" t="str">
        <f>IFERROR(__xludf.DUMMYFUNCTION("""COMPUTED_VALUE"""),"Sentence Screen Fitting")</f>
        <v>Sentence Screen Fitting</v>
      </c>
      <c r="C419" s="23" t="str">
        <f>IFERROR(__xludf.DUMMYFUNCTION("""COMPUTED_VALUE"""),"sentence-screen-fitting")</f>
        <v>sentence-screen-fitting</v>
      </c>
      <c r="D419" s="23" t="b">
        <f>IFERROR(__xludf.DUMMYFUNCTION("""COMPUTED_VALUE"""),TRUE)</f>
        <v>1</v>
      </c>
      <c r="E419" s="23" t="str">
        <f>IFERROR(__xludf.DUMMYFUNCTION("""COMPUTED_VALUE"""),"Medium")</f>
        <v>Medium</v>
      </c>
      <c r="F419" s="23">
        <f>IFERROR(__xludf.DUMMYFUNCTION("""COMPUTED_VALUE"""),885.0)</f>
        <v>885</v>
      </c>
      <c r="G419" s="23">
        <f>IFERROR(__xludf.DUMMYFUNCTION("""COMPUTED_VALUE"""),449.0)</f>
        <v>449</v>
      </c>
      <c r="H419" s="23" t="str">
        <f>IFERROR(__xludf.DUMMYFUNCTION("""COMPUTED_VALUE"""),"Algorithms")</f>
        <v>Algorithms</v>
      </c>
      <c r="I419" s="23">
        <f>IFERROR(__xludf.DUMMYFUNCTION("""COMPUTED_VALUE"""),0.354)</f>
        <v>0.354</v>
      </c>
      <c r="J419" s="23">
        <f>IFERROR(__xludf.DUMMYFUNCTION("""COMPUTED_VALUE"""),418.0)</f>
        <v>418</v>
      </c>
      <c r="K419" s="23" t="b">
        <f>IFERROR(__xludf.DUMMYFUNCTION("""COMPUTED_VALUE"""),TRUE)</f>
        <v>1</v>
      </c>
      <c r="L419" s="23" t="str">
        <f>IFERROR(__xludf.DUMMYFUNCTION("""COMPUTED_VALUE"""),"String;Dynamic Programming;Simulation;")</f>
        <v>String;Dynamic Programming;Simulation;</v>
      </c>
      <c r="M419" s="23" t="b">
        <f>IFERROR(__xludf.DUMMYFUNCTION("""COMPUTED_VALUE"""),FALSE)</f>
        <v>0</v>
      </c>
      <c r="N419" s="23" t="b">
        <f>IFERROR(__xludf.DUMMYFUNCTION("""COMPUTED_VALUE"""),FALSE)</f>
        <v>0</v>
      </c>
      <c r="O419" s="23">
        <f>IFERROR(__xludf.DUMMYFUNCTION("""COMPUTED_VALUE"""),35.376920516459)</f>
        <v>35.37692052</v>
      </c>
      <c r="P419" s="23">
        <f>IFERROR(__xludf.DUMMYFUNCTION("""COMPUTED_VALUE"""),80774.0)</f>
        <v>80774</v>
      </c>
      <c r="Q419" s="23">
        <f>IFERROR(__xludf.DUMMYFUNCTION("""COMPUTED_VALUE"""),228324.0)</f>
        <v>228324</v>
      </c>
    </row>
    <row r="420">
      <c r="A420" s="23">
        <f>IFERROR(__xludf.DUMMYFUNCTION("""COMPUTED_VALUE"""),419.0)</f>
        <v>419</v>
      </c>
      <c r="B420" s="23" t="str">
        <f>IFERROR(__xludf.DUMMYFUNCTION("""COMPUTED_VALUE"""),"Battleships in a Board")</f>
        <v>Battleships in a Board</v>
      </c>
      <c r="C420" s="23" t="str">
        <f>IFERROR(__xludf.DUMMYFUNCTION("""COMPUTED_VALUE"""),"battleships-in-a-board")</f>
        <v>battleships-in-a-board</v>
      </c>
      <c r="D420" s="23" t="b">
        <f>IFERROR(__xludf.DUMMYFUNCTION("""COMPUTED_VALUE"""),FALSE)</f>
        <v>0</v>
      </c>
      <c r="E420" s="23" t="str">
        <f>IFERROR(__xludf.DUMMYFUNCTION("""COMPUTED_VALUE"""),"Medium")</f>
        <v>Medium</v>
      </c>
      <c r="F420" s="23">
        <f>IFERROR(__xludf.DUMMYFUNCTION("""COMPUTED_VALUE"""),1473.0)</f>
        <v>1473</v>
      </c>
      <c r="G420" s="23">
        <f>IFERROR(__xludf.DUMMYFUNCTION("""COMPUTED_VALUE"""),734.0)</f>
        <v>734</v>
      </c>
      <c r="H420" s="23" t="str">
        <f>IFERROR(__xludf.DUMMYFUNCTION("""COMPUTED_VALUE"""),"Algorithms")</f>
        <v>Algorithms</v>
      </c>
      <c r="I420" s="23">
        <f>IFERROR(__xludf.DUMMYFUNCTION("""COMPUTED_VALUE"""),0.734)</f>
        <v>0.734</v>
      </c>
      <c r="J420" s="23">
        <f>IFERROR(__xludf.DUMMYFUNCTION("""COMPUTED_VALUE"""),419.0)</f>
        <v>419</v>
      </c>
      <c r="K420" s="23" t="b">
        <f>IFERROR(__xludf.DUMMYFUNCTION("""COMPUTED_VALUE"""),FALSE)</f>
        <v>0</v>
      </c>
      <c r="L420" s="23" t="str">
        <f>IFERROR(__xludf.DUMMYFUNCTION("""COMPUTED_VALUE"""),"Array;Depth-First Search;Matrix;")</f>
        <v>Array;Depth-First Search;Matrix;</v>
      </c>
      <c r="M420" s="23" t="b">
        <f>IFERROR(__xludf.DUMMYFUNCTION("""COMPUTED_VALUE"""),FALSE)</f>
        <v>0</v>
      </c>
      <c r="N420" s="23" t="b">
        <f>IFERROR(__xludf.DUMMYFUNCTION("""COMPUTED_VALUE"""),FALSE)</f>
        <v>0</v>
      </c>
      <c r="O420" s="23">
        <f>IFERROR(__xludf.DUMMYFUNCTION("""COMPUTED_VALUE"""),73.441896543857)</f>
        <v>73.44189654</v>
      </c>
      <c r="P420" s="23">
        <f>IFERROR(__xludf.DUMMYFUNCTION("""COMPUTED_VALUE"""),144859.0)</f>
        <v>144859</v>
      </c>
      <c r="Q420" s="23">
        <f>IFERROR(__xludf.DUMMYFUNCTION("""COMPUTED_VALUE"""),197243.0)</f>
        <v>197243</v>
      </c>
    </row>
    <row r="421">
      <c r="A421" s="23">
        <f>IFERROR(__xludf.DUMMYFUNCTION("""COMPUTED_VALUE"""),420.0)</f>
        <v>420</v>
      </c>
      <c r="B421" s="23" t="str">
        <f>IFERROR(__xludf.DUMMYFUNCTION("""COMPUTED_VALUE"""),"Strong Password Checker")</f>
        <v>Strong Password Checker</v>
      </c>
      <c r="C421" s="23" t="str">
        <f>IFERROR(__xludf.DUMMYFUNCTION("""COMPUTED_VALUE"""),"strong-password-checker")</f>
        <v>strong-password-checker</v>
      </c>
      <c r="D421" s="23" t="b">
        <f>IFERROR(__xludf.DUMMYFUNCTION("""COMPUTED_VALUE"""),FALSE)</f>
        <v>0</v>
      </c>
      <c r="E421" s="23" t="str">
        <f>IFERROR(__xludf.DUMMYFUNCTION("""COMPUTED_VALUE"""),"Hard")</f>
        <v>Hard</v>
      </c>
      <c r="F421" s="23">
        <f>IFERROR(__xludf.DUMMYFUNCTION("""COMPUTED_VALUE"""),475.0)</f>
        <v>475</v>
      </c>
      <c r="G421" s="23">
        <f>IFERROR(__xludf.DUMMYFUNCTION("""COMPUTED_VALUE"""),1259.0)</f>
        <v>1259</v>
      </c>
      <c r="H421" s="23" t="str">
        <f>IFERROR(__xludf.DUMMYFUNCTION("""COMPUTED_VALUE"""),"Algorithms")</f>
        <v>Algorithms</v>
      </c>
      <c r="I421" s="23">
        <f>IFERROR(__xludf.DUMMYFUNCTION("""COMPUTED_VALUE"""),0.142)</f>
        <v>0.142</v>
      </c>
      <c r="J421" s="23">
        <f>IFERROR(__xludf.DUMMYFUNCTION("""COMPUTED_VALUE"""),420.0)</f>
        <v>420</v>
      </c>
      <c r="K421" s="23" t="b">
        <f>IFERROR(__xludf.DUMMYFUNCTION("""COMPUTED_VALUE"""),FALSE)</f>
        <v>0</v>
      </c>
      <c r="L421" s="23" t="str">
        <f>IFERROR(__xludf.DUMMYFUNCTION("""COMPUTED_VALUE"""),"String;Greedy;Heap (Priority Queue);")</f>
        <v>String;Greedy;Heap (Priority Queue);</v>
      </c>
      <c r="M421" s="23" t="b">
        <f>IFERROR(__xludf.DUMMYFUNCTION("""COMPUTED_VALUE"""),FALSE)</f>
        <v>0</v>
      </c>
      <c r="N421" s="23" t="b">
        <f>IFERROR(__xludf.DUMMYFUNCTION("""COMPUTED_VALUE"""),FALSE)</f>
        <v>0</v>
      </c>
      <c r="O421" s="23">
        <f>IFERROR(__xludf.DUMMYFUNCTION("""COMPUTED_VALUE"""),14.1794002121286)</f>
        <v>14.17940021</v>
      </c>
      <c r="P421" s="23">
        <f>IFERROR(__xludf.DUMMYFUNCTION("""COMPUTED_VALUE"""),24331.0)</f>
        <v>24331</v>
      </c>
      <c r="Q421" s="23">
        <f>IFERROR(__xludf.DUMMYFUNCTION("""COMPUTED_VALUE"""),171594.0)</f>
        <v>171594</v>
      </c>
    </row>
    <row r="422">
      <c r="A422" s="23">
        <f>IFERROR(__xludf.DUMMYFUNCTION("""COMPUTED_VALUE"""),421.0)</f>
        <v>421</v>
      </c>
      <c r="B422" s="23" t="str">
        <f>IFERROR(__xludf.DUMMYFUNCTION("""COMPUTED_VALUE"""),"Maximum XOR of Two Numbers in an Array")</f>
        <v>Maximum XOR of Two Numbers in an Array</v>
      </c>
      <c r="C422" s="23" t="str">
        <f>IFERROR(__xludf.DUMMYFUNCTION("""COMPUTED_VALUE"""),"maximum-xor-of-two-numbers-in-an-array")</f>
        <v>maximum-xor-of-two-numbers-in-an-array</v>
      </c>
      <c r="D422" s="23" t="b">
        <f>IFERROR(__xludf.DUMMYFUNCTION("""COMPUTED_VALUE"""),FALSE)</f>
        <v>0</v>
      </c>
      <c r="E422" s="23" t="str">
        <f>IFERROR(__xludf.DUMMYFUNCTION("""COMPUTED_VALUE"""),"Medium")</f>
        <v>Medium</v>
      </c>
      <c r="F422" s="23">
        <f>IFERROR(__xludf.DUMMYFUNCTION("""COMPUTED_VALUE"""),3852.0)</f>
        <v>3852</v>
      </c>
      <c r="G422" s="23">
        <f>IFERROR(__xludf.DUMMYFUNCTION("""COMPUTED_VALUE"""),325.0)</f>
        <v>325</v>
      </c>
      <c r="H422" s="23" t="str">
        <f>IFERROR(__xludf.DUMMYFUNCTION("""COMPUTED_VALUE"""),"Algorithms")</f>
        <v>Algorithms</v>
      </c>
      <c r="I422" s="23">
        <f>IFERROR(__xludf.DUMMYFUNCTION("""COMPUTED_VALUE"""),0.543)</f>
        <v>0.543</v>
      </c>
      <c r="J422" s="23">
        <f>IFERROR(__xludf.DUMMYFUNCTION("""COMPUTED_VALUE"""),421.0)</f>
        <v>421</v>
      </c>
      <c r="K422" s="23" t="b">
        <f>IFERROR(__xludf.DUMMYFUNCTION("""COMPUTED_VALUE"""),FALSE)</f>
        <v>0</v>
      </c>
      <c r="L422" s="23" t="str">
        <f>IFERROR(__xludf.DUMMYFUNCTION("""COMPUTED_VALUE"""),"Array;Hash Table;Bit Manipulation;Trie;")</f>
        <v>Array;Hash Table;Bit Manipulation;Trie;</v>
      </c>
      <c r="M422" s="23" t="b">
        <f>IFERROR(__xludf.DUMMYFUNCTION("""COMPUTED_VALUE"""),TRUE)</f>
        <v>1</v>
      </c>
      <c r="N422" s="23" t="b">
        <f>IFERROR(__xludf.DUMMYFUNCTION("""COMPUTED_VALUE"""),FALSE)</f>
        <v>0</v>
      </c>
      <c r="O422" s="23">
        <f>IFERROR(__xludf.DUMMYFUNCTION("""COMPUTED_VALUE"""),54.2833886363434)</f>
        <v>54.28338864</v>
      </c>
      <c r="P422" s="23">
        <f>IFERROR(__xludf.DUMMYFUNCTION("""COMPUTED_VALUE"""),122041.0)</f>
        <v>122041</v>
      </c>
      <c r="Q422" s="23">
        <f>IFERROR(__xludf.DUMMYFUNCTION("""COMPUTED_VALUE"""),224822.0)</f>
        <v>224822</v>
      </c>
    </row>
    <row r="423">
      <c r="A423" s="23">
        <f>IFERROR(__xludf.DUMMYFUNCTION("""COMPUTED_VALUE"""),422.0)</f>
        <v>422</v>
      </c>
      <c r="B423" s="23" t="str">
        <f>IFERROR(__xludf.DUMMYFUNCTION("""COMPUTED_VALUE"""),"Valid Word Square")</f>
        <v>Valid Word Square</v>
      </c>
      <c r="C423" s="23" t="str">
        <f>IFERROR(__xludf.DUMMYFUNCTION("""COMPUTED_VALUE"""),"valid-word-square")</f>
        <v>valid-word-square</v>
      </c>
      <c r="D423" s="23" t="b">
        <f>IFERROR(__xludf.DUMMYFUNCTION("""COMPUTED_VALUE"""),TRUE)</f>
        <v>1</v>
      </c>
      <c r="E423" s="23" t="str">
        <f>IFERROR(__xludf.DUMMYFUNCTION("""COMPUTED_VALUE"""),"Easy")</f>
        <v>Easy</v>
      </c>
      <c r="F423" s="23">
        <f>IFERROR(__xludf.DUMMYFUNCTION("""COMPUTED_VALUE"""),286.0)</f>
        <v>286</v>
      </c>
      <c r="G423" s="23">
        <f>IFERROR(__xludf.DUMMYFUNCTION("""COMPUTED_VALUE"""),174.0)</f>
        <v>174</v>
      </c>
      <c r="H423" s="23" t="str">
        <f>IFERROR(__xludf.DUMMYFUNCTION("""COMPUTED_VALUE"""),"Algorithms")</f>
        <v>Algorithms</v>
      </c>
      <c r="I423" s="23">
        <f>IFERROR(__xludf.DUMMYFUNCTION("""COMPUTED_VALUE"""),0.387)</f>
        <v>0.387</v>
      </c>
      <c r="J423" s="23">
        <f>IFERROR(__xludf.DUMMYFUNCTION("""COMPUTED_VALUE"""),422.0)</f>
        <v>422</v>
      </c>
      <c r="K423" s="23" t="b">
        <f>IFERROR(__xludf.DUMMYFUNCTION("""COMPUTED_VALUE"""),TRUE)</f>
        <v>1</v>
      </c>
      <c r="L423" s="23" t="str">
        <f>IFERROR(__xludf.DUMMYFUNCTION("""COMPUTED_VALUE"""),"Array;Matrix;")</f>
        <v>Array;Matrix;</v>
      </c>
      <c r="M423" s="23" t="b">
        <f>IFERROR(__xludf.DUMMYFUNCTION("""COMPUTED_VALUE"""),FALSE)</f>
        <v>0</v>
      </c>
      <c r="N423" s="23" t="b">
        <f>IFERROR(__xludf.DUMMYFUNCTION("""COMPUTED_VALUE"""),FALSE)</f>
        <v>0</v>
      </c>
      <c r="O423" s="23">
        <f>IFERROR(__xludf.DUMMYFUNCTION("""COMPUTED_VALUE"""),38.6583812574781)</f>
        <v>38.65838126</v>
      </c>
      <c r="P423" s="23">
        <f>IFERROR(__xludf.DUMMYFUNCTION("""COMPUTED_VALUE"""),40063.0)</f>
        <v>40063</v>
      </c>
      <c r="Q423" s="23">
        <f>IFERROR(__xludf.DUMMYFUNCTION("""COMPUTED_VALUE"""),103635.0)</f>
        <v>103635</v>
      </c>
    </row>
    <row r="424">
      <c r="A424" s="23">
        <f>IFERROR(__xludf.DUMMYFUNCTION("""COMPUTED_VALUE"""),423.0)</f>
        <v>423</v>
      </c>
      <c r="B424" s="23" t="str">
        <f>IFERROR(__xludf.DUMMYFUNCTION("""COMPUTED_VALUE"""),"Reconstruct Original Digits from English")</f>
        <v>Reconstruct Original Digits from English</v>
      </c>
      <c r="C424" s="23" t="str">
        <f>IFERROR(__xludf.DUMMYFUNCTION("""COMPUTED_VALUE"""),"reconstruct-original-digits-from-english")</f>
        <v>reconstruct-original-digits-from-english</v>
      </c>
      <c r="D424" s="23" t="b">
        <f>IFERROR(__xludf.DUMMYFUNCTION("""COMPUTED_VALUE"""),FALSE)</f>
        <v>0</v>
      </c>
      <c r="E424" s="23" t="str">
        <f>IFERROR(__xludf.DUMMYFUNCTION("""COMPUTED_VALUE"""),"Medium")</f>
        <v>Medium</v>
      </c>
      <c r="F424" s="23">
        <f>IFERROR(__xludf.DUMMYFUNCTION("""COMPUTED_VALUE"""),606.0)</f>
        <v>606</v>
      </c>
      <c r="G424" s="23">
        <f>IFERROR(__xludf.DUMMYFUNCTION("""COMPUTED_VALUE"""),2053.0)</f>
        <v>2053</v>
      </c>
      <c r="H424" s="23" t="str">
        <f>IFERROR(__xludf.DUMMYFUNCTION("""COMPUTED_VALUE"""),"Algorithms")</f>
        <v>Algorithms</v>
      </c>
      <c r="I424" s="23">
        <f>IFERROR(__xludf.DUMMYFUNCTION("""COMPUTED_VALUE"""),0.512)</f>
        <v>0.512</v>
      </c>
      <c r="J424" s="23">
        <f>IFERROR(__xludf.DUMMYFUNCTION("""COMPUTED_VALUE"""),423.0)</f>
        <v>423</v>
      </c>
      <c r="K424" s="23" t="b">
        <f>IFERROR(__xludf.DUMMYFUNCTION("""COMPUTED_VALUE"""),FALSE)</f>
        <v>0</v>
      </c>
      <c r="L424" s="23" t="str">
        <f>IFERROR(__xludf.DUMMYFUNCTION("""COMPUTED_VALUE"""),"Hash Table;Math;String;")</f>
        <v>Hash Table;Math;String;</v>
      </c>
      <c r="M424" s="23" t="b">
        <f>IFERROR(__xludf.DUMMYFUNCTION("""COMPUTED_VALUE"""),TRUE)</f>
        <v>1</v>
      </c>
      <c r="N424" s="23" t="b">
        <f>IFERROR(__xludf.DUMMYFUNCTION("""COMPUTED_VALUE"""),FALSE)</f>
        <v>0</v>
      </c>
      <c r="O424" s="23">
        <f>IFERROR(__xludf.DUMMYFUNCTION("""COMPUTED_VALUE"""),51.1938081206858)</f>
        <v>51.19380812</v>
      </c>
      <c r="P424" s="23">
        <f>IFERROR(__xludf.DUMMYFUNCTION("""COMPUTED_VALUE"""),62373.0)</f>
        <v>62373</v>
      </c>
      <c r="Q424" s="23">
        <f>IFERROR(__xludf.DUMMYFUNCTION("""COMPUTED_VALUE"""),121837.0)</f>
        <v>121837</v>
      </c>
    </row>
    <row r="425">
      <c r="A425" s="23">
        <f>IFERROR(__xludf.DUMMYFUNCTION("""COMPUTED_VALUE"""),424.0)</f>
        <v>424</v>
      </c>
      <c r="B425" s="23" t="str">
        <f>IFERROR(__xludf.DUMMYFUNCTION("""COMPUTED_VALUE"""),"Longest Repeating Character Replacement")</f>
        <v>Longest Repeating Character Replacement</v>
      </c>
      <c r="C425" s="23" t="str">
        <f>IFERROR(__xludf.DUMMYFUNCTION("""COMPUTED_VALUE"""),"longest-repeating-character-replacement")</f>
        <v>longest-repeating-character-replacement</v>
      </c>
      <c r="D425" s="23" t="b">
        <f>IFERROR(__xludf.DUMMYFUNCTION("""COMPUTED_VALUE"""),FALSE)</f>
        <v>0</v>
      </c>
      <c r="E425" s="23" t="str">
        <f>IFERROR(__xludf.DUMMYFUNCTION("""COMPUTED_VALUE"""),"Medium")</f>
        <v>Medium</v>
      </c>
      <c r="F425" s="23">
        <f>IFERROR(__xludf.DUMMYFUNCTION("""COMPUTED_VALUE"""),4269.0)</f>
        <v>4269</v>
      </c>
      <c r="G425" s="23">
        <f>IFERROR(__xludf.DUMMYFUNCTION("""COMPUTED_VALUE"""),171.0)</f>
        <v>171</v>
      </c>
      <c r="H425" s="23" t="str">
        <f>IFERROR(__xludf.DUMMYFUNCTION("""COMPUTED_VALUE"""),"Algorithms")</f>
        <v>Algorithms</v>
      </c>
      <c r="I425" s="23">
        <f>IFERROR(__xludf.DUMMYFUNCTION("""COMPUTED_VALUE"""),0.508)</f>
        <v>0.508</v>
      </c>
      <c r="J425" s="23">
        <f>IFERROR(__xludf.DUMMYFUNCTION("""COMPUTED_VALUE"""),424.0)</f>
        <v>424</v>
      </c>
      <c r="K425" s="23" t="b">
        <f>IFERROR(__xludf.DUMMYFUNCTION("""COMPUTED_VALUE"""),FALSE)</f>
        <v>0</v>
      </c>
      <c r="L425" s="23" t="str">
        <f>IFERROR(__xludf.DUMMYFUNCTION("""COMPUTED_VALUE"""),"Hash Table;String;Sliding Window;")</f>
        <v>Hash Table;String;Sliding Window;</v>
      </c>
      <c r="M425" s="23" t="b">
        <f>IFERROR(__xludf.DUMMYFUNCTION("""COMPUTED_VALUE"""),FALSE)</f>
        <v>0</v>
      </c>
      <c r="N425" s="23" t="b">
        <f>IFERROR(__xludf.DUMMYFUNCTION("""COMPUTED_VALUE"""),FALSE)</f>
        <v>0</v>
      </c>
      <c r="O425" s="23">
        <f>IFERROR(__xludf.DUMMYFUNCTION("""COMPUTED_VALUE"""),50.8212483934703)</f>
        <v>50.82124839</v>
      </c>
      <c r="P425" s="23">
        <f>IFERROR(__xludf.DUMMYFUNCTION("""COMPUTED_VALUE"""),211948.0)</f>
        <v>211948</v>
      </c>
      <c r="Q425" s="23">
        <f>IFERROR(__xludf.DUMMYFUNCTION("""COMPUTED_VALUE"""),417040.0)</f>
        <v>417040</v>
      </c>
    </row>
    <row r="426">
      <c r="A426" s="23">
        <f>IFERROR(__xludf.DUMMYFUNCTION("""COMPUTED_VALUE"""),425.0)</f>
        <v>425</v>
      </c>
      <c r="B426" s="23" t="str">
        <f>IFERROR(__xludf.DUMMYFUNCTION("""COMPUTED_VALUE"""),"Word Squares")</f>
        <v>Word Squares</v>
      </c>
      <c r="C426" s="23" t="str">
        <f>IFERROR(__xludf.DUMMYFUNCTION("""COMPUTED_VALUE"""),"word-squares")</f>
        <v>word-squares</v>
      </c>
      <c r="D426" s="23" t="b">
        <f>IFERROR(__xludf.DUMMYFUNCTION("""COMPUTED_VALUE"""),TRUE)</f>
        <v>1</v>
      </c>
      <c r="E426" s="23" t="str">
        <f>IFERROR(__xludf.DUMMYFUNCTION("""COMPUTED_VALUE"""),"Hard")</f>
        <v>Hard</v>
      </c>
      <c r="F426" s="23">
        <f>IFERROR(__xludf.DUMMYFUNCTION("""COMPUTED_VALUE"""),927.0)</f>
        <v>927</v>
      </c>
      <c r="G426" s="23">
        <f>IFERROR(__xludf.DUMMYFUNCTION("""COMPUTED_VALUE"""),60.0)</f>
        <v>60</v>
      </c>
      <c r="H426" s="23" t="str">
        <f>IFERROR(__xludf.DUMMYFUNCTION("""COMPUTED_VALUE"""),"Algorithms")</f>
        <v>Algorithms</v>
      </c>
      <c r="I426" s="23">
        <f>IFERROR(__xludf.DUMMYFUNCTION("""COMPUTED_VALUE"""),0.522)</f>
        <v>0.522</v>
      </c>
      <c r="J426" s="23">
        <f>IFERROR(__xludf.DUMMYFUNCTION("""COMPUTED_VALUE"""),425.0)</f>
        <v>425</v>
      </c>
      <c r="K426" s="23" t="b">
        <f>IFERROR(__xludf.DUMMYFUNCTION("""COMPUTED_VALUE"""),TRUE)</f>
        <v>1</v>
      </c>
      <c r="L426" s="23" t="str">
        <f>IFERROR(__xludf.DUMMYFUNCTION("""COMPUTED_VALUE"""),"Array;String;Backtracking;Trie;")</f>
        <v>Array;String;Backtracking;Trie;</v>
      </c>
      <c r="M426" s="23" t="b">
        <f>IFERROR(__xludf.DUMMYFUNCTION("""COMPUTED_VALUE"""),TRUE)</f>
        <v>1</v>
      </c>
      <c r="N426" s="23" t="b">
        <f>IFERROR(__xludf.DUMMYFUNCTION("""COMPUTED_VALUE"""),FALSE)</f>
        <v>0</v>
      </c>
      <c r="O426" s="23">
        <f>IFERROR(__xludf.DUMMYFUNCTION("""COMPUTED_VALUE"""),52.2083186168155)</f>
        <v>52.20831862</v>
      </c>
      <c r="P426" s="23">
        <f>IFERROR(__xludf.DUMMYFUNCTION("""COMPUTED_VALUE"""),62083.0)</f>
        <v>62083</v>
      </c>
      <c r="Q426" s="23">
        <f>IFERROR(__xludf.DUMMYFUNCTION("""COMPUTED_VALUE"""),118914.0)</f>
        <v>118914</v>
      </c>
    </row>
    <row r="427">
      <c r="A427" s="23">
        <f>IFERROR(__xludf.DUMMYFUNCTION("""COMPUTED_VALUE"""),758.0)</f>
        <v>758</v>
      </c>
      <c r="B427" s="23" t="str">
        <f>IFERROR(__xludf.DUMMYFUNCTION("""COMPUTED_VALUE"""),"Convert Binary Search Tree to Sorted Doubly Linked List")</f>
        <v>Convert Binary Search Tree to Sorted Doubly Linked List</v>
      </c>
      <c r="C427" s="23" t="str">
        <f>IFERROR(__xludf.DUMMYFUNCTION("""COMPUTED_VALUE"""),"convert-binary-search-tree-to-sorted-doubly-linked-list")</f>
        <v>convert-binary-search-tree-to-sorted-doubly-linked-list</v>
      </c>
      <c r="D427" s="23" t="b">
        <f>IFERROR(__xludf.DUMMYFUNCTION("""COMPUTED_VALUE"""),TRUE)</f>
        <v>1</v>
      </c>
      <c r="E427" s="23" t="str">
        <f>IFERROR(__xludf.DUMMYFUNCTION("""COMPUTED_VALUE"""),"Medium")</f>
        <v>Medium</v>
      </c>
      <c r="F427" s="23">
        <f>IFERROR(__xludf.DUMMYFUNCTION("""COMPUTED_VALUE"""),2162.0)</f>
        <v>2162</v>
      </c>
      <c r="G427" s="23">
        <f>IFERROR(__xludf.DUMMYFUNCTION("""COMPUTED_VALUE"""),175.0)</f>
        <v>175</v>
      </c>
      <c r="H427" s="23" t="str">
        <f>IFERROR(__xludf.DUMMYFUNCTION("""COMPUTED_VALUE"""),"Algorithms")</f>
        <v>Algorithms</v>
      </c>
      <c r="I427" s="23">
        <f>IFERROR(__xludf.DUMMYFUNCTION("""COMPUTED_VALUE"""),0.644)</f>
        <v>0.644</v>
      </c>
      <c r="J427" s="23">
        <f>IFERROR(__xludf.DUMMYFUNCTION("""COMPUTED_VALUE"""),426.0)</f>
        <v>426</v>
      </c>
      <c r="K427" s="23" t="b">
        <f>IFERROR(__xludf.DUMMYFUNCTION("""COMPUTED_VALUE"""),TRUE)</f>
        <v>1</v>
      </c>
      <c r="L427" s="23" t="str">
        <f>IFERROR(__xludf.DUMMYFUNCTION("""COMPUTED_VALUE"""),"Linked List;Stack;Tree;Depth-First Search;Binary Search Tree;Binary Tree;Doubly-Linked List;")</f>
        <v>Linked List;Stack;Tree;Depth-First Search;Binary Search Tree;Binary Tree;Doubly-Linked List;</v>
      </c>
      <c r="M427" s="23" t="b">
        <f>IFERROR(__xludf.DUMMYFUNCTION("""COMPUTED_VALUE"""),TRUE)</f>
        <v>1</v>
      </c>
      <c r="N427" s="23" t="b">
        <f>IFERROR(__xludf.DUMMYFUNCTION("""COMPUTED_VALUE"""),FALSE)</f>
        <v>0</v>
      </c>
      <c r="O427" s="23">
        <f>IFERROR(__xludf.DUMMYFUNCTION("""COMPUTED_VALUE"""),64.3628237133807)</f>
        <v>64.36282371</v>
      </c>
      <c r="P427" s="23">
        <f>IFERROR(__xludf.DUMMYFUNCTION("""COMPUTED_VALUE"""),209090.0)</f>
        <v>209090</v>
      </c>
      <c r="Q427" s="23">
        <f>IFERROR(__xludf.DUMMYFUNCTION("""COMPUTED_VALUE"""),324862.0)</f>
        <v>324862</v>
      </c>
    </row>
    <row r="428">
      <c r="A428" s="23">
        <f>IFERROR(__xludf.DUMMYFUNCTION("""COMPUTED_VALUE"""),772.0)</f>
        <v>772</v>
      </c>
      <c r="B428" s="23" t="str">
        <f>IFERROR(__xludf.DUMMYFUNCTION("""COMPUTED_VALUE"""),"Construct Quad Tree")</f>
        <v>Construct Quad Tree</v>
      </c>
      <c r="C428" s="23" t="str">
        <f>IFERROR(__xludf.DUMMYFUNCTION("""COMPUTED_VALUE"""),"construct-quad-tree")</f>
        <v>construct-quad-tree</v>
      </c>
      <c r="D428" s="23" t="b">
        <f>IFERROR(__xludf.DUMMYFUNCTION("""COMPUTED_VALUE"""),FALSE)</f>
        <v>0</v>
      </c>
      <c r="E428" s="23" t="str">
        <f>IFERROR(__xludf.DUMMYFUNCTION("""COMPUTED_VALUE"""),"Medium")</f>
        <v>Medium</v>
      </c>
      <c r="F428" s="23">
        <f>IFERROR(__xludf.DUMMYFUNCTION("""COMPUTED_VALUE"""),483.0)</f>
        <v>483</v>
      </c>
      <c r="G428" s="23">
        <f>IFERROR(__xludf.DUMMYFUNCTION("""COMPUTED_VALUE"""),679.0)</f>
        <v>679</v>
      </c>
      <c r="H428" s="23" t="str">
        <f>IFERROR(__xludf.DUMMYFUNCTION("""COMPUTED_VALUE"""),"Algorithms")</f>
        <v>Algorithms</v>
      </c>
      <c r="I428" s="23">
        <f>IFERROR(__xludf.DUMMYFUNCTION("""COMPUTED_VALUE"""),0.653)</f>
        <v>0.653</v>
      </c>
      <c r="J428" s="23">
        <f>IFERROR(__xludf.DUMMYFUNCTION("""COMPUTED_VALUE"""),427.0)</f>
        <v>427</v>
      </c>
      <c r="K428" s="23" t="b">
        <f>IFERROR(__xludf.DUMMYFUNCTION("""COMPUTED_VALUE"""),FALSE)</f>
        <v>0</v>
      </c>
      <c r="L428" s="23" t="str">
        <f>IFERROR(__xludf.DUMMYFUNCTION("""COMPUTED_VALUE"""),"Array;Divide and Conquer;Tree;Matrix;")</f>
        <v>Array;Divide and Conquer;Tree;Matrix;</v>
      </c>
      <c r="M428" s="23" t="b">
        <f>IFERROR(__xludf.DUMMYFUNCTION("""COMPUTED_VALUE"""),FALSE)</f>
        <v>0</v>
      </c>
      <c r="N428" s="23" t="b">
        <f>IFERROR(__xludf.DUMMYFUNCTION("""COMPUTED_VALUE"""),FALSE)</f>
        <v>0</v>
      </c>
      <c r="O428" s="23">
        <f>IFERROR(__xludf.DUMMYFUNCTION("""COMPUTED_VALUE"""),65.2874748137388)</f>
        <v>65.28747481</v>
      </c>
      <c r="P428" s="23">
        <f>IFERROR(__xludf.DUMMYFUNCTION("""COMPUTED_VALUE"""),41799.0)</f>
        <v>41799</v>
      </c>
      <c r="Q428" s="23">
        <f>IFERROR(__xludf.DUMMYFUNCTION("""COMPUTED_VALUE"""),64023.0)</f>
        <v>64023</v>
      </c>
    </row>
    <row r="429">
      <c r="A429" s="23">
        <f>IFERROR(__xludf.DUMMYFUNCTION("""COMPUTED_VALUE"""),765.0)</f>
        <v>765</v>
      </c>
      <c r="B429" s="23" t="str">
        <f>IFERROR(__xludf.DUMMYFUNCTION("""COMPUTED_VALUE"""),"Serialize and Deserialize N-ary Tree")</f>
        <v>Serialize and Deserialize N-ary Tree</v>
      </c>
      <c r="C429" s="23" t="str">
        <f>IFERROR(__xludf.DUMMYFUNCTION("""COMPUTED_VALUE"""),"serialize-and-deserialize-n-ary-tree")</f>
        <v>serialize-and-deserialize-n-ary-tree</v>
      </c>
      <c r="D429" s="23" t="b">
        <f>IFERROR(__xludf.DUMMYFUNCTION("""COMPUTED_VALUE"""),TRUE)</f>
        <v>1</v>
      </c>
      <c r="E429" s="23" t="str">
        <f>IFERROR(__xludf.DUMMYFUNCTION("""COMPUTED_VALUE"""),"Hard")</f>
        <v>Hard</v>
      </c>
      <c r="F429" s="23">
        <f>IFERROR(__xludf.DUMMYFUNCTION("""COMPUTED_VALUE"""),825.0)</f>
        <v>825</v>
      </c>
      <c r="G429" s="23">
        <f>IFERROR(__xludf.DUMMYFUNCTION("""COMPUTED_VALUE"""),49.0)</f>
        <v>49</v>
      </c>
      <c r="H429" s="23" t="str">
        <f>IFERROR(__xludf.DUMMYFUNCTION("""COMPUTED_VALUE"""),"Algorithms")</f>
        <v>Algorithms</v>
      </c>
      <c r="I429" s="23">
        <f>IFERROR(__xludf.DUMMYFUNCTION("""COMPUTED_VALUE"""),0.643)</f>
        <v>0.643</v>
      </c>
      <c r="J429" s="23">
        <f>IFERROR(__xludf.DUMMYFUNCTION("""COMPUTED_VALUE"""),428.0)</f>
        <v>428</v>
      </c>
      <c r="K429" s="23" t="b">
        <f>IFERROR(__xludf.DUMMYFUNCTION("""COMPUTED_VALUE"""),TRUE)</f>
        <v>1</v>
      </c>
      <c r="L429" s="23" t="str">
        <f>IFERROR(__xludf.DUMMYFUNCTION("""COMPUTED_VALUE"""),"String;Tree;Depth-First Search;Breadth-First Search;")</f>
        <v>String;Tree;Depth-First Search;Breadth-First Search;</v>
      </c>
      <c r="M429" s="23" t="b">
        <f>IFERROR(__xludf.DUMMYFUNCTION("""COMPUTED_VALUE"""),TRUE)</f>
        <v>1</v>
      </c>
      <c r="N429" s="23" t="b">
        <f>IFERROR(__xludf.DUMMYFUNCTION("""COMPUTED_VALUE"""),FALSE)</f>
        <v>0</v>
      </c>
      <c r="O429" s="23">
        <f>IFERROR(__xludf.DUMMYFUNCTION("""COMPUTED_VALUE"""),64.2996523272284)</f>
        <v>64.29965233</v>
      </c>
      <c r="P429" s="23">
        <f>IFERROR(__xludf.DUMMYFUNCTION("""COMPUTED_VALUE"""),64914.0)</f>
        <v>64914</v>
      </c>
      <c r="Q429" s="23">
        <f>IFERROR(__xludf.DUMMYFUNCTION("""COMPUTED_VALUE"""),100955.0)</f>
        <v>100955</v>
      </c>
    </row>
    <row r="430">
      <c r="A430" s="23">
        <f>IFERROR(__xludf.DUMMYFUNCTION("""COMPUTED_VALUE"""),764.0)</f>
        <v>764</v>
      </c>
      <c r="B430" s="23" t="str">
        <f>IFERROR(__xludf.DUMMYFUNCTION("""COMPUTED_VALUE"""),"N-ary Tree Level Order Traversal")</f>
        <v>N-ary Tree Level Order Traversal</v>
      </c>
      <c r="C430" s="23" t="str">
        <f>IFERROR(__xludf.DUMMYFUNCTION("""COMPUTED_VALUE"""),"n-ary-tree-level-order-traversal")</f>
        <v>n-ary-tree-level-order-traversal</v>
      </c>
      <c r="D430" s="23" t="b">
        <f>IFERROR(__xludf.DUMMYFUNCTION("""COMPUTED_VALUE"""),FALSE)</f>
        <v>0</v>
      </c>
      <c r="E430" s="23" t="str">
        <f>IFERROR(__xludf.DUMMYFUNCTION("""COMPUTED_VALUE"""),"Medium")</f>
        <v>Medium</v>
      </c>
      <c r="F430" s="23">
        <f>IFERROR(__xludf.DUMMYFUNCTION("""COMPUTED_VALUE"""),1796.0)</f>
        <v>1796</v>
      </c>
      <c r="G430" s="23">
        <f>IFERROR(__xludf.DUMMYFUNCTION("""COMPUTED_VALUE"""),82.0)</f>
        <v>82</v>
      </c>
      <c r="H430" s="23" t="str">
        <f>IFERROR(__xludf.DUMMYFUNCTION("""COMPUTED_VALUE"""),"Algorithms")</f>
        <v>Algorithms</v>
      </c>
      <c r="I430" s="23">
        <f>IFERROR(__xludf.DUMMYFUNCTION("""COMPUTED_VALUE"""),0.689)</f>
        <v>0.689</v>
      </c>
      <c r="J430" s="23">
        <f>IFERROR(__xludf.DUMMYFUNCTION("""COMPUTED_VALUE"""),429.0)</f>
        <v>429</v>
      </c>
      <c r="K430" s="23" t="b">
        <f>IFERROR(__xludf.DUMMYFUNCTION("""COMPUTED_VALUE"""),FALSE)</f>
        <v>0</v>
      </c>
      <c r="L430" s="23" t="str">
        <f>IFERROR(__xludf.DUMMYFUNCTION("""COMPUTED_VALUE"""),"Tree;Breadth-First Search;")</f>
        <v>Tree;Breadth-First Search;</v>
      </c>
      <c r="M430" s="23" t="b">
        <f>IFERROR(__xludf.DUMMYFUNCTION("""COMPUTED_VALUE"""),TRUE)</f>
        <v>1</v>
      </c>
      <c r="N430" s="23" t="b">
        <f>IFERROR(__xludf.DUMMYFUNCTION("""COMPUTED_VALUE"""),FALSE)</f>
        <v>0</v>
      </c>
      <c r="O430" s="23">
        <f>IFERROR(__xludf.DUMMYFUNCTION("""COMPUTED_VALUE"""),68.8827721101178)</f>
        <v>68.88277211</v>
      </c>
      <c r="P430" s="23">
        <f>IFERROR(__xludf.DUMMYFUNCTION("""COMPUTED_VALUE"""),174675.0)</f>
        <v>174675</v>
      </c>
      <c r="Q430" s="23">
        <f>IFERROR(__xludf.DUMMYFUNCTION("""COMPUTED_VALUE"""),253580.0)</f>
        <v>253580</v>
      </c>
    </row>
    <row r="431">
      <c r="A431" s="23">
        <f>IFERROR(__xludf.DUMMYFUNCTION("""COMPUTED_VALUE"""),766.0)</f>
        <v>766</v>
      </c>
      <c r="B431" s="23" t="str">
        <f>IFERROR(__xludf.DUMMYFUNCTION("""COMPUTED_VALUE"""),"Flatten a Multilevel Doubly Linked List")</f>
        <v>Flatten a Multilevel Doubly Linked List</v>
      </c>
      <c r="C431" s="23" t="str">
        <f>IFERROR(__xludf.DUMMYFUNCTION("""COMPUTED_VALUE"""),"flatten-a-multilevel-doubly-linked-list")</f>
        <v>flatten-a-multilevel-doubly-linked-list</v>
      </c>
      <c r="D431" s="23" t="b">
        <f>IFERROR(__xludf.DUMMYFUNCTION("""COMPUTED_VALUE"""),FALSE)</f>
        <v>0</v>
      </c>
      <c r="E431" s="23" t="str">
        <f>IFERROR(__xludf.DUMMYFUNCTION("""COMPUTED_VALUE"""),"Medium")</f>
        <v>Medium</v>
      </c>
      <c r="F431" s="23">
        <f>IFERROR(__xludf.DUMMYFUNCTION("""COMPUTED_VALUE"""),3605.0)</f>
        <v>3605</v>
      </c>
      <c r="G431" s="23">
        <f>IFERROR(__xludf.DUMMYFUNCTION("""COMPUTED_VALUE"""),251.0)</f>
        <v>251</v>
      </c>
      <c r="H431" s="23" t="str">
        <f>IFERROR(__xludf.DUMMYFUNCTION("""COMPUTED_VALUE"""),"Algorithms")</f>
        <v>Algorithms</v>
      </c>
      <c r="I431" s="23">
        <f>IFERROR(__xludf.DUMMYFUNCTION("""COMPUTED_VALUE"""),0.589)</f>
        <v>0.589</v>
      </c>
      <c r="J431" s="23">
        <f>IFERROR(__xludf.DUMMYFUNCTION("""COMPUTED_VALUE"""),430.0)</f>
        <v>430</v>
      </c>
      <c r="K431" s="23" t="b">
        <f>IFERROR(__xludf.DUMMYFUNCTION("""COMPUTED_VALUE"""),FALSE)</f>
        <v>0</v>
      </c>
      <c r="L431" s="23" t="str">
        <f>IFERROR(__xludf.DUMMYFUNCTION("""COMPUTED_VALUE"""),"Linked List;Depth-First Search;Doubly-Linked List;")</f>
        <v>Linked List;Depth-First Search;Doubly-Linked List;</v>
      </c>
      <c r="M431" s="23" t="b">
        <f>IFERROR(__xludf.DUMMYFUNCTION("""COMPUTED_VALUE"""),TRUE)</f>
        <v>1</v>
      </c>
      <c r="N431" s="23" t="b">
        <f>IFERROR(__xludf.DUMMYFUNCTION("""COMPUTED_VALUE"""),FALSE)</f>
        <v>0</v>
      </c>
      <c r="O431" s="23">
        <f>IFERROR(__xludf.DUMMYFUNCTION("""COMPUTED_VALUE"""),58.9126718881547)</f>
        <v>58.91267189</v>
      </c>
      <c r="P431" s="23">
        <f>IFERROR(__xludf.DUMMYFUNCTION("""COMPUTED_VALUE"""),230920.0)</f>
        <v>230920</v>
      </c>
      <c r="Q431" s="23">
        <f>IFERROR(__xludf.DUMMYFUNCTION("""COMPUTED_VALUE"""),391969.0)</f>
        <v>391969</v>
      </c>
    </row>
    <row r="432">
      <c r="A432" s="23">
        <f>IFERROR(__xludf.DUMMYFUNCTION("""COMPUTED_VALUE"""),771.0)</f>
        <v>771</v>
      </c>
      <c r="B432" s="23" t="str">
        <f>IFERROR(__xludf.DUMMYFUNCTION("""COMPUTED_VALUE"""),"Encode N-ary Tree to Binary Tree")</f>
        <v>Encode N-ary Tree to Binary Tree</v>
      </c>
      <c r="C432" s="23" t="str">
        <f>IFERROR(__xludf.DUMMYFUNCTION("""COMPUTED_VALUE"""),"encode-n-ary-tree-to-binary-tree")</f>
        <v>encode-n-ary-tree-to-binary-tree</v>
      </c>
      <c r="D432" s="23" t="b">
        <f>IFERROR(__xludf.DUMMYFUNCTION("""COMPUTED_VALUE"""),TRUE)</f>
        <v>1</v>
      </c>
      <c r="E432" s="23" t="str">
        <f>IFERROR(__xludf.DUMMYFUNCTION("""COMPUTED_VALUE"""),"Hard")</f>
        <v>Hard</v>
      </c>
      <c r="F432" s="23">
        <f>IFERROR(__xludf.DUMMYFUNCTION("""COMPUTED_VALUE"""),387.0)</f>
        <v>387</v>
      </c>
      <c r="G432" s="23">
        <f>IFERROR(__xludf.DUMMYFUNCTION("""COMPUTED_VALUE"""),21.0)</f>
        <v>21</v>
      </c>
      <c r="H432" s="23" t="str">
        <f>IFERROR(__xludf.DUMMYFUNCTION("""COMPUTED_VALUE"""),"Algorithms")</f>
        <v>Algorithms</v>
      </c>
      <c r="I432" s="23">
        <f>IFERROR(__xludf.DUMMYFUNCTION("""COMPUTED_VALUE"""),0.765)</f>
        <v>0.765</v>
      </c>
      <c r="J432" s="23">
        <f>IFERROR(__xludf.DUMMYFUNCTION("""COMPUTED_VALUE"""),431.0)</f>
        <v>431</v>
      </c>
      <c r="K432" s="23" t="b">
        <f>IFERROR(__xludf.DUMMYFUNCTION("""COMPUTED_VALUE"""),TRUE)</f>
        <v>1</v>
      </c>
      <c r="L432" s="23" t="str">
        <f>IFERROR(__xludf.DUMMYFUNCTION("""COMPUTED_VALUE"""),"Tree;Depth-First Search;Breadth-First Search;Design;Binary Tree;")</f>
        <v>Tree;Depth-First Search;Breadth-First Search;Design;Binary Tree;</v>
      </c>
      <c r="M432" s="23" t="b">
        <f>IFERROR(__xludf.DUMMYFUNCTION("""COMPUTED_VALUE"""),TRUE)</f>
        <v>1</v>
      </c>
      <c r="N432" s="23" t="b">
        <f>IFERROR(__xludf.DUMMYFUNCTION("""COMPUTED_VALUE"""),FALSE)</f>
        <v>0</v>
      </c>
      <c r="O432" s="23">
        <f>IFERROR(__xludf.DUMMYFUNCTION("""COMPUTED_VALUE"""),76.5024830242221)</f>
        <v>76.50248302</v>
      </c>
      <c r="P432" s="23">
        <f>IFERROR(__xludf.DUMMYFUNCTION("""COMPUTED_VALUE"""),15097.0)</f>
        <v>15097</v>
      </c>
      <c r="Q432" s="23">
        <f>IFERROR(__xludf.DUMMYFUNCTION("""COMPUTED_VALUE"""),19734.0)</f>
        <v>19734</v>
      </c>
    </row>
    <row r="433">
      <c r="A433" s="23">
        <f>IFERROR(__xludf.DUMMYFUNCTION("""COMPUTED_VALUE"""),432.0)</f>
        <v>432</v>
      </c>
      <c r="B433" s="23" t="str">
        <f>IFERROR(__xludf.DUMMYFUNCTION("""COMPUTED_VALUE"""),"All O`one Data Structure")</f>
        <v>All O`one Data Structure</v>
      </c>
      <c r="C433" s="23" t="str">
        <f>IFERROR(__xludf.DUMMYFUNCTION("""COMPUTED_VALUE"""),"all-oone-data-structure")</f>
        <v>all-oone-data-structure</v>
      </c>
      <c r="D433" s="23" t="b">
        <f>IFERROR(__xludf.DUMMYFUNCTION("""COMPUTED_VALUE"""),FALSE)</f>
        <v>0</v>
      </c>
      <c r="E433" s="23" t="str">
        <f>IFERROR(__xludf.DUMMYFUNCTION("""COMPUTED_VALUE"""),"Hard")</f>
        <v>Hard</v>
      </c>
      <c r="F433" s="23">
        <f>IFERROR(__xludf.DUMMYFUNCTION("""COMPUTED_VALUE"""),1088.0)</f>
        <v>1088</v>
      </c>
      <c r="G433" s="23">
        <f>IFERROR(__xludf.DUMMYFUNCTION("""COMPUTED_VALUE"""),131.0)</f>
        <v>131</v>
      </c>
      <c r="H433" s="23" t="str">
        <f>IFERROR(__xludf.DUMMYFUNCTION("""COMPUTED_VALUE"""),"Algorithms")</f>
        <v>Algorithms</v>
      </c>
      <c r="I433" s="23">
        <f>IFERROR(__xludf.DUMMYFUNCTION("""COMPUTED_VALUE"""),0.36)</f>
        <v>0.36</v>
      </c>
      <c r="J433" s="23">
        <f>IFERROR(__xludf.DUMMYFUNCTION("""COMPUTED_VALUE"""),432.0)</f>
        <v>432</v>
      </c>
      <c r="K433" s="23" t="b">
        <f>IFERROR(__xludf.DUMMYFUNCTION("""COMPUTED_VALUE"""),FALSE)</f>
        <v>0</v>
      </c>
      <c r="L433" s="23" t="str">
        <f>IFERROR(__xludf.DUMMYFUNCTION("""COMPUTED_VALUE"""),"Hash Table;Linked List;Design;Doubly-Linked List;")</f>
        <v>Hash Table;Linked List;Design;Doubly-Linked List;</v>
      </c>
      <c r="M433" s="23" t="b">
        <f>IFERROR(__xludf.DUMMYFUNCTION("""COMPUTED_VALUE"""),FALSE)</f>
        <v>0</v>
      </c>
      <c r="N433" s="23" t="b">
        <f>IFERROR(__xludf.DUMMYFUNCTION("""COMPUTED_VALUE"""),FALSE)</f>
        <v>0</v>
      </c>
      <c r="O433" s="23">
        <f>IFERROR(__xludf.DUMMYFUNCTION("""COMPUTED_VALUE"""),35.9905977587973)</f>
        <v>35.99059776</v>
      </c>
      <c r="P433" s="23">
        <f>IFERROR(__xludf.DUMMYFUNCTION("""COMPUTED_VALUE"""),57265.0)</f>
        <v>57265</v>
      </c>
      <c r="Q433" s="23">
        <f>IFERROR(__xludf.DUMMYFUNCTION("""COMPUTED_VALUE"""),159111.0)</f>
        <v>159111</v>
      </c>
    </row>
    <row r="434">
      <c r="A434" s="23">
        <f>IFERROR(__xludf.DUMMYFUNCTION("""COMPUTED_VALUE"""),433.0)</f>
        <v>433</v>
      </c>
      <c r="B434" s="23" t="str">
        <f>IFERROR(__xludf.DUMMYFUNCTION("""COMPUTED_VALUE"""),"Minimum Genetic Mutation")</f>
        <v>Minimum Genetic Mutation</v>
      </c>
      <c r="C434" s="23" t="str">
        <f>IFERROR(__xludf.DUMMYFUNCTION("""COMPUTED_VALUE"""),"minimum-genetic-mutation")</f>
        <v>minimum-genetic-mutation</v>
      </c>
      <c r="D434" s="23" t="b">
        <f>IFERROR(__xludf.DUMMYFUNCTION("""COMPUTED_VALUE"""),FALSE)</f>
        <v>0</v>
      </c>
      <c r="E434" s="23" t="str">
        <f>IFERROR(__xludf.DUMMYFUNCTION("""COMPUTED_VALUE"""),"Medium")</f>
        <v>Medium</v>
      </c>
      <c r="F434" s="23">
        <f>IFERROR(__xludf.DUMMYFUNCTION("""COMPUTED_VALUE"""),882.0)</f>
        <v>882</v>
      </c>
      <c r="G434" s="23">
        <f>IFERROR(__xludf.DUMMYFUNCTION("""COMPUTED_VALUE"""),102.0)</f>
        <v>102</v>
      </c>
      <c r="H434" s="23" t="str">
        <f>IFERROR(__xludf.DUMMYFUNCTION("""COMPUTED_VALUE"""),"Algorithms")</f>
        <v>Algorithms</v>
      </c>
      <c r="I434" s="23">
        <f>IFERROR(__xludf.DUMMYFUNCTION("""COMPUTED_VALUE"""),0.467)</f>
        <v>0.467</v>
      </c>
      <c r="J434" s="23">
        <f>IFERROR(__xludf.DUMMYFUNCTION("""COMPUTED_VALUE"""),433.0)</f>
        <v>433</v>
      </c>
      <c r="K434" s="23" t="b">
        <f>IFERROR(__xludf.DUMMYFUNCTION("""COMPUTED_VALUE"""),FALSE)</f>
        <v>0</v>
      </c>
      <c r="L434" s="23" t="str">
        <f>IFERROR(__xludf.DUMMYFUNCTION("""COMPUTED_VALUE"""),"Hash Table;String;Breadth-First Search;")</f>
        <v>Hash Table;String;Breadth-First Search;</v>
      </c>
      <c r="M434" s="23" t="b">
        <f>IFERROR(__xludf.DUMMYFUNCTION("""COMPUTED_VALUE"""),FALSE)</f>
        <v>0</v>
      </c>
      <c r="N434" s="23" t="b">
        <f>IFERROR(__xludf.DUMMYFUNCTION("""COMPUTED_VALUE"""),FALSE)</f>
        <v>0</v>
      </c>
      <c r="O434" s="23">
        <f>IFERROR(__xludf.DUMMYFUNCTION("""COMPUTED_VALUE"""),46.7233766119758)</f>
        <v>46.72337661</v>
      </c>
      <c r="P434" s="23">
        <f>IFERROR(__xludf.DUMMYFUNCTION("""COMPUTED_VALUE"""),53224.0)</f>
        <v>53224</v>
      </c>
      <c r="Q434" s="23">
        <f>IFERROR(__xludf.DUMMYFUNCTION("""COMPUTED_VALUE"""),113913.0)</f>
        <v>113913</v>
      </c>
    </row>
    <row r="435">
      <c r="A435" s="23">
        <f>IFERROR(__xludf.DUMMYFUNCTION("""COMPUTED_VALUE"""),434.0)</f>
        <v>434</v>
      </c>
      <c r="B435" s="23" t="str">
        <f>IFERROR(__xludf.DUMMYFUNCTION("""COMPUTED_VALUE"""),"Number of Segments in a String")</f>
        <v>Number of Segments in a String</v>
      </c>
      <c r="C435" s="23" t="str">
        <f>IFERROR(__xludf.DUMMYFUNCTION("""COMPUTED_VALUE"""),"number-of-segments-in-a-string")</f>
        <v>number-of-segments-in-a-string</v>
      </c>
      <c r="D435" s="23" t="b">
        <f>IFERROR(__xludf.DUMMYFUNCTION("""COMPUTED_VALUE"""),FALSE)</f>
        <v>0</v>
      </c>
      <c r="E435" s="23" t="str">
        <f>IFERROR(__xludf.DUMMYFUNCTION("""COMPUTED_VALUE"""),"Easy")</f>
        <v>Easy</v>
      </c>
      <c r="F435" s="23">
        <f>IFERROR(__xludf.DUMMYFUNCTION("""COMPUTED_VALUE"""),440.0)</f>
        <v>440</v>
      </c>
      <c r="G435" s="23">
        <f>IFERROR(__xludf.DUMMYFUNCTION("""COMPUTED_VALUE"""),1012.0)</f>
        <v>1012</v>
      </c>
      <c r="H435" s="23" t="str">
        <f>IFERROR(__xludf.DUMMYFUNCTION("""COMPUTED_VALUE"""),"Algorithms")</f>
        <v>Algorithms</v>
      </c>
      <c r="I435" s="23">
        <f>IFERROR(__xludf.DUMMYFUNCTION("""COMPUTED_VALUE"""),0.379)</f>
        <v>0.379</v>
      </c>
      <c r="J435" s="23">
        <f>IFERROR(__xludf.DUMMYFUNCTION("""COMPUTED_VALUE"""),434.0)</f>
        <v>434</v>
      </c>
      <c r="K435" s="23" t="b">
        <f>IFERROR(__xludf.DUMMYFUNCTION("""COMPUTED_VALUE"""),FALSE)</f>
        <v>0</v>
      </c>
      <c r="L435" s="23" t="str">
        <f>IFERROR(__xludf.DUMMYFUNCTION("""COMPUTED_VALUE"""),"String;")</f>
        <v>String;</v>
      </c>
      <c r="M435" s="23" t="b">
        <f>IFERROR(__xludf.DUMMYFUNCTION("""COMPUTED_VALUE"""),TRUE)</f>
        <v>1</v>
      </c>
      <c r="N435" s="23" t="b">
        <f>IFERROR(__xludf.DUMMYFUNCTION("""COMPUTED_VALUE"""),FALSE)</f>
        <v>0</v>
      </c>
      <c r="O435" s="23">
        <f>IFERROR(__xludf.DUMMYFUNCTION("""COMPUTED_VALUE"""),37.8899690894755)</f>
        <v>37.88996909</v>
      </c>
      <c r="P435" s="23">
        <f>IFERROR(__xludf.DUMMYFUNCTION("""COMPUTED_VALUE"""),114857.0)</f>
        <v>114857</v>
      </c>
      <c r="Q435" s="23">
        <f>IFERROR(__xludf.DUMMYFUNCTION("""COMPUTED_VALUE"""),303132.0)</f>
        <v>303132</v>
      </c>
    </row>
    <row r="436">
      <c r="A436" s="23">
        <f>IFERROR(__xludf.DUMMYFUNCTION("""COMPUTED_VALUE"""),435.0)</f>
        <v>435</v>
      </c>
      <c r="B436" s="23" t="str">
        <f>IFERROR(__xludf.DUMMYFUNCTION("""COMPUTED_VALUE"""),"Non-overlapping Intervals")</f>
        <v>Non-overlapping Intervals</v>
      </c>
      <c r="C436" s="23" t="str">
        <f>IFERROR(__xludf.DUMMYFUNCTION("""COMPUTED_VALUE"""),"non-overlapping-intervals")</f>
        <v>non-overlapping-intervals</v>
      </c>
      <c r="D436" s="23" t="b">
        <f>IFERROR(__xludf.DUMMYFUNCTION("""COMPUTED_VALUE"""),FALSE)</f>
        <v>0</v>
      </c>
      <c r="E436" s="23" t="str">
        <f>IFERROR(__xludf.DUMMYFUNCTION("""COMPUTED_VALUE"""),"Medium")</f>
        <v>Medium</v>
      </c>
      <c r="F436" s="23">
        <f>IFERROR(__xludf.DUMMYFUNCTION("""COMPUTED_VALUE"""),3880.0)</f>
        <v>3880</v>
      </c>
      <c r="G436" s="23">
        <f>IFERROR(__xludf.DUMMYFUNCTION("""COMPUTED_VALUE"""),111.0)</f>
        <v>111</v>
      </c>
      <c r="H436" s="23" t="str">
        <f>IFERROR(__xludf.DUMMYFUNCTION("""COMPUTED_VALUE"""),"Algorithms")</f>
        <v>Algorithms</v>
      </c>
      <c r="I436" s="23">
        <f>IFERROR(__xludf.DUMMYFUNCTION("""COMPUTED_VALUE"""),0.482)</f>
        <v>0.482</v>
      </c>
      <c r="J436" s="23">
        <f>IFERROR(__xludf.DUMMYFUNCTION("""COMPUTED_VALUE"""),435.0)</f>
        <v>435</v>
      </c>
      <c r="K436" s="23" t="b">
        <f>IFERROR(__xludf.DUMMYFUNCTION("""COMPUTED_VALUE"""),FALSE)</f>
        <v>0</v>
      </c>
      <c r="L436" s="23" t="str">
        <f>IFERROR(__xludf.DUMMYFUNCTION("""COMPUTED_VALUE"""),"Array;Dynamic Programming;Greedy;Sorting;")</f>
        <v>Array;Dynamic Programming;Greedy;Sorting;</v>
      </c>
      <c r="M436" s="23" t="b">
        <f>IFERROR(__xludf.DUMMYFUNCTION("""COMPUTED_VALUE"""),TRUE)</f>
        <v>1</v>
      </c>
      <c r="N436" s="23" t="b">
        <f>IFERROR(__xludf.DUMMYFUNCTION("""COMPUTED_VALUE"""),FALSE)</f>
        <v>0</v>
      </c>
      <c r="O436" s="23">
        <f>IFERROR(__xludf.DUMMYFUNCTION("""COMPUTED_VALUE"""),48.1973892192174)</f>
        <v>48.19738922</v>
      </c>
      <c r="P436" s="23">
        <f>IFERROR(__xludf.DUMMYFUNCTION("""COMPUTED_VALUE"""),241799.0)</f>
        <v>241799</v>
      </c>
      <c r="Q436" s="23">
        <f>IFERROR(__xludf.DUMMYFUNCTION("""COMPUTED_VALUE"""),501685.0)</f>
        <v>501685</v>
      </c>
    </row>
    <row r="437">
      <c r="A437" s="23">
        <f>IFERROR(__xludf.DUMMYFUNCTION("""COMPUTED_VALUE"""),436.0)</f>
        <v>436</v>
      </c>
      <c r="B437" s="23" t="str">
        <f>IFERROR(__xludf.DUMMYFUNCTION("""COMPUTED_VALUE"""),"Find Right Interval")</f>
        <v>Find Right Interval</v>
      </c>
      <c r="C437" s="23" t="str">
        <f>IFERROR(__xludf.DUMMYFUNCTION("""COMPUTED_VALUE"""),"find-right-interval")</f>
        <v>find-right-interval</v>
      </c>
      <c r="D437" s="23" t="b">
        <f>IFERROR(__xludf.DUMMYFUNCTION("""COMPUTED_VALUE"""),FALSE)</f>
        <v>0</v>
      </c>
      <c r="E437" s="23" t="str">
        <f>IFERROR(__xludf.DUMMYFUNCTION("""COMPUTED_VALUE"""),"Medium")</f>
        <v>Medium</v>
      </c>
      <c r="F437" s="23">
        <f>IFERROR(__xludf.DUMMYFUNCTION("""COMPUTED_VALUE"""),1184.0)</f>
        <v>1184</v>
      </c>
      <c r="G437" s="23">
        <f>IFERROR(__xludf.DUMMYFUNCTION("""COMPUTED_VALUE"""),249.0)</f>
        <v>249</v>
      </c>
      <c r="H437" s="23" t="str">
        <f>IFERROR(__xludf.DUMMYFUNCTION("""COMPUTED_VALUE"""),"Algorithms")</f>
        <v>Algorithms</v>
      </c>
      <c r="I437" s="23">
        <f>IFERROR(__xludf.DUMMYFUNCTION("""COMPUTED_VALUE"""),0.495)</f>
        <v>0.495</v>
      </c>
      <c r="J437" s="23">
        <f>IFERROR(__xludf.DUMMYFUNCTION("""COMPUTED_VALUE"""),436.0)</f>
        <v>436</v>
      </c>
      <c r="K437" s="23" t="b">
        <f>IFERROR(__xludf.DUMMYFUNCTION("""COMPUTED_VALUE"""),FALSE)</f>
        <v>0</v>
      </c>
      <c r="L437" s="23" t="str">
        <f>IFERROR(__xludf.DUMMYFUNCTION("""COMPUTED_VALUE"""),"Array;Binary Search;Sorting;")</f>
        <v>Array;Binary Search;Sorting;</v>
      </c>
      <c r="M437" s="23" t="b">
        <f>IFERROR(__xludf.DUMMYFUNCTION("""COMPUTED_VALUE"""),TRUE)</f>
        <v>1</v>
      </c>
      <c r="N437" s="23" t="b">
        <f>IFERROR(__xludf.DUMMYFUNCTION("""COMPUTED_VALUE"""),FALSE)</f>
        <v>0</v>
      </c>
      <c r="O437" s="23">
        <f>IFERROR(__xludf.DUMMYFUNCTION("""COMPUTED_VALUE"""),49.4890238326754)</f>
        <v>49.48902383</v>
      </c>
      <c r="P437" s="23">
        <f>IFERROR(__xludf.DUMMYFUNCTION("""COMPUTED_VALUE"""),76852.0)</f>
        <v>76852</v>
      </c>
      <c r="Q437" s="23">
        <f>IFERROR(__xludf.DUMMYFUNCTION("""COMPUTED_VALUE"""),155291.0)</f>
        <v>155291</v>
      </c>
    </row>
    <row r="438">
      <c r="A438" s="23">
        <f>IFERROR(__xludf.DUMMYFUNCTION("""COMPUTED_VALUE"""),437.0)</f>
        <v>437</v>
      </c>
      <c r="B438" s="23" t="str">
        <f>IFERROR(__xludf.DUMMYFUNCTION("""COMPUTED_VALUE"""),"Path Sum III")</f>
        <v>Path Sum III</v>
      </c>
      <c r="C438" s="23" t="str">
        <f>IFERROR(__xludf.DUMMYFUNCTION("""COMPUTED_VALUE"""),"path-sum-iii")</f>
        <v>path-sum-iii</v>
      </c>
      <c r="D438" s="23" t="b">
        <f>IFERROR(__xludf.DUMMYFUNCTION("""COMPUTED_VALUE"""),FALSE)</f>
        <v>0</v>
      </c>
      <c r="E438" s="23" t="str">
        <f>IFERROR(__xludf.DUMMYFUNCTION("""COMPUTED_VALUE"""),"Medium")</f>
        <v>Medium</v>
      </c>
      <c r="F438" s="23">
        <f>IFERROR(__xludf.DUMMYFUNCTION("""COMPUTED_VALUE"""),7404.0)</f>
        <v>7404</v>
      </c>
      <c r="G438" s="23">
        <f>IFERROR(__xludf.DUMMYFUNCTION("""COMPUTED_VALUE"""),359.0)</f>
        <v>359</v>
      </c>
      <c r="H438" s="23" t="str">
        <f>IFERROR(__xludf.DUMMYFUNCTION("""COMPUTED_VALUE"""),"Algorithms")</f>
        <v>Algorithms</v>
      </c>
      <c r="I438" s="23">
        <f>IFERROR(__xludf.DUMMYFUNCTION("""COMPUTED_VALUE"""),0.502)</f>
        <v>0.502</v>
      </c>
      <c r="J438" s="23">
        <f>IFERROR(__xludf.DUMMYFUNCTION("""COMPUTED_VALUE"""),437.0)</f>
        <v>437</v>
      </c>
      <c r="K438" s="23" t="b">
        <f>IFERROR(__xludf.DUMMYFUNCTION("""COMPUTED_VALUE"""),FALSE)</f>
        <v>0</v>
      </c>
      <c r="L438" s="23" t="str">
        <f>IFERROR(__xludf.DUMMYFUNCTION("""COMPUTED_VALUE"""),"Tree;Depth-First Search;Binary Tree;")</f>
        <v>Tree;Depth-First Search;Binary Tree;</v>
      </c>
      <c r="M438" s="23" t="b">
        <f>IFERROR(__xludf.DUMMYFUNCTION("""COMPUTED_VALUE"""),TRUE)</f>
        <v>1</v>
      </c>
      <c r="N438" s="23" t="b">
        <f>IFERROR(__xludf.DUMMYFUNCTION("""COMPUTED_VALUE"""),FALSE)</f>
        <v>0</v>
      </c>
      <c r="O438" s="23">
        <f>IFERROR(__xludf.DUMMYFUNCTION("""COMPUTED_VALUE"""),50.1540273309771)</f>
        <v>50.15402733</v>
      </c>
      <c r="P438" s="23">
        <f>IFERROR(__xludf.DUMMYFUNCTION("""COMPUTED_VALUE"""),360294.0)</f>
        <v>360294</v>
      </c>
      <c r="Q438" s="23">
        <f>IFERROR(__xludf.DUMMYFUNCTION("""COMPUTED_VALUE"""),718377.0)</f>
        <v>718377</v>
      </c>
    </row>
    <row r="439">
      <c r="A439" s="23">
        <f>IFERROR(__xludf.DUMMYFUNCTION("""COMPUTED_VALUE"""),438.0)</f>
        <v>438</v>
      </c>
      <c r="B439" s="23" t="str">
        <f>IFERROR(__xludf.DUMMYFUNCTION("""COMPUTED_VALUE"""),"Find All Anagrams in a String")</f>
        <v>Find All Anagrams in a String</v>
      </c>
      <c r="C439" s="23" t="str">
        <f>IFERROR(__xludf.DUMMYFUNCTION("""COMPUTED_VALUE"""),"find-all-anagrams-in-a-string")</f>
        <v>find-all-anagrams-in-a-string</v>
      </c>
      <c r="D439" s="23" t="b">
        <f>IFERROR(__xludf.DUMMYFUNCTION("""COMPUTED_VALUE"""),FALSE)</f>
        <v>0</v>
      </c>
      <c r="E439" s="23" t="str">
        <f>IFERROR(__xludf.DUMMYFUNCTION("""COMPUTED_VALUE"""),"Medium")</f>
        <v>Medium</v>
      </c>
      <c r="F439" s="23">
        <f>IFERROR(__xludf.DUMMYFUNCTION("""COMPUTED_VALUE"""),7347.0)</f>
        <v>7347</v>
      </c>
      <c r="G439" s="23">
        <f>IFERROR(__xludf.DUMMYFUNCTION("""COMPUTED_VALUE"""),251.0)</f>
        <v>251</v>
      </c>
      <c r="H439" s="23" t="str">
        <f>IFERROR(__xludf.DUMMYFUNCTION("""COMPUTED_VALUE"""),"Algorithms")</f>
        <v>Algorithms</v>
      </c>
      <c r="I439" s="23">
        <f>IFERROR(__xludf.DUMMYFUNCTION("""COMPUTED_VALUE"""),0.482)</f>
        <v>0.482</v>
      </c>
      <c r="J439" s="23">
        <f>IFERROR(__xludf.DUMMYFUNCTION("""COMPUTED_VALUE"""),438.0)</f>
        <v>438</v>
      </c>
      <c r="K439" s="23" t="b">
        <f>IFERROR(__xludf.DUMMYFUNCTION("""COMPUTED_VALUE"""),FALSE)</f>
        <v>0</v>
      </c>
      <c r="L439" s="23" t="str">
        <f>IFERROR(__xludf.DUMMYFUNCTION("""COMPUTED_VALUE"""),"Hash Table;String;Sliding Window;")</f>
        <v>Hash Table;String;Sliding Window;</v>
      </c>
      <c r="M439" s="23" t="b">
        <f>IFERROR(__xludf.DUMMYFUNCTION("""COMPUTED_VALUE"""),TRUE)</f>
        <v>1</v>
      </c>
      <c r="N439" s="23" t="b">
        <f>IFERROR(__xludf.DUMMYFUNCTION("""COMPUTED_VALUE"""),FALSE)</f>
        <v>0</v>
      </c>
      <c r="O439" s="23">
        <f>IFERROR(__xludf.DUMMYFUNCTION("""COMPUTED_VALUE"""),48.2456633676145)</f>
        <v>48.24566337</v>
      </c>
      <c r="P439" s="23">
        <f>IFERROR(__xludf.DUMMYFUNCTION("""COMPUTED_VALUE"""),523296.0)</f>
        <v>523296</v>
      </c>
      <c r="Q439" s="23">
        <f>IFERROR(__xludf.DUMMYFUNCTION("""COMPUTED_VALUE"""),1084651.0)</f>
        <v>1084651</v>
      </c>
    </row>
    <row r="440">
      <c r="A440" s="23">
        <f>IFERROR(__xludf.DUMMYFUNCTION("""COMPUTED_VALUE"""),439.0)</f>
        <v>439</v>
      </c>
      <c r="B440" s="23" t="str">
        <f>IFERROR(__xludf.DUMMYFUNCTION("""COMPUTED_VALUE"""),"Ternary Expression Parser")</f>
        <v>Ternary Expression Parser</v>
      </c>
      <c r="C440" s="23" t="str">
        <f>IFERROR(__xludf.DUMMYFUNCTION("""COMPUTED_VALUE"""),"ternary-expression-parser")</f>
        <v>ternary-expression-parser</v>
      </c>
      <c r="D440" s="23" t="b">
        <f>IFERROR(__xludf.DUMMYFUNCTION("""COMPUTED_VALUE"""),TRUE)</f>
        <v>1</v>
      </c>
      <c r="E440" s="23" t="str">
        <f>IFERROR(__xludf.DUMMYFUNCTION("""COMPUTED_VALUE"""),"Medium")</f>
        <v>Medium</v>
      </c>
      <c r="F440" s="23">
        <f>IFERROR(__xludf.DUMMYFUNCTION("""COMPUTED_VALUE"""),338.0)</f>
        <v>338</v>
      </c>
      <c r="G440" s="23">
        <f>IFERROR(__xludf.DUMMYFUNCTION("""COMPUTED_VALUE"""),42.0)</f>
        <v>42</v>
      </c>
      <c r="H440" s="23" t="str">
        <f>IFERROR(__xludf.DUMMYFUNCTION("""COMPUTED_VALUE"""),"Algorithms")</f>
        <v>Algorithms</v>
      </c>
      <c r="I440" s="23">
        <f>IFERROR(__xludf.DUMMYFUNCTION("""COMPUTED_VALUE"""),0.578)</f>
        <v>0.578</v>
      </c>
      <c r="J440" s="23">
        <f>IFERROR(__xludf.DUMMYFUNCTION("""COMPUTED_VALUE"""),439.0)</f>
        <v>439</v>
      </c>
      <c r="K440" s="23" t="b">
        <f>IFERROR(__xludf.DUMMYFUNCTION("""COMPUTED_VALUE"""),TRUE)</f>
        <v>1</v>
      </c>
      <c r="L440" s="23" t="str">
        <f>IFERROR(__xludf.DUMMYFUNCTION("""COMPUTED_VALUE"""),"String;Stack;Recursion;")</f>
        <v>String;Stack;Recursion;</v>
      </c>
      <c r="M440" s="23" t="b">
        <f>IFERROR(__xludf.DUMMYFUNCTION("""COMPUTED_VALUE"""),FALSE)</f>
        <v>0</v>
      </c>
      <c r="N440" s="23" t="b">
        <f>IFERROR(__xludf.DUMMYFUNCTION("""COMPUTED_VALUE"""),FALSE)</f>
        <v>0</v>
      </c>
      <c r="O440" s="23">
        <f>IFERROR(__xludf.DUMMYFUNCTION("""COMPUTED_VALUE"""),57.8350781048736)</f>
        <v>57.8350781</v>
      </c>
      <c r="P440" s="23">
        <f>IFERROR(__xludf.DUMMYFUNCTION("""COMPUTED_VALUE"""),24695.0)</f>
        <v>24695</v>
      </c>
      <c r="Q440" s="23">
        <f>IFERROR(__xludf.DUMMYFUNCTION("""COMPUTED_VALUE"""),42699.0)</f>
        <v>42699</v>
      </c>
    </row>
    <row r="441">
      <c r="A441" s="23">
        <f>IFERROR(__xludf.DUMMYFUNCTION("""COMPUTED_VALUE"""),440.0)</f>
        <v>440</v>
      </c>
      <c r="B441" s="23" t="str">
        <f>IFERROR(__xludf.DUMMYFUNCTION("""COMPUTED_VALUE"""),"K-th Smallest in Lexicographical Order")</f>
        <v>K-th Smallest in Lexicographical Order</v>
      </c>
      <c r="C441" s="23" t="str">
        <f>IFERROR(__xludf.DUMMYFUNCTION("""COMPUTED_VALUE"""),"k-th-smallest-in-lexicographical-order")</f>
        <v>k-th-smallest-in-lexicographical-order</v>
      </c>
      <c r="D441" s="23" t="b">
        <f>IFERROR(__xludf.DUMMYFUNCTION("""COMPUTED_VALUE"""),FALSE)</f>
        <v>0</v>
      </c>
      <c r="E441" s="23" t="str">
        <f>IFERROR(__xludf.DUMMYFUNCTION("""COMPUTED_VALUE"""),"Hard")</f>
        <v>Hard</v>
      </c>
      <c r="F441" s="23">
        <f>IFERROR(__xludf.DUMMYFUNCTION("""COMPUTED_VALUE"""),555.0)</f>
        <v>555</v>
      </c>
      <c r="G441" s="23">
        <f>IFERROR(__xludf.DUMMYFUNCTION("""COMPUTED_VALUE"""),73.0)</f>
        <v>73</v>
      </c>
      <c r="H441" s="23" t="str">
        <f>IFERROR(__xludf.DUMMYFUNCTION("""COMPUTED_VALUE"""),"Algorithms")</f>
        <v>Algorithms</v>
      </c>
      <c r="I441" s="23">
        <f>IFERROR(__xludf.DUMMYFUNCTION("""COMPUTED_VALUE"""),0.305)</f>
        <v>0.305</v>
      </c>
      <c r="J441" s="23">
        <f>IFERROR(__xludf.DUMMYFUNCTION("""COMPUTED_VALUE"""),440.0)</f>
        <v>440</v>
      </c>
      <c r="K441" s="23" t="b">
        <f>IFERROR(__xludf.DUMMYFUNCTION("""COMPUTED_VALUE"""),FALSE)</f>
        <v>0</v>
      </c>
      <c r="L441" s="23" t="str">
        <f>IFERROR(__xludf.DUMMYFUNCTION("""COMPUTED_VALUE"""),"Trie;")</f>
        <v>Trie;</v>
      </c>
      <c r="M441" s="23" t="b">
        <f>IFERROR(__xludf.DUMMYFUNCTION("""COMPUTED_VALUE"""),FALSE)</f>
        <v>0</v>
      </c>
      <c r="N441" s="23" t="b">
        <f>IFERROR(__xludf.DUMMYFUNCTION("""COMPUTED_VALUE"""),FALSE)</f>
        <v>0</v>
      </c>
      <c r="O441" s="23">
        <f>IFERROR(__xludf.DUMMYFUNCTION("""COMPUTED_VALUE"""),30.5268306316377)</f>
        <v>30.52683063</v>
      </c>
      <c r="P441" s="23">
        <f>IFERROR(__xludf.DUMMYFUNCTION("""COMPUTED_VALUE"""),17476.0)</f>
        <v>17476</v>
      </c>
      <c r="Q441" s="23">
        <f>IFERROR(__xludf.DUMMYFUNCTION("""COMPUTED_VALUE"""),57248.0)</f>
        <v>57248</v>
      </c>
    </row>
    <row r="442">
      <c r="A442" s="23">
        <f>IFERROR(__xludf.DUMMYFUNCTION("""COMPUTED_VALUE"""),441.0)</f>
        <v>441</v>
      </c>
      <c r="B442" s="23" t="str">
        <f>IFERROR(__xludf.DUMMYFUNCTION("""COMPUTED_VALUE"""),"Arranging Coins")</f>
        <v>Arranging Coins</v>
      </c>
      <c r="C442" s="23" t="str">
        <f>IFERROR(__xludf.DUMMYFUNCTION("""COMPUTED_VALUE"""),"arranging-coins")</f>
        <v>arranging-coins</v>
      </c>
      <c r="D442" s="23" t="b">
        <f>IFERROR(__xludf.DUMMYFUNCTION("""COMPUTED_VALUE"""),FALSE)</f>
        <v>0</v>
      </c>
      <c r="E442" s="23" t="str">
        <f>IFERROR(__xludf.DUMMYFUNCTION("""COMPUTED_VALUE"""),"Easy")</f>
        <v>Easy</v>
      </c>
      <c r="F442" s="23">
        <f>IFERROR(__xludf.DUMMYFUNCTION("""COMPUTED_VALUE"""),2186.0)</f>
        <v>2186</v>
      </c>
      <c r="G442" s="23">
        <f>IFERROR(__xludf.DUMMYFUNCTION("""COMPUTED_VALUE"""),1014.0)</f>
        <v>1014</v>
      </c>
      <c r="H442" s="23" t="str">
        <f>IFERROR(__xludf.DUMMYFUNCTION("""COMPUTED_VALUE"""),"Algorithms")</f>
        <v>Algorithms</v>
      </c>
      <c r="I442" s="23">
        <f>IFERROR(__xludf.DUMMYFUNCTION("""COMPUTED_VALUE"""),0.454)</f>
        <v>0.454</v>
      </c>
      <c r="J442" s="23">
        <f>IFERROR(__xludf.DUMMYFUNCTION("""COMPUTED_VALUE"""),441.0)</f>
        <v>441</v>
      </c>
      <c r="K442" s="23" t="b">
        <f>IFERROR(__xludf.DUMMYFUNCTION("""COMPUTED_VALUE"""),FALSE)</f>
        <v>0</v>
      </c>
      <c r="L442" s="23" t="str">
        <f>IFERROR(__xludf.DUMMYFUNCTION("""COMPUTED_VALUE"""),"Math;Binary Search;")</f>
        <v>Math;Binary Search;</v>
      </c>
      <c r="M442" s="23" t="b">
        <f>IFERROR(__xludf.DUMMYFUNCTION("""COMPUTED_VALUE"""),TRUE)</f>
        <v>1</v>
      </c>
      <c r="N442" s="23" t="b">
        <f>IFERROR(__xludf.DUMMYFUNCTION("""COMPUTED_VALUE"""),FALSE)</f>
        <v>0</v>
      </c>
      <c r="O442" s="23">
        <f>IFERROR(__xludf.DUMMYFUNCTION("""COMPUTED_VALUE"""),45.3579046465391)</f>
        <v>45.35790465</v>
      </c>
      <c r="P442" s="23">
        <f>IFERROR(__xludf.DUMMYFUNCTION("""COMPUTED_VALUE"""),275590.0)</f>
        <v>275590</v>
      </c>
      <c r="Q442" s="23">
        <f>IFERROR(__xludf.DUMMYFUNCTION("""COMPUTED_VALUE"""),607589.0)</f>
        <v>607589</v>
      </c>
    </row>
    <row r="443">
      <c r="A443" s="23">
        <f>IFERROR(__xludf.DUMMYFUNCTION("""COMPUTED_VALUE"""),442.0)</f>
        <v>442</v>
      </c>
      <c r="B443" s="23" t="str">
        <f>IFERROR(__xludf.DUMMYFUNCTION("""COMPUTED_VALUE"""),"Find All Duplicates in an Array")</f>
        <v>Find All Duplicates in an Array</v>
      </c>
      <c r="C443" s="23" t="str">
        <f>IFERROR(__xludf.DUMMYFUNCTION("""COMPUTED_VALUE"""),"find-all-duplicates-in-an-array")</f>
        <v>find-all-duplicates-in-an-array</v>
      </c>
      <c r="D443" s="23" t="b">
        <f>IFERROR(__xludf.DUMMYFUNCTION("""COMPUTED_VALUE"""),FALSE)</f>
        <v>0</v>
      </c>
      <c r="E443" s="23" t="str">
        <f>IFERROR(__xludf.DUMMYFUNCTION("""COMPUTED_VALUE"""),"Medium")</f>
        <v>Medium</v>
      </c>
      <c r="F443" s="23">
        <f>IFERROR(__xludf.DUMMYFUNCTION("""COMPUTED_VALUE"""),6053.0)</f>
        <v>6053</v>
      </c>
      <c r="G443" s="23">
        <f>IFERROR(__xludf.DUMMYFUNCTION("""COMPUTED_VALUE"""),248.0)</f>
        <v>248</v>
      </c>
      <c r="H443" s="23" t="str">
        <f>IFERROR(__xludf.DUMMYFUNCTION("""COMPUTED_VALUE"""),"Algorithms")</f>
        <v>Algorithms</v>
      </c>
      <c r="I443" s="23">
        <f>IFERROR(__xludf.DUMMYFUNCTION("""COMPUTED_VALUE"""),0.724)</f>
        <v>0.724</v>
      </c>
      <c r="J443" s="23">
        <f>IFERROR(__xludf.DUMMYFUNCTION("""COMPUTED_VALUE"""),442.0)</f>
        <v>442</v>
      </c>
      <c r="K443" s="23" t="b">
        <f>IFERROR(__xludf.DUMMYFUNCTION("""COMPUTED_VALUE"""),FALSE)</f>
        <v>0</v>
      </c>
      <c r="L443" s="23" t="str">
        <f>IFERROR(__xludf.DUMMYFUNCTION("""COMPUTED_VALUE"""),"Array;Hash Table;")</f>
        <v>Array;Hash Table;</v>
      </c>
      <c r="M443" s="23" t="b">
        <f>IFERROR(__xludf.DUMMYFUNCTION("""COMPUTED_VALUE"""),TRUE)</f>
        <v>1</v>
      </c>
      <c r="N443" s="23" t="b">
        <f>IFERROR(__xludf.DUMMYFUNCTION("""COMPUTED_VALUE"""),FALSE)</f>
        <v>0</v>
      </c>
      <c r="O443" s="23">
        <f>IFERROR(__xludf.DUMMYFUNCTION("""COMPUTED_VALUE"""),72.3689137889256)</f>
        <v>72.36891379</v>
      </c>
      <c r="P443" s="23">
        <f>IFERROR(__xludf.DUMMYFUNCTION("""COMPUTED_VALUE"""),394231.0)</f>
        <v>394231</v>
      </c>
      <c r="Q443" s="23">
        <f>IFERROR(__xludf.DUMMYFUNCTION("""COMPUTED_VALUE"""),544753.0)</f>
        <v>544753</v>
      </c>
    </row>
    <row r="444">
      <c r="A444" s="23">
        <f>IFERROR(__xludf.DUMMYFUNCTION("""COMPUTED_VALUE"""),443.0)</f>
        <v>443</v>
      </c>
      <c r="B444" s="23" t="str">
        <f>IFERROR(__xludf.DUMMYFUNCTION("""COMPUTED_VALUE"""),"String Compression")</f>
        <v>String Compression</v>
      </c>
      <c r="C444" s="23" t="str">
        <f>IFERROR(__xludf.DUMMYFUNCTION("""COMPUTED_VALUE"""),"string-compression")</f>
        <v>string-compression</v>
      </c>
      <c r="D444" s="23" t="b">
        <f>IFERROR(__xludf.DUMMYFUNCTION("""COMPUTED_VALUE"""),FALSE)</f>
        <v>0</v>
      </c>
      <c r="E444" s="23" t="str">
        <f>IFERROR(__xludf.DUMMYFUNCTION("""COMPUTED_VALUE"""),"Medium")</f>
        <v>Medium</v>
      </c>
      <c r="F444" s="23">
        <f>IFERROR(__xludf.DUMMYFUNCTION("""COMPUTED_VALUE"""),2043.0)</f>
        <v>2043</v>
      </c>
      <c r="G444" s="23">
        <f>IFERROR(__xludf.DUMMYFUNCTION("""COMPUTED_VALUE"""),4175.0)</f>
        <v>4175</v>
      </c>
      <c r="H444" s="23" t="str">
        <f>IFERROR(__xludf.DUMMYFUNCTION("""COMPUTED_VALUE"""),"Algorithms")</f>
        <v>Algorithms</v>
      </c>
      <c r="I444" s="23">
        <f>IFERROR(__xludf.DUMMYFUNCTION("""COMPUTED_VALUE"""),0.475)</f>
        <v>0.475</v>
      </c>
      <c r="J444" s="23">
        <f>IFERROR(__xludf.DUMMYFUNCTION("""COMPUTED_VALUE"""),443.0)</f>
        <v>443</v>
      </c>
      <c r="K444" s="23" t="b">
        <f>IFERROR(__xludf.DUMMYFUNCTION("""COMPUTED_VALUE"""),FALSE)</f>
        <v>0</v>
      </c>
      <c r="L444" s="23" t="str">
        <f>IFERROR(__xludf.DUMMYFUNCTION("""COMPUTED_VALUE"""),"Two Pointers;String;")</f>
        <v>Two Pointers;String;</v>
      </c>
      <c r="M444" s="23" t="b">
        <f>IFERROR(__xludf.DUMMYFUNCTION("""COMPUTED_VALUE"""),FALSE)</f>
        <v>0</v>
      </c>
      <c r="N444" s="23" t="b">
        <f>IFERROR(__xludf.DUMMYFUNCTION("""COMPUTED_VALUE"""),FALSE)</f>
        <v>0</v>
      </c>
      <c r="O444" s="23">
        <f>IFERROR(__xludf.DUMMYFUNCTION("""COMPUTED_VALUE"""),47.503246942059)</f>
        <v>47.50324694</v>
      </c>
      <c r="P444" s="23">
        <f>IFERROR(__xludf.DUMMYFUNCTION("""COMPUTED_VALUE"""),245055.0)</f>
        <v>245055</v>
      </c>
      <c r="Q444" s="23">
        <f>IFERROR(__xludf.DUMMYFUNCTION("""COMPUTED_VALUE"""),515869.0)</f>
        <v>515869</v>
      </c>
    </row>
    <row r="445">
      <c r="A445" s="23">
        <f>IFERROR(__xludf.DUMMYFUNCTION("""COMPUTED_VALUE"""),444.0)</f>
        <v>444</v>
      </c>
      <c r="B445" s="23" t="str">
        <f>IFERROR(__xludf.DUMMYFUNCTION("""COMPUTED_VALUE"""),"Sequence Reconstruction")</f>
        <v>Sequence Reconstruction</v>
      </c>
      <c r="C445" s="23" t="str">
        <f>IFERROR(__xludf.DUMMYFUNCTION("""COMPUTED_VALUE"""),"sequence-reconstruction")</f>
        <v>sequence-reconstruction</v>
      </c>
      <c r="D445" s="23" t="b">
        <f>IFERROR(__xludf.DUMMYFUNCTION("""COMPUTED_VALUE"""),TRUE)</f>
        <v>1</v>
      </c>
      <c r="E445" s="23" t="str">
        <f>IFERROR(__xludf.DUMMYFUNCTION("""COMPUTED_VALUE"""),"Medium")</f>
        <v>Medium</v>
      </c>
      <c r="F445" s="23">
        <f>IFERROR(__xludf.DUMMYFUNCTION("""COMPUTED_VALUE"""),455.0)</f>
        <v>455</v>
      </c>
      <c r="G445" s="23">
        <f>IFERROR(__xludf.DUMMYFUNCTION("""COMPUTED_VALUE"""),1387.0)</f>
        <v>1387</v>
      </c>
      <c r="H445" s="23" t="str">
        <f>IFERROR(__xludf.DUMMYFUNCTION("""COMPUTED_VALUE"""),"Algorithms")</f>
        <v>Algorithms</v>
      </c>
      <c r="I445" s="23">
        <f>IFERROR(__xludf.DUMMYFUNCTION("""COMPUTED_VALUE"""),0.251)</f>
        <v>0.251</v>
      </c>
      <c r="J445" s="23">
        <f>IFERROR(__xludf.DUMMYFUNCTION("""COMPUTED_VALUE"""),444.0)</f>
        <v>444</v>
      </c>
      <c r="K445" s="23" t="b">
        <f>IFERROR(__xludf.DUMMYFUNCTION("""COMPUTED_VALUE"""),TRUE)</f>
        <v>1</v>
      </c>
      <c r="L445" s="23" t="str">
        <f>IFERROR(__xludf.DUMMYFUNCTION("""COMPUTED_VALUE"""),"Array;Graph;Topological Sort;")</f>
        <v>Array;Graph;Topological Sort;</v>
      </c>
      <c r="M445" s="23" t="b">
        <f>IFERROR(__xludf.DUMMYFUNCTION("""COMPUTED_VALUE"""),FALSE)</f>
        <v>0</v>
      </c>
      <c r="N445" s="23" t="b">
        <f>IFERROR(__xludf.DUMMYFUNCTION("""COMPUTED_VALUE"""),FALSE)</f>
        <v>0</v>
      </c>
      <c r="O445" s="23">
        <f>IFERROR(__xludf.DUMMYFUNCTION("""COMPUTED_VALUE"""),25.0504821327283)</f>
        <v>25.05048213</v>
      </c>
      <c r="P445" s="23">
        <f>IFERROR(__xludf.DUMMYFUNCTION("""COMPUTED_VALUE"""),44164.0)</f>
        <v>44164</v>
      </c>
      <c r="Q445" s="23">
        <f>IFERROR(__xludf.DUMMYFUNCTION("""COMPUTED_VALUE"""),176300.0)</f>
        <v>176300</v>
      </c>
    </row>
    <row r="446">
      <c r="A446" s="23">
        <f>IFERROR(__xludf.DUMMYFUNCTION("""COMPUTED_VALUE"""),445.0)</f>
        <v>445</v>
      </c>
      <c r="B446" s="23" t="str">
        <f>IFERROR(__xludf.DUMMYFUNCTION("""COMPUTED_VALUE"""),"Add Two Numbers II")</f>
        <v>Add Two Numbers II</v>
      </c>
      <c r="C446" s="23" t="str">
        <f>IFERROR(__xludf.DUMMYFUNCTION("""COMPUTED_VALUE"""),"add-two-numbers-ii")</f>
        <v>add-two-numbers-ii</v>
      </c>
      <c r="D446" s="23" t="b">
        <f>IFERROR(__xludf.DUMMYFUNCTION("""COMPUTED_VALUE"""),FALSE)</f>
        <v>0</v>
      </c>
      <c r="E446" s="23" t="str">
        <f>IFERROR(__xludf.DUMMYFUNCTION("""COMPUTED_VALUE"""),"Medium")</f>
        <v>Medium</v>
      </c>
      <c r="F446" s="23">
        <f>IFERROR(__xludf.DUMMYFUNCTION("""COMPUTED_VALUE"""),3453.0)</f>
        <v>3453</v>
      </c>
      <c r="G446" s="23">
        <f>IFERROR(__xludf.DUMMYFUNCTION("""COMPUTED_VALUE"""),225.0)</f>
        <v>225</v>
      </c>
      <c r="H446" s="23" t="str">
        <f>IFERROR(__xludf.DUMMYFUNCTION("""COMPUTED_VALUE"""),"Algorithms")</f>
        <v>Algorithms</v>
      </c>
      <c r="I446" s="23">
        <f>IFERROR(__xludf.DUMMYFUNCTION("""COMPUTED_VALUE"""),0.586)</f>
        <v>0.586</v>
      </c>
      <c r="J446" s="23">
        <f>IFERROR(__xludf.DUMMYFUNCTION("""COMPUTED_VALUE"""),445.0)</f>
        <v>445</v>
      </c>
      <c r="K446" s="23" t="b">
        <f>IFERROR(__xludf.DUMMYFUNCTION("""COMPUTED_VALUE"""),FALSE)</f>
        <v>0</v>
      </c>
      <c r="L446" s="23" t="str">
        <f>IFERROR(__xludf.DUMMYFUNCTION("""COMPUTED_VALUE"""),"Linked List;Math;Stack;")</f>
        <v>Linked List;Math;Stack;</v>
      </c>
      <c r="M446" s="23" t="b">
        <f>IFERROR(__xludf.DUMMYFUNCTION("""COMPUTED_VALUE"""),TRUE)</f>
        <v>1</v>
      </c>
      <c r="N446" s="23" t="b">
        <f>IFERROR(__xludf.DUMMYFUNCTION("""COMPUTED_VALUE"""),FALSE)</f>
        <v>0</v>
      </c>
      <c r="O446" s="23">
        <f>IFERROR(__xludf.DUMMYFUNCTION("""COMPUTED_VALUE"""),58.6099837353884)</f>
        <v>58.60998374</v>
      </c>
      <c r="P446" s="23">
        <f>IFERROR(__xludf.DUMMYFUNCTION("""COMPUTED_VALUE"""),308462.0)</f>
        <v>308462</v>
      </c>
      <c r="Q446" s="23">
        <f>IFERROR(__xludf.DUMMYFUNCTION("""COMPUTED_VALUE"""),526296.0)</f>
        <v>526296</v>
      </c>
    </row>
    <row r="447">
      <c r="A447" s="23">
        <f>IFERROR(__xludf.DUMMYFUNCTION("""COMPUTED_VALUE"""),446.0)</f>
        <v>446</v>
      </c>
      <c r="B447" s="23" t="str">
        <f>IFERROR(__xludf.DUMMYFUNCTION("""COMPUTED_VALUE"""),"Arithmetic Slices II - Subsequence")</f>
        <v>Arithmetic Slices II - Subsequence</v>
      </c>
      <c r="C447" s="23" t="str">
        <f>IFERROR(__xludf.DUMMYFUNCTION("""COMPUTED_VALUE"""),"arithmetic-slices-ii-subsequence")</f>
        <v>arithmetic-slices-ii-subsequence</v>
      </c>
      <c r="D447" s="23" t="b">
        <f>IFERROR(__xludf.DUMMYFUNCTION("""COMPUTED_VALUE"""),FALSE)</f>
        <v>0</v>
      </c>
      <c r="E447" s="23" t="str">
        <f>IFERROR(__xludf.DUMMYFUNCTION("""COMPUTED_VALUE"""),"Hard")</f>
        <v>Hard</v>
      </c>
      <c r="F447" s="23">
        <f>IFERROR(__xludf.DUMMYFUNCTION("""COMPUTED_VALUE"""),1346.0)</f>
        <v>1346</v>
      </c>
      <c r="G447" s="23">
        <f>IFERROR(__xludf.DUMMYFUNCTION("""COMPUTED_VALUE"""),85.0)</f>
        <v>85</v>
      </c>
      <c r="H447" s="23" t="str">
        <f>IFERROR(__xludf.DUMMYFUNCTION("""COMPUTED_VALUE"""),"Algorithms")</f>
        <v>Algorithms</v>
      </c>
      <c r="I447" s="23">
        <f>IFERROR(__xludf.DUMMYFUNCTION("""COMPUTED_VALUE"""),0.394)</f>
        <v>0.394</v>
      </c>
      <c r="J447" s="23">
        <f>IFERROR(__xludf.DUMMYFUNCTION("""COMPUTED_VALUE"""),446.0)</f>
        <v>446</v>
      </c>
      <c r="K447" s="23" t="b">
        <f>IFERROR(__xludf.DUMMYFUNCTION("""COMPUTED_VALUE"""),FALSE)</f>
        <v>0</v>
      </c>
      <c r="L447" s="23" t="str">
        <f>IFERROR(__xludf.DUMMYFUNCTION("""COMPUTED_VALUE"""),"Array;Dynamic Programming;")</f>
        <v>Array;Dynamic Programming;</v>
      </c>
      <c r="M447" s="23" t="b">
        <f>IFERROR(__xludf.DUMMYFUNCTION("""COMPUTED_VALUE"""),TRUE)</f>
        <v>1</v>
      </c>
      <c r="N447" s="23" t="b">
        <f>IFERROR(__xludf.DUMMYFUNCTION("""COMPUTED_VALUE"""),FALSE)</f>
        <v>0</v>
      </c>
      <c r="O447" s="23">
        <f>IFERROR(__xludf.DUMMYFUNCTION("""COMPUTED_VALUE"""),39.4346072455642)</f>
        <v>39.43460725</v>
      </c>
      <c r="P447" s="23">
        <f>IFERROR(__xludf.DUMMYFUNCTION("""COMPUTED_VALUE"""),43606.0)</f>
        <v>43606</v>
      </c>
      <c r="Q447" s="23">
        <f>IFERROR(__xludf.DUMMYFUNCTION("""COMPUTED_VALUE"""),110578.0)</f>
        <v>110578</v>
      </c>
    </row>
    <row r="448">
      <c r="A448" s="23">
        <f>IFERROR(__xludf.DUMMYFUNCTION("""COMPUTED_VALUE"""),447.0)</f>
        <v>447</v>
      </c>
      <c r="B448" s="23" t="str">
        <f>IFERROR(__xludf.DUMMYFUNCTION("""COMPUTED_VALUE"""),"Number of Boomerangs")</f>
        <v>Number of Boomerangs</v>
      </c>
      <c r="C448" s="23" t="str">
        <f>IFERROR(__xludf.DUMMYFUNCTION("""COMPUTED_VALUE"""),"number-of-boomerangs")</f>
        <v>number-of-boomerangs</v>
      </c>
      <c r="D448" s="23" t="b">
        <f>IFERROR(__xludf.DUMMYFUNCTION("""COMPUTED_VALUE"""),FALSE)</f>
        <v>0</v>
      </c>
      <c r="E448" s="23" t="str">
        <f>IFERROR(__xludf.DUMMYFUNCTION("""COMPUTED_VALUE"""),"Medium")</f>
        <v>Medium</v>
      </c>
      <c r="F448" s="23">
        <f>IFERROR(__xludf.DUMMYFUNCTION("""COMPUTED_VALUE"""),616.0)</f>
        <v>616</v>
      </c>
      <c r="G448" s="23">
        <f>IFERROR(__xludf.DUMMYFUNCTION("""COMPUTED_VALUE"""),884.0)</f>
        <v>884</v>
      </c>
      <c r="H448" s="23" t="str">
        <f>IFERROR(__xludf.DUMMYFUNCTION("""COMPUTED_VALUE"""),"Algorithms")</f>
        <v>Algorithms</v>
      </c>
      <c r="I448" s="23">
        <f>IFERROR(__xludf.DUMMYFUNCTION("""COMPUTED_VALUE"""),0.542)</f>
        <v>0.542</v>
      </c>
      <c r="J448" s="23">
        <f>IFERROR(__xludf.DUMMYFUNCTION("""COMPUTED_VALUE"""),447.0)</f>
        <v>447</v>
      </c>
      <c r="K448" s="23" t="b">
        <f>IFERROR(__xludf.DUMMYFUNCTION("""COMPUTED_VALUE"""),FALSE)</f>
        <v>0</v>
      </c>
      <c r="L448" s="23" t="str">
        <f>IFERROR(__xludf.DUMMYFUNCTION("""COMPUTED_VALUE"""),"Array;Hash Table;Math;")</f>
        <v>Array;Hash Table;Math;</v>
      </c>
      <c r="M448" s="23" t="b">
        <f>IFERROR(__xludf.DUMMYFUNCTION("""COMPUTED_VALUE"""),FALSE)</f>
        <v>0</v>
      </c>
      <c r="N448" s="23" t="b">
        <f>IFERROR(__xludf.DUMMYFUNCTION("""COMPUTED_VALUE"""),FALSE)</f>
        <v>0</v>
      </c>
      <c r="O448" s="23">
        <f>IFERROR(__xludf.DUMMYFUNCTION("""COMPUTED_VALUE"""),54.1830743099247)</f>
        <v>54.18307431</v>
      </c>
      <c r="P448" s="23">
        <f>IFERROR(__xludf.DUMMYFUNCTION("""COMPUTED_VALUE"""),85172.0)</f>
        <v>85172</v>
      </c>
      <c r="Q448" s="23">
        <f>IFERROR(__xludf.DUMMYFUNCTION("""COMPUTED_VALUE"""),157193.0)</f>
        <v>157193</v>
      </c>
    </row>
    <row r="449">
      <c r="A449" s="23">
        <f>IFERROR(__xludf.DUMMYFUNCTION("""COMPUTED_VALUE"""),448.0)</f>
        <v>448</v>
      </c>
      <c r="B449" s="23" t="str">
        <f>IFERROR(__xludf.DUMMYFUNCTION("""COMPUTED_VALUE"""),"Find All Numbers Disappeared in an Array")</f>
        <v>Find All Numbers Disappeared in an Array</v>
      </c>
      <c r="C449" s="23" t="str">
        <f>IFERROR(__xludf.DUMMYFUNCTION("""COMPUTED_VALUE"""),"find-all-numbers-disappeared-in-an-array")</f>
        <v>find-all-numbers-disappeared-in-an-array</v>
      </c>
      <c r="D449" s="23" t="b">
        <f>IFERROR(__xludf.DUMMYFUNCTION("""COMPUTED_VALUE"""),FALSE)</f>
        <v>0</v>
      </c>
      <c r="E449" s="23" t="str">
        <f>IFERROR(__xludf.DUMMYFUNCTION("""COMPUTED_VALUE"""),"Easy")</f>
        <v>Easy</v>
      </c>
      <c r="F449" s="23">
        <f>IFERROR(__xludf.DUMMYFUNCTION("""COMPUTED_VALUE"""),6452.0)</f>
        <v>6452</v>
      </c>
      <c r="G449" s="23">
        <f>IFERROR(__xludf.DUMMYFUNCTION("""COMPUTED_VALUE"""),379.0)</f>
        <v>379</v>
      </c>
      <c r="H449" s="23" t="str">
        <f>IFERROR(__xludf.DUMMYFUNCTION("""COMPUTED_VALUE"""),"Algorithms")</f>
        <v>Algorithms</v>
      </c>
      <c r="I449" s="23">
        <f>IFERROR(__xludf.DUMMYFUNCTION("""COMPUTED_VALUE"""),0.591)</f>
        <v>0.591</v>
      </c>
      <c r="J449" s="23">
        <f>IFERROR(__xludf.DUMMYFUNCTION("""COMPUTED_VALUE"""),448.0)</f>
        <v>448</v>
      </c>
      <c r="K449" s="23" t="b">
        <f>IFERROR(__xludf.DUMMYFUNCTION("""COMPUTED_VALUE"""),FALSE)</f>
        <v>0</v>
      </c>
      <c r="L449" s="23" t="str">
        <f>IFERROR(__xludf.DUMMYFUNCTION("""COMPUTED_VALUE"""),"Array;Hash Table;")</f>
        <v>Array;Hash Table;</v>
      </c>
      <c r="M449" s="23" t="b">
        <f>IFERROR(__xludf.DUMMYFUNCTION("""COMPUTED_VALUE"""),TRUE)</f>
        <v>1</v>
      </c>
      <c r="N449" s="23" t="b">
        <f>IFERROR(__xludf.DUMMYFUNCTION("""COMPUTED_VALUE"""),FALSE)</f>
        <v>0</v>
      </c>
      <c r="O449" s="23">
        <f>IFERROR(__xludf.DUMMYFUNCTION("""COMPUTED_VALUE"""),59.0631617119896)</f>
        <v>59.06316171</v>
      </c>
      <c r="P449" s="23">
        <f>IFERROR(__xludf.DUMMYFUNCTION("""COMPUTED_VALUE"""),566782.0)</f>
        <v>566782</v>
      </c>
      <c r="Q449" s="23">
        <f>IFERROR(__xludf.DUMMYFUNCTION("""COMPUTED_VALUE"""),959624.0)</f>
        <v>959624</v>
      </c>
    </row>
    <row r="450">
      <c r="A450" s="23">
        <f>IFERROR(__xludf.DUMMYFUNCTION("""COMPUTED_VALUE"""),449.0)</f>
        <v>449</v>
      </c>
      <c r="B450" s="23" t="str">
        <f>IFERROR(__xludf.DUMMYFUNCTION("""COMPUTED_VALUE"""),"Serialize and Deserialize BST")</f>
        <v>Serialize and Deserialize BST</v>
      </c>
      <c r="C450" s="23" t="str">
        <f>IFERROR(__xludf.DUMMYFUNCTION("""COMPUTED_VALUE"""),"serialize-and-deserialize-bst")</f>
        <v>serialize-and-deserialize-bst</v>
      </c>
      <c r="D450" s="23" t="b">
        <f>IFERROR(__xludf.DUMMYFUNCTION("""COMPUTED_VALUE"""),FALSE)</f>
        <v>0</v>
      </c>
      <c r="E450" s="23" t="str">
        <f>IFERROR(__xludf.DUMMYFUNCTION("""COMPUTED_VALUE"""),"Medium")</f>
        <v>Medium</v>
      </c>
      <c r="F450" s="23">
        <f>IFERROR(__xludf.DUMMYFUNCTION("""COMPUTED_VALUE"""),2656.0)</f>
        <v>2656</v>
      </c>
      <c r="G450" s="23">
        <f>IFERROR(__xludf.DUMMYFUNCTION("""COMPUTED_VALUE"""),132.0)</f>
        <v>132</v>
      </c>
      <c r="H450" s="23" t="str">
        <f>IFERROR(__xludf.DUMMYFUNCTION("""COMPUTED_VALUE"""),"Algorithms")</f>
        <v>Algorithms</v>
      </c>
      <c r="I450" s="23">
        <f>IFERROR(__xludf.DUMMYFUNCTION("""COMPUTED_VALUE"""),0.562)</f>
        <v>0.562</v>
      </c>
      <c r="J450" s="23">
        <f>IFERROR(__xludf.DUMMYFUNCTION("""COMPUTED_VALUE"""),449.0)</f>
        <v>449</v>
      </c>
      <c r="K450" s="23" t="b">
        <f>IFERROR(__xludf.DUMMYFUNCTION("""COMPUTED_VALUE"""),FALSE)</f>
        <v>0</v>
      </c>
      <c r="L450" s="23" t="str">
        <f>IFERROR(__xludf.DUMMYFUNCTION("""COMPUTED_VALUE"""),"String;Tree;Depth-First Search;Breadth-First Search;Design;Binary Search Tree;Binary Tree;")</f>
        <v>String;Tree;Depth-First Search;Breadth-First Search;Design;Binary Search Tree;Binary Tree;</v>
      </c>
      <c r="M450" s="23" t="b">
        <f>IFERROR(__xludf.DUMMYFUNCTION("""COMPUTED_VALUE"""),TRUE)</f>
        <v>1</v>
      </c>
      <c r="N450" s="23" t="b">
        <f>IFERROR(__xludf.DUMMYFUNCTION("""COMPUTED_VALUE"""),FALSE)</f>
        <v>0</v>
      </c>
      <c r="O450" s="23">
        <f>IFERROR(__xludf.DUMMYFUNCTION("""COMPUTED_VALUE"""),56.1664663760259)</f>
        <v>56.16646638</v>
      </c>
      <c r="P450" s="23">
        <f>IFERROR(__xludf.DUMMYFUNCTION("""COMPUTED_VALUE"""),192091.0)</f>
        <v>192091</v>
      </c>
      <c r="Q450" s="23">
        <f>IFERROR(__xludf.DUMMYFUNCTION("""COMPUTED_VALUE"""),342003.0)</f>
        <v>342003</v>
      </c>
    </row>
    <row r="451">
      <c r="A451" s="23">
        <f>IFERROR(__xludf.DUMMYFUNCTION("""COMPUTED_VALUE"""),450.0)</f>
        <v>450</v>
      </c>
      <c r="B451" s="23" t="str">
        <f>IFERROR(__xludf.DUMMYFUNCTION("""COMPUTED_VALUE"""),"Delete Node in a BST")</f>
        <v>Delete Node in a BST</v>
      </c>
      <c r="C451" s="23" t="str">
        <f>IFERROR(__xludf.DUMMYFUNCTION("""COMPUTED_VALUE"""),"delete-node-in-a-bst")</f>
        <v>delete-node-in-a-bst</v>
      </c>
      <c r="D451" s="23" t="b">
        <f>IFERROR(__xludf.DUMMYFUNCTION("""COMPUTED_VALUE"""),FALSE)</f>
        <v>0</v>
      </c>
      <c r="E451" s="23" t="str">
        <f>IFERROR(__xludf.DUMMYFUNCTION("""COMPUTED_VALUE"""),"Medium")</f>
        <v>Medium</v>
      </c>
      <c r="F451" s="23">
        <f>IFERROR(__xludf.DUMMYFUNCTION("""COMPUTED_VALUE"""),5265.0)</f>
        <v>5265</v>
      </c>
      <c r="G451" s="23">
        <f>IFERROR(__xludf.DUMMYFUNCTION("""COMPUTED_VALUE"""),155.0)</f>
        <v>155</v>
      </c>
      <c r="H451" s="23" t="str">
        <f>IFERROR(__xludf.DUMMYFUNCTION("""COMPUTED_VALUE"""),"Algorithms")</f>
        <v>Algorithms</v>
      </c>
      <c r="I451" s="23">
        <f>IFERROR(__xludf.DUMMYFUNCTION("""COMPUTED_VALUE"""),0.49)</f>
        <v>0.49</v>
      </c>
      <c r="J451" s="23">
        <f>IFERROR(__xludf.DUMMYFUNCTION("""COMPUTED_VALUE"""),450.0)</f>
        <v>450</v>
      </c>
      <c r="K451" s="23" t="b">
        <f>IFERROR(__xludf.DUMMYFUNCTION("""COMPUTED_VALUE"""),FALSE)</f>
        <v>0</v>
      </c>
      <c r="L451" s="23" t="str">
        <f>IFERROR(__xludf.DUMMYFUNCTION("""COMPUTED_VALUE"""),"Tree;Binary Search Tree;Binary Tree;")</f>
        <v>Tree;Binary Search Tree;Binary Tree;</v>
      </c>
      <c r="M451" s="23" t="b">
        <f>IFERROR(__xludf.DUMMYFUNCTION("""COMPUTED_VALUE"""),TRUE)</f>
        <v>1</v>
      </c>
      <c r="N451" s="23" t="b">
        <f>IFERROR(__xludf.DUMMYFUNCTION("""COMPUTED_VALUE"""),FALSE)</f>
        <v>0</v>
      </c>
      <c r="O451" s="23">
        <f>IFERROR(__xludf.DUMMYFUNCTION("""COMPUTED_VALUE"""),48.9803601454482)</f>
        <v>48.98036015</v>
      </c>
      <c r="P451" s="23">
        <f>IFERROR(__xludf.DUMMYFUNCTION("""COMPUTED_VALUE"""),270612.0)</f>
        <v>270612</v>
      </c>
      <c r="Q451" s="23">
        <f>IFERROR(__xludf.DUMMYFUNCTION("""COMPUTED_VALUE"""),552495.0)</f>
        <v>552495</v>
      </c>
    </row>
    <row r="452">
      <c r="A452" s="23">
        <f>IFERROR(__xludf.DUMMYFUNCTION("""COMPUTED_VALUE"""),451.0)</f>
        <v>451</v>
      </c>
      <c r="B452" s="23" t="str">
        <f>IFERROR(__xludf.DUMMYFUNCTION("""COMPUTED_VALUE"""),"Sort Characters By Frequency")</f>
        <v>Sort Characters By Frequency</v>
      </c>
      <c r="C452" s="23" t="str">
        <f>IFERROR(__xludf.DUMMYFUNCTION("""COMPUTED_VALUE"""),"sort-characters-by-frequency")</f>
        <v>sort-characters-by-frequency</v>
      </c>
      <c r="D452" s="23" t="b">
        <f>IFERROR(__xludf.DUMMYFUNCTION("""COMPUTED_VALUE"""),FALSE)</f>
        <v>0</v>
      </c>
      <c r="E452" s="23" t="str">
        <f>IFERROR(__xludf.DUMMYFUNCTION("""COMPUTED_VALUE"""),"Medium")</f>
        <v>Medium</v>
      </c>
      <c r="F452" s="23">
        <f>IFERROR(__xludf.DUMMYFUNCTION("""COMPUTED_VALUE"""),4043.0)</f>
        <v>4043</v>
      </c>
      <c r="G452" s="23">
        <f>IFERROR(__xludf.DUMMYFUNCTION("""COMPUTED_VALUE"""),179.0)</f>
        <v>179</v>
      </c>
      <c r="H452" s="23" t="str">
        <f>IFERROR(__xludf.DUMMYFUNCTION("""COMPUTED_VALUE"""),"Algorithms")</f>
        <v>Algorithms</v>
      </c>
      <c r="I452" s="23">
        <f>IFERROR(__xludf.DUMMYFUNCTION("""COMPUTED_VALUE"""),0.678)</f>
        <v>0.678</v>
      </c>
      <c r="J452" s="23">
        <f>IFERROR(__xludf.DUMMYFUNCTION("""COMPUTED_VALUE"""),451.0)</f>
        <v>451</v>
      </c>
      <c r="K452" s="23" t="b">
        <f>IFERROR(__xludf.DUMMYFUNCTION("""COMPUTED_VALUE"""),FALSE)</f>
        <v>0</v>
      </c>
      <c r="L452" s="23" t="str">
        <f>IFERROR(__xludf.DUMMYFUNCTION("""COMPUTED_VALUE"""),"Hash Table;String;Sorting;Heap (Priority Queue);Bucket Sort;Counting;")</f>
        <v>Hash Table;String;Sorting;Heap (Priority Queue);Bucket Sort;Counting;</v>
      </c>
      <c r="M452" s="23" t="b">
        <f>IFERROR(__xludf.DUMMYFUNCTION("""COMPUTED_VALUE"""),TRUE)</f>
        <v>1</v>
      </c>
      <c r="N452" s="23" t="b">
        <f>IFERROR(__xludf.DUMMYFUNCTION("""COMPUTED_VALUE"""),FALSE)</f>
        <v>0</v>
      </c>
      <c r="O452" s="23">
        <f>IFERROR(__xludf.DUMMYFUNCTION("""COMPUTED_VALUE"""),67.7620028137075)</f>
        <v>67.76200281</v>
      </c>
      <c r="P452" s="23">
        <f>IFERROR(__xludf.DUMMYFUNCTION("""COMPUTED_VALUE"""),357388.0)</f>
        <v>357388</v>
      </c>
      <c r="Q452" s="23">
        <f>IFERROR(__xludf.DUMMYFUNCTION("""COMPUTED_VALUE"""),527416.0)</f>
        <v>527416</v>
      </c>
    </row>
    <row r="453">
      <c r="A453" s="23">
        <f>IFERROR(__xludf.DUMMYFUNCTION("""COMPUTED_VALUE"""),452.0)</f>
        <v>452</v>
      </c>
      <c r="B453" s="23" t="str">
        <f>IFERROR(__xludf.DUMMYFUNCTION("""COMPUTED_VALUE"""),"Minimum Number of Arrows to Burst Balloons")</f>
        <v>Minimum Number of Arrows to Burst Balloons</v>
      </c>
      <c r="C453" s="23" t="str">
        <f>IFERROR(__xludf.DUMMYFUNCTION("""COMPUTED_VALUE"""),"minimum-number-of-arrows-to-burst-balloons")</f>
        <v>minimum-number-of-arrows-to-burst-balloons</v>
      </c>
      <c r="D453" s="23" t="b">
        <f>IFERROR(__xludf.DUMMYFUNCTION("""COMPUTED_VALUE"""),FALSE)</f>
        <v>0</v>
      </c>
      <c r="E453" s="23" t="str">
        <f>IFERROR(__xludf.DUMMYFUNCTION("""COMPUTED_VALUE"""),"Medium")</f>
        <v>Medium</v>
      </c>
      <c r="F453" s="23">
        <f>IFERROR(__xludf.DUMMYFUNCTION("""COMPUTED_VALUE"""),3384.0)</f>
        <v>3384</v>
      </c>
      <c r="G453" s="23">
        <f>IFERROR(__xludf.DUMMYFUNCTION("""COMPUTED_VALUE"""),100.0)</f>
        <v>100</v>
      </c>
      <c r="H453" s="23" t="str">
        <f>IFERROR(__xludf.DUMMYFUNCTION("""COMPUTED_VALUE"""),"Algorithms")</f>
        <v>Algorithms</v>
      </c>
      <c r="I453" s="23">
        <f>IFERROR(__xludf.DUMMYFUNCTION("""COMPUTED_VALUE"""),0.529)</f>
        <v>0.529</v>
      </c>
      <c r="J453" s="23">
        <f>IFERROR(__xludf.DUMMYFUNCTION("""COMPUTED_VALUE"""),452.0)</f>
        <v>452</v>
      </c>
      <c r="K453" s="23" t="b">
        <f>IFERROR(__xludf.DUMMYFUNCTION("""COMPUTED_VALUE"""),FALSE)</f>
        <v>0</v>
      </c>
      <c r="L453" s="23" t="str">
        <f>IFERROR(__xludf.DUMMYFUNCTION("""COMPUTED_VALUE"""),"Array;Greedy;Sorting;")</f>
        <v>Array;Greedy;Sorting;</v>
      </c>
      <c r="M453" s="23" t="b">
        <f>IFERROR(__xludf.DUMMYFUNCTION("""COMPUTED_VALUE"""),TRUE)</f>
        <v>1</v>
      </c>
      <c r="N453" s="23" t="b">
        <f>IFERROR(__xludf.DUMMYFUNCTION("""COMPUTED_VALUE"""),FALSE)</f>
        <v>0</v>
      </c>
      <c r="O453" s="23">
        <f>IFERROR(__xludf.DUMMYFUNCTION("""COMPUTED_VALUE"""),52.9034887143148)</f>
        <v>52.90348871</v>
      </c>
      <c r="P453" s="23">
        <f>IFERROR(__xludf.DUMMYFUNCTION("""COMPUTED_VALUE"""),186944.0)</f>
        <v>186944</v>
      </c>
      <c r="Q453" s="23">
        <f>IFERROR(__xludf.DUMMYFUNCTION("""COMPUTED_VALUE"""),353368.0)</f>
        <v>353368</v>
      </c>
    </row>
    <row r="454">
      <c r="A454" s="23">
        <f>IFERROR(__xludf.DUMMYFUNCTION("""COMPUTED_VALUE"""),453.0)</f>
        <v>453</v>
      </c>
      <c r="B454" s="23" t="str">
        <f>IFERROR(__xludf.DUMMYFUNCTION("""COMPUTED_VALUE"""),"Minimum Moves to Equal Array Elements")</f>
        <v>Minimum Moves to Equal Array Elements</v>
      </c>
      <c r="C454" s="23" t="str">
        <f>IFERROR(__xludf.DUMMYFUNCTION("""COMPUTED_VALUE"""),"minimum-moves-to-equal-array-elements")</f>
        <v>minimum-moves-to-equal-array-elements</v>
      </c>
      <c r="D454" s="23" t="b">
        <f>IFERROR(__xludf.DUMMYFUNCTION("""COMPUTED_VALUE"""),FALSE)</f>
        <v>0</v>
      </c>
      <c r="E454" s="23" t="str">
        <f>IFERROR(__xludf.DUMMYFUNCTION("""COMPUTED_VALUE"""),"Medium")</f>
        <v>Medium</v>
      </c>
      <c r="F454" s="23">
        <f>IFERROR(__xludf.DUMMYFUNCTION("""COMPUTED_VALUE"""),1431.0)</f>
        <v>1431</v>
      </c>
      <c r="G454" s="23">
        <f>IFERROR(__xludf.DUMMYFUNCTION("""COMPUTED_VALUE"""),1561.0)</f>
        <v>1561</v>
      </c>
      <c r="H454" s="23" t="str">
        <f>IFERROR(__xludf.DUMMYFUNCTION("""COMPUTED_VALUE"""),"Algorithms")</f>
        <v>Algorithms</v>
      </c>
      <c r="I454" s="23">
        <f>IFERROR(__xludf.DUMMYFUNCTION("""COMPUTED_VALUE"""),0.541)</f>
        <v>0.541</v>
      </c>
      <c r="J454" s="23">
        <f>IFERROR(__xludf.DUMMYFUNCTION("""COMPUTED_VALUE"""),453.0)</f>
        <v>453</v>
      </c>
      <c r="K454" s="23" t="b">
        <f>IFERROR(__xludf.DUMMYFUNCTION("""COMPUTED_VALUE"""),FALSE)</f>
        <v>0</v>
      </c>
      <c r="L454" s="23" t="str">
        <f>IFERROR(__xludf.DUMMYFUNCTION("""COMPUTED_VALUE"""),"Array;Math;")</f>
        <v>Array;Math;</v>
      </c>
      <c r="M454" s="23" t="b">
        <f>IFERROR(__xludf.DUMMYFUNCTION("""COMPUTED_VALUE"""),TRUE)</f>
        <v>1</v>
      </c>
      <c r="N454" s="23" t="b">
        <f>IFERROR(__xludf.DUMMYFUNCTION("""COMPUTED_VALUE"""),FALSE)</f>
        <v>0</v>
      </c>
      <c r="O454" s="23">
        <f>IFERROR(__xludf.DUMMYFUNCTION("""COMPUTED_VALUE"""),54.0595078121188)</f>
        <v>54.05950781</v>
      </c>
      <c r="P454" s="23">
        <f>IFERROR(__xludf.DUMMYFUNCTION("""COMPUTED_VALUE"""),121895.0)</f>
        <v>121895</v>
      </c>
      <c r="Q454" s="23">
        <f>IFERROR(__xludf.DUMMYFUNCTION("""COMPUTED_VALUE"""),225483.0)</f>
        <v>225483</v>
      </c>
    </row>
    <row r="455">
      <c r="A455" s="23">
        <f>IFERROR(__xludf.DUMMYFUNCTION("""COMPUTED_VALUE"""),454.0)</f>
        <v>454</v>
      </c>
      <c r="B455" s="23" t="str">
        <f>IFERROR(__xludf.DUMMYFUNCTION("""COMPUTED_VALUE"""),"4Sum II")</f>
        <v>4Sum II</v>
      </c>
      <c r="C455" s="23" t="str">
        <f>IFERROR(__xludf.DUMMYFUNCTION("""COMPUTED_VALUE"""),"4sum-ii")</f>
        <v>4sum-ii</v>
      </c>
      <c r="D455" s="23" t="b">
        <f>IFERROR(__xludf.DUMMYFUNCTION("""COMPUTED_VALUE"""),FALSE)</f>
        <v>0</v>
      </c>
      <c r="E455" s="23" t="str">
        <f>IFERROR(__xludf.DUMMYFUNCTION("""COMPUTED_VALUE"""),"Medium")</f>
        <v>Medium</v>
      </c>
      <c r="F455" s="23">
        <f>IFERROR(__xludf.DUMMYFUNCTION("""COMPUTED_VALUE"""),3772.0)</f>
        <v>3772</v>
      </c>
      <c r="G455" s="23">
        <f>IFERROR(__xludf.DUMMYFUNCTION("""COMPUTED_VALUE"""),112.0)</f>
        <v>112</v>
      </c>
      <c r="H455" s="23" t="str">
        <f>IFERROR(__xludf.DUMMYFUNCTION("""COMPUTED_VALUE"""),"Algorithms")</f>
        <v>Algorithms</v>
      </c>
      <c r="I455" s="23">
        <f>IFERROR(__xludf.DUMMYFUNCTION("""COMPUTED_VALUE"""),0.57)</f>
        <v>0.57</v>
      </c>
      <c r="J455" s="23">
        <f>IFERROR(__xludf.DUMMYFUNCTION("""COMPUTED_VALUE"""),454.0)</f>
        <v>454</v>
      </c>
      <c r="K455" s="23" t="b">
        <f>IFERROR(__xludf.DUMMYFUNCTION("""COMPUTED_VALUE"""),FALSE)</f>
        <v>0</v>
      </c>
      <c r="L455" s="23" t="str">
        <f>IFERROR(__xludf.DUMMYFUNCTION("""COMPUTED_VALUE"""),"Array;Hash Table;")</f>
        <v>Array;Hash Table;</v>
      </c>
      <c r="M455" s="23" t="b">
        <f>IFERROR(__xludf.DUMMYFUNCTION("""COMPUTED_VALUE"""),TRUE)</f>
        <v>1</v>
      </c>
      <c r="N455" s="23" t="b">
        <f>IFERROR(__xludf.DUMMYFUNCTION("""COMPUTED_VALUE"""),FALSE)</f>
        <v>0</v>
      </c>
      <c r="O455" s="23">
        <f>IFERROR(__xludf.DUMMYFUNCTION("""COMPUTED_VALUE"""),57.0302585907473)</f>
        <v>57.03025859</v>
      </c>
      <c r="P455" s="23">
        <f>IFERROR(__xludf.DUMMYFUNCTION("""COMPUTED_VALUE"""),251220.0)</f>
        <v>251220</v>
      </c>
      <c r="Q455" s="23">
        <f>IFERROR(__xludf.DUMMYFUNCTION("""COMPUTED_VALUE"""),440503.0)</f>
        <v>440503</v>
      </c>
    </row>
    <row r="456">
      <c r="A456" s="23">
        <f>IFERROR(__xludf.DUMMYFUNCTION("""COMPUTED_VALUE"""),455.0)</f>
        <v>455</v>
      </c>
      <c r="B456" s="23" t="str">
        <f>IFERROR(__xludf.DUMMYFUNCTION("""COMPUTED_VALUE"""),"Assign Cookies")</f>
        <v>Assign Cookies</v>
      </c>
      <c r="C456" s="23" t="str">
        <f>IFERROR(__xludf.DUMMYFUNCTION("""COMPUTED_VALUE"""),"assign-cookies")</f>
        <v>assign-cookies</v>
      </c>
      <c r="D456" s="23" t="b">
        <f>IFERROR(__xludf.DUMMYFUNCTION("""COMPUTED_VALUE"""),FALSE)</f>
        <v>0</v>
      </c>
      <c r="E456" s="23" t="str">
        <f>IFERROR(__xludf.DUMMYFUNCTION("""COMPUTED_VALUE"""),"Easy")</f>
        <v>Easy</v>
      </c>
      <c r="F456" s="23">
        <f>IFERROR(__xludf.DUMMYFUNCTION("""COMPUTED_VALUE"""),1417.0)</f>
        <v>1417</v>
      </c>
      <c r="G456" s="23">
        <f>IFERROR(__xludf.DUMMYFUNCTION("""COMPUTED_VALUE"""),157.0)</f>
        <v>157</v>
      </c>
      <c r="H456" s="23" t="str">
        <f>IFERROR(__xludf.DUMMYFUNCTION("""COMPUTED_VALUE"""),"Algorithms")</f>
        <v>Algorithms</v>
      </c>
      <c r="I456" s="23">
        <f>IFERROR(__xludf.DUMMYFUNCTION("""COMPUTED_VALUE"""),0.507)</f>
        <v>0.507</v>
      </c>
      <c r="J456" s="23">
        <f>IFERROR(__xludf.DUMMYFUNCTION("""COMPUTED_VALUE"""),455.0)</f>
        <v>455</v>
      </c>
      <c r="K456" s="23" t="b">
        <f>IFERROR(__xludf.DUMMYFUNCTION("""COMPUTED_VALUE"""),FALSE)</f>
        <v>0</v>
      </c>
      <c r="L456" s="23" t="str">
        <f>IFERROR(__xludf.DUMMYFUNCTION("""COMPUTED_VALUE"""),"Array;Greedy;Sorting;")</f>
        <v>Array;Greedy;Sorting;</v>
      </c>
      <c r="M456" s="23" t="b">
        <f>IFERROR(__xludf.DUMMYFUNCTION("""COMPUTED_VALUE"""),FALSE)</f>
        <v>0</v>
      </c>
      <c r="N456" s="23" t="b">
        <f>IFERROR(__xludf.DUMMYFUNCTION("""COMPUTED_VALUE"""),FALSE)</f>
        <v>0</v>
      </c>
      <c r="O456" s="23">
        <f>IFERROR(__xludf.DUMMYFUNCTION("""COMPUTED_VALUE"""),50.703963397623)</f>
        <v>50.7039634</v>
      </c>
      <c r="P456" s="23">
        <f>IFERROR(__xludf.DUMMYFUNCTION("""COMPUTED_VALUE"""),163572.0)</f>
        <v>163572</v>
      </c>
      <c r="Q456" s="23">
        <f>IFERROR(__xludf.DUMMYFUNCTION("""COMPUTED_VALUE"""),322602.0)</f>
        <v>322602</v>
      </c>
    </row>
    <row r="457">
      <c r="A457" s="23">
        <f>IFERROR(__xludf.DUMMYFUNCTION("""COMPUTED_VALUE"""),456.0)</f>
        <v>456</v>
      </c>
      <c r="B457" s="23" t="str">
        <f>IFERROR(__xludf.DUMMYFUNCTION("""COMPUTED_VALUE"""),"132 Pattern")</f>
        <v>132 Pattern</v>
      </c>
      <c r="C457" s="23" t="str">
        <f>IFERROR(__xludf.DUMMYFUNCTION("""COMPUTED_VALUE"""),"132-pattern")</f>
        <v>132-pattern</v>
      </c>
      <c r="D457" s="23" t="b">
        <f>IFERROR(__xludf.DUMMYFUNCTION("""COMPUTED_VALUE"""),FALSE)</f>
        <v>0</v>
      </c>
      <c r="E457" s="23" t="str">
        <f>IFERROR(__xludf.DUMMYFUNCTION("""COMPUTED_VALUE"""),"Medium")</f>
        <v>Medium</v>
      </c>
      <c r="F457" s="23">
        <f>IFERROR(__xludf.DUMMYFUNCTION("""COMPUTED_VALUE"""),3225.0)</f>
        <v>3225</v>
      </c>
      <c r="G457" s="23">
        <f>IFERROR(__xludf.DUMMYFUNCTION("""COMPUTED_VALUE"""),181.0)</f>
        <v>181</v>
      </c>
      <c r="H457" s="23" t="str">
        <f>IFERROR(__xludf.DUMMYFUNCTION("""COMPUTED_VALUE"""),"Algorithms")</f>
        <v>Algorithms</v>
      </c>
      <c r="I457" s="23">
        <f>IFERROR(__xludf.DUMMYFUNCTION("""COMPUTED_VALUE"""),0.309)</f>
        <v>0.309</v>
      </c>
      <c r="J457" s="23">
        <f>IFERROR(__xludf.DUMMYFUNCTION("""COMPUTED_VALUE"""),456.0)</f>
        <v>456</v>
      </c>
      <c r="K457" s="23" t="b">
        <f>IFERROR(__xludf.DUMMYFUNCTION("""COMPUTED_VALUE"""),FALSE)</f>
        <v>0</v>
      </c>
      <c r="L457" s="23" t="str">
        <f>IFERROR(__xludf.DUMMYFUNCTION("""COMPUTED_VALUE"""),"Array;Binary Search;Stack;Monotonic Stack;Ordered Set;")</f>
        <v>Array;Binary Search;Stack;Monotonic Stack;Ordered Set;</v>
      </c>
      <c r="M457" s="23" t="b">
        <f>IFERROR(__xludf.DUMMYFUNCTION("""COMPUTED_VALUE"""),TRUE)</f>
        <v>1</v>
      </c>
      <c r="N457" s="23" t="b">
        <f>IFERROR(__xludf.DUMMYFUNCTION("""COMPUTED_VALUE"""),TRUE)</f>
        <v>1</v>
      </c>
      <c r="O457" s="23">
        <f>IFERROR(__xludf.DUMMYFUNCTION("""COMPUTED_VALUE"""),30.9013955021292)</f>
        <v>30.9013955</v>
      </c>
      <c r="P457" s="23">
        <f>IFERROR(__xludf.DUMMYFUNCTION("""COMPUTED_VALUE"""),106886.0)</f>
        <v>106886</v>
      </c>
      <c r="Q457" s="23">
        <f>IFERROR(__xludf.DUMMYFUNCTION("""COMPUTED_VALUE"""),345896.0)</f>
        <v>345896</v>
      </c>
    </row>
    <row r="458">
      <c r="A458" s="23">
        <f>IFERROR(__xludf.DUMMYFUNCTION("""COMPUTED_VALUE"""),457.0)</f>
        <v>457</v>
      </c>
      <c r="B458" s="23" t="str">
        <f>IFERROR(__xludf.DUMMYFUNCTION("""COMPUTED_VALUE"""),"Circular Array Loop")</f>
        <v>Circular Array Loop</v>
      </c>
      <c r="C458" s="23" t="str">
        <f>IFERROR(__xludf.DUMMYFUNCTION("""COMPUTED_VALUE"""),"circular-array-loop")</f>
        <v>circular-array-loop</v>
      </c>
      <c r="D458" s="23" t="b">
        <f>IFERROR(__xludf.DUMMYFUNCTION("""COMPUTED_VALUE"""),FALSE)</f>
        <v>0</v>
      </c>
      <c r="E458" s="23" t="str">
        <f>IFERROR(__xludf.DUMMYFUNCTION("""COMPUTED_VALUE"""),"Medium")</f>
        <v>Medium</v>
      </c>
      <c r="F458" s="23">
        <f>IFERROR(__xludf.DUMMYFUNCTION("""COMPUTED_VALUE"""),349.0)</f>
        <v>349</v>
      </c>
      <c r="G458" s="23">
        <f>IFERROR(__xludf.DUMMYFUNCTION("""COMPUTED_VALUE"""),309.0)</f>
        <v>309</v>
      </c>
      <c r="H458" s="23" t="str">
        <f>IFERROR(__xludf.DUMMYFUNCTION("""COMPUTED_VALUE"""),"Algorithms")</f>
        <v>Algorithms</v>
      </c>
      <c r="I458" s="23">
        <f>IFERROR(__xludf.DUMMYFUNCTION("""COMPUTED_VALUE"""),0.317)</f>
        <v>0.317</v>
      </c>
      <c r="J458" s="23">
        <f>IFERROR(__xludf.DUMMYFUNCTION("""COMPUTED_VALUE"""),457.0)</f>
        <v>457</v>
      </c>
      <c r="K458" s="23" t="b">
        <f>IFERROR(__xludf.DUMMYFUNCTION("""COMPUTED_VALUE"""),FALSE)</f>
        <v>0</v>
      </c>
      <c r="L458" s="23" t="str">
        <f>IFERROR(__xludf.DUMMYFUNCTION("""COMPUTED_VALUE"""),"Array;Hash Table;Two Pointers;")</f>
        <v>Array;Hash Table;Two Pointers;</v>
      </c>
      <c r="M458" s="23" t="b">
        <f>IFERROR(__xludf.DUMMYFUNCTION("""COMPUTED_VALUE"""),FALSE)</f>
        <v>0</v>
      </c>
      <c r="N458" s="23" t="b">
        <f>IFERROR(__xludf.DUMMYFUNCTION("""COMPUTED_VALUE"""),FALSE)</f>
        <v>0</v>
      </c>
      <c r="O458" s="23">
        <f>IFERROR(__xludf.DUMMYFUNCTION("""COMPUTED_VALUE"""),31.6726688518933)</f>
        <v>31.67266885</v>
      </c>
      <c r="P458" s="23">
        <f>IFERROR(__xludf.DUMMYFUNCTION("""COMPUTED_VALUE"""),58749.0)</f>
        <v>58749</v>
      </c>
      <c r="Q458" s="23">
        <f>IFERROR(__xludf.DUMMYFUNCTION("""COMPUTED_VALUE"""),185486.0)</f>
        <v>185486</v>
      </c>
    </row>
    <row r="459">
      <c r="A459" s="23">
        <f>IFERROR(__xludf.DUMMYFUNCTION("""COMPUTED_VALUE"""),458.0)</f>
        <v>458</v>
      </c>
      <c r="B459" s="23" t="str">
        <f>IFERROR(__xludf.DUMMYFUNCTION("""COMPUTED_VALUE"""),"Poor Pigs")</f>
        <v>Poor Pigs</v>
      </c>
      <c r="C459" s="23" t="str">
        <f>IFERROR(__xludf.DUMMYFUNCTION("""COMPUTED_VALUE"""),"poor-pigs")</f>
        <v>poor-pigs</v>
      </c>
      <c r="D459" s="23" t="b">
        <f>IFERROR(__xludf.DUMMYFUNCTION("""COMPUTED_VALUE"""),FALSE)</f>
        <v>0</v>
      </c>
      <c r="E459" s="23" t="str">
        <f>IFERROR(__xludf.DUMMYFUNCTION("""COMPUTED_VALUE"""),"Hard")</f>
        <v>Hard</v>
      </c>
      <c r="F459" s="23">
        <f>IFERROR(__xludf.DUMMYFUNCTION("""COMPUTED_VALUE"""),632.0)</f>
        <v>632</v>
      </c>
      <c r="G459" s="23">
        <f>IFERROR(__xludf.DUMMYFUNCTION("""COMPUTED_VALUE"""),1151.0)</f>
        <v>1151</v>
      </c>
      <c r="H459" s="23" t="str">
        <f>IFERROR(__xludf.DUMMYFUNCTION("""COMPUTED_VALUE"""),"Algorithms")</f>
        <v>Algorithms</v>
      </c>
      <c r="I459" s="23">
        <f>IFERROR(__xludf.DUMMYFUNCTION("""COMPUTED_VALUE"""),0.556)</f>
        <v>0.556</v>
      </c>
      <c r="J459" s="23">
        <f>IFERROR(__xludf.DUMMYFUNCTION("""COMPUTED_VALUE"""),458.0)</f>
        <v>458</v>
      </c>
      <c r="K459" s="23" t="b">
        <f>IFERROR(__xludf.DUMMYFUNCTION("""COMPUTED_VALUE"""),FALSE)</f>
        <v>0</v>
      </c>
      <c r="L459" s="23" t="str">
        <f>IFERROR(__xludf.DUMMYFUNCTION("""COMPUTED_VALUE"""),"Math;Dynamic Programming;Combinatorics;")</f>
        <v>Math;Dynamic Programming;Combinatorics;</v>
      </c>
      <c r="M459" s="23" t="b">
        <f>IFERROR(__xludf.DUMMYFUNCTION("""COMPUTED_VALUE"""),TRUE)</f>
        <v>1</v>
      </c>
      <c r="N459" s="23" t="b">
        <f>IFERROR(__xludf.DUMMYFUNCTION("""COMPUTED_VALUE"""),FALSE)</f>
        <v>0</v>
      </c>
      <c r="O459" s="23">
        <f>IFERROR(__xludf.DUMMYFUNCTION("""COMPUTED_VALUE"""),55.557766611943)</f>
        <v>55.55776661</v>
      </c>
      <c r="P459" s="23">
        <f>IFERROR(__xludf.DUMMYFUNCTION("""COMPUTED_VALUE"""),33503.0)</f>
        <v>33503</v>
      </c>
      <c r="Q459" s="23">
        <f>IFERROR(__xludf.DUMMYFUNCTION("""COMPUTED_VALUE"""),60303.0)</f>
        <v>60303</v>
      </c>
    </row>
    <row r="460">
      <c r="A460" s="23">
        <f>IFERROR(__xludf.DUMMYFUNCTION("""COMPUTED_VALUE"""),459.0)</f>
        <v>459</v>
      </c>
      <c r="B460" s="23" t="str">
        <f>IFERROR(__xludf.DUMMYFUNCTION("""COMPUTED_VALUE"""),"Repeated Substring Pattern")</f>
        <v>Repeated Substring Pattern</v>
      </c>
      <c r="C460" s="23" t="str">
        <f>IFERROR(__xludf.DUMMYFUNCTION("""COMPUTED_VALUE"""),"repeated-substring-pattern")</f>
        <v>repeated-substring-pattern</v>
      </c>
      <c r="D460" s="23" t="b">
        <f>IFERROR(__xludf.DUMMYFUNCTION("""COMPUTED_VALUE"""),FALSE)</f>
        <v>0</v>
      </c>
      <c r="E460" s="23" t="str">
        <f>IFERROR(__xludf.DUMMYFUNCTION("""COMPUTED_VALUE"""),"Easy")</f>
        <v>Easy</v>
      </c>
      <c r="F460" s="23">
        <f>IFERROR(__xludf.DUMMYFUNCTION("""COMPUTED_VALUE"""),3291.0)</f>
        <v>3291</v>
      </c>
      <c r="G460" s="23">
        <f>IFERROR(__xludf.DUMMYFUNCTION("""COMPUTED_VALUE"""),313.0)</f>
        <v>313</v>
      </c>
      <c r="H460" s="23" t="str">
        <f>IFERROR(__xludf.DUMMYFUNCTION("""COMPUTED_VALUE"""),"Algorithms")</f>
        <v>Algorithms</v>
      </c>
      <c r="I460" s="23">
        <f>IFERROR(__xludf.DUMMYFUNCTION("""COMPUTED_VALUE"""),0.436)</f>
        <v>0.436</v>
      </c>
      <c r="J460" s="23">
        <f>IFERROR(__xludf.DUMMYFUNCTION("""COMPUTED_VALUE"""),459.0)</f>
        <v>459</v>
      </c>
      <c r="K460" s="23" t="b">
        <f>IFERROR(__xludf.DUMMYFUNCTION("""COMPUTED_VALUE"""),FALSE)</f>
        <v>0</v>
      </c>
      <c r="L460" s="23" t="str">
        <f>IFERROR(__xludf.DUMMYFUNCTION("""COMPUTED_VALUE"""),"String;String Matching;")</f>
        <v>String;String Matching;</v>
      </c>
      <c r="M460" s="23" t="b">
        <f>IFERROR(__xludf.DUMMYFUNCTION("""COMPUTED_VALUE"""),FALSE)</f>
        <v>0</v>
      </c>
      <c r="N460" s="23" t="b">
        <f>IFERROR(__xludf.DUMMYFUNCTION("""COMPUTED_VALUE"""),FALSE)</f>
        <v>0</v>
      </c>
      <c r="O460" s="23">
        <f>IFERROR(__xludf.DUMMYFUNCTION("""COMPUTED_VALUE"""),43.5810620168162)</f>
        <v>43.58106202</v>
      </c>
      <c r="P460" s="23">
        <f>IFERROR(__xludf.DUMMYFUNCTION("""COMPUTED_VALUE"""),239409.0)</f>
        <v>239409</v>
      </c>
      <c r="Q460" s="23">
        <f>IFERROR(__xludf.DUMMYFUNCTION("""COMPUTED_VALUE"""),549345.0)</f>
        <v>549345</v>
      </c>
    </row>
    <row r="461">
      <c r="A461" s="23">
        <f>IFERROR(__xludf.DUMMYFUNCTION("""COMPUTED_VALUE"""),460.0)</f>
        <v>460</v>
      </c>
      <c r="B461" s="23" t="str">
        <f>IFERROR(__xludf.DUMMYFUNCTION("""COMPUTED_VALUE"""),"LFU Cache")</f>
        <v>LFU Cache</v>
      </c>
      <c r="C461" s="23" t="str">
        <f>IFERROR(__xludf.DUMMYFUNCTION("""COMPUTED_VALUE"""),"lfu-cache")</f>
        <v>lfu-cache</v>
      </c>
      <c r="D461" s="23" t="b">
        <f>IFERROR(__xludf.DUMMYFUNCTION("""COMPUTED_VALUE"""),FALSE)</f>
        <v>0</v>
      </c>
      <c r="E461" s="23" t="str">
        <f>IFERROR(__xludf.DUMMYFUNCTION("""COMPUTED_VALUE"""),"Hard")</f>
        <v>Hard</v>
      </c>
      <c r="F461" s="23">
        <f>IFERROR(__xludf.DUMMYFUNCTION("""COMPUTED_VALUE"""),3161.0)</f>
        <v>3161</v>
      </c>
      <c r="G461" s="23">
        <f>IFERROR(__xludf.DUMMYFUNCTION("""COMPUTED_VALUE"""),206.0)</f>
        <v>206</v>
      </c>
      <c r="H461" s="23" t="str">
        <f>IFERROR(__xludf.DUMMYFUNCTION("""COMPUTED_VALUE"""),"Algorithms")</f>
        <v>Algorithms</v>
      </c>
      <c r="I461" s="23">
        <f>IFERROR(__xludf.DUMMYFUNCTION("""COMPUTED_VALUE"""),0.394)</f>
        <v>0.394</v>
      </c>
      <c r="J461" s="23">
        <f>IFERROR(__xludf.DUMMYFUNCTION("""COMPUTED_VALUE"""),460.0)</f>
        <v>460</v>
      </c>
      <c r="K461" s="23" t="b">
        <f>IFERROR(__xludf.DUMMYFUNCTION("""COMPUTED_VALUE"""),FALSE)</f>
        <v>0</v>
      </c>
      <c r="L461" s="23" t="str">
        <f>IFERROR(__xludf.DUMMYFUNCTION("""COMPUTED_VALUE"""),"Hash Table;Linked List;Design;Doubly-Linked List;")</f>
        <v>Hash Table;Linked List;Design;Doubly-Linked List;</v>
      </c>
      <c r="M461" s="23" t="b">
        <f>IFERROR(__xludf.DUMMYFUNCTION("""COMPUTED_VALUE"""),FALSE)</f>
        <v>0</v>
      </c>
      <c r="N461" s="23" t="b">
        <f>IFERROR(__xludf.DUMMYFUNCTION("""COMPUTED_VALUE"""),FALSE)</f>
        <v>0</v>
      </c>
      <c r="O461" s="23">
        <f>IFERROR(__xludf.DUMMYFUNCTION("""COMPUTED_VALUE"""),39.381340904718)</f>
        <v>39.3813409</v>
      </c>
      <c r="P461" s="23">
        <f>IFERROR(__xludf.DUMMYFUNCTION("""COMPUTED_VALUE"""),151463.0)</f>
        <v>151463</v>
      </c>
      <c r="Q461" s="23">
        <f>IFERROR(__xludf.DUMMYFUNCTION("""COMPUTED_VALUE"""),384605.0)</f>
        <v>384605</v>
      </c>
    </row>
    <row r="462">
      <c r="A462" s="23">
        <f>IFERROR(__xludf.DUMMYFUNCTION("""COMPUTED_VALUE"""),461.0)</f>
        <v>461</v>
      </c>
      <c r="B462" s="23" t="str">
        <f>IFERROR(__xludf.DUMMYFUNCTION("""COMPUTED_VALUE"""),"Hamming Distance")</f>
        <v>Hamming Distance</v>
      </c>
      <c r="C462" s="23" t="str">
        <f>IFERROR(__xludf.DUMMYFUNCTION("""COMPUTED_VALUE"""),"hamming-distance")</f>
        <v>hamming-distance</v>
      </c>
      <c r="D462" s="23" t="b">
        <f>IFERROR(__xludf.DUMMYFUNCTION("""COMPUTED_VALUE"""),FALSE)</f>
        <v>0</v>
      </c>
      <c r="E462" s="23" t="str">
        <f>IFERROR(__xludf.DUMMYFUNCTION("""COMPUTED_VALUE"""),"Easy")</f>
        <v>Easy</v>
      </c>
      <c r="F462" s="23">
        <f>IFERROR(__xludf.DUMMYFUNCTION("""COMPUTED_VALUE"""),3028.0)</f>
        <v>3028</v>
      </c>
      <c r="G462" s="23">
        <f>IFERROR(__xludf.DUMMYFUNCTION("""COMPUTED_VALUE"""),197.0)</f>
        <v>197</v>
      </c>
      <c r="H462" s="23" t="str">
        <f>IFERROR(__xludf.DUMMYFUNCTION("""COMPUTED_VALUE"""),"Algorithms")</f>
        <v>Algorithms</v>
      </c>
      <c r="I462" s="23">
        <f>IFERROR(__xludf.DUMMYFUNCTION("""COMPUTED_VALUE"""),0.745)</f>
        <v>0.745</v>
      </c>
      <c r="J462" s="23">
        <f>IFERROR(__xludf.DUMMYFUNCTION("""COMPUTED_VALUE"""),461.0)</f>
        <v>461</v>
      </c>
      <c r="K462" s="23" t="b">
        <f>IFERROR(__xludf.DUMMYFUNCTION("""COMPUTED_VALUE"""),FALSE)</f>
        <v>0</v>
      </c>
      <c r="L462" s="23" t="str">
        <f>IFERROR(__xludf.DUMMYFUNCTION("""COMPUTED_VALUE"""),"Bit Manipulation;")</f>
        <v>Bit Manipulation;</v>
      </c>
      <c r="M462" s="23" t="b">
        <f>IFERROR(__xludf.DUMMYFUNCTION("""COMPUTED_VALUE"""),TRUE)</f>
        <v>1</v>
      </c>
      <c r="N462" s="23" t="b">
        <f>IFERROR(__xludf.DUMMYFUNCTION("""COMPUTED_VALUE"""),FALSE)</f>
        <v>0</v>
      </c>
      <c r="O462" s="23">
        <f>IFERROR(__xludf.DUMMYFUNCTION("""COMPUTED_VALUE"""),74.4939482305959)</f>
        <v>74.49394823</v>
      </c>
      <c r="P462" s="23">
        <f>IFERROR(__xludf.DUMMYFUNCTION("""COMPUTED_VALUE"""),471575.0)</f>
        <v>471575</v>
      </c>
      <c r="Q462" s="23">
        <f>IFERROR(__xludf.DUMMYFUNCTION("""COMPUTED_VALUE"""),633038.0)</f>
        <v>633038</v>
      </c>
    </row>
    <row r="463">
      <c r="A463" s="23">
        <f>IFERROR(__xludf.DUMMYFUNCTION("""COMPUTED_VALUE"""),462.0)</f>
        <v>462</v>
      </c>
      <c r="B463" s="23" t="str">
        <f>IFERROR(__xludf.DUMMYFUNCTION("""COMPUTED_VALUE"""),"Minimum Moves to Equal Array Elements II")</f>
        <v>Minimum Moves to Equal Array Elements II</v>
      </c>
      <c r="C463" s="23" t="str">
        <f>IFERROR(__xludf.DUMMYFUNCTION("""COMPUTED_VALUE"""),"minimum-moves-to-equal-array-elements-ii")</f>
        <v>minimum-moves-to-equal-array-elements-ii</v>
      </c>
      <c r="D463" s="23" t="b">
        <f>IFERROR(__xludf.DUMMYFUNCTION("""COMPUTED_VALUE"""),FALSE)</f>
        <v>0</v>
      </c>
      <c r="E463" s="23" t="str">
        <f>IFERROR(__xludf.DUMMYFUNCTION("""COMPUTED_VALUE"""),"Medium")</f>
        <v>Medium</v>
      </c>
      <c r="F463" s="23">
        <f>IFERROR(__xludf.DUMMYFUNCTION("""COMPUTED_VALUE"""),1388.0)</f>
        <v>1388</v>
      </c>
      <c r="G463" s="23">
        <f>IFERROR(__xludf.DUMMYFUNCTION("""COMPUTED_VALUE"""),73.0)</f>
        <v>73</v>
      </c>
      <c r="H463" s="23" t="str">
        <f>IFERROR(__xludf.DUMMYFUNCTION("""COMPUTED_VALUE"""),"Algorithms")</f>
        <v>Algorithms</v>
      </c>
      <c r="I463" s="23">
        <f>IFERROR(__xludf.DUMMYFUNCTION("""COMPUTED_VALUE"""),0.57)</f>
        <v>0.57</v>
      </c>
      <c r="J463" s="23">
        <f>IFERROR(__xludf.DUMMYFUNCTION("""COMPUTED_VALUE"""),462.0)</f>
        <v>462</v>
      </c>
      <c r="K463" s="23" t="b">
        <f>IFERROR(__xludf.DUMMYFUNCTION("""COMPUTED_VALUE"""),FALSE)</f>
        <v>0</v>
      </c>
      <c r="L463" s="23" t="str">
        <f>IFERROR(__xludf.DUMMYFUNCTION("""COMPUTED_VALUE"""),"Array;Math;Sorting;")</f>
        <v>Array;Math;Sorting;</v>
      </c>
      <c r="M463" s="23" t="b">
        <f>IFERROR(__xludf.DUMMYFUNCTION("""COMPUTED_VALUE"""),TRUE)</f>
        <v>1</v>
      </c>
      <c r="N463" s="23" t="b">
        <f>IFERROR(__xludf.DUMMYFUNCTION("""COMPUTED_VALUE"""),FALSE)</f>
        <v>0</v>
      </c>
      <c r="O463" s="23">
        <f>IFERROR(__xludf.DUMMYFUNCTION("""COMPUTED_VALUE"""),56.9626018346269)</f>
        <v>56.96260183</v>
      </c>
      <c r="P463" s="23">
        <f>IFERROR(__xludf.DUMMYFUNCTION("""COMPUTED_VALUE"""),88799.0)</f>
        <v>88799</v>
      </c>
      <c r="Q463" s="23">
        <f>IFERROR(__xludf.DUMMYFUNCTION("""COMPUTED_VALUE"""),155890.0)</f>
        <v>155890</v>
      </c>
    </row>
    <row r="464">
      <c r="A464" s="23">
        <f>IFERROR(__xludf.DUMMYFUNCTION("""COMPUTED_VALUE"""),463.0)</f>
        <v>463</v>
      </c>
      <c r="B464" s="23" t="str">
        <f>IFERROR(__xludf.DUMMYFUNCTION("""COMPUTED_VALUE"""),"Island Perimeter")</f>
        <v>Island Perimeter</v>
      </c>
      <c r="C464" s="23" t="str">
        <f>IFERROR(__xludf.DUMMYFUNCTION("""COMPUTED_VALUE"""),"island-perimeter")</f>
        <v>island-perimeter</v>
      </c>
      <c r="D464" s="23" t="b">
        <f>IFERROR(__xludf.DUMMYFUNCTION("""COMPUTED_VALUE"""),FALSE)</f>
        <v>0</v>
      </c>
      <c r="E464" s="23" t="str">
        <f>IFERROR(__xludf.DUMMYFUNCTION("""COMPUTED_VALUE"""),"Easy")</f>
        <v>Easy</v>
      </c>
      <c r="F464" s="23">
        <f>IFERROR(__xludf.DUMMYFUNCTION("""COMPUTED_VALUE"""),4310.0)</f>
        <v>4310</v>
      </c>
      <c r="G464" s="23">
        <f>IFERROR(__xludf.DUMMYFUNCTION("""COMPUTED_VALUE"""),237.0)</f>
        <v>237</v>
      </c>
      <c r="H464" s="23" t="str">
        <f>IFERROR(__xludf.DUMMYFUNCTION("""COMPUTED_VALUE"""),"Algorithms")</f>
        <v>Algorithms</v>
      </c>
      <c r="I464" s="23">
        <f>IFERROR(__xludf.DUMMYFUNCTION("""COMPUTED_VALUE"""),0.689)</f>
        <v>0.689</v>
      </c>
      <c r="J464" s="23">
        <f>IFERROR(__xludf.DUMMYFUNCTION("""COMPUTED_VALUE"""),463.0)</f>
        <v>463</v>
      </c>
      <c r="K464" s="23" t="b">
        <f>IFERROR(__xludf.DUMMYFUNCTION("""COMPUTED_VALUE"""),FALSE)</f>
        <v>0</v>
      </c>
      <c r="L464" s="23" t="str">
        <f>IFERROR(__xludf.DUMMYFUNCTION("""COMPUTED_VALUE"""),"Array;Depth-First Search;Breadth-First Search;Matrix;")</f>
        <v>Array;Depth-First Search;Breadth-First Search;Matrix;</v>
      </c>
      <c r="M464" s="23" t="b">
        <f>IFERROR(__xludf.DUMMYFUNCTION("""COMPUTED_VALUE"""),TRUE)</f>
        <v>1</v>
      </c>
      <c r="N464" s="23" t="b">
        <f>IFERROR(__xludf.DUMMYFUNCTION("""COMPUTED_VALUE"""),FALSE)</f>
        <v>0</v>
      </c>
      <c r="O464" s="23">
        <f>IFERROR(__xludf.DUMMYFUNCTION("""COMPUTED_VALUE"""),68.9415542539288)</f>
        <v>68.94155425</v>
      </c>
      <c r="P464" s="23">
        <f>IFERROR(__xludf.DUMMYFUNCTION("""COMPUTED_VALUE"""),362403.0)</f>
        <v>362403</v>
      </c>
      <c r="Q464" s="23">
        <f>IFERROR(__xludf.DUMMYFUNCTION("""COMPUTED_VALUE"""),525663.0)</f>
        <v>525663</v>
      </c>
    </row>
    <row r="465">
      <c r="A465" s="23">
        <f>IFERROR(__xludf.DUMMYFUNCTION("""COMPUTED_VALUE"""),464.0)</f>
        <v>464</v>
      </c>
      <c r="B465" s="23" t="str">
        <f>IFERROR(__xludf.DUMMYFUNCTION("""COMPUTED_VALUE"""),"Can I Win")</f>
        <v>Can I Win</v>
      </c>
      <c r="C465" s="23" t="str">
        <f>IFERROR(__xludf.DUMMYFUNCTION("""COMPUTED_VALUE"""),"can-i-win")</f>
        <v>can-i-win</v>
      </c>
      <c r="D465" s="23" t="b">
        <f>IFERROR(__xludf.DUMMYFUNCTION("""COMPUTED_VALUE"""),FALSE)</f>
        <v>0</v>
      </c>
      <c r="E465" s="23" t="str">
        <f>IFERROR(__xludf.DUMMYFUNCTION("""COMPUTED_VALUE"""),"Medium")</f>
        <v>Medium</v>
      </c>
      <c r="F465" s="23">
        <f>IFERROR(__xludf.DUMMYFUNCTION("""COMPUTED_VALUE"""),1834.0)</f>
        <v>1834</v>
      </c>
      <c r="G465" s="23">
        <f>IFERROR(__xludf.DUMMYFUNCTION("""COMPUTED_VALUE"""),294.0)</f>
        <v>294</v>
      </c>
      <c r="H465" s="23" t="str">
        <f>IFERROR(__xludf.DUMMYFUNCTION("""COMPUTED_VALUE"""),"Algorithms")</f>
        <v>Algorithms</v>
      </c>
      <c r="I465" s="23">
        <f>IFERROR(__xludf.DUMMYFUNCTION("""COMPUTED_VALUE"""),0.299)</f>
        <v>0.299</v>
      </c>
      <c r="J465" s="23">
        <f>IFERROR(__xludf.DUMMYFUNCTION("""COMPUTED_VALUE"""),464.0)</f>
        <v>464</v>
      </c>
      <c r="K465" s="23" t="b">
        <f>IFERROR(__xludf.DUMMYFUNCTION("""COMPUTED_VALUE"""),FALSE)</f>
        <v>0</v>
      </c>
      <c r="L465" s="23" t="str">
        <f>IFERROR(__xludf.DUMMYFUNCTION("""COMPUTED_VALUE"""),"Math;Dynamic Programming;Bit Manipulation;Memoization;Game Theory;Bitmask;")</f>
        <v>Math;Dynamic Programming;Bit Manipulation;Memoization;Game Theory;Bitmask;</v>
      </c>
      <c r="M465" s="23" t="b">
        <f>IFERROR(__xludf.DUMMYFUNCTION("""COMPUTED_VALUE"""),FALSE)</f>
        <v>0</v>
      </c>
      <c r="N465" s="23" t="b">
        <f>IFERROR(__xludf.DUMMYFUNCTION("""COMPUTED_VALUE"""),FALSE)</f>
        <v>0</v>
      </c>
      <c r="O465" s="23">
        <f>IFERROR(__xludf.DUMMYFUNCTION("""COMPUTED_VALUE"""),29.8509720856343)</f>
        <v>29.85097209</v>
      </c>
      <c r="P465" s="23">
        <f>IFERROR(__xludf.DUMMYFUNCTION("""COMPUTED_VALUE"""),74974.0)</f>
        <v>74974</v>
      </c>
      <c r="Q465" s="23">
        <f>IFERROR(__xludf.DUMMYFUNCTION("""COMPUTED_VALUE"""),251161.0)</f>
        <v>251161</v>
      </c>
    </row>
    <row r="466">
      <c r="A466" s="23">
        <f>IFERROR(__xludf.DUMMYFUNCTION("""COMPUTED_VALUE"""),465.0)</f>
        <v>465</v>
      </c>
      <c r="B466" s="23" t="str">
        <f>IFERROR(__xludf.DUMMYFUNCTION("""COMPUTED_VALUE"""),"Optimal Account Balancing")</f>
        <v>Optimal Account Balancing</v>
      </c>
      <c r="C466" s="23" t="str">
        <f>IFERROR(__xludf.DUMMYFUNCTION("""COMPUTED_VALUE"""),"optimal-account-balancing")</f>
        <v>optimal-account-balancing</v>
      </c>
      <c r="D466" s="23" t="b">
        <f>IFERROR(__xludf.DUMMYFUNCTION("""COMPUTED_VALUE"""),TRUE)</f>
        <v>1</v>
      </c>
      <c r="E466" s="23" t="str">
        <f>IFERROR(__xludf.DUMMYFUNCTION("""COMPUTED_VALUE"""),"Hard")</f>
        <v>Hard</v>
      </c>
      <c r="F466" s="23">
        <f>IFERROR(__xludf.DUMMYFUNCTION("""COMPUTED_VALUE"""),1127.0)</f>
        <v>1127</v>
      </c>
      <c r="G466" s="23">
        <f>IFERROR(__xludf.DUMMYFUNCTION("""COMPUTED_VALUE"""),108.0)</f>
        <v>108</v>
      </c>
      <c r="H466" s="23" t="str">
        <f>IFERROR(__xludf.DUMMYFUNCTION("""COMPUTED_VALUE"""),"Algorithms")</f>
        <v>Algorithms</v>
      </c>
      <c r="I466" s="23">
        <f>IFERROR(__xludf.DUMMYFUNCTION("""COMPUTED_VALUE"""),0.489)</f>
        <v>0.489</v>
      </c>
      <c r="J466" s="23">
        <f>IFERROR(__xludf.DUMMYFUNCTION("""COMPUTED_VALUE"""),465.0)</f>
        <v>465</v>
      </c>
      <c r="K466" s="23" t="b">
        <f>IFERROR(__xludf.DUMMYFUNCTION("""COMPUTED_VALUE"""),TRUE)</f>
        <v>1</v>
      </c>
      <c r="L466" s="23" t="str">
        <f>IFERROR(__xludf.DUMMYFUNCTION("""COMPUTED_VALUE"""),"Array;Dynamic Programming;Backtracking;Bit Manipulation;Bitmask;")</f>
        <v>Array;Dynamic Programming;Backtracking;Bit Manipulation;Bitmask;</v>
      </c>
      <c r="M466" s="23" t="b">
        <f>IFERROR(__xludf.DUMMYFUNCTION("""COMPUTED_VALUE"""),FALSE)</f>
        <v>0</v>
      </c>
      <c r="N466" s="23" t="b">
        <f>IFERROR(__xludf.DUMMYFUNCTION("""COMPUTED_VALUE"""),FALSE)</f>
        <v>0</v>
      </c>
      <c r="O466" s="23">
        <f>IFERROR(__xludf.DUMMYFUNCTION("""COMPUTED_VALUE"""),48.9030716820038)</f>
        <v>48.90307168</v>
      </c>
      <c r="P466" s="23">
        <f>IFERROR(__xludf.DUMMYFUNCTION("""COMPUTED_VALUE"""),69191.0)</f>
        <v>69191</v>
      </c>
      <c r="Q466" s="23">
        <f>IFERROR(__xludf.DUMMYFUNCTION("""COMPUTED_VALUE"""),141485.0)</f>
        <v>141485</v>
      </c>
    </row>
    <row r="467">
      <c r="A467" s="23">
        <f>IFERROR(__xludf.DUMMYFUNCTION("""COMPUTED_VALUE"""),466.0)</f>
        <v>466</v>
      </c>
      <c r="B467" s="23" t="str">
        <f>IFERROR(__xludf.DUMMYFUNCTION("""COMPUTED_VALUE"""),"Count The Repetitions")</f>
        <v>Count The Repetitions</v>
      </c>
      <c r="C467" s="23" t="str">
        <f>IFERROR(__xludf.DUMMYFUNCTION("""COMPUTED_VALUE"""),"count-the-repetitions")</f>
        <v>count-the-repetitions</v>
      </c>
      <c r="D467" s="23" t="b">
        <f>IFERROR(__xludf.DUMMYFUNCTION("""COMPUTED_VALUE"""),FALSE)</f>
        <v>0</v>
      </c>
      <c r="E467" s="23" t="str">
        <f>IFERROR(__xludf.DUMMYFUNCTION("""COMPUTED_VALUE"""),"Hard")</f>
        <v>Hard</v>
      </c>
      <c r="F467" s="23">
        <f>IFERROR(__xludf.DUMMYFUNCTION("""COMPUTED_VALUE"""),293.0)</f>
        <v>293</v>
      </c>
      <c r="G467" s="23">
        <f>IFERROR(__xludf.DUMMYFUNCTION("""COMPUTED_VALUE"""),261.0)</f>
        <v>261</v>
      </c>
      <c r="H467" s="23" t="str">
        <f>IFERROR(__xludf.DUMMYFUNCTION("""COMPUTED_VALUE"""),"Algorithms")</f>
        <v>Algorithms</v>
      </c>
      <c r="I467" s="23">
        <f>IFERROR(__xludf.DUMMYFUNCTION("""COMPUTED_VALUE"""),0.29)</f>
        <v>0.29</v>
      </c>
      <c r="J467" s="23">
        <f>IFERROR(__xludf.DUMMYFUNCTION("""COMPUTED_VALUE"""),466.0)</f>
        <v>466</v>
      </c>
      <c r="K467" s="23" t="b">
        <f>IFERROR(__xludf.DUMMYFUNCTION("""COMPUTED_VALUE"""),FALSE)</f>
        <v>0</v>
      </c>
      <c r="L467" s="23" t="str">
        <f>IFERROR(__xludf.DUMMYFUNCTION("""COMPUTED_VALUE"""),"String;Dynamic Programming;")</f>
        <v>String;Dynamic Programming;</v>
      </c>
      <c r="M467" s="23" t="b">
        <f>IFERROR(__xludf.DUMMYFUNCTION("""COMPUTED_VALUE"""),TRUE)</f>
        <v>1</v>
      </c>
      <c r="N467" s="23" t="b">
        <f>IFERROR(__xludf.DUMMYFUNCTION("""COMPUTED_VALUE"""),FALSE)</f>
        <v>0</v>
      </c>
      <c r="O467" s="23">
        <f>IFERROR(__xludf.DUMMYFUNCTION("""COMPUTED_VALUE"""),29.0064595509074)</f>
        <v>29.00645955</v>
      </c>
      <c r="P467" s="23">
        <f>IFERROR(__xludf.DUMMYFUNCTION("""COMPUTED_VALUE"""),14145.0)</f>
        <v>14145</v>
      </c>
      <c r="Q467" s="23">
        <f>IFERROR(__xludf.DUMMYFUNCTION("""COMPUTED_VALUE"""),48765.0)</f>
        <v>48765</v>
      </c>
    </row>
    <row r="468">
      <c r="A468" s="23">
        <f>IFERROR(__xludf.DUMMYFUNCTION("""COMPUTED_VALUE"""),467.0)</f>
        <v>467</v>
      </c>
      <c r="B468" s="23" t="str">
        <f>IFERROR(__xludf.DUMMYFUNCTION("""COMPUTED_VALUE"""),"Unique Substrings in Wraparound String")</f>
        <v>Unique Substrings in Wraparound String</v>
      </c>
      <c r="C468" s="23" t="str">
        <f>IFERROR(__xludf.DUMMYFUNCTION("""COMPUTED_VALUE"""),"unique-substrings-in-wraparound-string")</f>
        <v>unique-substrings-in-wraparound-string</v>
      </c>
      <c r="D468" s="23" t="b">
        <f>IFERROR(__xludf.DUMMYFUNCTION("""COMPUTED_VALUE"""),FALSE)</f>
        <v>0</v>
      </c>
      <c r="E468" s="23" t="str">
        <f>IFERROR(__xludf.DUMMYFUNCTION("""COMPUTED_VALUE"""),"Medium")</f>
        <v>Medium</v>
      </c>
      <c r="F468" s="23">
        <f>IFERROR(__xludf.DUMMYFUNCTION("""COMPUTED_VALUE"""),1073.0)</f>
        <v>1073</v>
      </c>
      <c r="G468" s="23">
        <f>IFERROR(__xludf.DUMMYFUNCTION("""COMPUTED_VALUE"""),136.0)</f>
        <v>136</v>
      </c>
      <c r="H468" s="23" t="str">
        <f>IFERROR(__xludf.DUMMYFUNCTION("""COMPUTED_VALUE"""),"Algorithms")</f>
        <v>Algorithms</v>
      </c>
      <c r="I468" s="23">
        <f>IFERROR(__xludf.DUMMYFUNCTION("""COMPUTED_VALUE"""),0.375)</f>
        <v>0.375</v>
      </c>
      <c r="J468" s="23">
        <f>IFERROR(__xludf.DUMMYFUNCTION("""COMPUTED_VALUE"""),467.0)</f>
        <v>467</v>
      </c>
      <c r="K468" s="23" t="b">
        <f>IFERROR(__xludf.DUMMYFUNCTION("""COMPUTED_VALUE"""),FALSE)</f>
        <v>0</v>
      </c>
      <c r="L468" s="23" t="str">
        <f>IFERROR(__xludf.DUMMYFUNCTION("""COMPUTED_VALUE"""),"String;Dynamic Programming;")</f>
        <v>String;Dynamic Programming;</v>
      </c>
      <c r="M468" s="23" t="b">
        <f>IFERROR(__xludf.DUMMYFUNCTION("""COMPUTED_VALUE"""),FALSE)</f>
        <v>0</v>
      </c>
      <c r="N468" s="23" t="b">
        <f>IFERROR(__xludf.DUMMYFUNCTION("""COMPUTED_VALUE"""),FALSE)</f>
        <v>0</v>
      </c>
      <c r="O468" s="23">
        <f>IFERROR(__xludf.DUMMYFUNCTION("""COMPUTED_VALUE"""),37.5372435973281)</f>
        <v>37.5372436</v>
      </c>
      <c r="P468" s="23">
        <f>IFERROR(__xludf.DUMMYFUNCTION("""COMPUTED_VALUE"""),34898.0)</f>
        <v>34898</v>
      </c>
      <c r="Q468" s="23">
        <f>IFERROR(__xludf.DUMMYFUNCTION("""COMPUTED_VALUE"""),92968.0)</f>
        <v>92968</v>
      </c>
    </row>
    <row r="469">
      <c r="A469" s="23">
        <f>IFERROR(__xludf.DUMMYFUNCTION("""COMPUTED_VALUE"""),468.0)</f>
        <v>468</v>
      </c>
      <c r="B469" s="23" t="str">
        <f>IFERROR(__xludf.DUMMYFUNCTION("""COMPUTED_VALUE"""),"Validate IP Address")</f>
        <v>Validate IP Address</v>
      </c>
      <c r="C469" s="23" t="str">
        <f>IFERROR(__xludf.DUMMYFUNCTION("""COMPUTED_VALUE"""),"validate-ip-address")</f>
        <v>validate-ip-address</v>
      </c>
      <c r="D469" s="23" t="b">
        <f>IFERROR(__xludf.DUMMYFUNCTION("""COMPUTED_VALUE"""),FALSE)</f>
        <v>0</v>
      </c>
      <c r="E469" s="23" t="str">
        <f>IFERROR(__xludf.DUMMYFUNCTION("""COMPUTED_VALUE"""),"Medium")</f>
        <v>Medium</v>
      </c>
      <c r="F469" s="23">
        <f>IFERROR(__xludf.DUMMYFUNCTION("""COMPUTED_VALUE"""),666.0)</f>
        <v>666</v>
      </c>
      <c r="G469" s="23">
        <f>IFERROR(__xludf.DUMMYFUNCTION("""COMPUTED_VALUE"""),2352.0)</f>
        <v>2352</v>
      </c>
      <c r="H469" s="23" t="str">
        <f>IFERROR(__xludf.DUMMYFUNCTION("""COMPUTED_VALUE"""),"Algorithms")</f>
        <v>Algorithms</v>
      </c>
      <c r="I469" s="23">
        <f>IFERROR(__xludf.DUMMYFUNCTION("""COMPUTED_VALUE"""),0.262)</f>
        <v>0.262</v>
      </c>
      <c r="J469" s="23">
        <f>IFERROR(__xludf.DUMMYFUNCTION("""COMPUTED_VALUE"""),468.0)</f>
        <v>468</v>
      </c>
      <c r="K469" s="23" t="b">
        <f>IFERROR(__xludf.DUMMYFUNCTION("""COMPUTED_VALUE"""),FALSE)</f>
        <v>0</v>
      </c>
      <c r="L469" s="23" t="str">
        <f>IFERROR(__xludf.DUMMYFUNCTION("""COMPUTED_VALUE"""),"String;")</f>
        <v>String;</v>
      </c>
      <c r="M469" s="23" t="b">
        <f>IFERROR(__xludf.DUMMYFUNCTION("""COMPUTED_VALUE"""),TRUE)</f>
        <v>1</v>
      </c>
      <c r="N469" s="23" t="b">
        <f>IFERROR(__xludf.DUMMYFUNCTION("""COMPUTED_VALUE"""),FALSE)</f>
        <v>0</v>
      </c>
      <c r="O469" s="23">
        <f>IFERROR(__xludf.DUMMYFUNCTION("""COMPUTED_VALUE"""),26.2225943239637)</f>
        <v>26.22259432</v>
      </c>
      <c r="P469" s="23">
        <f>IFERROR(__xludf.DUMMYFUNCTION("""COMPUTED_VALUE"""),125595.0)</f>
        <v>125595</v>
      </c>
      <c r="Q469" s="23">
        <f>IFERROR(__xludf.DUMMYFUNCTION("""COMPUTED_VALUE"""),478959.0)</f>
        <v>478959</v>
      </c>
    </row>
    <row r="470">
      <c r="A470" s="23">
        <f>IFERROR(__xludf.DUMMYFUNCTION("""COMPUTED_VALUE"""),469.0)</f>
        <v>469</v>
      </c>
      <c r="B470" s="23" t="str">
        <f>IFERROR(__xludf.DUMMYFUNCTION("""COMPUTED_VALUE"""),"Convex Polygon")</f>
        <v>Convex Polygon</v>
      </c>
      <c r="C470" s="23" t="str">
        <f>IFERROR(__xludf.DUMMYFUNCTION("""COMPUTED_VALUE"""),"convex-polygon")</f>
        <v>convex-polygon</v>
      </c>
      <c r="D470" s="23" t="b">
        <f>IFERROR(__xludf.DUMMYFUNCTION("""COMPUTED_VALUE"""),TRUE)</f>
        <v>1</v>
      </c>
      <c r="E470" s="23" t="str">
        <f>IFERROR(__xludf.DUMMYFUNCTION("""COMPUTED_VALUE"""),"Medium")</f>
        <v>Medium</v>
      </c>
      <c r="F470" s="23">
        <f>IFERROR(__xludf.DUMMYFUNCTION("""COMPUTED_VALUE"""),84.0)</f>
        <v>84</v>
      </c>
      <c r="G470" s="23">
        <f>IFERROR(__xludf.DUMMYFUNCTION("""COMPUTED_VALUE"""),216.0)</f>
        <v>216</v>
      </c>
      <c r="H470" s="23" t="str">
        <f>IFERROR(__xludf.DUMMYFUNCTION("""COMPUTED_VALUE"""),"Algorithms")</f>
        <v>Algorithms</v>
      </c>
      <c r="I470" s="23">
        <f>IFERROR(__xludf.DUMMYFUNCTION("""COMPUTED_VALUE"""),0.382)</f>
        <v>0.382</v>
      </c>
      <c r="J470" s="23">
        <f>IFERROR(__xludf.DUMMYFUNCTION("""COMPUTED_VALUE"""),469.0)</f>
        <v>469</v>
      </c>
      <c r="K470" s="23" t="b">
        <f>IFERROR(__xludf.DUMMYFUNCTION("""COMPUTED_VALUE"""),TRUE)</f>
        <v>1</v>
      </c>
      <c r="L470" s="23" t="str">
        <f>IFERROR(__xludf.DUMMYFUNCTION("""COMPUTED_VALUE"""),"Math;Geometry;")</f>
        <v>Math;Geometry;</v>
      </c>
      <c r="M470" s="23" t="b">
        <f>IFERROR(__xludf.DUMMYFUNCTION("""COMPUTED_VALUE"""),FALSE)</f>
        <v>0</v>
      </c>
      <c r="N470" s="23" t="b">
        <f>IFERROR(__xludf.DUMMYFUNCTION("""COMPUTED_VALUE"""),FALSE)</f>
        <v>0</v>
      </c>
      <c r="O470" s="23">
        <f>IFERROR(__xludf.DUMMYFUNCTION("""COMPUTED_VALUE"""),38.2460659234515)</f>
        <v>38.24606592</v>
      </c>
      <c r="P470" s="23">
        <f>IFERROR(__xludf.DUMMYFUNCTION("""COMPUTED_VALUE"""),9503.0)</f>
        <v>9503</v>
      </c>
      <c r="Q470" s="23">
        <f>IFERROR(__xludf.DUMMYFUNCTION("""COMPUTED_VALUE"""),24847.0)</f>
        <v>24847</v>
      </c>
    </row>
    <row r="471">
      <c r="A471" s="23">
        <f>IFERROR(__xludf.DUMMYFUNCTION("""COMPUTED_VALUE"""),903.0)</f>
        <v>903</v>
      </c>
      <c r="B471" s="23" t="str">
        <f>IFERROR(__xludf.DUMMYFUNCTION("""COMPUTED_VALUE"""),"Implement Rand10() Using Rand7()")</f>
        <v>Implement Rand10() Using Rand7()</v>
      </c>
      <c r="C471" s="23" t="str">
        <f>IFERROR(__xludf.DUMMYFUNCTION("""COMPUTED_VALUE"""),"implement-rand10-using-rand7")</f>
        <v>implement-rand10-using-rand7</v>
      </c>
      <c r="D471" s="23" t="b">
        <f>IFERROR(__xludf.DUMMYFUNCTION("""COMPUTED_VALUE"""),FALSE)</f>
        <v>0</v>
      </c>
      <c r="E471" s="23" t="str">
        <f>IFERROR(__xludf.DUMMYFUNCTION("""COMPUTED_VALUE"""),"Medium")</f>
        <v>Medium</v>
      </c>
      <c r="F471" s="23">
        <f>IFERROR(__xludf.DUMMYFUNCTION("""COMPUTED_VALUE"""),868.0)</f>
        <v>868</v>
      </c>
      <c r="G471" s="23">
        <f>IFERROR(__xludf.DUMMYFUNCTION("""COMPUTED_VALUE"""),285.0)</f>
        <v>285</v>
      </c>
      <c r="H471" s="23" t="str">
        <f>IFERROR(__xludf.DUMMYFUNCTION("""COMPUTED_VALUE"""),"Algorithms")</f>
        <v>Algorithms</v>
      </c>
      <c r="I471" s="23">
        <f>IFERROR(__xludf.DUMMYFUNCTION("""COMPUTED_VALUE"""),0.467)</f>
        <v>0.467</v>
      </c>
      <c r="J471" s="23">
        <f>IFERROR(__xludf.DUMMYFUNCTION("""COMPUTED_VALUE"""),470.0)</f>
        <v>470</v>
      </c>
      <c r="K471" s="23" t="b">
        <f>IFERROR(__xludf.DUMMYFUNCTION("""COMPUTED_VALUE"""),FALSE)</f>
        <v>0</v>
      </c>
      <c r="L471" s="23" t="str">
        <f>IFERROR(__xludf.DUMMYFUNCTION("""COMPUTED_VALUE"""),"Math;Rejection Sampling;Randomized;Probability and Statistics;")</f>
        <v>Math;Rejection Sampling;Randomized;Probability and Statistics;</v>
      </c>
      <c r="M471" s="23" t="b">
        <f>IFERROR(__xludf.DUMMYFUNCTION("""COMPUTED_VALUE"""),TRUE)</f>
        <v>1</v>
      </c>
      <c r="N471" s="23" t="b">
        <f>IFERROR(__xludf.DUMMYFUNCTION("""COMPUTED_VALUE"""),FALSE)</f>
        <v>0</v>
      </c>
      <c r="O471" s="23">
        <f>IFERROR(__xludf.DUMMYFUNCTION("""COMPUTED_VALUE"""),46.7457354675399)</f>
        <v>46.74573547</v>
      </c>
      <c r="P471" s="23">
        <f>IFERROR(__xludf.DUMMYFUNCTION("""COMPUTED_VALUE"""),62233.0)</f>
        <v>62233</v>
      </c>
      <c r="Q471" s="23">
        <f>IFERROR(__xludf.DUMMYFUNCTION("""COMPUTED_VALUE"""),133132.0)</f>
        <v>133132</v>
      </c>
    </row>
    <row r="472">
      <c r="A472" s="23">
        <f>IFERROR(__xludf.DUMMYFUNCTION("""COMPUTED_VALUE"""),471.0)</f>
        <v>471</v>
      </c>
      <c r="B472" s="23" t="str">
        <f>IFERROR(__xludf.DUMMYFUNCTION("""COMPUTED_VALUE"""),"Encode String with Shortest Length")</f>
        <v>Encode String with Shortest Length</v>
      </c>
      <c r="C472" s="23" t="str">
        <f>IFERROR(__xludf.DUMMYFUNCTION("""COMPUTED_VALUE"""),"encode-string-with-shortest-length")</f>
        <v>encode-string-with-shortest-length</v>
      </c>
      <c r="D472" s="23" t="b">
        <f>IFERROR(__xludf.DUMMYFUNCTION("""COMPUTED_VALUE"""),TRUE)</f>
        <v>1</v>
      </c>
      <c r="E472" s="23" t="str">
        <f>IFERROR(__xludf.DUMMYFUNCTION("""COMPUTED_VALUE"""),"Hard")</f>
        <v>Hard</v>
      </c>
      <c r="F472" s="23">
        <f>IFERROR(__xludf.DUMMYFUNCTION("""COMPUTED_VALUE"""),563.0)</f>
        <v>563</v>
      </c>
      <c r="G472" s="23">
        <f>IFERROR(__xludf.DUMMYFUNCTION("""COMPUTED_VALUE"""),35.0)</f>
        <v>35</v>
      </c>
      <c r="H472" s="23" t="str">
        <f>IFERROR(__xludf.DUMMYFUNCTION("""COMPUTED_VALUE"""),"Algorithms")</f>
        <v>Algorithms</v>
      </c>
      <c r="I472" s="23">
        <f>IFERROR(__xludf.DUMMYFUNCTION("""COMPUTED_VALUE"""),0.506)</f>
        <v>0.506</v>
      </c>
      <c r="J472" s="23">
        <f>IFERROR(__xludf.DUMMYFUNCTION("""COMPUTED_VALUE"""),471.0)</f>
        <v>471</v>
      </c>
      <c r="K472" s="23" t="b">
        <f>IFERROR(__xludf.DUMMYFUNCTION("""COMPUTED_VALUE"""),TRUE)</f>
        <v>1</v>
      </c>
      <c r="L472" s="23" t="str">
        <f>IFERROR(__xludf.DUMMYFUNCTION("""COMPUTED_VALUE"""),"String;Dynamic Programming;")</f>
        <v>String;Dynamic Programming;</v>
      </c>
      <c r="M472" s="23" t="b">
        <f>IFERROR(__xludf.DUMMYFUNCTION("""COMPUTED_VALUE"""),FALSE)</f>
        <v>0</v>
      </c>
      <c r="N472" s="23" t="b">
        <f>IFERROR(__xludf.DUMMYFUNCTION("""COMPUTED_VALUE"""),FALSE)</f>
        <v>0</v>
      </c>
      <c r="O472" s="23">
        <f>IFERROR(__xludf.DUMMYFUNCTION("""COMPUTED_VALUE"""),50.6338825764495)</f>
        <v>50.63388258</v>
      </c>
      <c r="P472" s="23">
        <f>IFERROR(__xludf.DUMMYFUNCTION("""COMPUTED_VALUE"""),27718.0)</f>
        <v>27718</v>
      </c>
      <c r="Q472" s="23">
        <f>IFERROR(__xludf.DUMMYFUNCTION("""COMPUTED_VALUE"""),54742.0)</f>
        <v>54742</v>
      </c>
    </row>
    <row r="473">
      <c r="A473" s="23">
        <f>IFERROR(__xludf.DUMMYFUNCTION("""COMPUTED_VALUE"""),472.0)</f>
        <v>472</v>
      </c>
      <c r="B473" s="23" t="str">
        <f>IFERROR(__xludf.DUMMYFUNCTION("""COMPUTED_VALUE"""),"Concatenated Words")</f>
        <v>Concatenated Words</v>
      </c>
      <c r="C473" s="23" t="str">
        <f>IFERROR(__xludf.DUMMYFUNCTION("""COMPUTED_VALUE"""),"concatenated-words")</f>
        <v>concatenated-words</v>
      </c>
      <c r="D473" s="23" t="b">
        <f>IFERROR(__xludf.DUMMYFUNCTION("""COMPUTED_VALUE"""),FALSE)</f>
        <v>0</v>
      </c>
      <c r="E473" s="23" t="str">
        <f>IFERROR(__xludf.DUMMYFUNCTION("""COMPUTED_VALUE"""),"Hard")</f>
        <v>Hard</v>
      </c>
      <c r="F473" s="23">
        <f>IFERROR(__xludf.DUMMYFUNCTION("""COMPUTED_VALUE"""),1869.0)</f>
        <v>1869</v>
      </c>
      <c r="G473" s="23">
        <f>IFERROR(__xludf.DUMMYFUNCTION("""COMPUTED_VALUE"""),220.0)</f>
        <v>220</v>
      </c>
      <c r="H473" s="23" t="str">
        <f>IFERROR(__xludf.DUMMYFUNCTION("""COMPUTED_VALUE"""),"Algorithms")</f>
        <v>Algorithms</v>
      </c>
      <c r="I473" s="23">
        <f>IFERROR(__xludf.DUMMYFUNCTION("""COMPUTED_VALUE"""),0.43)</f>
        <v>0.43</v>
      </c>
      <c r="J473" s="23">
        <f>IFERROR(__xludf.DUMMYFUNCTION("""COMPUTED_VALUE"""),472.0)</f>
        <v>472</v>
      </c>
      <c r="K473" s="23" t="b">
        <f>IFERROR(__xludf.DUMMYFUNCTION("""COMPUTED_VALUE"""),FALSE)</f>
        <v>0</v>
      </c>
      <c r="L473" s="23" t="str">
        <f>IFERROR(__xludf.DUMMYFUNCTION("""COMPUTED_VALUE"""),"Array;String;Dynamic Programming;Depth-First Search;Trie;")</f>
        <v>Array;String;Dynamic Programming;Depth-First Search;Trie;</v>
      </c>
      <c r="M473" s="23" t="b">
        <f>IFERROR(__xludf.DUMMYFUNCTION("""COMPUTED_VALUE"""),FALSE)</f>
        <v>0</v>
      </c>
      <c r="N473" s="23" t="b">
        <f>IFERROR(__xludf.DUMMYFUNCTION("""COMPUTED_VALUE"""),FALSE)</f>
        <v>0</v>
      </c>
      <c r="O473" s="23">
        <f>IFERROR(__xludf.DUMMYFUNCTION("""COMPUTED_VALUE"""),42.9563057379398)</f>
        <v>42.95630574</v>
      </c>
      <c r="P473" s="23">
        <f>IFERROR(__xludf.DUMMYFUNCTION("""COMPUTED_VALUE"""),130390.0)</f>
        <v>130390</v>
      </c>
      <c r="Q473" s="23">
        <f>IFERROR(__xludf.DUMMYFUNCTION("""COMPUTED_VALUE"""),303541.0)</f>
        <v>303541</v>
      </c>
    </row>
    <row r="474">
      <c r="A474" s="23">
        <f>IFERROR(__xludf.DUMMYFUNCTION("""COMPUTED_VALUE"""),473.0)</f>
        <v>473</v>
      </c>
      <c r="B474" s="23" t="str">
        <f>IFERROR(__xludf.DUMMYFUNCTION("""COMPUTED_VALUE"""),"Matchsticks to Square")</f>
        <v>Matchsticks to Square</v>
      </c>
      <c r="C474" s="23" t="str">
        <f>IFERROR(__xludf.DUMMYFUNCTION("""COMPUTED_VALUE"""),"matchsticks-to-square")</f>
        <v>matchsticks-to-square</v>
      </c>
      <c r="D474" s="23" t="b">
        <f>IFERROR(__xludf.DUMMYFUNCTION("""COMPUTED_VALUE"""),FALSE)</f>
        <v>0</v>
      </c>
      <c r="E474" s="23" t="str">
        <f>IFERROR(__xludf.DUMMYFUNCTION("""COMPUTED_VALUE"""),"Medium")</f>
        <v>Medium</v>
      </c>
      <c r="F474" s="23">
        <f>IFERROR(__xludf.DUMMYFUNCTION("""COMPUTED_VALUE"""),1584.0)</f>
        <v>1584</v>
      </c>
      <c r="G474" s="23">
        <f>IFERROR(__xludf.DUMMYFUNCTION("""COMPUTED_VALUE"""),123.0)</f>
        <v>123</v>
      </c>
      <c r="H474" s="23" t="str">
        <f>IFERROR(__xludf.DUMMYFUNCTION("""COMPUTED_VALUE"""),"Algorithms")</f>
        <v>Algorithms</v>
      </c>
      <c r="I474" s="23">
        <f>IFERROR(__xludf.DUMMYFUNCTION("""COMPUTED_VALUE"""),0.403)</f>
        <v>0.403</v>
      </c>
      <c r="J474" s="23">
        <f>IFERROR(__xludf.DUMMYFUNCTION("""COMPUTED_VALUE"""),473.0)</f>
        <v>473</v>
      </c>
      <c r="K474" s="23" t="b">
        <f>IFERROR(__xludf.DUMMYFUNCTION("""COMPUTED_VALUE"""),FALSE)</f>
        <v>0</v>
      </c>
      <c r="L474" s="23" t="str">
        <f>IFERROR(__xludf.DUMMYFUNCTION("""COMPUTED_VALUE"""),"Array;Dynamic Programming;Backtracking;Bit Manipulation;Bitmask;")</f>
        <v>Array;Dynamic Programming;Backtracking;Bit Manipulation;Bitmask;</v>
      </c>
      <c r="M474" s="23" t="b">
        <f>IFERROR(__xludf.DUMMYFUNCTION("""COMPUTED_VALUE"""),TRUE)</f>
        <v>1</v>
      </c>
      <c r="N474" s="23" t="b">
        <f>IFERROR(__xludf.DUMMYFUNCTION("""COMPUTED_VALUE"""),FALSE)</f>
        <v>0</v>
      </c>
      <c r="O474" s="23">
        <f>IFERROR(__xludf.DUMMYFUNCTION("""COMPUTED_VALUE"""),40.3189210295809)</f>
        <v>40.31892103</v>
      </c>
      <c r="P474" s="23">
        <f>IFERROR(__xludf.DUMMYFUNCTION("""COMPUTED_VALUE"""),76410.0)</f>
        <v>76410</v>
      </c>
      <c r="Q474" s="23">
        <f>IFERROR(__xludf.DUMMYFUNCTION("""COMPUTED_VALUE"""),189514.0)</f>
        <v>189514</v>
      </c>
    </row>
    <row r="475">
      <c r="A475" s="23">
        <f>IFERROR(__xludf.DUMMYFUNCTION("""COMPUTED_VALUE"""),474.0)</f>
        <v>474</v>
      </c>
      <c r="B475" s="23" t="str">
        <f>IFERROR(__xludf.DUMMYFUNCTION("""COMPUTED_VALUE"""),"Ones and Zeroes")</f>
        <v>Ones and Zeroes</v>
      </c>
      <c r="C475" s="23" t="str">
        <f>IFERROR(__xludf.DUMMYFUNCTION("""COMPUTED_VALUE"""),"ones-and-zeroes")</f>
        <v>ones-and-zeroes</v>
      </c>
      <c r="D475" s="23" t="b">
        <f>IFERROR(__xludf.DUMMYFUNCTION("""COMPUTED_VALUE"""),FALSE)</f>
        <v>0</v>
      </c>
      <c r="E475" s="23" t="str">
        <f>IFERROR(__xludf.DUMMYFUNCTION("""COMPUTED_VALUE"""),"Medium")</f>
        <v>Medium</v>
      </c>
      <c r="F475" s="23">
        <f>IFERROR(__xludf.DUMMYFUNCTION("""COMPUTED_VALUE"""),2828.0)</f>
        <v>2828</v>
      </c>
      <c r="G475" s="23">
        <f>IFERROR(__xludf.DUMMYFUNCTION("""COMPUTED_VALUE"""),322.0)</f>
        <v>322</v>
      </c>
      <c r="H475" s="23" t="str">
        <f>IFERROR(__xludf.DUMMYFUNCTION("""COMPUTED_VALUE"""),"Algorithms")</f>
        <v>Algorithms</v>
      </c>
      <c r="I475" s="23">
        <f>IFERROR(__xludf.DUMMYFUNCTION("""COMPUTED_VALUE"""),0.446)</f>
        <v>0.446</v>
      </c>
      <c r="J475" s="23">
        <f>IFERROR(__xludf.DUMMYFUNCTION("""COMPUTED_VALUE"""),474.0)</f>
        <v>474</v>
      </c>
      <c r="K475" s="23" t="b">
        <f>IFERROR(__xludf.DUMMYFUNCTION("""COMPUTED_VALUE"""),FALSE)</f>
        <v>0</v>
      </c>
      <c r="L475" s="23" t="str">
        <f>IFERROR(__xludf.DUMMYFUNCTION("""COMPUTED_VALUE"""),"Array;String;Dynamic Programming;")</f>
        <v>Array;String;Dynamic Programming;</v>
      </c>
      <c r="M475" s="23" t="b">
        <f>IFERROR(__xludf.DUMMYFUNCTION("""COMPUTED_VALUE"""),TRUE)</f>
        <v>1</v>
      </c>
      <c r="N475" s="23" t="b">
        <f>IFERROR(__xludf.DUMMYFUNCTION("""COMPUTED_VALUE"""),FALSE)</f>
        <v>0</v>
      </c>
      <c r="O475" s="23">
        <f>IFERROR(__xludf.DUMMYFUNCTION("""COMPUTED_VALUE"""),44.5752455137466)</f>
        <v>44.57524551</v>
      </c>
      <c r="P475" s="23">
        <f>IFERROR(__xludf.DUMMYFUNCTION("""COMPUTED_VALUE"""),106439.0)</f>
        <v>106439</v>
      </c>
      <c r="Q475" s="23">
        <f>IFERROR(__xludf.DUMMYFUNCTION("""COMPUTED_VALUE"""),238785.0)</f>
        <v>238785</v>
      </c>
    </row>
    <row r="476">
      <c r="A476" s="23">
        <f>IFERROR(__xludf.DUMMYFUNCTION("""COMPUTED_VALUE"""),475.0)</f>
        <v>475</v>
      </c>
      <c r="B476" s="23" t="str">
        <f>IFERROR(__xludf.DUMMYFUNCTION("""COMPUTED_VALUE"""),"Heaters")</f>
        <v>Heaters</v>
      </c>
      <c r="C476" s="23" t="str">
        <f>IFERROR(__xludf.DUMMYFUNCTION("""COMPUTED_VALUE"""),"heaters")</f>
        <v>heaters</v>
      </c>
      <c r="D476" s="23" t="b">
        <f>IFERROR(__xludf.DUMMYFUNCTION("""COMPUTED_VALUE"""),FALSE)</f>
        <v>0</v>
      </c>
      <c r="E476" s="23" t="str">
        <f>IFERROR(__xludf.DUMMYFUNCTION("""COMPUTED_VALUE"""),"Medium")</f>
        <v>Medium</v>
      </c>
      <c r="F476" s="23">
        <f>IFERROR(__xludf.DUMMYFUNCTION("""COMPUTED_VALUE"""),1339.0)</f>
        <v>1339</v>
      </c>
      <c r="G476" s="23">
        <f>IFERROR(__xludf.DUMMYFUNCTION("""COMPUTED_VALUE"""),1027.0)</f>
        <v>1027</v>
      </c>
      <c r="H476" s="23" t="str">
        <f>IFERROR(__xludf.DUMMYFUNCTION("""COMPUTED_VALUE"""),"Algorithms")</f>
        <v>Algorithms</v>
      </c>
      <c r="I476" s="23">
        <f>IFERROR(__xludf.DUMMYFUNCTION("""COMPUTED_VALUE"""),0.353)</f>
        <v>0.353</v>
      </c>
      <c r="J476" s="23">
        <f>IFERROR(__xludf.DUMMYFUNCTION("""COMPUTED_VALUE"""),475.0)</f>
        <v>475</v>
      </c>
      <c r="K476" s="23" t="b">
        <f>IFERROR(__xludf.DUMMYFUNCTION("""COMPUTED_VALUE"""),FALSE)</f>
        <v>0</v>
      </c>
      <c r="L476" s="23" t="str">
        <f>IFERROR(__xludf.DUMMYFUNCTION("""COMPUTED_VALUE"""),"Array;Two Pointers;Binary Search;Sorting;")</f>
        <v>Array;Two Pointers;Binary Search;Sorting;</v>
      </c>
      <c r="M476" s="23" t="b">
        <f>IFERROR(__xludf.DUMMYFUNCTION("""COMPUTED_VALUE"""),FALSE)</f>
        <v>0</v>
      </c>
      <c r="N476" s="23" t="b">
        <f>IFERROR(__xludf.DUMMYFUNCTION("""COMPUTED_VALUE"""),FALSE)</f>
        <v>0</v>
      </c>
      <c r="O476" s="23">
        <f>IFERROR(__xludf.DUMMYFUNCTION("""COMPUTED_VALUE"""),35.2649832625209)</f>
        <v>35.26498326</v>
      </c>
      <c r="P476" s="23">
        <f>IFERROR(__xludf.DUMMYFUNCTION("""COMPUTED_VALUE"""),87649.0)</f>
        <v>87649</v>
      </c>
      <c r="Q476" s="23">
        <f>IFERROR(__xludf.DUMMYFUNCTION("""COMPUTED_VALUE"""),248543.0)</f>
        <v>248543</v>
      </c>
    </row>
    <row r="477">
      <c r="A477" s="23">
        <f>IFERROR(__xludf.DUMMYFUNCTION("""COMPUTED_VALUE"""),476.0)</f>
        <v>476</v>
      </c>
      <c r="B477" s="23" t="str">
        <f>IFERROR(__xludf.DUMMYFUNCTION("""COMPUTED_VALUE"""),"Number Complement")</f>
        <v>Number Complement</v>
      </c>
      <c r="C477" s="23" t="str">
        <f>IFERROR(__xludf.DUMMYFUNCTION("""COMPUTED_VALUE"""),"number-complement")</f>
        <v>number-complement</v>
      </c>
      <c r="D477" s="23" t="b">
        <f>IFERROR(__xludf.DUMMYFUNCTION("""COMPUTED_VALUE"""),FALSE)</f>
        <v>0</v>
      </c>
      <c r="E477" s="23" t="str">
        <f>IFERROR(__xludf.DUMMYFUNCTION("""COMPUTED_VALUE"""),"Easy")</f>
        <v>Easy</v>
      </c>
      <c r="F477" s="23">
        <f>IFERROR(__xludf.DUMMYFUNCTION("""COMPUTED_VALUE"""),1980.0)</f>
        <v>1980</v>
      </c>
      <c r="G477" s="23">
        <f>IFERROR(__xludf.DUMMYFUNCTION("""COMPUTED_VALUE"""),105.0)</f>
        <v>105</v>
      </c>
      <c r="H477" s="23" t="str">
        <f>IFERROR(__xludf.DUMMYFUNCTION("""COMPUTED_VALUE"""),"Algorithms")</f>
        <v>Algorithms</v>
      </c>
      <c r="I477" s="23">
        <f>IFERROR(__xludf.DUMMYFUNCTION("""COMPUTED_VALUE"""),0.667)</f>
        <v>0.667</v>
      </c>
      <c r="J477" s="23">
        <f>IFERROR(__xludf.DUMMYFUNCTION("""COMPUTED_VALUE"""),476.0)</f>
        <v>476</v>
      </c>
      <c r="K477" s="23" t="b">
        <f>IFERROR(__xludf.DUMMYFUNCTION("""COMPUTED_VALUE"""),FALSE)</f>
        <v>0</v>
      </c>
      <c r="L477" s="23" t="str">
        <f>IFERROR(__xludf.DUMMYFUNCTION("""COMPUTED_VALUE"""),"Bit Manipulation;")</f>
        <v>Bit Manipulation;</v>
      </c>
      <c r="M477" s="23" t="b">
        <f>IFERROR(__xludf.DUMMYFUNCTION("""COMPUTED_VALUE"""),TRUE)</f>
        <v>1</v>
      </c>
      <c r="N477" s="23" t="b">
        <f>IFERROR(__xludf.DUMMYFUNCTION("""COMPUTED_VALUE"""),FALSE)</f>
        <v>0</v>
      </c>
      <c r="O477" s="23">
        <f>IFERROR(__xludf.DUMMYFUNCTION("""COMPUTED_VALUE"""),66.7358019438915)</f>
        <v>66.73580194</v>
      </c>
      <c r="P477" s="23">
        <f>IFERROR(__xludf.DUMMYFUNCTION("""COMPUTED_VALUE"""),263525.0)</f>
        <v>263525</v>
      </c>
      <c r="Q477" s="23">
        <f>IFERROR(__xludf.DUMMYFUNCTION("""COMPUTED_VALUE"""),394878.0)</f>
        <v>394878</v>
      </c>
    </row>
    <row r="478">
      <c r="A478" s="23">
        <f>IFERROR(__xludf.DUMMYFUNCTION("""COMPUTED_VALUE"""),477.0)</f>
        <v>477</v>
      </c>
      <c r="B478" s="23" t="str">
        <f>IFERROR(__xludf.DUMMYFUNCTION("""COMPUTED_VALUE"""),"Total Hamming Distance")</f>
        <v>Total Hamming Distance</v>
      </c>
      <c r="C478" s="23" t="str">
        <f>IFERROR(__xludf.DUMMYFUNCTION("""COMPUTED_VALUE"""),"total-hamming-distance")</f>
        <v>total-hamming-distance</v>
      </c>
      <c r="D478" s="23" t="b">
        <f>IFERROR(__xludf.DUMMYFUNCTION("""COMPUTED_VALUE"""),FALSE)</f>
        <v>0</v>
      </c>
      <c r="E478" s="23" t="str">
        <f>IFERROR(__xludf.DUMMYFUNCTION("""COMPUTED_VALUE"""),"Medium")</f>
        <v>Medium</v>
      </c>
      <c r="F478" s="23">
        <f>IFERROR(__xludf.DUMMYFUNCTION("""COMPUTED_VALUE"""),1625.0)</f>
        <v>1625</v>
      </c>
      <c r="G478" s="23">
        <f>IFERROR(__xludf.DUMMYFUNCTION("""COMPUTED_VALUE"""),80.0)</f>
        <v>80</v>
      </c>
      <c r="H478" s="23" t="str">
        <f>IFERROR(__xludf.DUMMYFUNCTION("""COMPUTED_VALUE"""),"Algorithms")</f>
        <v>Algorithms</v>
      </c>
      <c r="I478" s="23">
        <f>IFERROR(__xludf.DUMMYFUNCTION("""COMPUTED_VALUE"""),0.52)</f>
        <v>0.52</v>
      </c>
      <c r="J478" s="23">
        <f>IFERROR(__xludf.DUMMYFUNCTION("""COMPUTED_VALUE"""),477.0)</f>
        <v>477</v>
      </c>
      <c r="K478" s="23" t="b">
        <f>IFERROR(__xludf.DUMMYFUNCTION("""COMPUTED_VALUE"""),FALSE)</f>
        <v>0</v>
      </c>
      <c r="L478" s="23" t="str">
        <f>IFERROR(__xludf.DUMMYFUNCTION("""COMPUTED_VALUE"""),"Array;Math;Bit Manipulation;")</f>
        <v>Array;Math;Bit Manipulation;</v>
      </c>
      <c r="M478" s="23" t="b">
        <f>IFERROR(__xludf.DUMMYFUNCTION("""COMPUTED_VALUE"""),TRUE)</f>
        <v>1</v>
      </c>
      <c r="N478" s="23" t="b">
        <f>IFERROR(__xludf.DUMMYFUNCTION("""COMPUTED_VALUE"""),FALSE)</f>
        <v>0</v>
      </c>
      <c r="O478" s="23">
        <f>IFERROR(__xludf.DUMMYFUNCTION("""COMPUTED_VALUE"""),51.9540476062991)</f>
        <v>51.95404761</v>
      </c>
      <c r="P478" s="23">
        <f>IFERROR(__xludf.DUMMYFUNCTION("""COMPUTED_VALUE"""),87328.0)</f>
        <v>87328</v>
      </c>
      <c r="Q478" s="23">
        <f>IFERROR(__xludf.DUMMYFUNCTION("""COMPUTED_VALUE"""),168087.0)</f>
        <v>168087</v>
      </c>
    </row>
    <row r="479">
      <c r="A479" s="23">
        <f>IFERROR(__xludf.DUMMYFUNCTION("""COMPUTED_VALUE"""),915.0)</f>
        <v>915</v>
      </c>
      <c r="B479" s="23" t="str">
        <f>IFERROR(__xludf.DUMMYFUNCTION("""COMPUTED_VALUE"""),"Generate Random Point in a Circle")</f>
        <v>Generate Random Point in a Circle</v>
      </c>
      <c r="C479" s="23" t="str">
        <f>IFERROR(__xludf.DUMMYFUNCTION("""COMPUTED_VALUE"""),"generate-random-point-in-a-circle")</f>
        <v>generate-random-point-in-a-circle</v>
      </c>
      <c r="D479" s="23" t="b">
        <f>IFERROR(__xludf.DUMMYFUNCTION("""COMPUTED_VALUE"""),FALSE)</f>
        <v>0</v>
      </c>
      <c r="E479" s="23" t="str">
        <f>IFERROR(__xludf.DUMMYFUNCTION("""COMPUTED_VALUE"""),"Medium")</f>
        <v>Medium</v>
      </c>
      <c r="F479" s="23">
        <f>IFERROR(__xludf.DUMMYFUNCTION("""COMPUTED_VALUE"""),363.0)</f>
        <v>363</v>
      </c>
      <c r="G479" s="23">
        <f>IFERROR(__xludf.DUMMYFUNCTION("""COMPUTED_VALUE"""),676.0)</f>
        <v>676</v>
      </c>
      <c r="H479" s="23" t="str">
        <f>IFERROR(__xludf.DUMMYFUNCTION("""COMPUTED_VALUE"""),"Algorithms")</f>
        <v>Algorithms</v>
      </c>
      <c r="I479" s="23">
        <f>IFERROR(__xludf.DUMMYFUNCTION("""COMPUTED_VALUE"""),0.393)</f>
        <v>0.393</v>
      </c>
      <c r="J479" s="23">
        <f>IFERROR(__xludf.DUMMYFUNCTION("""COMPUTED_VALUE"""),478.0)</f>
        <v>478</v>
      </c>
      <c r="K479" s="23" t="b">
        <f>IFERROR(__xludf.DUMMYFUNCTION("""COMPUTED_VALUE"""),FALSE)</f>
        <v>0</v>
      </c>
      <c r="L479" s="23" t="str">
        <f>IFERROR(__xludf.DUMMYFUNCTION("""COMPUTED_VALUE"""),"Math;Geometry;Rejection Sampling;Randomized;")</f>
        <v>Math;Geometry;Rejection Sampling;Randomized;</v>
      </c>
      <c r="M479" s="23" t="b">
        <f>IFERROR(__xludf.DUMMYFUNCTION("""COMPUTED_VALUE"""),TRUE)</f>
        <v>1</v>
      </c>
      <c r="N479" s="23" t="b">
        <f>IFERROR(__xludf.DUMMYFUNCTION("""COMPUTED_VALUE"""),FALSE)</f>
        <v>0</v>
      </c>
      <c r="O479" s="23">
        <f>IFERROR(__xludf.DUMMYFUNCTION("""COMPUTED_VALUE"""),39.3260019608074)</f>
        <v>39.32600196</v>
      </c>
      <c r="P479" s="23">
        <f>IFERROR(__xludf.DUMMYFUNCTION("""COMPUTED_VALUE"""),33293.0)</f>
        <v>33293</v>
      </c>
      <c r="Q479" s="23">
        <f>IFERROR(__xludf.DUMMYFUNCTION("""COMPUTED_VALUE"""),84659.0)</f>
        <v>84659</v>
      </c>
    </row>
    <row r="480">
      <c r="A480" s="23">
        <f>IFERROR(__xludf.DUMMYFUNCTION("""COMPUTED_VALUE"""),479.0)</f>
        <v>479</v>
      </c>
      <c r="B480" s="23" t="str">
        <f>IFERROR(__xludf.DUMMYFUNCTION("""COMPUTED_VALUE"""),"Largest Palindrome Product")</f>
        <v>Largest Palindrome Product</v>
      </c>
      <c r="C480" s="23" t="str">
        <f>IFERROR(__xludf.DUMMYFUNCTION("""COMPUTED_VALUE"""),"largest-palindrome-product")</f>
        <v>largest-palindrome-product</v>
      </c>
      <c r="D480" s="23" t="b">
        <f>IFERROR(__xludf.DUMMYFUNCTION("""COMPUTED_VALUE"""),FALSE)</f>
        <v>0</v>
      </c>
      <c r="E480" s="23" t="str">
        <f>IFERROR(__xludf.DUMMYFUNCTION("""COMPUTED_VALUE"""),"Hard")</f>
        <v>Hard</v>
      </c>
      <c r="F480" s="23">
        <f>IFERROR(__xludf.DUMMYFUNCTION("""COMPUTED_VALUE"""),123.0)</f>
        <v>123</v>
      </c>
      <c r="G480" s="23">
        <f>IFERROR(__xludf.DUMMYFUNCTION("""COMPUTED_VALUE"""),1451.0)</f>
        <v>1451</v>
      </c>
      <c r="H480" s="23" t="str">
        <f>IFERROR(__xludf.DUMMYFUNCTION("""COMPUTED_VALUE"""),"Algorithms")</f>
        <v>Algorithms</v>
      </c>
      <c r="I480" s="23">
        <f>IFERROR(__xludf.DUMMYFUNCTION("""COMPUTED_VALUE"""),0.311)</f>
        <v>0.311</v>
      </c>
      <c r="J480" s="23">
        <f>IFERROR(__xludf.DUMMYFUNCTION("""COMPUTED_VALUE"""),479.0)</f>
        <v>479</v>
      </c>
      <c r="K480" s="23" t="b">
        <f>IFERROR(__xludf.DUMMYFUNCTION("""COMPUTED_VALUE"""),FALSE)</f>
        <v>0</v>
      </c>
      <c r="L480" s="23" t="str">
        <f>IFERROR(__xludf.DUMMYFUNCTION("""COMPUTED_VALUE"""),"Math;")</f>
        <v>Math;</v>
      </c>
      <c r="M480" s="23" t="b">
        <f>IFERROR(__xludf.DUMMYFUNCTION("""COMPUTED_VALUE"""),FALSE)</f>
        <v>0</v>
      </c>
      <c r="N480" s="23" t="b">
        <f>IFERROR(__xludf.DUMMYFUNCTION("""COMPUTED_VALUE"""),FALSE)</f>
        <v>0</v>
      </c>
      <c r="O480" s="23">
        <f>IFERROR(__xludf.DUMMYFUNCTION("""COMPUTED_VALUE"""),31.1407811637746)</f>
        <v>31.14078116</v>
      </c>
      <c r="P480" s="23">
        <f>IFERROR(__xludf.DUMMYFUNCTION("""COMPUTED_VALUE"""),20315.0)</f>
        <v>20315</v>
      </c>
      <c r="Q480" s="23">
        <f>IFERROR(__xludf.DUMMYFUNCTION("""COMPUTED_VALUE"""),65236.0)</f>
        <v>65236</v>
      </c>
    </row>
    <row r="481">
      <c r="A481" s="23">
        <f>IFERROR(__xludf.DUMMYFUNCTION("""COMPUTED_VALUE"""),480.0)</f>
        <v>480</v>
      </c>
      <c r="B481" s="23" t="str">
        <f>IFERROR(__xludf.DUMMYFUNCTION("""COMPUTED_VALUE"""),"Sliding Window Median")</f>
        <v>Sliding Window Median</v>
      </c>
      <c r="C481" s="23" t="str">
        <f>IFERROR(__xludf.DUMMYFUNCTION("""COMPUTED_VALUE"""),"sliding-window-median")</f>
        <v>sliding-window-median</v>
      </c>
      <c r="D481" s="23" t="b">
        <f>IFERROR(__xludf.DUMMYFUNCTION("""COMPUTED_VALUE"""),FALSE)</f>
        <v>0</v>
      </c>
      <c r="E481" s="23" t="str">
        <f>IFERROR(__xludf.DUMMYFUNCTION("""COMPUTED_VALUE"""),"Hard")</f>
        <v>Hard</v>
      </c>
      <c r="F481" s="23">
        <f>IFERROR(__xludf.DUMMYFUNCTION("""COMPUTED_VALUE"""),2134.0)</f>
        <v>2134</v>
      </c>
      <c r="G481" s="23">
        <f>IFERROR(__xludf.DUMMYFUNCTION("""COMPUTED_VALUE"""),131.0)</f>
        <v>131</v>
      </c>
      <c r="H481" s="23" t="str">
        <f>IFERROR(__xludf.DUMMYFUNCTION("""COMPUTED_VALUE"""),"Algorithms")</f>
        <v>Algorithms</v>
      </c>
      <c r="I481" s="23">
        <f>IFERROR(__xludf.DUMMYFUNCTION("""COMPUTED_VALUE"""),0.409)</f>
        <v>0.409</v>
      </c>
      <c r="J481" s="23">
        <f>IFERROR(__xludf.DUMMYFUNCTION("""COMPUTED_VALUE"""),480.0)</f>
        <v>480</v>
      </c>
      <c r="K481" s="23" t="b">
        <f>IFERROR(__xludf.DUMMYFUNCTION("""COMPUTED_VALUE"""),FALSE)</f>
        <v>0</v>
      </c>
      <c r="L481" s="23" t="str">
        <f>IFERROR(__xludf.DUMMYFUNCTION("""COMPUTED_VALUE"""),"Array;Hash Table;Sliding Window;Heap (Priority Queue);")</f>
        <v>Array;Hash Table;Sliding Window;Heap (Priority Queue);</v>
      </c>
      <c r="M481" s="23" t="b">
        <f>IFERROR(__xludf.DUMMYFUNCTION("""COMPUTED_VALUE"""),TRUE)</f>
        <v>1</v>
      </c>
      <c r="N481" s="23" t="b">
        <f>IFERROR(__xludf.DUMMYFUNCTION("""COMPUTED_VALUE"""),FALSE)</f>
        <v>0</v>
      </c>
      <c r="O481" s="23">
        <f>IFERROR(__xludf.DUMMYFUNCTION("""COMPUTED_VALUE"""),40.8896913339863)</f>
        <v>40.88969133</v>
      </c>
      <c r="P481" s="23">
        <f>IFERROR(__xludf.DUMMYFUNCTION("""COMPUTED_VALUE"""),103951.0)</f>
        <v>103951</v>
      </c>
      <c r="Q481" s="23">
        <f>IFERROR(__xludf.DUMMYFUNCTION("""COMPUTED_VALUE"""),254223.0)</f>
        <v>254223</v>
      </c>
    </row>
    <row r="482">
      <c r="A482" s="23">
        <f>IFERROR(__xludf.DUMMYFUNCTION("""COMPUTED_VALUE"""),481.0)</f>
        <v>481</v>
      </c>
      <c r="B482" s="23" t="str">
        <f>IFERROR(__xludf.DUMMYFUNCTION("""COMPUTED_VALUE"""),"Magical String")</f>
        <v>Magical String</v>
      </c>
      <c r="C482" s="23" t="str">
        <f>IFERROR(__xludf.DUMMYFUNCTION("""COMPUTED_VALUE"""),"magical-string")</f>
        <v>magical-string</v>
      </c>
      <c r="D482" s="23" t="b">
        <f>IFERROR(__xludf.DUMMYFUNCTION("""COMPUTED_VALUE"""),FALSE)</f>
        <v>0</v>
      </c>
      <c r="E482" s="23" t="str">
        <f>IFERROR(__xludf.DUMMYFUNCTION("""COMPUTED_VALUE"""),"Medium")</f>
        <v>Medium</v>
      </c>
      <c r="F482" s="23">
        <f>IFERROR(__xludf.DUMMYFUNCTION("""COMPUTED_VALUE"""),181.0)</f>
        <v>181</v>
      </c>
      <c r="G482" s="23">
        <f>IFERROR(__xludf.DUMMYFUNCTION("""COMPUTED_VALUE"""),937.0)</f>
        <v>937</v>
      </c>
      <c r="H482" s="23" t="str">
        <f>IFERROR(__xludf.DUMMYFUNCTION("""COMPUTED_VALUE"""),"Algorithms")</f>
        <v>Algorithms</v>
      </c>
      <c r="I482" s="23">
        <f>IFERROR(__xludf.DUMMYFUNCTION("""COMPUTED_VALUE"""),0.497)</f>
        <v>0.497</v>
      </c>
      <c r="J482" s="23">
        <f>IFERROR(__xludf.DUMMYFUNCTION("""COMPUTED_VALUE"""),481.0)</f>
        <v>481</v>
      </c>
      <c r="K482" s="23" t="b">
        <f>IFERROR(__xludf.DUMMYFUNCTION("""COMPUTED_VALUE"""),FALSE)</f>
        <v>0</v>
      </c>
      <c r="L482" s="23" t="str">
        <f>IFERROR(__xludf.DUMMYFUNCTION("""COMPUTED_VALUE"""),"Two Pointers;String;")</f>
        <v>Two Pointers;String;</v>
      </c>
      <c r="M482" s="23" t="b">
        <f>IFERROR(__xludf.DUMMYFUNCTION("""COMPUTED_VALUE"""),FALSE)</f>
        <v>0</v>
      </c>
      <c r="N482" s="23" t="b">
        <f>IFERROR(__xludf.DUMMYFUNCTION("""COMPUTED_VALUE"""),FALSE)</f>
        <v>0</v>
      </c>
      <c r="O482" s="23">
        <f>IFERROR(__xludf.DUMMYFUNCTION("""COMPUTED_VALUE"""),49.6763550949418)</f>
        <v>49.67635509</v>
      </c>
      <c r="P482" s="23">
        <f>IFERROR(__xludf.DUMMYFUNCTION("""COMPUTED_VALUE"""),27705.0)</f>
        <v>27705</v>
      </c>
      <c r="Q482" s="23">
        <f>IFERROR(__xludf.DUMMYFUNCTION("""COMPUTED_VALUE"""),55771.0)</f>
        <v>55771</v>
      </c>
    </row>
    <row r="483">
      <c r="A483" s="23">
        <f>IFERROR(__xludf.DUMMYFUNCTION("""COMPUTED_VALUE"""),482.0)</f>
        <v>482</v>
      </c>
      <c r="B483" s="23" t="str">
        <f>IFERROR(__xludf.DUMMYFUNCTION("""COMPUTED_VALUE"""),"License Key Formatting")</f>
        <v>License Key Formatting</v>
      </c>
      <c r="C483" s="23" t="str">
        <f>IFERROR(__xludf.DUMMYFUNCTION("""COMPUTED_VALUE"""),"license-key-formatting")</f>
        <v>license-key-formatting</v>
      </c>
      <c r="D483" s="23" t="b">
        <f>IFERROR(__xludf.DUMMYFUNCTION("""COMPUTED_VALUE"""),FALSE)</f>
        <v>0</v>
      </c>
      <c r="E483" s="23" t="str">
        <f>IFERROR(__xludf.DUMMYFUNCTION("""COMPUTED_VALUE"""),"Easy")</f>
        <v>Easy</v>
      </c>
      <c r="F483" s="23">
        <f>IFERROR(__xludf.DUMMYFUNCTION("""COMPUTED_VALUE"""),754.0)</f>
        <v>754</v>
      </c>
      <c r="G483" s="23">
        <f>IFERROR(__xludf.DUMMYFUNCTION("""COMPUTED_VALUE"""),1085.0)</f>
        <v>1085</v>
      </c>
      <c r="H483" s="23" t="str">
        <f>IFERROR(__xludf.DUMMYFUNCTION("""COMPUTED_VALUE"""),"Algorithms")</f>
        <v>Algorithms</v>
      </c>
      <c r="I483" s="23">
        <f>IFERROR(__xludf.DUMMYFUNCTION("""COMPUTED_VALUE"""),0.431)</f>
        <v>0.431</v>
      </c>
      <c r="J483" s="23">
        <f>IFERROR(__xludf.DUMMYFUNCTION("""COMPUTED_VALUE"""),482.0)</f>
        <v>482</v>
      </c>
      <c r="K483" s="23" t="b">
        <f>IFERROR(__xludf.DUMMYFUNCTION("""COMPUTED_VALUE"""),FALSE)</f>
        <v>0</v>
      </c>
      <c r="L483" s="23" t="str">
        <f>IFERROR(__xludf.DUMMYFUNCTION("""COMPUTED_VALUE"""),"String;")</f>
        <v>String;</v>
      </c>
      <c r="M483" s="23" t="b">
        <f>IFERROR(__xludf.DUMMYFUNCTION("""COMPUTED_VALUE"""),FALSE)</f>
        <v>0</v>
      </c>
      <c r="N483" s="23" t="b">
        <f>IFERROR(__xludf.DUMMYFUNCTION("""COMPUTED_VALUE"""),FALSE)</f>
        <v>0</v>
      </c>
      <c r="O483" s="23">
        <f>IFERROR(__xludf.DUMMYFUNCTION("""COMPUTED_VALUE"""),43.0909357774226)</f>
        <v>43.09093578</v>
      </c>
      <c r="P483" s="23">
        <f>IFERROR(__xludf.DUMMYFUNCTION("""COMPUTED_VALUE"""),211380.0)</f>
        <v>211380</v>
      </c>
      <c r="Q483" s="23">
        <f>IFERROR(__xludf.DUMMYFUNCTION("""COMPUTED_VALUE"""),490544.0)</f>
        <v>490544</v>
      </c>
    </row>
    <row r="484">
      <c r="A484" s="23">
        <f>IFERROR(__xludf.DUMMYFUNCTION("""COMPUTED_VALUE"""),483.0)</f>
        <v>483</v>
      </c>
      <c r="B484" s="23" t="str">
        <f>IFERROR(__xludf.DUMMYFUNCTION("""COMPUTED_VALUE"""),"Smallest Good Base")</f>
        <v>Smallest Good Base</v>
      </c>
      <c r="C484" s="23" t="str">
        <f>IFERROR(__xludf.DUMMYFUNCTION("""COMPUTED_VALUE"""),"smallest-good-base")</f>
        <v>smallest-good-base</v>
      </c>
      <c r="D484" s="23" t="b">
        <f>IFERROR(__xludf.DUMMYFUNCTION("""COMPUTED_VALUE"""),FALSE)</f>
        <v>0</v>
      </c>
      <c r="E484" s="23" t="str">
        <f>IFERROR(__xludf.DUMMYFUNCTION("""COMPUTED_VALUE"""),"Hard")</f>
        <v>Hard</v>
      </c>
      <c r="F484" s="23">
        <f>IFERROR(__xludf.DUMMYFUNCTION("""COMPUTED_VALUE"""),265.0)</f>
        <v>265</v>
      </c>
      <c r="G484" s="23">
        <f>IFERROR(__xludf.DUMMYFUNCTION("""COMPUTED_VALUE"""),431.0)</f>
        <v>431</v>
      </c>
      <c r="H484" s="23" t="str">
        <f>IFERROR(__xludf.DUMMYFUNCTION("""COMPUTED_VALUE"""),"Algorithms")</f>
        <v>Algorithms</v>
      </c>
      <c r="I484" s="23">
        <f>IFERROR(__xludf.DUMMYFUNCTION("""COMPUTED_VALUE"""),0.378)</f>
        <v>0.378</v>
      </c>
      <c r="J484" s="23">
        <f>IFERROR(__xludf.DUMMYFUNCTION("""COMPUTED_VALUE"""),483.0)</f>
        <v>483</v>
      </c>
      <c r="K484" s="23" t="b">
        <f>IFERROR(__xludf.DUMMYFUNCTION("""COMPUTED_VALUE"""),FALSE)</f>
        <v>0</v>
      </c>
      <c r="L484" s="23" t="str">
        <f>IFERROR(__xludf.DUMMYFUNCTION("""COMPUTED_VALUE"""),"Math;Binary Search;")</f>
        <v>Math;Binary Search;</v>
      </c>
      <c r="M484" s="23" t="b">
        <f>IFERROR(__xludf.DUMMYFUNCTION("""COMPUTED_VALUE"""),FALSE)</f>
        <v>0</v>
      </c>
      <c r="N484" s="23" t="b">
        <f>IFERROR(__xludf.DUMMYFUNCTION("""COMPUTED_VALUE"""),FALSE)</f>
        <v>0</v>
      </c>
      <c r="O484" s="23">
        <f>IFERROR(__xludf.DUMMYFUNCTION("""COMPUTED_VALUE"""),37.8223043635052)</f>
        <v>37.82230436</v>
      </c>
      <c r="P484" s="23">
        <f>IFERROR(__xludf.DUMMYFUNCTION("""COMPUTED_VALUE"""),16781.0)</f>
        <v>16781</v>
      </c>
      <c r="Q484" s="23">
        <f>IFERROR(__xludf.DUMMYFUNCTION("""COMPUTED_VALUE"""),44368.0)</f>
        <v>44368</v>
      </c>
    </row>
    <row r="485">
      <c r="A485" s="23">
        <f>IFERROR(__xludf.DUMMYFUNCTION("""COMPUTED_VALUE"""),484.0)</f>
        <v>484</v>
      </c>
      <c r="B485" s="23" t="str">
        <f>IFERROR(__xludf.DUMMYFUNCTION("""COMPUTED_VALUE"""),"Find Permutation")</f>
        <v>Find Permutation</v>
      </c>
      <c r="C485" s="23" t="str">
        <f>IFERROR(__xludf.DUMMYFUNCTION("""COMPUTED_VALUE"""),"find-permutation")</f>
        <v>find-permutation</v>
      </c>
      <c r="D485" s="23" t="b">
        <f>IFERROR(__xludf.DUMMYFUNCTION("""COMPUTED_VALUE"""),TRUE)</f>
        <v>1</v>
      </c>
      <c r="E485" s="23" t="str">
        <f>IFERROR(__xludf.DUMMYFUNCTION("""COMPUTED_VALUE"""),"Medium")</f>
        <v>Medium</v>
      </c>
      <c r="F485" s="23">
        <f>IFERROR(__xludf.DUMMYFUNCTION("""COMPUTED_VALUE"""),488.0)</f>
        <v>488</v>
      </c>
      <c r="G485" s="23">
        <f>IFERROR(__xludf.DUMMYFUNCTION("""COMPUTED_VALUE"""),80.0)</f>
        <v>80</v>
      </c>
      <c r="H485" s="23" t="str">
        <f>IFERROR(__xludf.DUMMYFUNCTION("""COMPUTED_VALUE"""),"Algorithms")</f>
        <v>Algorithms</v>
      </c>
      <c r="I485" s="23">
        <f>IFERROR(__xludf.DUMMYFUNCTION("""COMPUTED_VALUE"""),0.643)</f>
        <v>0.643</v>
      </c>
      <c r="J485" s="23">
        <f>IFERROR(__xludf.DUMMYFUNCTION("""COMPUTED_VALUE"""),484.0)</f>
        <v>484</v>
      </c>
      <c r="K485" s="23" t="b">
        <f>IFERROR(__xludf.DUMMYFUNCTION("""COMPUTED_VALUE"""),TRUE)</f>
        <v>1</v>
      </c>
      <c r="L485" s="23" t="str">
        <f>IFERROR(__xludf.DUMMYFUNCTION("""COMPUTED_VALUE"""),"Array;Stack;Greedy;")</f>
        <v>Array;Stack;Greedy;</v>
      </c>
      <c r="M485" s="23" t="b">
        <f>IFERROR(__xludf.DUMMYFUNCTION("""COMPUTED_VALUE"""),TRUE)</f>
        <v>1</v>
      </c>
      <c r="N485" s="23" t="b">
        <f>IFERROR(__xludf.DUMMYFUNCTION("""COMPUTED_VALUE"""),FALSE)</f>
        <v>0</v>
      </c>
      <c r="O485" s="23">
        <f>IFERROR(__xludf.DUMMYFUNCTION("""COMPUTED_VALUE"""),64.2786444831974)</f>
        <v>64.27864448</v>
      </c>
      <c r="P485" s="23">
        <f>IFERROR(__xludf.DUMMYFUNCTION("""COMPUTED_VALUE"""),27276.0)</f>
        <v>27276</v>
      </c>
      <c r="Q485" s="23">
        <f>IFERROR(__xludf.DUMMYFUNCTION("""COMPUTED_VALUE"""),42434.0)</f>
        <v>42434</v>
      </c>
    </row>
    <row r="486">
      <c r="A486" s="23">
        <f>IFERROR(__xludf.DUMMYFUNCTION("""COMPUTED_VALUE"""),485.0)</f>
        <v>485</v>
      </c>
      <c r="B486" s="23" t="str">
        <f>IFERROR(__xludf.DUMMYFUNCTION("""COMPUTED_VALUE"""),"Max Consecutive Ones")</f>
        <v>Max Consecutive Ones</v>
      </c>
      <c r="C486" s="23" t="str">
        <f>IFERROR(__xludf.DUMMYFUNCTION("""COMPUTED_VALUE"""),"max-consecutive-ones")</f>
        <v>max-consecutive-ones</v>
      </c>
      <c r="D486" s="23" t="b">
        <f>IFERROR(__xludf.DUMMYFUNCTION("""COMPUTED_VALUE"""),FALSE)</f>
        <v>0</v>
      </c>
      <c r="E486" s="23" t="str">
        <f>IFERROR(__xludf.DUMMYFUNCTION("""COMPUTED_VALUE"""),"Easy")</f>
        <v>Easy</v>
      </c>
      <c r="F486" s="23">
        <f>IFERROR(__xludf.DUMMYFUNCTION("""COMPUTED_VALUE"""),2561.0)</f>
        <v>2561</v>
      </c>
      <c r="G486" s="23">
        <f>IFERROR(__xludf.DUMMYFUNCTION("""COMPUTED_VALUE"""),396.0)</f>
        <v>396</v>
      </c>
      <c r="H486" s="23" t="str">
        <f>IFERROR(__xludf.DUMMYFUNCTION("""COMPUTED_VALUE"""),"Algorithms")</f>
        <v>Algorithms</v>
      </c>
      <c r="I486" s="23">
        <f>IFERROR(__xludf.DUMMYFUNCTION("""COMPUTED_VALUE"""),0.551)</f>
        <v>0.551</v>
      </c>
      <c r="J486" s="23">
        <f>IFERROR(__xludf.DUMMYFUNCTION("""COMPUTED_VALUE"""),485.0)</f>
        <v>485</v>
      </c>
      <c r="K486" s="23" t="b">
        <f>IFERROR(__xludf.DUMMYFUNCTION("""COMPUTED_VALUE"""),FALSE)</f>
        <v>0</v>
      </c>
      <c r="L486" s="23" t="str">
        <f>IFERROR(__xludf.DUMMYFUNCTION("""COMPUTED_VALUE"""),"Array;")</f>
        <v>Array;</v>
      </c>
      <c r="M486" s="23" t="b">
        <f>IFERROR(__xludf.DUMMYFUNCTION("""COMPUTED_VALUE"""),TRUE)</f>
        <v>1</v>
      </c>
      <c r="N486" s="23" t="b">
        <f>IFERROR(__xludf.DUMMYFUNCTION("""COMPUTED_VALUE"""),FALSE)</f>
        <v>0</v>
      </c>
      <c r="O486" s="23">
        <f>IFERROR(__xludf.DUMMYFUNCTION("""COMPUTED_VALUE"""),55.0592803706239)</f>
        <v>55.05928037</v>
      </c>
      <c r="P486" s="23">
        <f>IFERROR(__xludf.DUMMYFUNCTION("""COMPUTED_VALUE"""),644857.0)</f>
        <v>644857</v>
      </c>
      <c r="Q486" s="23">
        <f>IFERROR(__xludf.DUMMYFUNCTION("""COMPUTED_VALUE"""),1171209.0)</f>
        <v>1171209</v>
      </c>
    </row>
    <row r="487">
      <c r="A487" s="23">
        <f>IFERROR(__xludf.DUMMYFUNCTION("""COMPUTED_VALUE"""),486.0)</f>
        <v>486</v>
      </c>
      <c r="B487" s="23" t="str">
        <f>IFERROR(__xludf.DUMMYFUNCTION("""COMPUTED_VALUE"""),"Predict the Winner")</f>
        <v>Predict the Winner</v>
      </c>
      <c r="C487" s="23" t="str">
        <f>IFERROR(__xludf.DUMMYFUNCTION("""COMPUTED_VALUE"""),"predict-the-winner")</f>
        <v>predict-the-winner</v>
      </c>
      <c r="D487" s="23" t="b">
        <f>IFERROR(__xludf.DUMMYFUNCTION("""COMPUTED_VALUE"""),FALSE)</f>
        <v>0</v>
      </c>
      <c r="E487" s="23" t="str">
        <f>IFERROR(__xludf.DUMMYFUNCTION("""COMPUTED_VALUE"""),"Medium")</f>
        <v>Medium</v>
      </c>
      <c r="F487" s="23">
        <f>IFERROR(__xludf.DUMMYFUNCTION("""COMPUTED_VALUE"""),2858.0)</f>
        <v>2858</v>
      </c>
      <c r="G487" s="23">
        <f>IFERROR(__xludf.DUMMYFUNCTION("""COMPUTED_VALUE"""),147.0)</f>
        <v>147</v>
      </c>
      <c r="H487" s="23" t="str">
        <f>IFERROR(__xludf.DUMMYFUNCTION("""COMPUTED_VALUE"""),"Algorithms")</f>
        <v>Algorithms</v>
      </c>
      <c r="I487" s="23">
        <f>IFERROR(__xludf.DUMMYFUNCTION("""COMPUTED_VALUE"""),0.502)</f>
        <v>0.502</v>
      </c>
      <c r="J487" s="23">
        <f>IFERROR(__xludf.DUMMYFUNCTION("""COMPUTED_VALUE"""),486.0)</f>
        <v>486</v>
      </c>
      <c r="K487" s="23" t="b">
        <f>IFERROR(__xludf.DUMMYFUNCTION("""COMPUTED_VALUE"""),FALSE)</f>
        <v>0</v>
      </c>
      <c r="L487" s="23" t="str">
        <f>IFERROR(__xludf.DUMMYFUNCTION("""COMPUTED_VALUE"""),"Array;Math;Dynamic Programming;Recursion;Game Theory;")</f>
        <v>Array;Math;Dynamic Programming;Recursion;Game Theory;</v>
      </c>
      <c r="M487" s="23" t="b">
        <f>IFERROR(__xludf.DUMMYFUNCTION("""COMPUTED_VALUE"""),TRUE)</f>
        <v>1</v>
      </c>
      <c r="N487" s="23" t="b">
        <f>IFERROR(__xludf.DUMMYFUNCTION("""COMPUTED_VALUE"""),FALSE)</f>
        <v>0</v>
      </c>
      <c r="O487" s="23">
        <f>IFERROR(__xludf.DUMMYFUNCTION("""COMPUTED_VALUE"""),50.2135374152727)</f>
        <v>50.21353742</v>
      </c>
      <c r="P487" s="23">
        <f>IFERROR(__xludf.DUMMYFUNCTION("""COMPUTED_VALUE"""),111343.0)</f>
        <v>111343</v>
      </c>
      <c r="Q487" s="23">
        <f>IFERROR(__xludf.DUMMYFUNCTION("""COMPUTED_VALUE"""),221740.0)</f>
        <v>221740</v>
      </c>
    </row>
    <row r="488">
      <c r="A488" s="23">
        <f>IFERROR(__xludf.DUMMYFUNCTION("""COMPUTED_VALUE"""),487.0)</f>
        <v>487</v>
      </c>
      <c r="B488" s="23" t="str">
        <f>IFERROR(__xludf.DUMMYFUNCTION("""COMPUTED_VALUE"""),"Max Consecutive Ones II")</f>
        <v>Max Consecutive Ones II</v>
      </c>
      <c r="C488" s="23" t="str">
        <f>IFERROR(__xludf.DUMMYFUNCTION("""COMPUTED_VALUE"""),"max-consecutive-ones-ii")</f>
        <v>max-consecutive-ones-ii</v>
      </c>
      <c r="D488" s="23" t="b">
        <f>IFERROR(__xludf.DUMMYFUNCTION("""COMPUTED_VALUE"""),TRUE)</f>
        <v>1</v>
      </c>
      <c r="E488" s="23" t="str">
        <f>IFERROR(__xludf.DUMMYFUNCTION("""COMPUTED_VALUE"""),"Medium")</f>
        <v>Medium</v>
      </c>
      <c r="F488" s="23">
        <f>IFERROR(__xludf.DUMMYFUNCTION("""COMPUTED_VALUE"""),1066.0)</f>
        <v>1066</v>
      </c>
      <c r="G488" s="23">
        <f>IFERROR(__xludf.DUMMYFUNCTION("""COMPUTED_VALUE"""),22.0)</f>
        <v>22</v>
      </c>
      <c r="H488" s="23" t="str">
        <f>IFERROR(__xludf.DUMMYFUNCTION("""COMPUTED_VALUE"""),"Algorithms")</f>
        <v>Algorithms</v>
      </c>
      <c r="I488" s="23">
        <f>IFERROR(__xludf.DUMMYFUNCTION("""COMPUTED_VALUE"""),0.489)</f>
        <v>0.489</v>
      </c>
      <c r="J488" s="23">
        <f>IFERROR(__xludf.DUMMYFUNCTION("""COMPUTED_VALUE"""),487.0)</f>
        <v>487</v>
      </c>
      <c r="K488" s="23" t="b">
        <f>IFERROR(__xludf.DUMMYFUNCTION("""COMPUTED_VALUE"""),TRUE)</f>
        <v>1</v>
      </c>
      <c r="L488" s="23" t="str">
        <f>IFERROR(__xludf.DUMMYFUNCTION("""COMPUTED_VALUE"""),"Array;Dynamic Programming;Sliding Window;")</f>
        <v>Array;Dynamic Programming;Sliding Window;</v>
      </c>
      <c r="M488" s="23" t="b">
        <f>IFERROR(__xludf.DUMMYFUNCTION("""COMPUTED_VALUE"""),TRUE)</f>
        <v>1</v>
      </c>
      <c r="N488" s="23" t="b">
        <f>IFERROR(__xludf.DUMMYFUNCTION("""COMPUTED_VALUE"""),FALSE)</f>
        <v>0</v>
      </c>
      <c r="O488" s="23">
        <f>IFERROR(__xludf.DUMMYFUNCTION("""COMPUTED_VALUE"""),48.8732228502912)</f>
        <v>48.87322285</v>
      </c>
      <c r="P488" s="23">
        <f>IFERROR(__xludf.DUMMYFUNCTION("""COMPUTED_VALUE"""),91303.0)</f>
        <v>91303</v>
      </c>
      <c r="Q488" s="23">
        <f>IFERROR(__xludf.DUMMYFUNCTION("""COMPUTED_VALUE"""),186816.0)</f>
        <v>186816</v>
      </c>
    </row>
    <row r="489">
      <c r="A489" s="23">
        <f>IFERROR(__xludf.DUMMYFUNCTION("""COMPUTED_VALUE"""),488.0)</f>
        <v>488</v>
      </c>
      <c r="B489" s="23" t="str">
        <f>IFERROR(__xludf.DUMMYFUNCTION("""COMPUTED_VALUE"""),"Zuma Game")</f>
        <v>Zuma Game</v>
      </c>
      <c r="C489" s="23" t="str">
        <f>IFERROR(__xludf.DUMMYFUNCTION("""COMPUTED_VALUE"""),"zuma-game")</f>
        <v>zuma-game</v>
      </c>
      <c r="D489" s="23" t="b">
        <f>IFERROR(__xludf.DUMMYFUNCTION("""COMPUTED_VALUE"""),FALSE)</f>
        <v>0</v>
      </c>
      <c r="E489" s="23" t="str">
        <f>IFERROR(__xludf.DUMMYFUNCTION("""COMPUTED_VALUE"""),"Hard")</f>
        <v>Hard</v>
      </c>
      <c r="F489" s="23">
        <f>IFERROR(__xludf.DUMMYFUNCTION("""COMPUTED_VALUE"""),336.0)</f>
        <v>336</v>
      </c>
      <c r="G489" s="23">
        <f>IFERROR(__xludf.DUMMYFUNCTION("""COMPUTED_VALUE"""),397.0)</f>
        <v>397</v>
      </c>
      <c r="H489" s="23" t="str">
        <f>IFERROR(__xludf.DUMMYFUNCTION("""COMPUTED_VALUE"""),"Algorithms")</f>
        <v>Algorithms</v>
      </c>
      <c r="I489" s="23">
        <f>IFERROR(__xludf.DUMMYFUNCTION("""COMPUTED_VALUE"""),0.361)</f>
        <v>0.361</v>
      </c>
      <c r="J489" s="23">
        <f>IFERROR(__xludf.DUMMYFUNCTION("""COMPUTED_VALUE"""),488.0)</f>
        <v>488</v>
      </c>
      <c r="K489" s="23" t="b">
        <f>IFERROR(__xludf.DUMMYFUNCTION("""COMPUTED_VALUE"""),FALSE)</f>
        <v>0</v>
      </c>
      <c r="L489" s="23" t="str">
        <f>IFERROR(__xludf.DUMMYFUNCTION("""COMPUTED_VALUE"""),"String;Dynamic Programming;Breadth-First Search;Memoization;")</f>
        <v>String;Dynamic Programming;Breadth-First Search;Memoization;</v>
      </c>
      <c r="M489" s="23" t="b">
        <f>IFERROR(__xludf.DUMMYFUNCTION("""COMPUTED_VALUE"""),FALSE)</f>
        <v>0</v>
      </c>
      <c r="N489" s="23" t="b">
        <f>IFERROR(__xludf.DUMMYFUNCTION("""COMPUTED_VALUE"""),FALSE)</f>
        <v>0</v>
      </c>
      <c r="O489" s="23">
        <f>IFERROR(__xludf.DUMMYFUNCTION("""COMPUTED_VALUE"""),36.1210578933018)</f>
        <v>36.12105789</v>
      </c>
      <c r="P489" s="23">
        <f>IFERROR(__xludf.DUMMYFUNCTION("""COMPUTED_VALUE"""),19872.0)</f>
        <v>19872</v>
      </c>
      <c r="Q489" s="23">
        <f>IFERROR(__xludf.DUMMYFUNCTION("""COMPUTED_VALUE"""),55015.0)</f>
        <v>55015</v>
      </c>
    </row>
    <row r="490">
      <c r="A490" s="23">
        <f>IFERROR(__xludf.DUMMYFUNCTION("""COMPUTED_VALUE"""),865.0)</f>
        <v>865</v>
      </c>
      <c r="B490" s="23" t="str">
        <f>IFERROR(__xludf.DUMMYFUNCTION("""COMPUTED_VALUE"""),"Robot Room Cleaner")</f>
        <v>Robot Room Cleaner</v>
      </c>
      <c r="C490" s="23" t="str">
        <f>IFERROR(__xludf.DUMMYFUNCTION("""COMPUTED_VALUE"""),"robot-room-cleaner")</f>
        <v>robot-room-cleaner</v>
      </c>
      <c r="D490" s="23" t="b">
        <f>IFERROR(__xludf.DUMMYFUNCTION("""COMPUTED_VALUE"""),TRUE)</f>
        <v>1</v>
      </c>
      <c r="E490" s="23" t="str">
        <f>IFERROR(__xludf.DUMMYFUNCTION("""COMPUTED_VALUE"""),"Hard")</f>
        <v>Hard</v>
      </c>
      <c r="F490" s="23">
        <f>IFERROR(__xludf.DUMMYFUNCTION("""COMPUTED_VALUE"""),2174.0)</f>
        <v>2174</v>
      </c>
      <c r="G490" s="23">
        <f>IFERROR(__xludf.DUMMYFUNCTION("""COMPUTED_VALUE"""),129.0)</f>
        <v>129</v>
      </c>
      <c r="H490" s="23" t="str">
        <f>IFERROR(__xludf.DUMMYFUNCTION("""COMPUTED_VALUE"""),"Algorithms")</f>
        <v>Algorithms</v>
      </c>
      <c r="I490" s="23">
        <f>IFERROR(__xludf.DUMMYFUNCTION("""COMPUTED_VALUE"""),0.757)</f>
        <v>0.757</v>
      </c>
      <c r="J490" s="23">
        <f>IFERROR(__xludf.DUMMYFUNCTION("""COMPUTED_VALUE"""),489.0)</f>
        <v>489</v>
      </c>
      <c r="K490" s="23" t="b">
        <f>IFERROR(__xludf.DUMMYFUNCTION("""COMPUTED_VALUE"""),TRUE)</f>
        <v>1</v>
      </c>
      <c r="L490" s="23" t="str">
        <f>IFERROR(__xludf.DUMMYFUNCTION("""COMPUTED_VALUE"""),"Backtracking;Interactive;")</f>
        <v>Backtracking;Interactive;</v>
      </c>
      <c r="M490" s="23" t="b">
        <f>IFERROR(__xludf.DUMMYFUNCTION("""COMPUTED_VALUE"""),TRUE)</f>
        <v>1</v>
      </c>
      <c r="N490" s="23" t="b">
        <f>IFERROR(__xludf.DUMMYFUNCTION("""COMPUTED_VALUE"""),FALSE)</f>
        <v>0</v>
      </c>
      <c r="O490" s="23">
        <f>IFERROR(__xludf.DUMMYFUNCTION("""COMPUTED_VALUE"""),75.6845549990677)</f>
        <v>75.684555</v>
      </c>
      <c r="P490" s="23">
        <f>IFERROR(__xludf.DUMMYFUNCTION("""COMPUTED_VALUE"""),117719.0)</f>
        <v>117719</v>
      </c>
      <c r="Q490" s="23">
        <f>IFERROR(__xludf.DUMMYFUNCTION("""COMPUTED_VALUE"""),155539.0)</f>
        <v>155539</v>
      </c>
    </row>
    <row r="491">
      <c r="A491" s="23">
        <f>IFERROR(__xludf.DUMMYFUNCTION("""COMPUTED_VALUE"""),490.0)</f>
        <v>490</v>
      </c>
      <c r="B491" s="23" t="str">
        <f>IFERROR(__xludf.DUMMYFUNCTION("""COMPUTED_VALUE"""),"The Maze")</f>
        <v>The Maze</v>
      </c>
      <c r="C491" s="23" t="str">
        <f>IFERROR(__xludf.DUMMYFUNCTION("""COMPUTED_VALUE"""),"the-maze")</f>
        <v>the-maze</v>
      </c>
      <c r="D491" s="23" t="b">
        <f>IFERROR(__xludf.DUMMYFUNCTION("""COMPUTED_VALUE"""),TRUE)</f>
        <v>1</v>
      </c>
      <c r="E491" s="23" t="str">
        <f>IFERROR(__xludf.DUMMYFUNCTION("""COMPUTED_VALUE"""),"Medium")</f>
        <v>Medium</v>
      </c>
      <c r="F491" s="23">
        <f>IFERROR(__xludf.DUMMYFUNCTION("""COMPUTED_VALUE"""),1409.0)</f>
        <v>1409</v>
      </c>
      <c r="G491" s="23">
        <f>IFERROR(__xludf.DUMMYFUNCTION("""COMPUTED_VALUE"""),146.0)</f>
        <v>146</v>
      </c>
      <c r="H491" s="23" t="str">
        <f>IFERROR(__xludf.DUMMYFUNCTION("""COMPUTED_VALUE"""),"Algorithms")</f>
        <v>Algorithms</v>
      </c>
      <c r="I491" s="23">
        <f>IFERROR(__xludf.DUMMYFUNCTION("""COMPUTED_VALUE"""),0.547)</f>
        <v>0.547</v>
      </c>
      <c r="J491" s="23">
        <f>IFERROR(__xludf.DUMMYFUNCTION("""COMPUTED_VALUE"""),490.0)</f>
        <v>490</v>
      </c>
      <c r="K491" s="23" t="b">
        <f>IFERROR(__xludf.DUMMYFUNCTION("""COMPUTED_VALUE"""),TRUE)</f>
        <v>1</v>
      </c>
      <c r="L491" s="23" t="str">
        <f>IFERROR(__xludf.DUMMYFUNCTION("""COMPUTED_VALUE"""),"Depth-First Search;Breadth-First Search;Graph;")</f>
        <v>Depth-First Search;Breadth-First Search;Graph;</v>
      </c>
      <c r="M491" s="23" t="b">
        <f>IFERROR(__xludf.DUMMYFUNCTION("""COMPUTED_VALUE"""),TRUE)</f>
        <v>1</v>
      </c>
      <c r="N491" s="23" t="b">
        <f>IFERROR(__xludf.DUMMYFUNCTION("""COMPUTED_VALUE"""),FALSE)</f>
        <v>0</v>
      </c>
      <c r="O491" s="23">
        <f>IFERROR(__xludf.DUMMYFUNCTION("""COMPUTED_VALUE"""),54.688166855319)</f>
        <v>54.68816686</v>
      </c>
      <c r="P491" s="23">
        <f>IFERROR(__xludf.DUMMYFUNCTION("""COMPUTED_VALUE"""),117886.0)</f>
        <v>117886</v>
      </c>
      <c r="Q491" s="23">
        <f>IFERROR(__xludf.DUMMYFUNCTION("""COMPUTED_VALUE"""),215562.0)</f>
        <v>215562</v>
      </c>
    </row>
    <row r="492">
      <c r="A492" s="23">
        <f>IFERROR(__xludf.DUMMYFUNCTION("""COMPUTED_VALUE"""),491.0)</f>
        <v>491</v>
      </c>
      <c r="B492" s="23" t="str">
        <f>IFERROR(__xludf.DUMMYFUNCTION("""COMPUTED_VALUE"""),"Increasing Subsequences")</f>
        <v>Increasing Subsequences</v>
      </c>
      <c r="C492" s="23" t="str">
        <f>IFERROR(__xludf.DUMMYFUNCTION("""COMPUTED_VALUE"""),"increasing-subsequences")</f>
        <v>increasing-subsequences</v>
      </c>
      <c r="D492" s="23" t="b">
        <f>IFERROR(__xludf.DUMMYFUNCTION("""COMPUTED_VALUE"""),FALSE)</f>
        <v>0</v>
      </c>
      <c r="E492" s="23" t="str">
        <f>IFERROR(__xludf.DUMMYFUNCTION("""COMPUTED_VALUE"""),"Medium")</f>
        <v>Medium</v>
      </c>
      <c r="F492" s="23">
        <f>IFERROR(__xludf.DUMMYFUNCTION("""COMPUTED_VALUE"""),1437.0)</f>
        <v>1437</v>
      </c>
      <c r="G492" s="23">
        <f>IFERROR(__xludf.DUMMYFUNCTION("""COMPUTED_VALUE"""),148.0)</f>
        <v>148</v>
      </c>
      <c r="H492" s="23" t="str">
        <f>IFERROR(__xludf.DUMMYFUNCTION("""COMPUTED_VALUE"""),"Algorithms")</f>
        <v>Algorithms</v>
      </c>
      <c r="I492" s="23">
        <f>IFERROR(__xludf.DUMMYFUNCTION("""COMPUTED_VALUE"""),0.508)</f>
        <v>0.508</v>
      </c>
      <c r="J492" s="23">
        <f>IFERROR(__xludf.DUMMYFUNCTION("""COMPUTED_VALUE"""),491.0)</f>
        <v>491</v>
      </c>
      <c r="K492" s="23" t="b">
        <f>IFERROR(__xludf.DUMMYFUNCTION("""COMPUTED_VALUE"""),FALSE)</f>
        <v>0</v>
      </c>
      <c r="L492" s="23" t="str">
        <f>IFERROR(__xludf.DUMMYFUNCTION("""COMPUTED_VALUE"""),"Array;Hash Table;Backtracking;Bit Manipulation;")</f>
        <v>Array;Hash Table;Backtracking;Bit Manipulation;</v>
      </c>
      <c r="M492" s="23" t="b">
        <f>IFERROR(__xludf.DUMMYFUNCTION("""COMPUTED_VALUE"""),FALSE)</f>
        <v>0</v>
      </c>
      <c r="N492" s="23" t="b">
        <f>IFERROR(__xludf.DUMMYFUNCTION("""COMPUTED_VALUE"""),FALSE)</f>
        <v>0</v>
      </c>
      <c r="O492" s="23">
        <f>IFERROR(__xludf.DUMMYFUNCTION("""COMPUTED_VALUE"""),50.8184222275646)</f>
        <v>50.81842223</v>
      </c>
      <c r="P492" s="23">
        <f>IFERROR(__xludf.DUMMYFUNCTION("""COMPUTED_VALUE"""),73984.0)</f>
        <v>73984</v>
      </c>
      <c r="Q492" s="23">
        <f>IFERROR(__xludf.DUMMYFUNCTION("""COMPUTED_VALUE"""),145585.0)</f>
        <v>145585</v>
      </c>
    </row>
    <row r="493">
      <c r="A493" s="23">
        <f>IFERROR(__xludf.DUMMYFUNCTION("""COMPUTED_VALUE"""),492.0)</f>
        <v>492</v>
      </c>
      <c r="B493" s="23" t="str">
        <f>IFERROR(__xludf.DUMMYFUNCTION("""COMPUTED_VALUE"""),"Construct the Rectangle")</f>
        <v>Construct the Rectangle</v>
      </c>
      <c r="C493" s="23" t="str">
        <f>IFERROR(__xludf.DUMMYFUNCTION("""COMPUTED_VALUE"""),"construct-the-rectangle")</f>
        <v>construct-the-rectangle</v>
      </c>
      <c r="D493" s="23" t="b">
        <f>IFERROR(__xludf.DUMMYFUNCTION("""COMPUTED_VALUE"""),FALSE)</f>
        <v>0</v>
      </c>
      <c r="E493" s="23" t="str">
        <f>IFERROR(__xludf.DUMMYFUNCTION("""COMPUTED_VALUE"""),"Easy")</f>
        <v>Easy</v>
      </c>
      <c r="F493" s="23">
        <f>IFERROR(__xludf.DUMMYFUNCTION("""COMPUTED_VALUE"""),405.0)</f>
        <v>405</v>
      </c>
      <c r="G493" s="23">
        <f>IFERROR(__xludf.DUMMYFUNCTION("""COMPUTED_VALUE"""),324.0)</f>
        <v>324</v>
      </c>
      <c r="H493" s="23" t="str">
        <f>IFERROR(__xludf.DUMMYFUNCTION("""COMPUTED_VALUE"""),"Algorithms")</f>
        <v>Algorithms</v>
      </c>
      <c r="I493" s="23">
        <f>IFERROR(__xludf.DUMMYFUNCTION("""COMPUTED_VALUE"""),0.526)</f>
        <v>0.526</v>
      </c>
      <c r="J493" s="23">
        <f>IFERROR(__xludf.DUMMYFUNCTION("""COMPUTED_VALUE"""),492.0)</f>
        <v>492</v>
      </c>
      <c r="K493" s="23" t="b">
        <f>IFERROR(__xludf.DUMMYFUNCTION("""COMPUTED_VALUE"""),FALSE)</f>
        <v>0</v>
      </c>
      <c r="L493" s="23" t="str">
        <f>IFERROR(__xludf.DUMMYFUNCTION("""COMPUTED_VALUE"""),"Math;")</f>
        <v>Math;</v>
      </c>
      <c r="M493" s="23" t="b">
        <f>IFERROR(__xludf.DUMMYFUNCTION("""COMPUTED_VALUE"""),FALSE)</f>
        <v>0</v>
      </c>
      <c r="N493" s="23" t="b">
        <f>IFERROR(__xludf.DUMMYFUNCTION("""COMPUTED_VALUE"""),FALSE)</f>
        <v>0</v>
      </c>
      <c r="O493" s="23">
        <f>IFERROR(__xludf.DUMMYFUNCTION("""COMPUTED_VALUE"""),52.6212726879861)</f>
        <v>52.62127269</v>
      </c>
      <c r="P493" s="23">
        <f>IFERROR(__xludf.DUMMYFUNCTION("""COMPUTED_VALUE"""),77930.0)</f>
        <v>77930</v>
      </c>
      <c r="Q493" s="23">
        <f>IFERROR(__xludf.DUMMYFUNCTION("""COMPUTED_VALUE"""),148096.0)</f>
        <v>148096</v>
      </c>
    </row>
    <row r="494">
      <c r="A494" s="23">
        <f>IFERROR(__xludf.DUMMYFUNCTION("""COMPUTED_VALUE"""),493.0)</f>
        <v>493</v>
      </c>
      <c r="B494" s="23" t="str">
        <f>IFERROR(__xludf.DUMMYFUNCTION("""COMPUTED_VALUE"""),"Reverse Pairs")</f>
        <v>Reverse Pairs</v>
      </c>
      <c r="C494" s="23" t="str">
        <f>IFERROR(__xludf.DUMMYFUNCTION("""COMPUTED_VALUE"""),"reverse-pairs")</f>
        <v>reverse-pairs</v>
      </c>
      <c r="D494" s="23" t="b">
        <f>IFERROR(__xludf.DUMMYFUNCTION("""COMPUTED_VALUE"""),FALSE)</f>
        <v>0</v>
      </c>
      <c r="E494" s="23" t="str">
        <f>IFERROR(__xludf.DUMMYFUNCTION("""COMPUTED_VALUE"""),"Hard")</f>
        <v>Hard</v>
      </c>
      <c r="F494" s="23">
        <f>IFERROR(__xludf.DUMMYFUNCTION("""COMPUTED_VALUE"""),2756.0)</f>
        <v>2756</v>
      </c>
      <c r="G494" s="23">
        <f>IFERROR(__xludf.DUMMYFUNCTION("""COMPUTED_VALUE"""),179.0)</f>
        <v>179</v>
      </c>
      <c r="H494" s="23" t="str">
        <f>IFERROR(__xludf.DUMMYFUNCTION("""COMPUTED_VALUE"""),"Algorithms")</f>
        <v>Algorithms</v>
      </c>
      <c r="I494" s="23">
        <f>IFERROR(__xludf.DUMMYFUNCTION("""COMPUTED_VALUE"""),0.299)</f>
        <v>0.299</v>
      </c>
      <c r="J494" s="23">
        <f>IFERROR(__xludf.DUMMYFUNCTION("""COMPUTED_VALUE"""),493.0)</f>
        <v>493</v>
      </c>
      <c r="K494" s="23" t="b">
        <f>IFERROR(__xludf.DUMMYFUNCTION("""COMPUTED_VALUE"""),FALSE)</f>
        <v>0</v>
      </c>
      <c r="L494" s="23" t="str">
        <f>IFERROR(__xludf.DUMMYFUNCTION("""COMPUTED_VALUE"""),"Array;Binary Search;Divide and Conquer;Binary Indexed Tree;Segment Tree;Merge Sort;Ordered Set;")</f>
        <v>Array;Binary Search;Divide and Conquer;Binary Indexed Tree;Segment Tree;Merge Sort;Ordered Set;</v>
      </c>
      <c r="M494" s="23" t="b">
        <f>IFERROR(__xludf.DUMMYFUNCTION("""COMPUTED_VALUE"""),FALSE)</f>
        <v>0</v>
      </c>
      <c r="N494" s="23" t="b">
        <f>IFERROR(__xludf.DUMMYFUNCTION("""COMPUTED_VALUE"""),FALSE)</f>
        <v>0</v>
      </c>
      <c r="O494" s="23">
        <f>IFERROR(__xludf.DUMMYFUNCTION("""COMPUTED_VALUE"""),29.8832094868029)</f>
        <v>29.88320949</v>
      </c>
      <c r="P494" s="23">
        <f>IFERROR(__xludf.DUMMYFUNCTION("""COMPUTED_VALUE"""),81597.0)</f>
        <v>81597</v>
      </c>
      <c r="Q494" s="23">
        <f>IFERROR(__xludf.DUMMYFUNCTION("""COMPUTED_VALUE"""),273050.0)</f>
        <v>273050</v>
      </c>
    </row>
    <row r="495">
      <c r="A495" s="23">
        <f>IFERROR(__xludf.DUMMYFUNCTION("""COMPUTED_VALUE"""),494.0)</f>
        <v>494</v>
      </c>
      <c r="B495" s="23" t="str">
        <f>IFERROR(__xludf.DUMMYFUNCTION("""COMPUTED_VALUE"""),"Target Sum")</f>
        <v>Target Sum</v>
      </c>
      <c r="C495" s="23" t="str">
        <f>IFERROR(__xludf.DUMMYFUNCTION("""COMPUTED_VALUE"""),"target-sum")</f>
        <v>target-sum</v>
      </c>
      <c r="D495" s="23" t="b">
        <f>IFERROR(__xludf.DUMMYFUNCTION("""COMPUTED_VALUE"""),FALSE)</f>
        <v>0</v>
      </c>
      <c r="E495" s="23" t="str">
        <f>IFERROR(__xludf.DUMMYFUNCTION("""COMPUTED_VALUE"""),"Medium")</f>
        <v>Medium</v>
      </c>
      <c r="F495" s="23">
        <f>IFERROR(__xludf.DUMMYFUNCTION("""COMPUTED_VALUE"""),6689.0)</f>
        <v>6689</v>
      </c>
      <c r="G495" s="23">
        <f>IFERROR(__xludf.DUMMYFUNCTION("""COMPUTED_VALUE"""),256.0)</f>
        <v>256</v>
      </c>
      <c r="H495" s="23" t="str">
        <f>IFERROR(__xludf.DUMMYFUNCTION("""COMPUTED_VALUE"""),"Algorithms")</f>
        <v>Algorithms</v>
      </c>
      <c r="I495" s="23">
        <f>IFERROR(__xludf.DUMMYFUNCTION("""COMPUTED_VALUE"""),0.454)</f>
        <v>0.454</v>
      </c>
      <c r="J495" s="23">
        <f>IFERROR(__xludf.DUMMYFUNCTION("""COMPUTED_VALUE"""),494.0)</f>
        <v>494</v>
      </c>
      <c r="K495" s="23" t="b">
        <f>IFERROR(__xludf.DUMMYFUNCTION("""COMPUTED_VALUE"""),FALSE)</f>
        <v>0</v>
      </c>
      <c r="L495" s="23" t="str">
        <f>IFERROR(__xludf.DUMMYFUNCTION("""COMPUTED_VALUE"""),"Array;Dynamic Programming;Backtracking;")</f>
        <v>Array;Dynamic Programming;Backtracking;</v>
      </c>
      <c r="M495" s="23" t="b">
        <f>IFERROR(__xludf.DUMMYFUNCTION("""COMPUTED_VALUE"""),TRUE)</f>
        <v>1</v>
      </c>
      <c r="N495" s="23" t="b">
        <f>IFERROR(__xludf.DUMMYFUNCTION("""COMPUTED_VALUE"""),FALSE)</f>
        <v>0</v>
      </c>
      <c r="O495" s="23">
        <f>IFERROR(__xludf.DUMMYFUNCTION("""COMPUTED_VALUE"""),45.415983117039)</f>
        <v>45.41598312</v>
      </c>
      <c r="P495" s="23">
        <f>IFERROR(__xludf.DUMMYFUNCTION("""COMPUTED_VALUE"""),344108.0)</f>
        <v>344108</v>
      </c>
      <c r="Q495" s="23">
        <f>IFERROR(__xludf.DUMMYFUNCTION("""COMPUTED_VALUE"""),757683.0)</f>
        <v>757683</v>
      </c>
    </row>
    <row r="496">
      <c r="A496" s="23">
        <f>IFERROR(__xludf.DUMMYFUNCTION("""COMPUTED_VALUE"""),495.0)</f>
        <v>495</v>
      </c>
      <c r="B496" s="23" t="str">
        <f>IFERROR(__xludf.DUMMYFUNCTION("""COMPUTED_VALUE"""),"Teemo Attacking")</f>
        <v>Teemo Attacking</v>
      </c>
      <c r="C496" s="23" t="str">
        <f>IFERROR(__xludf.DUMMYFUNCTION("""COMPUTED_VALUE"""),"teemo-attacking")</f>
        <v>teemo-attacking</v>
      </c>
      <c r="D496" s="23" t="b">
        <f>IFERROR(__xludf.DUMMYFUNCTION("""COMPUTED_VALUE"""),FALSE)</f>
        <v>0</v>
      </c>
      <c r="E496" s="23" t="str">
        <f>IFERROR(__xludf.DUMMYFUNCTION("""COMPUTED_VALUE"""),"Easy")</f>
        <v>Easy</v>
      </c>
      <c r="F496" s="23">
        <f>IFERROR(__xludf.DUMMYFUNCTION("""COMPUTED_VALUE"""),404.0)</f>
        <v>404</v>
      </c>
      <c r="G496" s="23">
        <f>IFERROR(__xludf.DUMMYFUNCTION("""COMPUTED_VALUE"""),38.0)</f>
        <v>38</v>
      </c>
      <c r="H496" s="23" t="str">
        <f>IFERROR(__xludf.DUMMYFUNCTION("""COMPUTED_VALUE"""),"Algorithms")</f>
        <v>Algorithms</v>
      </c>
      <c r="I496" s="23">
        <f>IFERROR(__xludf.DUMMYFUNCTION("""COMPUTED_VALUE"""),0.569)</f>
        <v>0.569</v>
      </c>
      <c r="J496" s="23">
        <f>IFERROR(__xludf.DUMMYFUNCTION("""COMPUTED_VALUE"""),495.0)</f>
        <v>495</v>
      </c>
      <c r="K496" s="23" t="b">
        <f>IFERROR(__xludf.DUMMYFUNCTION("""COMPUTED_VALUE"""),FALSE)</f>
        <v>0</v>
      </c>
      <c r="L496" s="23" t="str">
        <f>IFERROR(__xludf.DUMMYFUNCTION("""COMPUTED_VALUE"""),"Array;Simulation;")</f>
        <v>Array;Simulation;</v>
      </c>
      <c r="M496" s="23" t="b">
        <f>IFERROR(__xludf.DUMMYFUNCTION("""COMPUTED_VALUE"""),TRUE)</f>
        <v>1</v>
      </c>
      <c r="N496" s="23" t="b">
        <f>IFERROR(__xludf.DUMMYFUNCTION("""COMPUTED_VALUE"""),FALSE)</f>
        <v>0</v>
      </c>
      <c r="O496" s="23">
        <f>IFERROR(__xludf.DUMMYFUNCTION("""COMPUTED_VALUE"""),56.8498066726864)</f>
        <v>56.84980667</v>
      </c>
      <c r="P496" s="23">
        <f>IFERROR(__xludf.DUMMYFUNCTION("""COMPUTED_VALUE"""),98215.0)</f>
        <v>98215</v>
      </c>
      <c r="Q496" s="23">
        <f>IFERROR(__xludf.DUMMYFUNCTION("""COMPUTED_VALUE"""),172760.0)</f>
        <v>172760</v>
      </c>
    </row>
    <row r="497">
      <c r="A497" s="23">
        <f>IFERROR(__xludf.DUMMYFUNCTION("""COMPUTED_VALUE"""),496.0)</f>
        <v>496</v>
      </c>
      <c r="B497" s="23" t="str">
        <f>IFERROR(__xludf.DUMMYFUNCTION("""COMPUTED_VALUE"""),"Next Greater Element I")</f>
        <v>Next Greater Element I</v>
      </c>
      <c r="C497" s="23" t="str">
        <f>IFERROR(__xludf.DUMMYFUNCTION("""COMPUTED_VALUE"""),"next-greater-element-i")</f>
        <v>next-greater-element-i</v>
      </c>
      <c r="D497" s="23" t="b">
        <f>IFERROR(__xludf.DUMMYFUNCTION("""COMPUTED_VALUE"""),FALSE)</f>
        <v>0</v>
      </c>
      <c r="E497" s="23" t="str">
        <f>IFERROR(__xludf.DUMMYFUNCTION("""COMPUTED_VALUE"""),"Easy")</f>
        <v>Easy</v>
      </c>
      <c r="F497" s="23">
        <f>IFERROR(__xludf.DUMMYFUNCTION("""COMPUTED_VALUE"""),2684.0)</f>
        <v>2684</v>
      </c>
      <c r="G497" s="23">
        <f>IFERROR(__xludf.DUMMYFUNCTION("""COMPUTED_VALUE"""),180.0)</f>
        <v>180</v>
      </c>
      <c r="H497" s="23" t="str">
        <f>IFERROR(__xludf.DUMMYFUNCTION("""COMPUTED_VALUE"""),"Algorithms")</f>
        <v>Algorithms</v>
      </c>
      <c r="I497" s="23">
        <f>IFERROR(__xludf.DUMMYFUNCTION("""COMPUTED_VALUE"""),0.7)</f>
        <v>0.7</v>
      </c>
      <c r="J497" s="23">
        <f>IFERROR(__xludf.DUMMYFUNCTION("""COMPUTED_VALUE"""),496.0)</f>
        <v>496</v>
      </c>
      <c r="K497" s="23" t="b">
        <f>IFERROR(__xludf.DUMMYFUNCTION("""COMPUTED_VALUE"""),FALSE)</f>
        <v>0</v>
      </c>
      <c r="L497" s="23" t="str">
        <f>IFERROR(__xludf.DUMMYFUNCTION("""COMPUTED_VALUE"""),"Array;Hash Table;Stack;Monotonic Stack;")</f>
        <v>Array;Hash Table;Stack;Monotonic Stack;</v>
      </c>
      <c r="M497" s="23" t="b">
        <f>IFERROR(__xludf.DUMMYFUNCTION("""COMPUTED_VALUE"""),TRUE)</f>
        <v>1</v>
      </c>
      <c r="N497" s="23" t="b">
        <f>IFERROR(__xludf.DUMMYFUNCTION("""COMPUTED_VALUE"""),FALSE)</f>
        <v>0</v>
      </c>
      <c r="O497" s="23">
        <f>IFERROR(__xludf.DUMMYFUNCTION("""COMPUTED_VALUE"""),70.0320028022354)</f>
        <v>70.0320028</v>
      </c>
      <c r="P497" s="23">
        <f>IFERROR(__xludf.DUMMYFUNCTION("""COMPUTED_VALUE"""),351875.0)</f>
        <v>351875</v>
      </c>
      <c r="Q497" s="23">
        <f>IFERROR(__xludf.DUMMYFUNCTION("""COMPUTED_VALUE"""),502451.0)</f>
        <v>502451</v>
      </c>
    </row>
    <row r="498">
      <c r="A498" s="23">
        <f>IFERROR(__xludf.DUMMYFUNCTION("""COMPUTED_VALUE"""),914.0)</f>
        <v>914</v>
      </c>
      <c r="B498" s="23" t="str">
        <f>IFERROR(__xludf.DUMMYFUNCTION("""COMPUTED_VALUE"""),"Random Point in Non-overlapping Rectangles")</f>
        <v>Random Point in Non-overlapping Rectangles</v>
      </c>
      <c r="C498" s="23" t="str">
        <f>IFERROR(__xludf.DUMMYFUNCTION("""COMPUTED_VALUE"""),"random-point-in-non-overlapping-rectangles")</f>
        <v>random-point-in-non-overlapping-rectangles</v>
      </c>
      <c r="D498" s="23" t="b">
        <f>IFERROR(__xludf.DUMMYFUNCTION("""COMPUTED_VALUE"""),FALSE)</f>
        <v>0</v>
      </c>
      <c r="E498" s="23" t="str">
        <f>IFERROR(__xludf.DUMMYFUNCTION("""COMPUTED_VALUE"""),"Medium")</f>
        <v>Medium</v>
      </c>
      <c r="F498" s="23">
        <f>IFERROR(__xludf.DUMMYFUNCTION("""COMPUTED_VALUE"""),379.0)</f>
        <v>379</v>
      </c>
      <c r="G498" s="23">
        <f>IFERROR(__xludf.DUMMYFUNCTION("""COMPUTED_VALUE"""),596.0)</f>
        <v>596</v>
      </c>
      <c r="H498" s="23" t="str">
        <f>IFERROR(__xludf.DUMMYFUNCTION("""COMPUTED_VALUE"""),"Algorithms")</f>
        <v>Algorithms</v>
      </c>
      <c r="I498" s="23">
        <f>IFERROR(__xludf.DUMMYFUNCTION("""COMPUTED_VALUE"""),0.391)</f>
        <v>0.391</v>
      </c>
      <c r="J498" s="23">
        <f>IFERROR(__xludf.DUMMYFUNCTION("""COMPUTED_VALUE"""),497.0)</f>
        <v>497</v>
      </c>
      <c r="K498" s="23" t="b">
        <f>IFERROR(__xludf.DUMMYFUNCTION("""COMPUTED_VALUE"""),FALSE)</f>
        <v>0</v>
      </c>
      <c r="L498" s="23" t="str">
        <f>IFERROR(__xludf.DUMMYFUNCTION("""COMPUTED_VALUE"""),"Math;Binary Search;Reservoir Sampling;Prefix Sum;Ordered Set;Randomized;")</f>
        <v>Math;Binary Search;Reservoir Sampling;Prefix Sum;Ordered Set;Randomized;</v>
      </c>
      <c r="M498" s="23" t="b">
        <f>IFERROR(__xludf.DUMMYFUNCTION("""COMPUTED_VALUE"""),FALSE)</f>
        <v>0</v>
      </c>
      <c r="N498" s="23" t="b">
        <f>IFERROR(__xludf.DUMMYFUNCTION("""COMPUTED_VALUE"""),FALSE)</f>
        <v>0</v>
      </c>
      <c r="O498" s="23">
        <f>IFERROR(__xludf.DUMMYFUNCTION("""COMPUTED_VALUE"""),39.1254752851711)</f>
        <v>39.12547529</v>
      </c>
      <c r="P498" s="23">
        <f>IFERROR(__xludf.DUMMYFUNCTION("""COMPUTED_VALUE"""),33957.0)</f>
        <v>33957</v>
      </c>
      <c r="Q498" s="23">
        <f>IFERROR(__xludf.DUMMYFUNCTION("""COMPUTED_VALUE"""),86790.0)</f>
        <v>86790</v>
      </c>
    </row>
    <row r="499">
      <c r="A499" s="23">
        <f>IFERROR(__xludf.DUMMYFUNCTION("""COMPUTED_VALUE"""),498.0)</f>
        <v>498</v>
      </c>
      <c r="B499" s="23" t="str">
        <f>IFERROR(__xludf.DUMMYFUNCTION("""COMPUTED_VALUE"""),"Diagonal Traverse")</f>
        <v>Diagonal Traverse</v>
      </c>
      <c r="C499" s="23" t="str">
        <f>IFERROR(__xludf.DUMMYFUNCTION("""COMPUTED_VALUE"""),"diagonal-traverse")</f>
        <v>diagonal-traverse</v>
      </c>
      <c r="D499" s="23" t="b">
        <f>IFERROR(__xludf.DUMMYFUNCTION("""COMPUTED_VALUE"""),FALSE)</f>
        <v>0</v>
      </c>
      <c r="E499" s="23" t="str">
        <f>IFERROR(__xludf.DUMMYFUNCTION("""COMPUTED_VALUE"""),"Medium")</f>
        <v>Medium</v>
      </c>
      <c r="F499" s="23">
        <f>IFERROR(__xludf.DUMMYFUNCTION("""COMPUTED_VALUE"""),2145.0)</f>
        <v>2145</v>
      </c>
      <c r="G499" s="23">
        <f>IFERROR(__xludf.DUMMYFUNCTION("""COMPUTED_VALUE"""),529.0)</f>
        <v>529</v>
      </c>
      <c r="H499" s="23" t="str">
        <f>IFERROR(__xludf.DUMMYFUNCTION("""COMPUTED_VALUE"""),"Algorithms")</f>
        <v>Algorithms</v>
      </c>
      <c r="I499" s="23">
        <f>IFERROR(__xludf.DUMMYFUNCTION("""COMPUTED_VALUE"""),0.567)</f>
        <v>0.567</v>
      </c>
      <c r="J499" s="23">
        <f>IFERROR(__xludf.DUMMYFUNCTION("""COMPUTED_VALUE"""),498.0)</f>
        <v>498</v>
      </c>
      <c r="K499" s="23" t="b">
        <f>IFERROR(__xludf.DUMMYFUNCTION("""COMPUTED_VALUE"""),FALSE)</f>
        <v>0</v>
      </c>
      <c r="L499" s="23" t="str">
        <f>IFERROR(__xludf.DUMMYFUNCTION("""COMPUTED_VALUE"""),"Array;Matrix;Simulation;")</f>
        <v>Array;Matrix;Simulation;</v>
      </c>
      <c r="M499" s="23" t="b">
        <f>IFERROR(__xludf.DUMMYFUNCTION("""COMPUTED_VALUE"""),TRUE)</f>
        <v>1</v>
      </c>
      <c r="N499" s="23" t="b">
        <f>IFERROR(__xludf.DUMMYFUNCTION("""COMPUTED_VALUE"""),FALSE)</f>
        <v>0</v>
      </c>
      <c r="O499" s="23">
        <f>IFERROR(__xludf.DUMMYFUNCTION("""COMPUTED_VALUE"""),56.681895486132)</f>
        <v>56.68189549</v>
      </c>
      <c r="P499" s="23">
        <f>IFERROR(__xludf.DUMMYFUNCTION("""COMPUTED_VALUE"""),197638.0)</f>
        <v>197638</v>
      </c>
      <c r="Q499" s="23">
        <f>IFERROR(__xludf.DUMMYFUNCTION("""COMPUTED_VALUE"""),348680.0)</f>
        <v>348680</v>
      </c>
    </row>
    <row r="500">
      <c r="A500" s="23">
        <f>IFERROR(__xludf.DUMMYFUNCTION("""COMPUTED_VALUE"""),499.0)</f>
        <v>499</v>
      </c>
      <c r="B500" s="23" t="str">
        <f>IFERROR(__xludf.DUMMYFUNCTION("""COMPUTED_VALUE"""),"The Maze III")</f>
        <v>The Maze III</v>
      </c>
      <c r="C500" s="23" t="str">
        <f>IFERROR(__xludf.DUMMYFUNCTION("""COMPUTED_VALUE"""),"the-maze-iii")</f>
        <v>the-maze-iii</v>
      </c>
      <c r="D500" s="23" t="b">
        <f>IFERROR(__xludf.DUMMYFUNCTION("""COMPUTED_VALUE"""),TRUE)</f>
        <v>1</v>
      </c>
      <c r="E500" s="23" t="str">
        <f>IFERROR(__xludf.DUMMYFUNCTION("""COMPUTED_VALUE"""),"Hard")</f>
        <v>Hard</v>
      </c>
      <c r="F500" s="23">
        <f>IFERROR(__xludf.DUMMYFUNCTION("""COMPUTED_VALUE"""),356.0)</f>
        <v>356</v>
      </c>
      <c r="G500" s="23">
        <f>IFERROR(__xludf.DUMMYFUNCTION("""COMPUTED_VALUE"""),62.0)</f>
        <v>62</v>
      </c>
      <c r="H500" s="23" t="str">
        <f>IFERROR(__xludf.DUMMYFUNCTION("""COMPUTED_VALUE"""),"Algorithms")</f>
        <v>Algorithms</v>
      </c>
      <c r="I500" s="23">
        <f>IFERROR(__xludf.DUMMYFUNCTION("""COMPUTED_VALUE"""),0.453)</f>
        <v>0.453</v>
      </c>
      <c r="J500" s="23">
        <f>IFERROR(__xludf.DUMMYFUNCTION("""COMPUTED_VALUE"""),499.0)</f>
        <v>499</v>
      </c>
      <c r="K500" s="23" t="b">
        <f>IFERROR(__xludf.DUMMYFUNCTION("""COMPUTED_VALUE"""),TRUE)</f>
        <v>1</v>
      </c>
      <c r="L500" s="23" t="str">
        <f>IFERROR(__xludf.DUMMYFUNCTION("""COMPUTED_VALUE"""),"Depth-First Search;Breadth-First Search;Graph;Heap (Priority Queue);Shortest Path;")</f>
        <v>Depth-First Search;Breadth-First Search;Graph;Heap (Priority Queue);Shortest Path;</v>
      </c>
      <c r="M500" s="23" t="b">
        <f>IFERROR(__xludf.DUMMYFUNCTION("""COMPUTED_VALUE"""),FALSE)</f>
        <v>0</v>
      </c>
      <c r="N500" s="23" t="b">
        <f>IFERROR(__xludf.DUMMYFUNCTION("""COMPUTED_VALUE"""),FALSE)</f>
        <v>0</v>
      </c>
      <c r="O500" s="23">
        <f>IFERROR(__xludf.DUMMYFUNCTION("""COMPUTED_VALUE"""),45.283431823156)</f>
        <v>45.28343182</v>
      </c>
      <c r="P500" s="23">
        <f>IFERROR(__xludf.DUMMYFUNCTION("""COMPUTED_VALUE"""),22759.0)</f>
        <v>22759</v>
      </c>
      <c r="Q500" s="23">
        <f>IFERROR(__xludf.DUMMYFUNCTION("""COMPUTED_VALUE"""),50259.0)</f>
        <v>50259</v>
      </c>
    </row>
    <row r="501">
      <c r="A501" s="23">
        <f>IFERROR(__xludf.DUMMYFUNCTION("""COMPUTED_VALUE"""),500.0)</f>
        <v>500</v>
      </c>
      <c r="B501" s="23" t="str">
        <f>IFERROR(__xludf.DUMMYFUNCTION("""COMPUTED_VALUE"""),"Keyboard Row")</f>
        <v>Keyboard Row</v>
      </c>
      <c r="C501" s="23" t="str">
        <f>IFERROR(__xludf.DUMMYFUNCTION("""COMPUTED_VALUE"""),"keyboard-row")</f>
        <v>keyboard-row</v>
      </c>
      <c r="D501" s="23" t="b">
        <f>IFERROR(__xludf.DUMMYFUNCTION("""COMPUTED_VALUE"""),FALSE)</f>
        <v>0</v>
      </c>
      <c r="E501" s="23" t="str">
        <f>IFERROR(__xludf.DUMMYFUNCTION("""COMPUTED_VALUE"""),"Easy")</f>
        <v>Easy</v>
      </c>
      <c r="F501" s="23">
        <f>IFERROR(__xludf.DUMMYFUNCTION("""COMPUTED_VALUE"""),893.0)</f>
        <v>893</v>
      </c>
      <c r="G501" s="23">
        <f>IFERROR(__xludf.DUMMYFUNCTION("""COMPUTED_VALUE"""),905.0)</f>
        <v>905</v>
      </c>
      <c r="H501" s="23" t="str">
        <f>IFERROR(__xludf.DUMMYFUNCTION("""COMPUTED_VALUE"""),"Algorithms")</f>
        <v>Algorithms</v>
      </c>
      <c r="I501" s="23">
        <f>IFERROR(__xludf.DUMMYFUNCTION("""COMPUTED_VALUE"""),0.68)</f>
        <v>0.68</v>
      </c>
      <c r="J501" s="23">
        <f>IFERROR(__xludf.DUMMYFUNCTION("""COMPUTED_VALUE"""),500.0)</f>
        <v>500</v>
      </c>
      <c r="K501" s="23" t="b">
        <f>IFERROR(__xludf.DUMMYFUNCTION("""COMPUTED_VALUE"""),FALSE)</f>
        <v>0</v>
      </c>
      <c r="L501" s="23" t="str">
        <f>IFERROR(__xludf.DUMMYFUNCTION("""COMPUTED_VALUE"""),"Array;Hash Table;String;")</f>
        <v>Array;Hash Table;String;</v>
      </c>
      <c r="M501" s="23" t="b">
        <f>IFERROR(__xludf.DUMMYFUNCTION("""COMPUTED_VALUE"""),FALSE)</f>
        <v>0</v>
      </c>
      <c r="N501" s="23" t="b">
        <f>IFERROR(__xludf.DUMMYFUNCTION("""COMPUTED_VALUE"""),FALSE)</f>
        <v>0</v>
      </c>
      <c r="O501" s="23">
        <f>IFERROR(__xludf.DUMMYFUNCTION("""COMPUTED_VALUE"""),67.9815275439127)</f>
        <v>67.98152754</v>
      </c>
      <c r="P501" s="23">
        <f>IFERROR(__xludf.DUMMYFUNCTION("""COMPUTED_VALUE"""),150592.0)</f>
        <v>150592</v>
      </c>
      <c r="Q501" s="23">
        <f>IFERROR(__xludf.DUMMYFUNCTION("""COMPUTED_VALUE"""),221519.0)</f>
        <v>221519</v>
      </c>
    </row>
    <row r="502">
      <c r="A502" s="23">
        <f>IFERROR(__xludf.DUMMYFUNCTION("""COMPUTED_VALUE"""),501.0)</f>
        <v>501</v>
      </c>
      <c r="B502" s="23" t="str">
        <f>IFERROR(__xludf.DUMMYFUNCTION("""COMPUTED_VALUE"""),"Find Mode in Binary Search Tree")</f>
        <v>Find Mode in Binary Search Tree</v>
      </c>
      <c r="C502" s="23" t="str">
        <f>IFERROR(__xludf.DUMMYFUNCTION("""COMPUTED_VALUE"""),"find-mode-in-binary-search-tree")</f>
        <v>find-mode-in-binary-search-tree</v>
      </c>
      <c r="D502" s="23" t="b">
        <f>IFERROR(__xludf.DUMMYFUNCTION("""COMPUTED_VALUE"""),FALSE)</f>
        <v>0</v>
      </c>
      <c r="E502" s="23" t="str">
        <f>IFERROR(__xludf.DUMMYFUNCTION("""COMPUTED_VALUE"""),"Easy")</f>
        <v>Easy</v>
      </c>
      <c r="F502" s="23">
        <f>IFERROR(__xludf.DUMMYFUNCTION("""COMPUTED_VALUE"""),2100.0)</f>
        <v>2100</v>
      </c>
      <c r="G502" s="23">
        <f>IFERROR(__xludf.DUMMYFUNCTION("""COMPUTED_VALUE"""),559.0)</f>
        <v>559</v>
      </c>
      <c r="H502" s="23" t="str">
        <f>IFERROR(__xludf.DUMMYFUNCTION("""COMPUTED_VALUE"""),"Algorithms")</f>
        <v>Algorithms</v>
      </c>
      <c r="I502" s="23">
        <f>IFERROR(__xludf.DUMMYFUNCTION("""COMPUTED_VALUE"""),0.472)</f>
        <v>0.472</v>
      </c>
      <c r="J502" s="23">
        <f>IFERROR(__xludf.DUMMYFUNCTION("""COMPUTED_VALUE"""),501.0)</f>
        <v>501</v>
      </c>
      <c r="K502" s="23" t="b">
        <f>IFERROR(__xludf.DUMMYFUNCTION("""COMPUTED_VALUE"""),FALSE)</f>
        <v>0</v>
      </c>
      <c r="L502" s="23" t="str">
        <f>IFERROR(__xludf.DUMMYFUNCTION("""COMPUTED_VALUE"""),"Tree;Depth-First Search;Binary Search Tree;Binary Tree;")</f>
        <v>Tree;Depth-First Search;Binary Search Tree;Binary Tree;</v>
      </c>
      <c r="M502" s="23" t="b">
        <f>IFERROR(__xludf.DUMMYFUNCTION("""COMPUTED_VALUE"""),FALSE)</f>
        <v>0</v>
      </c>
      <c r="N502" s="23" t="b">
        <f>IFERROR(__xludf.DUMMYFUNCTION("""COMPUTED_VALUE"""),FALSE)</f>
        <v>0</v>
      </c>
      <c r="O502" s="23">
        <f>IFERROR(__xludf.DUMMYFUNCTION("""COMPUTED_VALUE"""),47.1512788668626)</f>
        <v>47.15127887</v>
      </c>
      <c r="P502" s="23">
        <f>IFERROR(__xludf.DUMMYFUNCTION("""COMPUTED_VALUE"""),149967.0)</f>
        <v>149967</v>
      </c>
      <c r="Q502" s="23">
        <f>IFERROR(__xludf.DUMMYFUNCTION("""COMPUTED_VALUE"""),318055.0)</f>
        <v>318055</v>
      </c>
    </row>
    <row r="503">
      <c r="A503" s="23">
        <f>IFERROR(__xludf.DUMMYFUNCTION("""COMPUTED_VALUE"""),502.0)</f>
        <v>502</v>
      </c>
      <c r="B503" s="23" t="str">
        <f>IFERROR(__xludf.DUMMYFUNCTION("""COMPUTED_VALUE"""),"IPO")</f>
        <v>IPO</v>
      </c>
      <c r="C503" s="23" t="str">
        <f>IFERROR(__xludf.DUMMYFUNCTION("""COMPUTED_VALUE"""),"ipo")</f>
        <v>ipo</v>
      </c>
      <c r="D503" s="23" t="b">
        <f>IFERROR(__xludf.DUMMYFUNCTION("""COMPUTED_VALUE"""),FALSE)</f>
        <v>0</v>
      </c>
      <c r="E503" s="23" t="str">
        <f>IFERROR(__xludf.DUMMYFUNCTION("""COMPUTED_VALUE"""),"Hard")</f>
        <v>Hard</v>
      </c>
      <c r="F503" s="23">
        <f>IFERROR(__xludf.DUMMYFUNCTION("""COMPUTED_VALUE"""),783.0)</f>
        <v>783</v>
      </c>
      <c r="G503" s="23">
        <f>IFERROR(__xludf.DUMMYFUNCTION("""COMPUTED_VALUE"""),70.0)</f>
        <v>70</v>
      </c>
      <c r="H503" s="23" t="str">
        <f>IFERROR(__xludf.DUMMYFUNCTION("""COMPUTED_VALUE"""),"Algorithms")</f>
        <v>Algorithms</v>
      </c>
      <c r="I503" s="23">
        <f>IFERROR(__xludf.DUMMYFUNCTION("""COMPUTED_VALUE"""),0.441)</f>
        <v>0.441</v>
      </c>
      <c r="J503" s="23">
        <f>IFERROR(__xludf.DUMMYFUNCTION("""COMPUTED_VALUE"""),502.0)</f>
        <v>502</v>
      </c>
      <c r="K503" s="23" t="b">
        <f>IFERROR(__xludf.DUMMYFUNCTION("""COMPUTED_VALUE"""),FALSE)</f>
        <v>0</v>
      </c>
      <c r="L503" s="23" t="str">
        <f>IFERROR(__xludf.DUMMYFUNCTION("""COMPUTED_VALUE"""),"Array;Greedy;Sorting;Heap (Priority Queue);")</f>
        <v>Array;Greedy;Sorting;Heap (Priority Queue);</v>
      </c>
      <c r="M503" s="23" t="b">
        <f>IFERROR(__xludf.DUMMYFUNCTION("""COMPUTED_VALUE"""),TRUE)</f>
        <v>1</v>
      </c>
      <c r="N503" s="23" t="b">
        <f>IFERROR(__xludf.DUMMYFUNCTION("""COMPUTED_VALUE"""),FALSE)</f>
        <v>0</v>
      </c>
      <c r="O503" s="23">
        <f>IFERROR(__xludf.DUMMYFUNCTION("""COMPUTED_VALUE"""),44.0500305893549)</f>
        <v>44.05003059</v>
      </c>
      <c r="P503" s="23">
        <f>IFERROR(__xludf.DUMMYFUNCTION("""COMPUTED_VALUE"""),32401.0)</f>
        <v>32401</v>
      </c>
      <c r="Q503" s="23">
        <f>IFERROR(__xludf.DUMMYFUNCTION("""COMPUTED_VALUE"""),73555.0)</f>
        <v>73555</v>
      </c>
    </row>
    <row r="504">
      <c r="A504" s="23">
        <f>IFERROR(__xludf.DUMMYFUNCTION("""COMPUTED_VALUE"""),503.0)</f>
        <v>503</v>
      </c>
      <c r="B504" s="23" t="str">
        <f>IFERROR(__xludf.DUMMYFUNCTION("""COMPUTED_VALUE"""),"Next Greater Element II")</f>
        <v>Next Greater Element II</v>
      </c>
      <c r="C504" s="23" t="str">
        <f>IFERROR(__xludf.DUMMYFUNCTION("""COMPUTED_VALUE"""),"next-greater-element-ii")</f>
        <v>next-greater-element-ii</v>
      </c>
      <c r="D504" s="23" t="b">
        <f>IFERROR(__xludf.DUMMYFUNCTION("""COMPUTED_VALUE"""),FALSE)</f>
        <v>0</v>
      </c>
      <c r="E504" s="23" t="str">
        <f>IFERROR(__xludf.DUMMYFUNCTION("""COMPUTED_VALUE"""),"Medium")</f>
        <v>Medium</v>
      </c>
      <c r="F504" s="23">
        <f>IFERROR(__xludf.DUMMYFUNCTION("""COMPUTED_VALUE"""),4461.0)</f>
        <v>4461</v>
      </c>
      <c r="G504" s="23">
        <f>IFERROR(__xludf.DUMMYFUNCTION("""COMPUTED_VALUE"""),131.0)</f>
        <v>131</v>
      </c>
      <c r="H504" s="23" t="str">
        <f>IFERROR(__xludf.DUMMYFUNCTION("""COMPUTED_VALUE"""),"Algorithms")</f>
        <v>Algorithms</v>
      </c>
      <c r="I504" s="23">
        <f>IFERROR(__xludf.DUMMYFUNCTION("""COMPUTED_VALUE"""),0.62)</f>
        <v>0.62</v>
      </c>
      <c r="J504" s="23">
        <f>IFERROR(__xludf.DUMMYFUNCTION("""COMPUTED_VALUE"""),503.0)</f>
        <v>503</v>
      </c>
      <c r="K504" s="23" t="b">
        <f>IFERROR(__xludf.DUMMYFUNCTION("""COMPUTED_VALUE"""),FALSE)</f>
        <v>0</v>
      </c>
      <c r="L504" s="23" t="str">
        <f>IFERROR(__xludf.DUMMYFUNCTION("""COMPUTED_VALUE"""),"Array;Stack;Monotonic Stack;")</f>
        <v>Array;Stack;Monotonic Stack;</v>
      </c>
      <c r="M504" s="23" t="b">
        <f>IFERROR(__xludf.DUMMYFUNCTION("""COMPUTED_VALUE"""),TRUE)</f>
        <v>1</v>
      </c>
      <c r="N504" s="23" t="b">
        <f>IFERROR(__xludf.DUMMYFUNCTION("""COMPUTED_VALUE"""),FALSE)</f>
        <v>0</v>
      </c>
      <c r="O504" s="23">
        <f>IFERROR(__xludf.DUMMYFUNCTION("""COMPUTED_VALUE"""),62.0165705843158)</f>
        <v>62.01657058</v>
      </c>
      <c r="P504" s="23">
        <f>IFERROR(__xludf.DUMMYFUNCTION("""COMPUTED_VALUE"""),214075.0)</f>
        <v>214075</v>
      </c>
      <c r="Q504" s="23">
        <f>IFERROR(__xludf.DUMMYFUNCTION("""COMPUTED_VALUE"""),345190.0)</f>
        <v>345190</v>
      </c>
    </row>
    <row r="505">
      <c r="A505" s="23">
        <f>IFERROR(__xludf.DUMMYFUNCTION("""COMPUTED_VALUE"""),504.0)</f>
        <v>504</v>
      </c>
      <c r="B505" s="23" t="str">
        <f>IFERROR(__xludf.DUMMYFUNCTION("""COMPUTED_VALUE"""),"Base 7")</f>
        <v>Base 7</v>
      </c>
      <c r="C505" s="23" t="str">
        <f>IFERROR(__xludf.DUMMYFUNCTION("""COMPUTED_VALUE"""),"base-7")</f>
        <v>base-7</v>
      </c>
      <c r="D505" s="23" t="b">
        <f>IFERROR(__xludf.DUMMYFUNCTION("""COMPUTED_VALUE"""),FALSE)</f>
        <v>0</v>
      </c>
      <c r="E505" s="23" t="str">
        <f>IFERROR(__xludf.DUMMYFUNCTION("""COMPUTED_VALUE"""),"Easy")</f>
        <v>Easy</v>
      </c>
      <c r="F505" s="23">
        <f>IFERROR(__xludf.DUMMYFUNCTION("""COMPUTED_VALUE"""),470.0)</f>
        <v>470</v>
      </c>
      <c r="G505" s="23">
        <f>IFERROR(__xludf.DUMMYFUNCTION("""COMPUTED_VALUE"""),192.0)</f>
        <v>192</v>
      </c>
      <c r="H505" s="23" t="str">
        <f>IFERROR(__xludf.DUMMYFUNCTION("""COMPUTED_VALUE"""),"Algorithms")</f>
        <v>Algorithms</v>
      </c>
      <c r="I505" s="23">
        <f>IFERROR(__xludf.DUMMYFUNCTION("""COMPUTED_VALUE"""),0.475)</f>
        <v>0.475</v>
      </c>
      <c r="J505" s="23">
        <f>IFERROR(__xludf.DUMMYFUNCTION("""COMPUTED_VALUE"""),504.0)</f>
        <v>504</v>
      </c>
      <c r="K505" s="23" t="b">
        <f>IFERROR(__xludf.DUMMYFUNCTION("""COMPUTED_VALUE"""),FALSE)</f>
        <v>0</v>
      </c>
      <c r="L505" s="23" t="str">
        <f>IFERROR(__xludf.DUMMYFUNCTION("""COMPUTED_VALUE"""),"Math;")</f>
        <v>Math;</v>
      </c>
      <c r="M505" s="23" t="b">
        <f>IFERROR(__xludf.DUMMYFUNCTION("""COMPUTED_VALUE"""),FALSE)</f>
        <v>0</v>
      </c>
      <c r="N505" s="23" t="b">
        <f>IFERROR(__xludf.DUMMYFUNCTION("""COMPUTED_VALUE"""),FALSE)</f>
        <v>0</v>
      </c>
      <c r="O505" s="23">
        <f>IFERROR(__xludf.DUMMYFUNCTION("""COMPUTED_VALUE"""),47.4896912961105)</f>
        <v>47.4896913</v>
      </c>
      <c r="P505" s="23">
        <f>IFERROR(__xludf.DUMMYFUNCTION("""COMPUTED_VALUE"""),85225.0)</f>
        <v>85225</v>
      </c>
      <c r="Q505" s="23">
        <f>IFERROR(__xludf.DUMMYFUNCTION("""COMPUTED_VALUE"""),179460.0)</f>
        <v>179460</v>
      </c>
    </row>
    <row r="506">
      <c r="A506" s="23">
        <f>IFERROR(__xludf.DUMMYFUNCTION("""COMPUTED_VALUE"""),505.0)</f>
        <v>505</v>
      </c>
      <c r="B506" s="23" t="str">
        <f>IFERROR(__xludf.DUMMYFUNCTION("""COMPUTED_VALUE"""),"The Maze II")</f>
        <v>The Maze II</v>
      </c>
      <c r="C506" s="23" t="str">
        <f>IFERROR(__xludf.DUMMYFUNCTION("""COMPUTED_VALUE"""),"the-maze-ii")</f>
        <v>the-maze-ii</v>
      </c>
      <c r="D506" s="23" t="b">
        <f>IFERROR(__xludf.DUMMYFUNCTION("""COMPUTED_VALUE"""),TRUE)</f>
        <v>1</v>
      </c>
      <c r="E506" s="23" t="str">
        <f>IFERROR(__xludf.DUMMYFUNCTION("""COMPUTED_VALUE"""),"Medium")</f>
        <v>Medium</v>
      </c>
      <c r="F506" s="23">
        <f>IFERROR(__xludf.DUMMYFUNCTION("""COMPUTED_VALUE"""),1030.0)</f>
        <v>1030</v>
      </c>
      <c r="G506" s="23">
        <f>IFERROR(__xludf.DUMMYFUNCTION("""COMPUTED_VALUE"""),45.0)</f>
        <v>45</v>
      </c>
      <c r="H506" s="23" t="str">
        <f>IFERROR(__xludf.DUMMYFUNCTION("""COMPUTED_VALUE"""),"Algorithms")</f>
        <v>Algorithms</v>
      </c>
      <c r="I506" s="23">
        <f>IFERROR(__xludf.DUMMYFUNCTION("""COMPUTED_VALUE"""),0.513)</f>
        <v>0.513</v>
      </c>
      <c r="J506" s="23">
        <f>IFERROR(__xludf.DUMMYFUNCTION("""COMPUTED_VALUE"""),505.0)</f>
        <v>505</v>
      </c>
      <c r="K506" s="23" t="b">
        <f>IFERROR(__xludf.DUMMYFUNCTION("""COMPUTED_VALUE"""),TRUE)</f>
        <v>1</v>
      </c>
      <c r="L506" s="23" t="str">
        <f>IFERROR(__xludf.DUMMYFUNCTION("""COMPUTED_VALUE"""),"Depth-First Search;Breadth-First Search;Graph;Heap (Priority Queue);Shortest Path;")</f>
        <v>Depth-First Search;Breadth-First Search;Graph;Heap (Priority Queue);Shortest Path;</v>
      </c>
      <c r="M506" s="23" t="b">
        <f>IFERROR(__xludf.DUMMYFUNCTION("""COMPUTED_VALUE"""),TRUE)</f>
        <v>1</v>
      </c>
      <c r="N506" s="23" t="b">
        <f>IFERROR(__xludf.DUMMYFUNCTION("""COMPUTED_VALUE"""),FALSE)</f>
        <v>0</v>
      </c>
      <c r="O506" s="23">
        <f>IFERROR(__xludf.DUMMYFUNCTION("""COMPUTED_VALUE"""),51.2944550669216)</f>
        <v>51.29445507</v>
      </c>
      <c r="P506" s="23">
        <f>IFERROR(__xludf.DUMMYFUNCTION("""COMPUTED_VALUE"""),80481.0)</f>
        <v>80481</v>
      </c>
      <c r="Q506" s="23">
        <f>IFERROR(__xludf.DUMMYFUNCTION("""COMPUTED_VALUE"""),156899.0)</f>
        <v>156899</v>
      </c>
    </row>
    <row r="507">
      <c r="A507" s="23">
        <f>IFERROR(__xludf.DUMMYFUNCTION("""COMPUTED_VALUE"""),506.0)</f>
        <v>506</v>
      </c>
      <c r="B507" s="23" t="str">
        <f>IFERROR(__xludf.DUMMYFUNCTION("""COMPUTED_VALUE"""),"Relative Ranks")</f>
        <v>Relative Ranks</v>
      </c>
      <c r="C507" s="23" t="str">
        <f>IFERROR(__xludf.DUMMYFUNCTION("""COMPUTED_VALUE"""),"relative-ranks")</f>
        <v>relative-ranks</v>
      </c>
      <c r="D507" s="23" t="b">
        <f>IFERROR(__xludf.DUMMYFUNCTION("""COMPUTED_VALUE"""),FALSE)</f>
        <v>0</v>
      </c>
      <c r="E507" s="23" t="str">
        <f>IFERROR(__xludf.DUMMYFUNCTION("""COMPUTED_VALUE"""),"Easy")</f>
        <v>Easy</v>
      </c>
      <c r="F507" s="23">
        <f>IFERROR(__xludf.DUMMYFUNCTION("""COMPUTED_VALUE"""),469.0)</f>
        <v>469</v>
      </c>
      <c r="G507" s="23">
        <f>IFERROR(__xludf.DUMMYFUNCTION("""COMPUTED_VALUE"""),27.0)</f>
        <v>27</v>
      </c>
      <c r="H507" s="23" t="str">
        <f>IFERROR(__xludf.DUMMYFUNCTION("""COMPUTED_VALUE"""),"Algorithms")</f>
        <v>Algorithms</v>
      </c>
      <c r="I507" s="23">
        <f>IFERROR(__xludf.DUMMYFUNCTION("""COMPUTED_VALUE"""),0.567)</f>
        <v>0.567</v>
      </c>
      <c r="J507" s="23">
        <f>IFERROR(__xludf.DUMMYFUNCTION("""COMPUTED_VALUE"""),506.0)</f>
        <v>506</v>
      </c>
      <c r="K507" s="23" t="b">
        <f>IFERROR(__xludf.DUMMYFUNCTION("""COMPUTED_VALUE"""),FALSE)</f>
        <v>0</v>
      </c>
      <c r="L507" s="23" t="str">
        <f>IFERROR(__xludf.DUMMYFUNCTION("""COMPUTED_VALUE"""),"Array;Sorting;Heap (Priority Queue);")</f>
        <v>Array;Sorting;Heap (Priority Queue);</v>
      </c>
      <c r="M507" s="23" t="b">
        <f>IFERROR(__xludf.DUMMYFUNCTION("""COMPUTED_VALUE"""),FALSE)</f>
        <v>0</v>
      </c>
      <c r="N507" s="23" t="b">
        <f>IFERROR(__xludf.DUMMYFUNCTION("""COMPUTED_VALUE"""),FALSE)</f>
        <v>0</v>
      </c>
      <c r="O507" s="23">
        <f>IFERROR(__xludf.DUMMYFUNCTION("""COMPUTED_VALUE"""),56.7264001633736)</f>
        <v>56.72640016</v>
      </c>
      <c r="P507" s="23">
        <f>IFERROR(__xludf.DUMMYFUNCTION("""COMPUTED_VALUE"""),88888.0)</f>
        <v>88888</v>
      </c>
      <c r="Q507" s="23">
        <f>IFERROR(__xludf.DUMMYFUNCTION("""COMPUTED_VALUE"""),156695.0)</f>
        <v>156695</v>
      </c>
    </row>
    <row r="508">
      <c r="A508" s="23">
        <f>IFERROR(__xludf.DUMMYFUNCTION("""COMPUTED_VALUE"""),507.0)</f>
        <v>507</v>
      </c>
      <c r="B508" s="23" t="str">
        <f>IFERROR(__xludf.DUMMYFUNCTION("""COMPUTED_VALUE"""),"Perfect Number")</f>
        <v>Perfect Number</v>
      </c>
      <c r="C508" s="23" t="str">
        <f>IFERROR(__xludf.DUMMYFUNCTION("""COMPUTED_VALUE"""),"perfect-number")</f>
        <v>perfect-number</v>
      </c>
      <c r="D508" s="23" t="b">
        <f>IFERROR(__xludf.DUMMYFUNCTION("""COMPUTED_VALUE"""),FALSE)</f>
        <v>0</v>
      </c>
      <c r="E508" s="23" t="str">
        <f>IFERROR(__xludf.DUMMYFUNCTION("""COMPUTED_VALUE"""),"Easy")</f>
        <v>Easy</v>
      </c>
      <c r="F508" s="23">
        <f>IFERROR(__xludf.DUMMYFUNCTION("""COMPUTED_VALUE"""),550.0)</f>
        <v>550</v>
      </c>
      <c r="G508" s="23">
        <f>IFERROR(__xludf.DUMMYFUNCTION("""COMPUTED_VALUE"""),838.0)</f>
        <v>838</v>
      </c>
      <c r="H508" s="23" t="str">
        <f>IFERROR(__xludf.DUMMYFUNCTION("""COMPUTED_VALUE"""),"Algorithms")</f>
        <v>Algorithms</v>
      </c>
      <c r="I508" s="23">
        <f>IFERROR(__xludf.DUMMYFUNCTION("""COMPUTED_VALUE"""),0.376)</f>
        <v>0.376</v>
      </c>
      <c r="J508" s="23">
        <f>IFERROR(__xludf.DUMMYFUNCTION("""COMPUTED_VALUE"""),507.0)</f>
        <v>507</v>
      </c>
      <c r="K508" s="23" t="b">
        <f>IFERROR(__xludf.DUMMYFUNCTION("""COMPUTED_VALUE"""),FALSE)</f>
        <v>0</v>
      </c>
      <c r="L508" s="23" t="str">
        <f>IFERROR(__xludf.DUMMYFUNCTION("""COMPUTED_VALUE"""),"Math;")</f>
        <v>Math;</v>
      </c>
      <c r="M508" s="23" t="b">
        <f>IFERROR(__xludf.DUMMYFUNCTION("""COMPUTED_VALUE"""),TRUE)</f>
        <v>1</v>
      </c>
      <c r="N508" s="23" t="b">
        <f>IFERROR(__xludf.DUMMYFUNCTION("""COMPUTED_VALUE"""),FALSE)</f>
        <v>0</v>
      </c>
      <c r="O508" s="23">
        <f>IFERROR(__xludf.DUMMYFUNCTION("""COMPUTED_VALUE"""),37.5825140319951)</f>
        <v>37.58251403</v>
      </c>
      <c r="P508" s="23">
        <f>IFERROR(__xludf.DUMMYFUNCTION("""COMPUTED_VALUE"""),101911.0)</f>
        <v>101911</v>
      </c>
      <c r="Q508" s="23">
        <f>IFERROR(__xludf.DUMMYFUNCTION("""COMPUTED_VALUE"""),271166.0)</f>
        <v>271166</v>
      </c>
    </row>
    <row r="509">
      <c r="A509" s="23">
        <f>IFERROR(__xludf.DUMMYFUNCTION("""COMPUTED_VALUE"""),508.0)</f>
        <v>508</v>
      </c>
      <c r="B509" s="23" t="str">
        <f>IFERROR(__xludf.DUMMYFUNCTION("""COMPUTED_VALUE"""),"Most Frequent Subtree Sum")</f>
        <v>Most Frequent Subtree Sum</v>
      </c>
      <c r="C509" s="23" t="str">
        <f>IFERROR(__xludf.DUMMYFUNCTION("""COMPUTED_VALUE"""),"most-frequent-subtree-sum")</f>
        <v>most-frequent-subtree-sum</v>
      </c>
      <c r="D509" s="23" t="b">
        <f>IFERROR(__xludf.DUMMYFUNCTION("""COMPUTED_VALUE"""),FALSE)</f>
        <v>0</v>
      </c>
      <c r="E509" s="23" t="str">
        <f>IFERROR(__xludf.DUMMYFUNCTION("""COMPUTED_VALUE"""),"Medium")</f>
        <v>Medium</v>
      </c>
      <c r="F509" s="23">
        <f>IFERROR(__xludf.DUMMYFUNCTION("""COMPUTED_VALUE"""),1473.0)</f>
        <v>1473</v>
      </c>
      <c r="G509" s="23">
        <f>IFERROR(__xludf.DUMMYFUNCTION("""COMPUTED_VALUE"""),225.0)</f>
        <v>225</v>
      </c>
      <c r="H509" s="23" t="str">
        <f>IFERROR(__xludf.DUMMYFUNCTION("""COMPUTED_VALUE"""),"Algorithms")</f>
        <v>Algorithms</v>
      </c>
      <c r="I509" s="23">
        <f>IFERROR(__xludf.DUMMYFUNCTION("""COMPUTED_VALUE"""),0.628)</f>
        <v>0.628</v>
      </c>
      <c r="J509" s="23">
        <f>IFERROR(__xludf.DUMMYFUNCTION("""COMPUTED_VALUE"""),508.0)</f>
        <v>508</v>
      </c>
      <c r="K509" s="23" t="b">
        <f>IFERROR(__xludf.DUMMYFUNCTION("""COMPUTED_VALUE"""),FALSE)</f>
        <v>0</v>
      </c>
      <c r="L509" s="23" t="str">
        <f>IFERROR(__xludf.DUMMYFUNCTION("""COMPUTED_VALUE"""),"Hash Table;Tree;Depth-First Search;Binary Tree;")</f>
        <v>Hash Table;Tree;Depth-First Search;Binary Tree;</v>
      </c>
      <c r="M509" s="23" t="b">
        <f>IFERROR(__xludf.DUMMYFUNCTION("""COMPUTED_VALUE"""),FALSE)</f>
        <v>0</v>
      </c>
      <c r="N509" s="23" t="b">
        <f>IFERROR(__xludf.DUMMYFUNCTION("""COMPUTED_VALUE"""),FALSE)</f>
        <v>0</v>
      </c>
      <c r="O509" s="23">
        <f>IFERROR(__xludf.DUMMYFUNCTION("""COMPUTED_VALUE"""),62.7589360030949)</f>
        <v>62.758936</v>
      </c>
      <c r="P509" s="23">
        <f>IFERROR(__xludf.DUMMYFUNCTION("""COMPUTED_VALUE"""),107066.0)</f>
        <v>107066</v>
      </c>
      <c r="Q509" s="23">
        <f>IFERROR(__xludf.DUMMYFUNCTION("""COMPUTED_VALUE"""),170600.0)</f>
        <v>170600</v>
      </c>
    </row>
    <row r="510">
      <c r="A510" s="23">
        <f>IFERROR(__xludf.DUMMYFUNCTION("""COMPUTED_VALUE"""),1013.0)</f>
        <v>1013</v>
      </c>
      <c r="B510" s="23" t="str">
        <f>IFERROR(__xludf.DUMMYFUNCTION("""COMPUTED_VALUE"""),"Fibonacci Number")</f>
        <v>Fibonacci Number</v>
      </c>
      <c r="C510" s="23" t="str">
        <f>IFERROR(__xludf.DUMMYFUNCTION("""COMPUTED_VALUE"""),"fibonacci-number")</f>
        <v>fibonacci-number</v>
      </c>
      <c r="D510" s="23" t="b">
        <f>IFERROR(__xludf.DUMMYFUNCTION("""COMPUTED_VALUE"""),FALSE)</f>
        <v>0</v>
      </c>
      <c r="E510" s="23" t="str">
        <f>IFERROR(__xludf.DUMMYFUNCTION("""COMPUTED_VALUE"""),"Easy")</f>
        <v>Easy</v>
      </c>
      <c r="F510" s="23">
        <f>IFERROR(__xludf.DUMMYFUNCTION("""COMPUTED_VALUE"""),3337.0)</f>
        <v>3337</v>
      </c>
      <c r="G510" s="23">
        <f>IFERROR(__xludf.DUMMYFUNCTION("""COMPUTED_VALUE"""),262.0)</f>
        <v>262</v>
      </c>
      <c r="H510" s="23" t="str">
        <f>IFERROR(__xludf.DUMMYFUNCTION("""COMPUTED_VALUE"""),"Algorithms")</f>
        <v>Algorithms</v>
      </c>
      <c r="I510" s="23">
        <f>IFERROR(__xludf.DUMMYFUNCTION("""COMPUTED_VALUE"""),0.682)</f>
        <v>0.682</v>
      </c>
      <c r="J510" s="23">
        <f>IFERROR(__xludf.DUMMYFUNCTION("""COMPUTED_VALUE"""),509.0)</f>
        <v>509</v>
      </c>
      <c r="K510" s="23" t="b">
        <f>IFERROR(__xludf.DUMMYFUNCTION("""COMPUTED_VALUE"""),FALSE)</f>
        <v>0</v>
      </c>
      <c r="L510" s="23" t="str">
        <f>IFERROR(__xludf.DUMMYFUNCTION("""COMPUTED_VALUE"""),"Math;Dynamic Programming;Recursion;Memoization;")</f>
        <v>Math;Dynamic Programming;Recursion;Memoization;</v>
      </c>
      <c r="M510" s="23" t="b">
        <f>IFERROR(__xludf.DUMMYFUNCTION("""COMPUTED_VALUE"""),TRUE)</f>
        <v>1</v>
      </c>
      <c r="N510" s="23" t="b">
        <f>IFERROR(__xludf.DUMMYFUNCTION("""COMPUTED_VALUE"""),FALSE)</f>
        <v>0</v>
      </c>
      <c r="O510" s="23">
        <f>IFERROR(__xludf.DUMMYFUNCTION("""COMPUTED_VALUE"""),68.1719719633609)</f>
        <v>68.17197196</v>
      </c>
      <c r="P510" s="23">
        <f>IFERROR(__xludf.DUMMYFUNCTION("""COMPUTED_VALUE"""),744908.0)</f>
        <v>744908</v>
      </c>
      <c r="Q510" s="23">
        <f>IFERROR(__xludf.DUMMYFUNCTION("""COMPUTED_VALUE"""),1092690.0)</f>
        <v>1092690</v>
      </c>
    </row>
    <row r="511">
      <c r="A511" s="23">
        <f>IFERROR(__xludf.DUMMYFUNCTION("""COMPUTED_VALUE"""),509.0)</f>
        <v>509</v>
      </c>
      <c r="B511" s="23" t="str">
        <f>IFERROR(__xludf.DUMMYFUNCTION("""COMPUTED_VALUE"""),"Inorder Successor in BST II")</f>
        <v>Inorder Successor in BST II</v>
      </c>
      <c r="C511" s="23" t="str">
        <f>IFERROR(__xludf.DUMMYFUNCTION("""COMPUTED_VALUE"""),"inorder-successor-in-bst-ii")</f>
        <v>inorder-successor-in-bst-ii</v>
      </c>
      <c r="D511" s="23" t="b">
        <f>IFERROR(__xludf.DUMMYFUNCTION("""COMPUTED_VALUE"""),TRUE)</f>
        <v>1</v>
      </c>
      <c r="E511" s="23" t="str">
        <f>IFERROR(__xludf.DUMMYFUNCTION("""COMPUTED_VALUE"""),"Medium")</f>
        <v>Medium</v>
      </c>
      <c r="F511" s="23">
        <f>IFERROR(__xludf.DUMMYFUNCTION("""COMPUTED_VALUE"""),666.0)</f>
        <v>666</v>
      </c>
      <c r="G511" s="23">
        <f>IFERROR(__xludf.DUMMYFUNCTION("""COMPUTED_VALUE"""),34.0)</f>
        <v>34</v>
      </c>
      <c r="H511" s="23" t="str">
        <f>IFERROR(__xludf.DUMMYFUNCTION("""COMPUTED_VALUE"""),"Algorithms")</f>
        <v>Algorithms</v>
      </c>
      <c r="I511" s="23">
        <f>IFERROR(__xludf.DUMMYFUNCTION("""COMPUTED_VALUE"""),0.613)</f>
        <v>0.613</v>
      </c>
      <c r="J511" s="23">
        <f>IFERROR(__xludf.DUMMYFUNCTION("""COMPUTED_VALUE"""),510.0)</f>
        <v>510</v>
      </c>
      <c r="K511" s="23" t="b">
        <f>IFERROR(__xludf.DUMMYFUNCTION("""COMPUTED_VALUE"""),TRUE)</f>
        <v>1</v>
      </c>
      <c r="L511" s="23" t="str">
        <f>IFERROR(__xludf.DUMMYFUNCTION("""COMPUTED_VALUE"""),"Tree;Binary Search Tree;Binary Tree;")</f>
        <v>Tree;Binary Search Tree;Binary Tree;</v>
      </c>
      <c r="M511" s="23" t="b">
        <f>IFERROR(__xludf.DUMMYFUNCTION("""COMPUTED_VALUE"""),TRUE)</f>
        <v>1</v>
      </c>
      <c r="N511" s="23" t="b">
        <f>IFERROR(__xludf.DUMMYFUNCTION("""COMPUTED_VALUE"""),FALSE)</f>
        <v>0</v>
      </c>
      <c r="O511" s="23">
        <f>IFERROR(__xludf.DUMMYFUNCTION("""COMPUTED_VALUE"""),61.3492063492063)</f>
        <v>61.34920635</v>
      </c>
      <c r="P511" s="23">
        <f>IFERROR(__xludf.DUMMYFUNCTION("""COMPUTED_VALUE"""),47926.0)</f>
        <v>47926</v>
      </c>
      <c r="Q511" s="23">
        <f>IFERROR(__xludf.DUMMYFUNCTION("""COMPUTED_VALUE"""),78120.0)</f>
        <v>78120</v>
      </c>
    </row>
    <row r="512">
      <c r="A512" s="23">
        <f>IFERROR(__xludf.DUMMYFUNCTION("""COMPUTED_VALUE"""),1179.0)</f>
        <v>1179</v>
      </c>
      <c r="B512" s="23" t="str">
        <f>IFERROR(__xludf.DUMMYFUNCTION("""COMPUTED_VALUE"""),"Game Play Analysis I")</f>
        <v>Game Play Analysis I</v>
      </c>
      <c r="C512" s="23" t="str">
        <f>IFERROR(__xludf.DUMMYFUNCTION("""COMPUTED_VALUE"""),"game-play-analysis-i")</f>
        <v>game-play-analysis-i</v>
      </c>
      <c r="D512" s="23" t="b">
        <f>IFERROR(__xludf.DUMMYFUNCTION("""COMPUTED_VALUE"""),FALSE)</f>
        <v>0</v>
      </c>
      <c r="E512" s="23" t="str">
        <f>IFERROR(__xludf.DUMMYFUNCTION("""COMPUTED_VALUE"""),"Easy")</f>
        <v>Easy</v>
      </c>
      <c r="F512" s="23">
        <f>IFERROR(__xludf.DUMMYFUNCTION("""COMPUTED_VALUE"""),173.0)</f>
        <v>173</v>
      </c>
      <c r="G512" s="23">
        <f>IFERROR(__xludf.DUMMYFUNCTION("""COMPUTED_VALUE"""),9.0)</f>
        <v>9</v>
      </c>
      <c r="H512" s="23" t="str">
        <f>IFERROR(__xludf.DUMMYFUNCTION("""COMPUTED_VALUE"""),"Database")</f>
        <v>Database</v>
      </c>
      <c r="I512" s="23">
        <f>IFERROR(__xludf.DUMMYFUNCTION("""COMPUTED_VALUE"""),0.804)</f>
        <v>0.804</v>
      </c>
      <c r="J512" s="23">
        <f>IFERROR(__xludf.DUMMYFUNCTION("""COMPUTED_VALUE"""),511.0)</f>
        <v>511</v>
      </c>
      <c r="K512" s="23" t="b">
        <f>IFERROR(__xludf.DUMMYFUNCTION("""COMPUTED_VALUE"""),FALSE)</f>
        <v>0</v>
      </c>
      <c r="L512" s="23" t="str">
        <f>IFERROR(__xludf.DUMMYFUNCTION("""COMPUTED_VALUE"""),"Database;")</f>
        <v>Database;</v>
      </c>
      <c r="M512" s="23" t="b">
        <f>IFERROR(__xludf.DUMMYFUNCTION("""COMPUTED_VALUE"""),FALSE)</f>
        <v>0</v>
      </c>
      <c r="N512" s="23" t="b">
        <f>IFERROR(__xludf.DUMMYFUNCTION("""COMPUTED_VALUE"""),FALSE)</f>
        <v>0</v>
      </c>
      <c r="O512" s="23">
        <f>IFERROR(__xludf.DUMMYFUNCTION("""COMPUTED_VALUE"""),80.4301737951436)</f>
        <v>80.4301738</v>
      </c>
      <c r="P512" s="23">
        <f>IFERROR(__xludf.DUMMYFUNCTION("""COMPUTED_VALUE"""),65252.0)</f>
        <v>65252</v>
      </c>
      <c r="Q512" s="23">
        <f>IFERROR(__xludf.DUMMYFUNCTION("""COMPUTED_VALUE"""),81129.0)</f>
        <v>81129</v>
      </c>
    </row>
    <row r="513">
      <c r="A513" s="23">
        <f>IFERROR(__xludf.DUMMYFUNCTION("""COMPUTED_VALUE"""),1180.0)</f>
        <v>1180</v>
      </c>
      <c r="B513" s="23" t="str">
        <f>IFERROR(__xludf.DUMMYFUNCTION("""COMPUTED_VALUE"""),"Game Play Analysis II")</f>
        <v>Game Play Analysis II</v>
      </c>
      <c r="C513" s="23" t="str">
        <f>IFERROR(__xludf.DUMMYFUNCTION("""COMPUTED_VALUE"""),"game-play-analysis-ii")</f>
        <v>game-play-analysis-ii</v>
      </c>
      <c r="D513" s="23" t="b">
        <f>IFERROR(__xludf.DUMMYFUNCTION("""COMPUTED_VALUE"""),TRUE)</f>
        <v>1</v>
      </c>
      <c r="E513" s="23" t="str">
        <f>IFERROR(__xludf.DUMMYFUNCTION("""COMPUTED_VALUE"""),"Easy")</f>
        <v>Easy</v>
      </c>
      <c r="F513" s="23">
        <f>IFERROR(__xludf.DUMMYFUNCTION("""COMPUTED_VALUE"""),172.0)</f>
        <v>172</v>
      </c>
      <c r="G513" s="23">
        <f>IFERROR(__xludf.DUMMYFUNCTION("""COMPUTED_VALUE"""),30.0)</f>
        <v>30</v>
      </c>
      <c r="H513" s="23" t="str">
        <f>IFERROR(__xludf.DUMMYFUNCTION("""COMPUTED_VALUE"""),"Database")</f>
        <v>Database</v>
      </c>
      <c r="I513" s="23">
        <f>IFERROR(__xludf.DUMMYFUNCTION("""COMPUTED_VALUE"""),0.544)</f>
        <v>0.544</v>
      </c>
      <c r="J513" s="23">
        <f>IFERROR(__xludf.DUMMYFUNCTION("""COMPUTED_VALUE"""),512.0)</f>
        <v>512</v>
      </c>
      <c r="K513" s="23" t="b">
        <f>IFERROR(__xludf.DUMMYFUNCTION("""COMPUTED_VALUE"""),TRUE)</f>
        <v>1</v>
      </c>
      <c r="L513" s="23" t="str">
        <f>IFERROR(__xludf.DUMMYFUNCTION("""COMPUTED_VALUE"""),"Database;")</f>
        <v>Database;</v>
      </c>
      <c r="M513" s="23" t="b">
        <f>IFERROR(__xludf.DUMMYFUNCTION("""COMPUTED_VALUE"""),FALSE)</f>
        <v>0</v>
      </c>
      <c r="N513" s="23" t="b">
        <f>IFERROR(__xludf.DUMMYFUNCTION("""COMPUTED_VALUE"""),FALSE)</f>
        <v>0</v>
      </c>
      <c r="O513" s="23">
        <f>IFERROR(__xludf.DUMMYFUNCTION("""COMPUTED_VALUE"""),54.3945869658782)</f>
        <v>54.39458697</v>
      </c>
      <c r="P513" s="23">
        <f>IFERROR(__xludf.DUMMYFUNCTION("""COMPUTED_VALUE"""),54344.0)</f>
        <v>54344</v>
      </c>
      <c r="Q513" s="23">
        <f>IFERROR(__xludf.DUMMYFUNCTION("""COMPUTED_VALUE"""),99907.0)</f>
        <v>99907</v>
      </c>
    </row>
    <row r="514">
      <c r="A514" s="23">
        <f>IFERROR(__xludf.DUMMYFUNCTION("""COMPUTED_VALUE"""),513.0)</f>
        <v>513</v>
      </c>
      <c r="B514" s="23" t="str">
        <f>IFERROR(__xludf.DUMMYFUNCTION("""COMPUTED_VALUE"""),"Find Bottom Left Tree Value")</f>
        <v>Find Bottom Left Tree Value</v>
      </c>
      <c r="C514" s="23" t="str">
        <f>IFERROR(__xludf.DUMMYFUNCTION("""COMPUTED_VALUE"""),"find-bottom-left-tree-value")</f>
        <v>find-bottom-left-tree-value</v>
      </c>
      <c r="D514" s="23" t="b">
        <f>IFERROR(__xludf.DUMMYFUNCTION("""COMPUTED_VALUE"""),FALSE)</f>
        <v>0</v>
      </c>
      <c r="E514" s="23" t="str">
        <f>IFERROR(__xludf.DUMMYFUNCTION("""COMPUTED_VALUE"""),"Medium")</f>
        <v>Medium</v>
      </c>
      <c r="F514" s="23">
        <f>IFERROR(__xludf.DUMMYFUNCTION("""COMPUTED_VALUE"""),2081.0)</f>
        <v>2081</v>
      </c>
      <c r="G514" s="23">
        <f>IFERROR(__xludf.DUMMYFUNCTION("""COMPUTED_VALUE"""),213.0)</f>
        <v>213</v>
      </c>
      <c r="H514" s="23" t="str">
        <f>IFERROR(__xludf.DUMMYFUNCTION("""COMPUTED_VALUE"""),"Algorithms")</f>
        <v>Algorithms</v>
      </c>
      <c r="I514" s="23">
        <f>IFERROR(__xludf.DUMMYFUNCTION("""COMPUTED_VALUE"""),0.652)</f>
        <v>0.652</v>
      </c>
      <c r="J514" s="23">
        <f>IFERROR(__xludf.DUMMYFUNCTION("""COMPUTED_VALUE"""),513.0)</f>
        <v>513</v>
      </c>
      <c r="K514" s="23" t="b">
        <f>IFERROR(__xludf.DUMMYFUNCTION("""COMPUTED_VALUE"""),FALSE)</f>
        <v>0</v>
      </c>
      <c r="L514" s="23" t="str">
        <f>IFERROR(__xludf.DUMMYFUNCTION("""COMPUTED_VALUE"""),"Tree;Depth-First Search;Breadth-First Search;Binary Tree;")</f>
        <v>Tree;Depth-First Search;Breadth-First Search;Binary Tree;</v>
      </c>
      <c r="M514" s="23" t="b">
        <f>IFERROR(__xludf.DUMMYFUNCTION("""COMPUTED_VALUE"""),FALSE)</f>
        <v>0</v>
      </c>
      <c r="N514" s="23" t="b">
        <f>IFERROR(__xludf.DUMMYFUNCTION("""COMPUTED_VALUE"""),FALSE)</f>
        <v>0</v>
      </c>
      <c r="O514" s="23">
        <f>IFERROR(__xludf.DUMMYFUNCTION("""COMPUTED_VALUE"""),65.200737747574)</f>
        <v>65.20073775</v>
      </c>
      <c r="P514" s="23">
        <f>IFERROR(__xludf.DUMMYFUNCTION("""COMPUTED_VALUE"""),170393.0)</f>
        <v>170393</v>
      </c>
      <c r="Q514" s="23">
        <f>IFERROR(__xludf.DUMMYFUNCTION("""COMPUTED_VALUE"""),261336.0)</f>
        <v>261336</v>
      </c>
    </row>
    <row r="515">
      <c r="A515" s="23">
        <f>IFERROR(__xludf.DUMMYFUNCTION("""COMPUTED_VALUE"""),514.0)</f>
        <v>514</v>
      </c>
      <c r="B515" s="23" t="str">
        <f>IFERROR(__xludf.DUMMYFUNCTION("""COMPUTED_VALUE"""),"Freedom Trail")</f>
        <v>Freedom Trail</v>
      </c>
      <c r="C515" s="23" t="str">
        <f>IFERROR(__xludf.DUMMYFUNCTION("""COMPUTED_VALUE"""),"freedom-trail")</f>
        <v>freedom-trail</v>
      </c>
      <c r="D515" s="23" t="b">
        <f>IFERROR(__xludf.DUMMYFUNCTION("""COMPUTED_VALUE"""),FALSE)</f>
        <v>0</v>
      </c>
      <c r="E515" s="23" t="str">
        <f>IFERROR(__xludf.DUMMYFUNCTION("""COMPUTED_VALUE"""),"Hard")</f>
        <v>Hard</v>
      </c>
      <c r="F515" s="23">
        <f>IFERROR(__xludf.DUMMYFUNCTION("""COMPUTED_VALUE"""),686.0)</f>
        <v>686</v>
      </c>
      <c r="G515" s="23">
        <f>IFERROR(__xludf.DUMMYFUNCTION("""COMPUTED_VALUE"""),32.0)</f>
        <v>32</v>
      </c>
      <c r="H515" s="23" t="str">
        <f>IFERROR(__xludf.DUMMYFUNCTION("""COMPUTED_VALUE"""),"Algorithms")</f>
        <v>Algorithms</v>
      </c>
      <c r="I515" s="23">
        <f>IFERROR(__xludf.DUMMYFUNCTION("""COMPUTED_VALUE"""),0.462)</f>
        <v>0.462</v>
      </c>
      <c r="J515" s="23">
        <f>IFERROR(__xludf.DUMMYFUNCTION("""COMPUTED_VALUE"""),514.0)</f>
        <v>514</v>
      </c>
      <c r="K515" s="23" t="b">
        <f>IFERROR(__xludf.DUMMYFUNCTION("""COMPUTED_VALUE"""),FALSE)</f>
        <v>0</v>
      </c>
      <c r="L515" s="23" t="str">
        <f>IFERROR(__xludf.DUMMYFUNCTION("""COMPUTED_VALUE"""),"String;Dynamic Programming;Depth-First Search;Breadth-First Search;")</f>
        <v>String;Dynamic Programming;Depth-First Search;Breadth-First Search;</v>
      </c>
      <c r="M515" s="23" t="b">
        <f>IFERROR(__xludf.DUMMYFUNCTION("""COMPUTED_VALUE"""),FALSE)</f>
        <v>0</v>
      </c>
      <c r="N515" s="23" t="b">
        <f>IFERROR(__xludf.DUMMYFUNCTION("""COMPUTED_VALUE"""),FALSE)</f>
        <v>0</v>
      </c>
      <c r="O515" s="23">
        <f>IFERROR(__xludf.DUMMYFUNCTION("""COMPUTED_VALUE"""),46.2158766807008)</f>
        <v>46.21587668</v>
      </c>
      <c r="P515" s="23">
        <f>IFERROR(__xludf.DUMMYFUNCTION("""COMPUTED_VALUE"""),27223.0)</f>
        <v>27223</v>
      </c>
      <c r="Q515" s="23">
        <f>IFERROR(__xludf.DUMMYFUNCTION("""COMPUTED_VALUE"""),58904.0)</f>
        <v>58904</v>
      </c>
    </row>
    <row r="516">
      <c r="A516" s="23">
        <f>IFERROR(__xludf.DUMMYFUNCTION("""COMPUTED_VALUE"""),515.0)</f>
        <v>515</v>
      </c>
      <c r="B516" s="23" t="str">
        <f>IFERROR(__xludf.DUMMYFUNCTION("""COMPUTED_VALUE"""),"Find Largest Value in Each Tree Row")</f>
        <v>Find Largest Value in Each Tree Row</v>
      </c>
      <c r="C516" s="23" t="str">
        <f>IFERROR(__xludf.DUMMYFUNCTION("""COMPUTED_VALUE"""),"find-largest-value-in-each-tree-row")</f>
        <v>find-largest-value-in-each-tree-row</v>
      </c>
      <c r="D516" s="23" t="b">
        <f>IFERROR(__xludf.DUMMYFUNCTION("""COMPUTED_VALUE"""),FALSE)</f>
        <v>0</v>
      </c>
      <c r="E516" s="23" t="str">
        <f>IFERROR(__xludf.DUMMYFUNCTION("""COMPUTED_VALUE"""),"Medium")</f>
        <v>Medium</v>
      </c>
      <c r="F516" s="23">
        <f>IFERROR(__xludf.DUMMYFUNCTION("""COMPUTED_VALUE"""),2004.0)</f>
        <v>2004</v>
      </c>
      <c r="G516" s="23">
        <f>IFERROR(__xludf.DUMMYFUNCTION("""COMPUTED_VALUE"""),83.0)</f>
        <v>83</v>
      </c>
      <c r="H516" s="23" t="str">
        <f>IFERROR(__xludf.DUMMYFUNCTION("""COMPUTED_VALUE"""),"Algorithms")</f>
        <v>Algorithms</v>
      </c>
      <c r="I516" s="23">
        <f>IFERROR(__xludf.DUMMYFUNCTION("""COMPUTED_VALUE"""),0.644)</f>
        <v>0.644</v>
      </c>
      <c r="J516" s="23">
        <f>IFERROR(__xludf.DUMMYFUNCTION("""COMPUTED_VALUE"""),515.0)</f>
        <v>515</v>
      </c>
      <c r="K516" s="23" t="b">
        <f>IFERROR(__xludf.DUMMYFUNCTION("""COMPUTED_VALUE"""),FALSE)</f>
        <v>0</v>
      </c>
      <c r="L516" s="23" t="str">
        <f>IFERROR(__xludf.DUMMYFUNCTION("""COMPUTED_VALUE"""),"Tree;Depth-First Search;Breadth-First Search;Binary Tree;")</f>
        <v>Tree;Depth-First Search;Breadth-First Search;Binary Tree;</v>
      </c>
      <c r="M516" s="23" t="b">
        <f>IFERROR(__xludf.DUMMYFUNCTION("""COMPUTED_VALUE"""),FALSE)</f>
        <v>0</v>
      </c>
      <c r="N516" s="23" t="b">
        <f>IFERROR(__xludf.DUMMYFUNCTION("""COMPUTED_VALUE"""),FALSE)</f>
        <v>0</v>
      </c>
      <c r="O516" s="23">
        <f>IFERROR(__xludf.DUMMYFUNCTION("""COMPUTED_VALUE"""),64.4461973669894)</f>
        <v>64.44619737</v>
      </c>
      <c r="P516" s="23">
        <f>IFERROR(__xludf.DUMMYFUNCTION("""COMPUTED_VALUE"""),189544.0)</f>
        <v>189544</v>
      </c>
      <c r="Q516" s="23">
        <f>IFERROR(__xludf.DUMMYFUNCTION("""COMPUTED_VALUE"""),294112.0)</f>
        <v>294112</v>
      </c>
    </row>
    <row r="517">
      <c r="A517" s="23">
        <f>IFERROR(__xludf.DUMMYFUNCTION("""COMPUTED_VALUE"""),516.0)</f>
        <v>516</v>
      </c>
      <c r="B517" s="23" t="str">
        <f>IFERROR(__xludf.DUMMYFUNCTION("""COMPUTED_VALUE"""),"Longest Palindromic Subsequence")</f>
        <v>Longest Palindromic Subsequence</v>
      </c>
      <c r="C517" s="23" t="str">
        <f>IFERROR(__xludf.DUMMYFUNCTION("""COMPUTED_VALUE"""),"longest-palindromic-subsequence")</f>
        <v>longest-palindromic-subsequence</v>
      </c>
      <c r="D517" s="23" t="b">
        <f>IFERROR(__xludf.DUMMYFUNCTION("""COMPUTED_VALUE"""),FALSE)</f>
        <v>0</v>
      </c>
      <c r="E517" s="23" t="str">
        <f>IFERROR(__xludf.DUMMYFUNCTION("""COMPUTED_VALUE"""),"Medium")</f>
        <v>Medium</v>
      </c>
      <c r="F517" s="23">
        <f>IFERROR(__xludf.DUMMYFUNCTION("""COMPUTED_VALUE"""),5085.0)</f>
        <v>5085</v>
      </c>
      <c r="G517" s="23">
        <f>IFERROR(__xludf.DUMMYFUNCTION("""COMPUTED_VALUE"""),246.0)</f>
        <v>246</v>
      </c>
      <c r="H517" s="23" t="str">
        <f>IFERROR(__xludf.DUMMYFUNCTION("""COMPUTED_VALUE"""),"Algorithms")</f>
        <v>Algorithms</v>
      </c>
      <c r="I517" s="23">
        <f>IFERROR(__xludf.DUMMYFUNCTION("""COMPUTED_VALUE"""),0.593)</f>
        <v>0.593</v>
      </c>
      <c r="J517" s="23">
        <f>IFERROR(__xludf.DUMMYFUNCTION("""COMPUTED_VALUE"""),516.0)</f>
        <v>516</v>
      </c>
      <c r="K517" s="23" t="b">
        <f>IFERROR(__xludf.DUMMYFUNCTION("""COMPUTED_VALUE"""),FALSE)</f>
        <v>0</v>
      </c>
      <c r="L517" s="23" t="str">
        <f>IFERROR(__xludf.DUMMYFUNCTION("""COMPUTED_VALUE"""),"String;Dynamic Programming;")</f>
        <v>String;Dynamic Programming;</v>
      </c>
      <c r="M517" s="23" t="b">
        <f>IFERROR(__xludf.DUMMYFUNCTION("""COMPUTED_VALUE"""),FALSE)</f>
        <v>0</v>
      </c>
      <c r="N517" s="23" t="b">
        <f>IFERROR(__xludf.DUMMYFUNCTION("""COMPUTED_VALUE"""),FALSE)</f>
        <v>0</v>
      </c>
      <c r="O517" s="23">
        <f>IFERROR(__xludf.DUMMYFUNCTION("""COMPUTED_VALUE"""),59.3120703994086)</f>
        <v>59.3120704</v>
      </c>
      <c r="P517" s="23">
        <f>IFERROR(__xludf.DUMMYFUNCTION("""COMPUTED_VALUE"""),250326.0)</f>
        <v>250326</v>
      </c>
      <c r="Q517" s="23">
        <f>IFERROR(__xludf.DUMMYFUNCTION("""COMPUTED_VALUE"""),422049.0)</f>
        <v>422049</v>
      </c>
    </row>
    <row r="518">
      <c r="A518" s="23">
        <f>IFERROR(__xludf.DUMMYFUNCTION("""COMPUTED_VALUE"""),517.0)</f>
        <v>517</v>
      </c>
      <c r="B518" s="23" t="str">
        <f>IFERROR(__xludf.DUMMYFUNCTION("""COMPUTED_VALUE"""),"Super Washing Machines")</f>
        <v>Super Washing Machines</v>
      </c>
      <c r="C518" s="23" t="str">
        <f>IFERROR(__xludf.DUMMYFUNCTION("""COMPUTED_VALUE"""),"super-washing-machines")</f>
        <v>super-washing-machines</v>
      </c>
      <c r="D518" s="23" t="b">
        <f>IFERROR(__xludf.DUMMYFUNCTION("""COMPUTED_VALUE"""),FALSE)</f>
        <v>0</v>
      </c>
      <c r="E518" s="23" t="str">
        <f>IFERROR(__xludf.DUMMYFUNCTION("""COMPUTED_VALUE"""),"Hard")</f>
        <v>Hard</v>
      </c>
      <c r="F518" s="23">
        <f>IFERROR(__xludf.DUMMYFUNCTION("""COMPUTED_VALUE"""),536.0)</f>
        <v>536</v>
      </c>
      <c r="G518" s="23">
        <f>IFERROR(__xludf.DUMMYFUNCTION("""COMPUTED_VALUE"""),178.0)</f>
        <v>178</v>
      </c>
      <c r="H518" s="23" t="str">
        <f>IFERROR(__xludf.DUMMYFUNCTION("""COMPUTED_VALUE"""),"Algorithms")</f>
        <v>Algorithms</v>
      </c>
      <c r="I518" s="23">
        <f>IFERROR(__xludf.DUMMYFUNCTION("""COMPUTED_VALUE"""),0.394)</f>
        <v>0.394</v>
      </c>
      <c r="J518" s="23">
        <f>IFERROR(__xludf.DUMMYFUNCTION("""COMPUTED_VALUE"""),517.0)</f>
        <v>517</v>
      </c>
      <c r="K518" s="23" t="b">
        <f>IFERROR(__xludf.DUMMYFUNCTION("""COMPUTED_VALUE"""),FALSE)</f>
        <v>0</v>
      </c>
      <c r="L518" s="23" t="str">
        <f>IFERROR(__xludf.DUMMYFUNCTION("""COMPUTED_VALUE"""),"Array;Greedy;")</f>
        <v>Array;Greedy;</v>
      </c>
      <c r="M518" s="23" t="b">
        <f>IFERROR(__xludf.DUMMYFUNCTION("""COMPUTED_VALUE"""),FALSE)</f>
        <v>0</v>
      </c>
      <c r="N518" s="23" t="b">
        <f>IFERROR(__xludf.DUMMYFUNCTION("""COMPUTED_VALUE"""),FALSE)</f>
        <v>0</v>
      </c>
      <c r="O518" s="23">
        <f>IFERROR(__xludf.DUMMYFUNCTION("""COMPUTED_VALUE"""),39.3662718596667)</f>
        <v>39.36627186</v>
      </c>
      <c r="P518" s="23">
        <f>IFERROR(__xludf.DUMMYFUNCTION("""COMPUTED_VALUE"""),21903.0)</f>
        <v>21903</v>
      </c>
      <c r="Q518" s="23">
        <f>IFERROR(__xludf.DUMMYFUNCTION("""COMPUTED_VALUE"""),55639.0)</f>
        <v>55639</v>
      </c>
    </row>
    <row r="519">
      <c r="A519" s="23">
        <f>IFERROR(__xludf.DUMMYFUNCTION("""COMPUTED_VALUE"""),518.0)</f>
        <v>518</v>
      </c>
      <c r="B519" s="23" t="str">
        <f>IFERROR(__xludf.DUMMYFUNCTION("""COMPUTED_VALUE"""),"Coin Change 2")</f>
        <v>Coin Change 2</v>
      </c>
      <c r="C519" s="23" t="str">
        <f>IFERROR(__xludf.DUMMYFUNCTION("""COMPUTED_VALUE"""),"coin-change-2")</f>
        <v>coin-change-2</v>
      </c>
      <c r="D519" s="23" t="b">
        <f>IFERROR(__xludf.DUMMYFUNCTION("""COMPUTED_VALUE"""),FALSE)</f>
        <v>0</v>
      </c>
      <c r="E519" s="23" t="str">
        <f>IFERROR(__xludf.DUMMYFUNCTION("""COMPUTED_VALUE"""),"Medium")</f>
        <v>Medium</v>
      </c>
      <c r="F519" s="23">
        <f>IFERROR(__xludf.DUMMYFUNCTION("""COMPUTED_VALUE"""),5054.0)</f>
        <v>5054</v>
      </c>
      <c r="G519" s="23">
        <f>IFERROR(__xludf.DUMMYFUNCTION("""COMPUTED_VALUE"""),100.0)</f>
        <v>100</v>
      </c>
      <c r="H519" s="23" t="str">
        <f>IFERROR(__xludf.DUMMYFUNCTION("""COMPUTED_VALUE"""),"Algorithms")</f>
        <v>Algorithms</v>
      </c>
      <c r="I519" s="23">
        <f>IFERROR(__xludf.DUMMYFUNCTION("""COMPUTED_VALUE"""),0.575)</f>
        <v>0.575</v>
      </c>
      <c r="J519" s="23">
        <f>IFERROR(__xludf.DUMMYFUNCTION("""COMPUTED_VALUE"""),518.0)</f>
        <v>518</v>
      </c>
      <c r="K519" s="23" t="b">
        <f>IFERROR(__xludf.DUMMYFUNCTION("""COMPUTED_VALUE"""),FALSE)</f>
        <v>0</v>
      </c>
      <c r="L519" s="23" t="str">
        <f>IFERROR(__xludf.DUMMYFUNCTION("""COMPUTED_VALUE"""),"Array;Dynamic Programming;")</f>
        <v>Array;Dynamic Programming;</v>
      </c>
      <c r="M519" s="23" t="b">
        <f>IFERROR(__xludf.DUMMYFUNCTION("""COMPUTED_VALUE"""),TRUE)</f>
        <v>1</v>
      </c>
      <c r="N519" s="23" t="b">
        <f>IFERROR(__xludf.DUMMYFUNCTION("""COMPUTED_VALUE"""),FALSE)</f>
        <v>0</v>
      </c>
      <c r="O519" s="23">
        <f>IFERROR(__xludf.DUMMYFUNCTION("""COMPUTED_VALUE"""),57.4672127723483)</f>
        <v>57.46721277</v>
      </c>
      <c r="P519" s="23">
        <f>IFERROR(__xludf.DUMMYFUNCTION("""COMPUTED_VALUE"""),288892.0)</f>
        <v>288892</v>
      </c>
      <c r="Q519" s="23">
        <f>IFERROR(__xludf.DUMMYFUNCTION("""COMPUTED_VALUE"""),502708.0)</f>
        <v>502708</v>
      </c>
    </row>
    <row r="520">
      <c r="A520" s="23">
        <f>IFERROR(__xludf.DUMMYFUNCTION("""COMPUTED_VALUE"""),913.0)</f>
        <v>913</v>
      </c>
      <c r="B520" s="23" t="str">
        <f>IFERROR(__xludf.DUMMYFUNCTION("""COMPUTED_VALUE"""),"Random Flip Matrix")</f>
        <v>Random Flip Matrix</v>
      </c>
      <c r="C520" s="23" t="str">
        <f>IFERROR(__xludf.DUMMYFUNCTION("""COMPUTED_VALUE"""),"random-flip-matrix")</f>
        <v>random-flip-matrix</v>
      </c>
      <c r="D520" s="23" t="b">
        <f>IFERROR(__xludf.DUMMYFUNCTION("""COMPUTED_VALUE"""),FALSE)</f>
        <v>0</v>
      </c>
      <c r="E520" s="23" t="str">
        <f>IFERROR(__xludf.DUMMYFUNCTION("""COMPUTED_VALUE"""),"Medium")</f>
        <v>Medium</v>
      </c>
      <c r="F520" s="23">
        <f>IFERROR(__xludf.DUMMYFUNCTION("""COMPUTED_VALUE"""),294.0)</f>
        <v>294</v>
      </c>
      <c r="G520" s="23">
        <f>IFERROR(__xludf.DUMMYFUNCTION("""COMPUTED_VALUE"""),89.0)</f>
        <v>89</v>
      </c>
      <c r="H520" s="23" t="str">
        <f>IFERROR(__xludf.DUMMYFUNCTION("""COMPUTED_VALUE"""),"Algorithms")</f>
        <v>Algorithms</v>
      </c>
      <c r="I520" s="23">
        <f>IFERROR(__xludf.DUMMYFUNCTION("""COMPUTED_VALUE"""),0.391)</f>
        <v>0.391</v>
      </c>
      <c r="J520" s="23">
        <f>IFERROR(__xludf.DUMMYFUNCTION("""COMPUTED_VALUE"""),519.0)</f>
        <v>519</v>
      </c>
      <c r="K520" s="23" t="b">
        <f>IFERROR(__xludf.DUMMYFUNCTION("""COMPUTED_VALUE"""),FALSE)</f>
        <v>0</v>
      </c>
      <c r="L520" s="23" t="str">
        <f>IFERROR(__xludf.DUMMYFUNCTION("""COMPUTED_VALUE"""),"Hash Table;Math;Reservoir Sampling;Randomized;")</f>
        <v>Hash Table;Math;Reservoir Sampling;Randomized;</v>
      </c>
      <c r="M520" s="23" t="b">
        <f>IFERROR(__xludf.DUMMYFUNCTION("""COMPUTED_VALUE"""),FALSE)</f>
        <v>0</v>
      </c>
      <c r="N520" s="23" t="b">
        <f>IFERROR(__xludf.DUMMYFUNCTION("""COMPUTED_VALUE"""),FALSE)</f>
        <v>0</v>
      </c>
      <c r="O520" s="23">
        <f>IFERROR(__xludf.DUMMYFUNCTION("""COMPUTED_VALUE"""),39.1033878504672)</f>
        <v>39.10338785</v>
      </c>
      <c r="P520" s="23">
        <f>IFERROR(__xludf.DUMMYFUNCTION("""COMPUTED_VALUE"""),13389.0)</f>
        <v>13389</v>
      </c>
      <c r="Q520" s="23">
        <f>IFERROR(__xludf.DUMMYFUNCTION("""COMPUTED_VALUE"""),34240.0)</f>
        <v>34240</v>
      </c>
    </row>
    <row r="521">
      <c r="A521" s="23">
        <f>IFERROR(__xludf.DUMMYFUNCTION("""COMPUTED_VALUE"""),520.0)</f>
        <v>520</v>
      </c>
      <c r="B521" s="23" t="str">
        <f>IFERROR(__xludf.DUMMYFUNCTION("""COMPUTED_VALUE"""),"Detect Capital")</f>
        <v>Detect Capital</v>
      </c>
      <c r="C521" s="23" t="str">
        <f>IFERROR(__xludf.DUMMYFUNCTION("""COMPUTED_VALUE"""),"detect-capital")</f>
        <v>detect-capital</v>
      </c>
      <c r="D521" s="23" t="b">
        <f>IFERROR(__xludf.DUMMYFUNCTION("""COMPUTED_VALUE"""),FALSE)</f>
        <v>0</v>
      </c>
      <c r="E521" s="23" t="str">
        <f>IFERROR(__xludf.DUMMYFUNCTION("""COMPUTED_VALUE"""),"Easy")</f>
        <v>Easy</v>
      </c>
      <c r="F521" s="23">
        <f>IFERROR(__xludf.DUMMYFUNCTION("""COMPUTED_VALUE"""),1598.0)</f>
        <v>1598</v>
      </c>
      <c r="G521" s="23">
        <f>IFERROR(__xludf.DUMMYFUNCTION("""COMPUTED_VALUE"""),363.0)</f>
        <v>363</v>
      </c>
      <c r="H521" s="23" t="str">
        <f>IFERROR(__xludf.DUMMYFUNCTION("""COMPUTED_VALUE"""),"Algorithms")</f>
        <v>Algorithms</v>
      </c>
      <c r="I521" s="23">
        <f>IFERROR(__xludf.DUMMYFUNCTION("""COMPUTED_VALUE"""),0.557)</f>
        <v>0.557</v>
      </c>
      <c r="J521" s="23">
        <f>IFERROR(__xludf.DUMMYFUNCTION("""COMPUTED_VALUE"""),520.0)</f>
        <v>520</v>
      </c>
      <c r="K521" s="23" t="b">
        <f>IFERROR(__xludf.DUMMYFUNCTION("""COMPUTED_VALUE"""),FALSE)</f>
        <v>0</v>
      </c>
      <c r="L521" s="23" t="str">
        <f>IFERROR(__xludf.DUMMYFUNCTION("""COMPUTED_VALUE"""),"String;")</f>
        <v>String;</v>
      </c>
      <c r="M521" s="23" t="b">
        <f>IFERROR(__xludf.DUMMYFUNCTION("""COMPUTED_VALUE"""),TRUE)</f>
        <v>1</v>
      </c>
      <c r="N521" s="23" t="b">
        <f>IFERROR(__xludf.DUMMYFUNCTION("""COMPUTED_VALUE"""),FALSE)</f>
        <v>0</v>
      </c>
      <c r="O521" s="23">
        <f>IFERROR(__xludf.DUMMYFUNCTION("""COMPUTED_VALUE"""),55.7040549468992)</f>
        <v>55.70405495</v>
      </c>
      <c r="P521" s="23">
        <f>IFERROR(__xludf.DUMMYFUNCTION("""COMPUTED_VALUE"""),262204.0)</f>
        <v>262204</v>
      </c>
      <c r="Q521" s="23">
        <f>IFERROR(__xludf.DUMMYFUNCTION("""COMPUTED_VALUE"""),470709.0)</f>
        <v>470709</v>
      </c>
    </row>
    <row r="522">
      <c r="A522" s="23">
        <f>IFERROR(__xludf.DUMMYFUNCTION("""COMPUTED_VALUE"""),521.0)</f>
        <v>521</v>
      </c>
      <c r="B522" s="23" t="str">
        <f>IFERROR(__xludf.DUMMYFUNCTION("""COMPUTED_VALUE"""),"Longest Uncommon Subsequence I")</f>
        <v>Longest Uncommon Subsequence I</v>
      </c>
      <c r="C522" s="23" t="str">
        <f>IFERROR(__xludf.DUMMYFUNCTION("""COMPUTED_VALUE"""),"longest-uncommon-subsequence-i")</f>
        <v>longest-uncommon-subsequence-i</v>
      </c>
      <c r="D522" s="23" t="b">
        <f>IFERROR(__xludf.DUMMYFUNCTION("""COMPUTED_VALUE"""),FALSE)</f>
        <v>0</v>
      </c>
      <c r="E522" s="23" t="str">
        <f>IFERROR(__xludf.DUMMYFUNCTION("""COMPUTED_VALUE"""),"Easy")</f>
        <v>Easy</v>
      </c>
      <c r="F522" s="23">
        <f>IFERROR(__xludf.DUMMYFUNCTION("""COMPUTED_VALUE"""),571.0)</f>
        <v>571</v>
      </c>
      <c r="G522" s="23">
        <f>IFERROR(__xludf.DUMMYFUNCTION("""COMPUTED_VALUE"""),5578.0)</f>
        <v>5578</v>
      </c>
      <c r="H522" s="23" t="str">
        <f>IFERROR(__xludf.DUMMYFUNCTION("""COMPUTED_VALUE"""),"Algorithms")</f>
        <v>Algorithms</v>
      </c>
      <c r="I522" s="23">
        <f>IFERROR(__xludf.DUMMYFUNCTION("""COMPUTED_VALUE"""),0.601)</f>
        <v>0.601</v>
      </c>
      <c r="J522" s="23">
        <f>IFERROR(__xludf.DUMMYFUNCTION("""COMPUTED_VALUE"""),521.0)</f>
        <v>521</v>
      </c>
      <c r="K522" s="23" t="b">
        <f>IFERROR(__xludf.DUMMYFUNCTION("""COMPUTED_VALUE"""),FALSE)</f>
        <v>0</v>
      </c>
      <c r="L522" s="23" t="str">
        <f>IFERROR(__xludf.DUMMYFUNCTION("""COMPUTED_VALUE"""),"String;")</f>
        <v>String;</v>
      </c>
      <c r="M522" s="23" t="b">
        <f>IFERROR(__xludf.DUMMYFUNCTION("""COMPUTED_VALUE"""),TRUE)</f>
        <v>1</v>
      </c>
      <c r="N522" s="23" t="b">
        <f>IFERROR(__xludf.DUMMYFUNCTION("""COMPUTED_VALUE"""),FALSE)</f>
        <v>0</v>
      </c>
      <c r="O522" s="23">
        <f>IFERROR(__xludf.DUMMYFUNCTION("""COMPUTED_VALUE"""),60.0998168826972)</f>
        <v>60.09981688</v>
      </c>
      <c r="P522" s="23">
        <f>IFERROR(__xludf.DUMMYFUNCTION("""COMPUTED_VALUE"""),83692.0)</f>
        <v>83692</v>
      </c>
      <c r="Q522" s="23">
        <f>IFERROR(__xludf.DUMMYFUNCTION("""COMPUTED_VALUE"""),139255.0)</f>
        <v>139255</v>
      </c>
    </row>
    <row r="523">
      <c r="A523" s="23">
        <f>IFERROR(__xludf.DUMMYFUNCTION("""COMPUTED_VALUE"""),522.0)</f>
        <v>522</v>
      </c>
      <c r="B523" s="23" t="str">
        <f>IFERROR(__xludf.DUMMYFUNCTION("""COMPUTED_VALUE"""),"Longest Uncommon Subsequence II")</f>
        <v>Longest Uncommon Subsequence II</v>
      </c>
      <c r="C523" s="23" t="str">
        <f>IFERROR(__xludf.DUMMYFUNCTION("""COMPUTED_VALUE"""),"longest-uncommon-subsequence-ii")</f>
        <v>longest-uncommon-subsequence-ii</v>
      </c>
      <c r="D523" s="23" t="b">
        <f>IFERROR(__xludf.DUMMYFUNCTION("""COMPUTED_VALUE"""),FALSE)</f>
        <v>0</v>
      </c>
      <c r="E523" s="23" t="str">
        <f>IFERROR(__xludf.DUMMYFUNCTION("""COMPUTED_VALUE"""),"Medium")</f>
        <v>Medium</v>
      </c>
      <c r="F523" s="23">
        <f>IFERROR(__xludf.DUMMYFUNCTION("""COMPUTED_VALUE"""),367.0)</f>
        <v>367</v>
      </c>
      <c r="G523" s="23">
        <f>IFERROR(__xludf.DUMMYFUNCTION("""COMPUTED_VALUE"""),1068.0)</f>
        <v>1068</v>
      </c>
      <c r="H523" s="23" t="str">
        <f>IFERROR(__xludf.DUMMYFUNCTION("""COMPUTED_VALUE"""),"Algorithms")</f>
        <v>Algorithms</v>
      </c>
      <c r="I523" s="23">
        <f>IFERROR(__xludf.DUMMYFUNCTION("""COMPUTED_VALUE"""),0.401)</f>
        <v>0.401</v>
      </c>
      <c r="J523" s="23">
        <f>IFERROR(__xludf.DUMMYFUNCTION("""COMPUTED_VALUE"""),522.0)</f>
        <v>522</v>
      </c>
      <c r="K523" s="23" t="b">
        <f>IFERROR(__xludf.DUMMYFUNCTION("""COMPUTED_VALUE"""),FALSE)</f>
        <v>0</v>
      </c>
      <c r="L523" s="23" t="str">
        <f>IFERROR(__xludf.DUMMYFUNCTION("""COMPUTED_VALUE"""),"Array;Hash Table;Two Pointers;String;Sorting;")</f>
        <v>Array;Hash Table;Two Pointers;String;Sorting;</v>
      </c>
      <c r="M523" s="23" t="b">
        <f>IFERROR(__xludf.DUMMYFUNCTION("""COMPUTED_VALUE"""),TRUE)</f>
        <v>1</v>
      </c>
      <c r="N523" s="23" t="b">
        <f>IFERROR(__xludf.DUMMYFUNCTION("""COMPUTED_VALUE"""),FALSE)</f>
        <v>0</v>
      </c>
      <c r="O523" s="23">
        <f>IFERROR(__xludf.DUMMYFUNCTION("""COMPUTED_VALUE"""),40.0951686485678)</f>
        <v>40.09516865</v>
      </c>
      <c r="P523" s="23">
        <f>IFERROR(__xludf.DUMMYFUNCTION("""COMPUTED_VALUE"""),42889.0)</f>
        <v>42889</v>
      </c>
      <c r="Q523" s="23">
        <f>IFERROR(__xludf.DUMMYFUNCTION("""COMPUTED_VALUE"""),106968.0)</f>
        <v>106968</v>
      </c>
    </row>
    <row r="524">
      <c r="A524" s="23">
        <f>IFERROR(__xludf.DUMMYFUNCTION("""COMPUTED_VALUE"""),523.0)</f>
        <v>523</v>
      </c>
      <c r="B524" s="23" t="str">
        <f>IFERROR(__xludf.DUMMYFUNCTION("""COMPUTED_VALUE"""),"Continuous Subarray Sum")</f>
        <v>Continuous Subarray Sum</v>
      </c>
      <c r="C524" s="23" t="str">
        <f>IFERROR(__xludf.DUMMYFUNCTION("""COMPUTED_VALUE"""),"continuous-subarray-sum")</f>
        <v>continuous-subarray-sum</v>
      </c>
      <c r="D524" s="23" t="b">
        <f>IFERROR(__xludf.DUMMYFUNCTION("""COMPUTED_VALUE"""),FALSE)</f>
        <v>0</v>
      </c>
      <c r="E524" s="23" t="str">
        <f>IFERROR(__xludf.DUMMYFUNCTION("""COMPUTED_VALUE"""),"Medium")</f>
        <v>Medium</v>
      </c>
      <c r="F524" s="23">
        <f>IFERROR(__xludf.DUMMYFUNCTION("""COMPUTED_VALUE"""),1809.0)</f>
        <v>1809</v>
      </c>
      <c r="G524" s="23">
        <f>IFERROR(__xludf.DUMMYFUNCTION("""COMPUTED_VALUE"""),251.0)</f>
        <v>251</v>
      </c>
      <c r="H524" s="23" t="str">
        <f>IFERROR(__xludf.DUMMYFUNCTION("""COMPUTED_VALUE"""),"Algorithms")</f>
        <v>Algorithms</v>
      </c>
      <c r="I524" s="23">
        <f>IFERROR(__xludf.DUMMYFUNCTION("""COMPUTED_VALUE"""),0.272)</f>
        <v>0.272</v>
      </c>
      <c r="J524" s="23">
        <f>IFERROR(__xludf.DUMMYFUNCTION("""COMPUTED_VALUE"""),523.0)</f>
        <v>523</v>
      </c>
      <c r="K524" s="23" t="b">
        <f>IFERROR(__xludf.DUMMYFUNCTION("""COMPUTED_VALUE"""),FALSE)</f>
        <v>0</v>
      </c>
      <c r="L524" s="23" t="str">
        <f>IFERROR(__xludf.DUMMYFUNCTION("""COMPUTED_VALUE"""),"Array;Hash Table;Math;Prefix Sum;")</f>
        <v>Array;Hash Table;Math;Prefix Sum;</v>
      </c>
      <c r="M524" s="23" t="b">
        <f>IFERROR(__xludf.DUMMYFUNCTION("""COMPUTED_VALUE"""),FALSE)</f>
        <v>0</v>
      </c>
      <c r="N524" s="23" t="b">
        <f>IFERROR(__xludf.DUMMYFUNCTION("""COMPUTED_VALUE"""),FALSE)</f>
        <v>0</v>
      </c>
      <c r="O524" s="23">
        <f>IFERROR(__xludf.DUMMYFUNCTION("""COMPUTED_VALUE"""),27.2484235691076)</f>
        <v>27.24842357</v>
      </c>
      <c r="P524" s="23">
        <f>IFERROR(__xludf.DUMMYFUNCTION("""COMPUTED_VALUE"""),288139.0)</f>
        <v>288139</v>
      </c>
      <c r="Q524" s="23">
        <f>IFERROR(__xludf.DUMMYFUNCTION("""COMPUTED_VALUE"""),1057451.0)</f>
        <v>1057451</v>
      </c>
    </row>
    <row r="525">
      <c r="A525" s="23">
        <f>IFERROR(__xludf.DUMMYFUNCTION("""COMPUTED_VALUE"""),524.0)</f>
        <v>524</v>
      </c>
      <c r="B525" s="23" t="str">
        <f>IFERROR(__xludf.DUMMYFUNCTION("""COMPUTED_VALUE"""),"Longest Word in Dictionary through Deleting")</f>
        <v>Longest Word in Dictionary through Deleting</v>
      </c>
      <c r="C525" s="23" t="str">
        <f>IFERROR(__xludf.DUMMYFUNCTION("""COMPUTED_VALUE"""),"longest-word-in-dictionary-through-deleting")</f>
        <v>longest-word-in-dictionary-through-deleting</v>
      </c>
      <c r="D525" s="23" t="b">
        <f>IFERROR(__xludf.DUMMYFUNCTION("""COMPUTED_VALUE"""),FALSE)</f>
        <v>0</v>
      </c>
      <c r="E525" s="23" t="str">
        <f>IFERROR(__xludf.DUMMYFUNCTION("""COMPUTED_VALUE"""),"Medium")</f>
        <v>Medium</v>
      </c>
      <c r="F525" s="23">
        <f>IFERROR(__xludf.DUMMYFUNCTION("""COMPUTED_VALUE"""),1313.0)</f>
        <v>1313</v>
      </c>
      <c r="G525" s="23">
        <f>IFERROR(__xludf.DUMMYFUNCTION("""COMPUTED_VALUE"""),329.0)</f>
        <v>329</v>
      </c>
      <c r="H525" s="23" t="str">
        <f>IFERROR(__xludf.DUMMYFUNCTION("""COMPUTED_VALUE"""),"Algorithms")</f>
        <v>Algorithms</v>
      </c>
      <c r="I525" s="23">
        <f>IFERROR(__xludf.DUMMYFUNCTION("""COMPUTED_VALUE"""),0.509)</f>
        <v>0.509</v>
      </c>
      <c r="J525" s="23">
        <f>IFERROR(__xludf.DUMMYFUNCTION("""COMPUTED_VALUE"""),524.0)</f>
        <v>524</v>
      </c>
      <c r="K525" s="23" t="b">
        <f>IFERROR(__xludf.DUMMYFUNCTION("""COMPUTED_VALUE"""),FALSE)</f>
        <v>0</v>
      </c>
      <c r="L525" s="23" t="str">
        <f>IFERROR(__xludf.DUMMYFUNCTION("""COMPUTED_VALUE"""),"Array;Two Pointers;String;Sorting;")</f>
        <v>Array;Two Pointers;String;Sorting;</v>
      </c>
      <c r="M525" s="23" t="b">
        <f>IFERROR(__xludf.DUMMYFUNCTION("""COMPUTED_VALUE"""),TRUE)</f>
        <v>1</v>
      </c>
      <c r="N525" s="23" t="b">
        <f>IFERROR(__xludf.DUMMYFUNCTION("""COMPUTED_VALUE"""),FALSE)</f>
        <v>0</v>
      </c>
      <c r="O525" s="23">
        <f>IFERROR(__xludf.DUMMYFUNCTION("""COMPUTED_VALUE"""),50.8726265694284)</f>
        <v>50.87262657</v>
      </c>
      <c r="P525" s="23">
        <f>IFERROR(__xludf.DUMMYFUNCTION("""COMPUTED_VALUE"""),125283.0)</f>
        <v>125283</v>
      </c>
      <c r="Q525" s="23">
        <f>IFERROR(__xludf.DUMMYFUNCTION("""COMPUTED_VALUE"""),246268.0)</f>
        <v>246268</v>
      </c>
    </row>
    <row r="526">
      <c r="A526" s="23">
        <f>IFERROR(__xludf.DUMMYFUNCTION("""COMPUTED_VALUE"""),525.0)</f>
        <v>525</v>
      </c>
      <c r="B526" s="23" t="str">
        <f>IFERROR(__xludf.DUMMYFUNCTION("""COMPUTED_VALUE"""),"Contiguous Array")</f>
        <v>Contiguous Array</v>
      </c>
      <c r="C526" s="23" t="str">
        <f>IFERROR(__xludf.DUMMYFUNCTION("""COMPUTED_VALUE"""),"contiguous-array")</f>
        <v>contiguous-array</v>
      </c>
      <c r="D526" s="23" t="b">
        <f>IFERROR(__xludf.DUMMYFUNCTION("""COMPUTED_VALUE"""),FALSE)</f>
        <v>0</v>
      </c>
      <c r="E526" s="23" t="str">
        <f>IFERROR(__xludf.DUMMYFUNCTION("""COMPUTED_VALUE"""),"Medium")</f>
        <v>Medium</v>
      </c>
      <c r="F526" s="23">
        <f>IFERROR(__xludf.DUMMYFUNCTION("""COMPUTED_VALUE"""),5269.0)</f>
        <v>5269</v>
      </c>
      <c r="G526" s="23">
        <f>IFERROR(__xludf.DUMMYFUNCTION("""COMPUTED_VALUE"""),229.0)</f>
        <v>229</v>
      </c>
      <c r="H526" s="23" t="str">
        <f>IFERROR(__xludf.DUMMYFUNCTION("""COMPUTED_VALUE"""),"Algorithms")</f>
        <v>Algorithms</v>
      </c>
      <c r="I526" s="23">
        <f>IFERROR(__xludf.DUMMYFUNCTION("""COMPUTED_VALUE"""),0.463)</f>
        <v>0.463</v>
      </c>
      <c r="J526" s="23">
        <f>IFERROR(__xludf.DUMMYFUNCTION("""COMPUTED_VALUE"""),525.0)</f>
        <v>525</v>
      </c>
      <c r="K526" s="23" t="b">
        <f>IFERROR(__xludf.DUMMYFUNCTION("""COMPUTED_VALUE"""),FALSE)</f>
        <v>0</v>
      </c>
      <c r="L526" s="23" t="str">
        <f>IFERROR(__xludf.DUMMYFUNCTION("""COMPUTED_VALUE"""),"Array;Hash Table;Prefix Sum;")</f>
        <v>Array;Hash Table;Prefix Sum;</v>
      </c>
      <c r="M526" s="23" t="b">
        <f>IFERROR(__xludf.DUMMYFUNCTION("""COMPUTED_VALUE"""),TRUE)</f>
        <v>1</v>
      </c>
      <c r="N526" s="23" t="b">
        <f>IFERROR(__xludf.DUMMYFUNCTION("""COMPUTED_VALUE"""),FALSE)</f>
        <v>0</v>
      </c>
      <c r="O526" s="23">
        <f>IFERROR(__xludf.DUMMYFUNCTION("""COMPUTED_VALUE"""),46.3132423481041)</f>
        <v>46.31324235</v>
      </c>
      <c r="P526" s="23">
        <f>IFERROR(__xludf.DUMMYFUNCTION("""COMPUTED_VALUE"""),259531.0)</f>
        <v>259531</v>
      </c>
      <c r="Q526" s="23">
        <f>IFERROR(__xludf.DUMMYFUNCTION("""COMPUTED_VALUE"""),560383.0)</f>
        <v>560383</v>
      </c>
    </row>
    <row r="527">
      <c r="A527" s="23">
        <f>IFERROR(__xludf.DUMMYFUNCTION("""COMPUTED_VALUE"""),526.0)</f>
        <v>526</v>
      </c>
      <c r="B527" s="23" t="str">
        <f>IFERROR(__xludf.DUMMYFUNCTION("""COMPUTED_VALUE"""),"Beautiful Arrangement")</f>
        <v>Beautiful Arrangement</v>
      </c>
      <c r="C527" s="23" t="str">
        <f>IFERROR(__xludf.DUMMYFUNCTION("""COMPUTED_VALUE"""),"beautiful-arrangement")</f>
        <v>beautiful-arrangement</v>
      </c>
      <c r="D527" s="23" t="b">
        <f>IFERROR(__xludf.DUMMYFUNCTION("""COMPUTED_VALUE"""),FALSE)</f>
        <v>0</v>
      </c>
      <c r="E527" s="23" t="str">
        <f>IFERROR(__xludf.DUMMYFUNCTION("""COMPUTED_VALUE"""),"Medium")</f>
        <v>Medium</v>
      </c>
      <c r="F527" s="23">
        <f>IFERROR(__xludf.DUMMYFUNCTION("""COMPUTED_VALUE"""),2120.0)</f>
        <v>2120</v>
      </c>
      <c r="G527" s="23">
        <f>IFERROR(__xludf.DUMMYFUNCTION("""COMPUTED_VALUE"""),286.0)</f>
        <v>286</v>
      </c>
      <c r="H527" s="23" t="str">
        <f>IFERROR(__xludf.DUMMYFUNCTION("""COMPUTED_VALUE"""),"Algorithms")</f>
        <v>Algorithms</v>
      </c>
      <c r="I527" s="23">
        <f>IFERROR(__xludf.DUMMYFUNCTION("""COMPUTED_VALUE"""),0.643)</f>
        <v>0.643</v>
      </c>
      <c r="J527" s="23">
        <f>IFERROR(__xludf.DUMMYFUNCTION("""COMPUTED_VALUE"""),526.0)</f>
        <v>526</v>
      </c>
      <c r="K527" s="23" t="b">
        <f>IFERROR(__xludf.DUMMYFUNCTION("""COMPUTED_VALUE"""),FALSE)</f>
        <v>0</v>
      </c>
      <c r="L527" s="23" t="str">
        <f>IFERROR(__xludf.DUMMYFUNCTION("""COMPUTED_VALUE"""),"Array;Dynamic Programming;Backtracking;Bit Manipulation;Bitmask;")</f>
        <v>Array;Dynamic Programming;Backtracking;Bit Manipulation;Bitmask;</v>
      </c>
      <c r="M527" s="23" t="b">
        <f>IFERROR(__xludf.DUMMYFUNCTION("""COMPUTED_VALUE"""),TRUE)</f>
        <v>1</v>
      </c>
      <c r="N527" s="23" t="b">
        <f>IFERROR(__xludf.DUMMYFUNCTION("""COMPUTED_VALUE"""),FALSE)</f>
        <v>0</v>
      </c>
      <c r="O527" s="23">
        <f>IFERROR(__xludf.DUMMYFUNCTION("""COMPUTED_VALUE"""),64.3249418744488)</f>
        <v>64.32494187</v>
      </c>
      <c r="P527" s="23">
        <f>IFERROR(__xludf.DUMMYFUNCTION("""COMPUTED_VALUE"""),128372.0)</f>
        <v>128372</v>
      </c>
      <c r="Q527" s="23">
        <f>IFERROR(__xludf.DUMMYFUNCTION("""COMPUTED_VALUE"""),199568.0)</f>
        <v>199568</v>
      </c>
    </row>
    <row r="528">
      <c r="A528" s="23">
        <f>IFERROR(__xludf.DUMMYFUNCTION("""COMPUTED_VALUE"""),527.0)</f>
        <v>527</v>
      </c>
      <c r="B528" s="23" t="str">
        <f>IFERROR(__xludf.DUMMYFUNCTION("""COMPUTED_VALUE"""),"Word Abbreviation")</f>
        <v>Word Abbreviation</v>
      </c>
      <c r="C528" s="23" t="str">
        <f>IFERROR(__xludf.DUMMYFUNCTION("""COMPUTED_VALUE"""),"word-abbreviation")</f>
        <v>word-abbreviation</v>
      </c>
      <c r="D528" s="23" t="b">
        <f>IFERROR(__xludf.DUMMYFUNCTION("""COMPUTED_VALUE"""),TRUE)</f>
        <v>1</v>
      </c>
      <c r="E528" s="23" t="str">
        <f>IFERROR(__xludf.DUMMYFUNCTION("""COMPUTED_VALUE"""),"Hard")</f>
        <v>Hard</v>
      </c>
      <c r="F528" s="23">
        <f>IFERROR(__xludf.DUMMYFUNCTION("""COMPUTED_VALUE"""),297.0)</f>
        <v>297</v>
      </c>
      <c r="G528" s="23">
        <f>IFERROR(__xludf.DUMMYFUNCTION("""COMPUTED_VALUE"""),202.0)</f>
        <v>202</v>
      </c>
      <c r="H528" s="23" t="str">
        <f>IFERROR(__xludf.DUMMYFUNCTION("""COMPUTED_VALUE"""),"Algorithms")</f>
        <v>Algorithms</v>
      </c>
      <c r="I528" s="23">
        <f>IFERROR(__xludf.DUMMYFUNCTION("""COMPUTED_VALUE"""),0.582)</f>
        <v>0.582</v>
      </c>
      <c r="J528" s="23">
        <f>IFERROR(__xludf.DUMMYFUNCTION("""COMPUTED_VALUE"""),527.0)</f>
        <v>527</v>
      </c>
      <c r="K528" s="23" t="b">
        <f>IFERROR(__xludf.DUMMYFUNCTION("""COMPUTED_VALUE"""),TRUE)</f>
        <v>1</v>
      </c>
      <c r="L528" s="23" t="str">
        <f>IFERROR(__xludf.DUMMYFUNCTION("""COMPUTED_VALUE"""),"Array;String;Greedy;Trie;Sorting;")</f>
        <v>Array;String;Greedy;Trie;Sorting;</v>
      </c>
      <c r="M528" s="23" t="b">
        <f>IFERROR(__xludf.DUMMYFUNCTION("""COMPUTED_VALUE"""),TRUE)</f>
        <v>1</v>
      </c>
      <c r="N528" s="23" t="b">
        <f>IFERROR(__xludf.DUMMYFUNCTION("""COMPUTED_VALUE"""),FALSE)</f>
        <v>0</v>
      </c>
      <c r="O528" s="23">
        <f>IFERROR(__xludf.DUMMYFUNCTION("""COMPUTED_VALUE"""),58.2109479305741)</f>
        <v>58.21094793</v>
      </c>
      <c r="P528" s="23">
        <f>IFERROR(__xludf.DUMMYFUNCTION("""COMPUTED_VALUE"""),21800.0)</f>
        <v>21800</v>
      </c>
      <c r="Q528" s="23">
        <f>IFERROR(__xludf.DUMMYFUNCTION("""COMPUTED_VALUE"""),37449.0)</f>
        <v>37449</v>
      </c>
    </row>
    <row r="529">
      <c r="A529" s="23">
        <f>IFERROR(__xludf.DUMMYFUNCTION("""COMPUTED_VALUE"""),912.0)</f>
        <v>912</v>
      </c>
      <c r="B529" s="23" t="str">
        <f>IFERROR(__xludf.DUMMYFUNCTION("""COMPUTED_VALUE"""),"Random Pick with Weight")</f>
        <v>Random Pick with Weight</v>
      </c>
      <c r="C529" s="23" t="str">
        <f>IFERROR(__xludf.DUMMYFUNCTION("""COMPUTED_VALUE"""),"random-pick-with-weight")</f>
        <v>random-pick-with-weight</v>
      </c>
      <c r="D529" s="23" t="b">
        <f>IFERROR(__xludf.DUMMYFUNCTION("""COMPUTED_VALUE"""),FALSE)</f>
        <v>0</v>
      </c>
      <c r="E529" s="23" t="str">
        <f>IFERROR(__xludf.DUMMYFUNCTION("""COMPUTED_VALUE"""),"Medium")</f>
        <v>Medium</v>
      </c>
      <c r="F529" s="23">
        <f>IFERROR(__xludf.DUMMYFUNCTION("""COMPUTED_VALUE"""),706.0)</f>
        <v>706</v>
      </c>
      <c r="G529" s="23">
        <f>IFERROR(__xludf.DUMMYFUNCTION("""COMPUTED_VALUE"""),267.0)</f>
        <v>267</v>
      </c>
      <c r="H529" s="23" t="str">
        <f>IFERROR(__xludf.DUMMYFUNCTION("""COMPUTED_VALUE"""),"Algorithms")</f>
        <v>Algorithms</v>
      </c>
      <c r="I529" s="23">
        <f>IFERROR(__xludf.DUMMYFUNCTION("""COMPUTED_VALUE"""),0.461)</f>
        <v>0.461</v>
      </c>
      <c r="J529" s="23">
        <f>IFERROR(__xludf.DUMMYFUNCTION("""COMPUTED_VALUE"""),528.0)</f>
        <v>528</v>
      </c>
      <c r="K529" s="23" t="b">
        <f>IFERROR(__xludf.DUMMYFUNCTION("""COMPUTED_VALUE"""),FALSE)</f>
        <v>0</v>
      </c>
      <c r="L529" s="23" t="str">
        <f>IFERROR(__xludf.DUMMYFUNCTION("""COMPUTED_VALUE"""),"Math;Binary Search;Prefix Sum;Randomized;")</f>
        <v>Math;Binary Search;Prefix Sum;Randomized;</v>
      </c>
      <c r="M529" s="23" t="b">
        <f>IFERROR(__xludf.DUMMYFUNCTION("""COMPUTED_VALUE"""),TRUE)</f>
        <v>1</v>
      </c>
      <c r="N529" s="23" t="b">
        <f>IFERROR(__xludf.DUMMYFUNCTION("""COMPUTED_VALUE"""),FALSE)</f>
        <v>0</v>
      </c>
      <c r="O529" s="23">
        <f>IFERROR(__xludf.DUMMYFUNCTION("""COMPUTED_VALUE"""),46.0987609272127)</f>
        <v>46.09876093</v>
      </c>
      <c r="P529" s="23">
        <f>IFERROR(__xludf.DUMMYFUNCTION("""COMPUTED_VALUE"""),293094.0)</f>
        <v>293094</v>
      </c>
      <c r="Q529" s="23">
        <f>IFERROR(__xludf.DUMMYFUNCTION("""COMPUTED_VALUE"""),635796.0)</f>
        <v>635796</v>
      </c>
    </row>
    <row r="530">
      <c r="A530" s="23">
        <f>IFERROR(__xludf.DUMMYFUNCTION("""COMPUTED_VALUE"""),529.0)</f>
        <v>529</v>
      </c>
      <c r="B530" s="23" t="str">
        <f>IFERROR(__xludf.DUMMYFUNCTION("""COMPUTED_VALUE"""),"Minesweeper")</f>
        <v>Minesweeper</v>
      </c>
      <c r="C530" s="23" t="str">
        <f>IFERROR(__xludf.DUMMYFUNCTION("""COMPUTED_VALUE"""),"minesweeper")</f>
        <v>minesweeper</v>
      </c>
      <c r="D530" s="23" t="b">
        <f>IFERROR(__xludf.DUMMYFUNCTION("""COMPUTED_VALUE"""),FALSE)</f>
        <v>0</v>
      </c>
      <c r="E530" s="23" t="str">
        <f>IFERROR(__xludf.DUMMYFUNCTION("""COMPUTED_VALUE"""),"Medium")</f>
        <v>Medium</v>
      </c>
      <c r="F530" s="23">
        <f>IFERROR(__xludf.DUMMYFUNCTION("""COMPUTED_VALUE"""),1382.0)</f>
        <v>1382</v>
      </c>
      <c r="G530" s="23">
        <f>IFERROR(__xludf.DUMMYFUNCTION("""COMPUTED_VALUE"""),860.0)</f>
        <v>860</v>
      </c>
      <c r="H530" s="23" t="str">
        <f>IFERROR(__xludf.DUMMYFUNCTION("""COMPUTED_VALUE"""),"Algorithms")</f>
        <v>Algorithms</v>
      </c>
      <c r="I530" s="23">
        <f>IFERROR(__xludf.DUMMYFUNCTION("""COMPUTED_VALUE"""),0.647)</f>
        <v>0.647</v>
      </c>
      <c r="J530" s="23">
        <f>IFERROR(__xludf.DUMMYFUNCTION("""COMPUTED_VALUE"""),529.0)</f>
        <v>529</v>
      </c>
      <c r="K530" s="23" t="b">
        <f>IFERROR(__xludf.DUMMYFUNCTION("""COMPUTED_VALUE"""),FALSE)</f>
        <v>0</v>
      </c>
      <c r="L530" s="23" t="str">
        <f>IFERROR(__xludf.DUMMYFUNCTION("""COMPUTED_VALUE"""),"Array;Depth-First Search;Breadth-First Search;Matrix;")</f>
        <v>Array;Depth-First Search;Breadth-First Search;Matrix;</v>
      </c>
      <c r="M530" s="23" t="b">
        <f>IFERROR(__xludf.DUMMYFUNCTION("""COMPUTED_VALUE"""),FALSE)</f>
        <v>0</v>
      </c>
      <c r="N530" s="23" t="b">
        <f>IFERROR(__xludf.DUMMYFUNCTION("""COMPUTED_VALUE"""),FALSE)</f>
        <v>0</v>
      </c>
      <c r="O530" s="23">
        <f>IFERROR(__xludf.DUMMYFUNCTION("""COMPUTED_VALUE"""),64.6724700030249)</f>
        <v>64.67247</v>
      </c>
      <c r="P530" s="23">
        <f>IFERROR(__xludf.DUMMYFUNCTION("""COMPUTED_VALUE"""),115452.0)</f>
        <v>115452</v>
      </c>
      <c r="Q530" s="23">
        <f>IFERROR(__xludf.DUMMYFUNCTION("""COMPUTED_VALUE"""),178518.0)</f>
        <v>178518</v>
      </c>
    </row>
    <row r="531">
      <c r="A531" s="23">
        <f>IFERROR(__xludf.DUMMYFUNCTION("""COMPUTED_VALUE"""),530.0)</f>
        <v>530</v>
      </c>
      <c r="B531" s="23" t="str">
        <f>IFERROR(__xludf.DUMMYFUNCTION("""COMPUTED_VALUE"""),"Minimum Absolute Difference in BST")</f>
        <v>Minimum Absolute Difference in BST</v>
      </c>
      <c r="C531" s="23" t="str">
        <f>IFERROR(__xludf.DUMMYFUNCTION("""COMPUTED_VALUE"""),"minimum-absolute-difference-in-bst")</f>
        <v>minimum-absolute-difference-in-bst</v>
      </c>
      <c r="D531" s="23" t="b">
        <f>IFERROR(__xludf.DUMMYFUNCTION("""COMPUTED_VALUE"""),FALSE)</f>
        <v>0</v>
      </c>
      <c r="E531" s="23" t="str">
        <f>IFERROR(__xludf.DUMMYFUNCTION("""COMPUTED_VALUE"""),"Easy")</f>
        <v>Easy</v>
      </c>
      <c r="F531" s="23">
        <f>IFERROR(__xludf.DUMMYFUNCTION("""COMPUTED_VALUE"""),2017.0)</f>
        <v>2017</v>
      </c>
      <c r="G531" s="23">
        <f>IFERROR(__xludf.DUMMYFUNCTION("""COMPUTED_VALUE"""),118.0)</f>
        <v>118</v>
      </c>
      <c r="H531" s="23" t="str">
        <f>IFERROR(__xludf.DUMMYFUNCTION("""COMPUTED_VALUE"""),"Algorithms")</f>
        <v>Algorithms</v>
      </c>
      <c r="I531" s="23">
        <f>IFERROR(__xludf.DUMMYFUNCTION("""COMPUTED_VALUE"""),0.562)</f>
        <v>0.562</v>
      </c>
      <c r="J531" s="23">
        <f>IFERROR(__xludf.DUMMYFUNCTION("""COMPUTED_VALUE"""),530.0)</f>
        <v>530</v>
      </c>
      <c r="K531" s="23" t="b">
        <f>IFERROR(__xludf.DUMMYFUNCTION("""COMPUTED_VALUE"""),FALSE)</f>
        <v>0</v>
      </c>
      <c r="L531" s="23" t="str">
        <f>IFERROR(__xludf.DUMMYFUNCTION("""COMPUTED_VALUE"""),"Tree;Depth-First Search;Breadth-First Search;Binary Search Tree;Binary Tree;")</f>
        <v>Tree;Depth-First Search;Breadth-First Search;Binary Search Tree;Binary Tree;</v>
      </c>
      <c r="M531" s="23" t="b">
        <f>IFERROR(__xludf.DUMMYFUNCTION("""COMPUTED_VALUE"""),FALSE)</f>
        <v>0</v>
      </c>
      <c r="N531" s="23" t="b">
        <f>IFERROR(__xludf.DUMMYFUNCTION("""COMPUTED_VALUE"""),FALSE)</f>
        <v>0</v>
      </c>
      <c r="O531" s="23">
        <f>IFERROR(__xludf.DUMMYFUNCTION("""COMPUTED_VALUE"""),56.2410746000333)</f>
        <v>56.2410746</v>
      </c>
      <c r="P531" s="23">
        <f>IFERROR(__xludf.DUMMYFUNCTION("""COMPUTED_VALUE"""),155168.0)</f>
        <v>155168</v>
      </c>
      <c r="Q531" s="23">
        <f>IFERROR(__xludf.DUMMYFUNCTION("""COMPUTED_VALUE"""),275898.0)</f>
        <v>275898</v>
      </c>
    </row>
    <row r="532">
      <c r="A532" s="23">
        <f>IFERROR(__xludf.DUMMYFUNCTION("""COMPUTED_VALUE"""),531.0)</f>
        <v>531</v>
      </c>
      <c r="B532" s="23" t="str">
        <f>IFERROR(__xludf.DUMMYFUNCTION("""COMPUTED_VALUE"""),"Lonely Pixel I")</f>
        <v>Lonely Pixel I</v>
      </c>
      <c r="C532" s="23" t="str">
        <f>IFERROR(__xludf.DUMMYFUNCTION("""COMPUTED_VALUE"""),"lonely-pixel-i")</f>
        <v>lonely-pixel-i</v>
      </c>
      <c r="D532" s="23" t="b">
        <f>IFERROR(__xludf.DUMMYFUNCTION("""COMPUTED_VALUE"""),TRUE)</f>
        <v>1</v>
      </c>
      <c r="E532" s="23" t="str">
        <f>IFERROR(__xludf.DUMMYFUNCTION("""COMPUTED_VALUE"""),"Medium")</f>
        <v>Medium</v>
      </c>
      <c r="F532" s="23">
        <f>IFERROR(__xludf.DUMMYFUNCTION("""COMPUTED_VALUE"""),299.0)</f>
        <v>299</v>
      </c>
      <c r="G532" s="23">
        <f>IFERROR(__xludf.DUMMYFUNCTION("""COMPUTED_VALUE"""),35.0)</f>
        <v>35</v>
      </c>
      <c r="H532" s="23" t="str">
        <f>IFERROR(__xludf.DUMMYFUNCTION("""COMPUTED_VALUE"""),"Algorithms")</f>
        <v>Algorithms</v>
      </c>
      <c r="I532" s="23">
        <f>IFERROR(__xludf.DUMMYFUNCTION("""COMPUTED_VALUE"""),0.607)</f>
        <v>0.607</v>
      </c>
      <c r="J532" s="23">
        <f>IFERROR(__xludf.DUMMYFUNCTION("""COMPUTED_VALUE"""),531.0)</f>
        <v>531</v>
      </c>
      <c r="K532" s="23" t="b">
        <f>IFERROR(__xludf.DUMMYFUNCTION("""COMPUTED_VALUE"""),TRUE)</f>
        <v>1</v>
      </c>
      <c r="L532" s="23" t="str">
        <f>IFERROR(__xludf.DUMMYFUNCTION("""COMPUTED_VALUE"""),"Array;Hash Table;Matrix;")</f>
        <v>Array;Hash Table;Matrix;</v>
      </c>
      <c r="M532" s="23" t="b">
        <f>IFERROR(__xludf.DUMMYFUNCTION("""COMPUTED_VALUE"""),FALSE)</f>
        <v>0</v>
      </c>
      <c r="N532" s="23" t="b">
        <f>IFERROR(__xludf.DUMMYFUNCTION("""COMPUTED_VALUE"""),FALSE)</f>
        <v>0</v>
      </c>
      <c r="O532" s="23">
        <f>IFERROR(__xludf.DUMMYFUNCTION("""COMPUTED_VALUE"""),60.6509460046609)</f>
        <v>60.650946</v>
      </c>
      <c r="P532" s="23">
        <f>IFERROR(__xludf.DUMMYFUNCTION("""COMPUTED_VALUE"""),30710.0)</f>
        <v>30710</v>
      </c>
      <c r="Q532" s="23">
        <f>IFERROR(__xludf.DUMMYFUNCTION("""COMPUTED_VALUE"""),50634.0)</f>
        <v>50634</v>
      </c>
    </row>
    <row r="533">
      <c r="A533" s="23">
        <f>IFERROR(__xludf.DUMMYFUNCTION("""COMPUTED_VALUE"""),532.0)</f>
        <v>532</v>
      </c>
      <c r="B533" s="23" t="str">
        <f>IFERROR(__xludf.DUMMYFUNCTION("""COMPUTED_VALUE"""),"K-diff Pairs in an Array")</f>
        <v>K-diff Pairs in an Array</v>
      </c>
      <c r="C533" s="23" t="str">
        <f>IFERROR(__xludf.DUMMYFUNCTION("""COMPUTED_VALUE"""),"k-diff-pairs-in-an-array")</f>
        <v>k-diff-pairs-in-an-array</v>
      </c>
      <c r="D533" s="23" t="b">
        <f>IFERROR(__xludf.DUMMYFUNCTION("""COMPUTED_VALUE"""),FALSE)</f>
        <v>0</v>
      </c>
      <c r="E533" s="23" t="str">
        <f>IFERROR(__xludf.DUMMYFUNCTION("""COMPUTED_VALUE"""),"Medium")</f>
        <v>Medium</v>
      </c>
      <c r="F533" s="23">
        <f>IFERROR(__xludf.DUMMYFUNCTION("""COMPUTED_VALUE"""),2568.0)</f>
        <v>2568</v>
      </c>
      <c r="G533" s="23">
        <f>IFERROR(__xludf.DUMMYFUNCTION("""COMPUTED_VALUE"""),2050.0)</f>
        <v>2050</v>
      </c>
      <c r="H533" s="23" t="str">
        <f>IFERROR(__xludf.DUMMYFUNCTION("""COMPUTED_VALUE"""),"Algorithms")</f>
        <v>Algorithms</v>
      </c>
      <c r="I533" s="23">
        <f>IFERROR(__xludf.DUMMYFUNCTION("""COMPUTED_VALUE"""),0.401)</f>
        <v>0.401</v>
      </c>
      <c r="J533" s="23">
        <f>IFERROR(__xludf.DUMMYFUNCTION("""COMPUTED_VALUE"""),532.0)</f>
        <v>532</v>
      </c>
      <c r="K533" s="23" t="b">
        <f>IFERROR(__xludf.DUMMYFUNCTION("""COMPUTED_VALUE"""),FALSE)</f>
        <v>0</v>
      </c>
      <c r="L533" s="23" t="str">
        <f>IFERROR(__xludf.DUMMYFUNCTION("""COMPUTED_VALUE"""),"Array;Hash Table;Two Pointers;Binary Search;Sorting;")</f>
        <v>Array;Hash Table;Two Pointers;Binary Search;Sorting;</v>
      </c>
      <c r="M533" s="23" t="b">
        <f>IFERROR(__xludf.DUMMYFUNCTION("""COMPUTED_VALUE"""),TRUE)</f>
        <v>1</v>
      </c>
      <c r="N533" s="23" t="b">
        <f>IFERROR(__xludf.DUMMYFUNCTION("""COMPUTED_VALUE"""),FALSE)</f>
        <v>0</v>
      </c>
      <c r="O533" s="23">
        <f>IFERROR(__xludf.DUMMYFUNCTION("""COMPUTED_VALUE"""),40.1229327049964)</f>
        <v>40.1229327</v>
      </c>
      <c r="P533" s="23">
        <f>IFERROR(__xludf.DUMMYFUNCTION("""COMPUTED_VALUE"""),252356.0)</f>
        <v>252356</v>
      </c>
      <c r="Q533" s="23">
        <f>IFERROR(__xludf.DUMMYFUNCTION("""COMPUTED_VALUE"""),628956.0)</f>
        <v>628956</v>
      </c>
    </row>
    <row r="534">
      <c r="A534" s="23">
        <f>IFERROR(__xludf.DUMMYFUNCTION("""COMPUTED_VALUE"""),533.0)</f>
        <v>533</v>
      </c>
      <c r="B534" s="23" t="str">
        <f>IFERROR(__xludf.DUMMYFUNCTION("""COMPUTED_VALUE"""),"Lonely Pixel II")</f>
        <v>Lonely Pixel II</v>
      </c>
      <c r="C534" s="23" t="str">
        <f>IFERROR(__xludf.DUMMYFUNCTION("""COMPUTED_VALUE"""),"lonely-pixel-ii")</f>
        <v>lonely-pixel-ii</v>
      </c>
      <c r="D534" s="23" t="b">
        <f>IFERROR(__xludf.DUMMYFUNCTION("""COMPUTED_VALUE"""),TRUE)</f>
        <v>1</v>
      </c>
      <c r="E534" s="23" t="str">
        <f>IFERROR(__xludf.DUMMYFUNCTION("""COMPUTED_VALUE"""),"Medium")</f>
        <v>Medium</v>
      </c>
      <c r="F534" s="23">
        <f>IFERROR(__xludf.DUMMYFUNCTION("""COMPUTED_VALUE"""),72.0)</f>
        <v>72</v>
      </c>
      <c r="G534" s="23">
        <f>IFERROR(__xludf.DUMMYFUNCTION("""COMPUTED_VALUE"""),681.0)</f>
        <v>681</v>
      </c>
      <c r="H534" s="23" t="str">
        <f>IFERROR(__xludf.DUMMYFUNCTION("""COMPUTED_VALUE"""),"Algorithms")</f>
        <v>Algorithms</v>
      </c>
      <c r="I534" s="23">
        <f>IFERROR(__xludf.DUMMYFUNCTION("""COMPUTED_VALUE"""),0.483)</f>
        <v>0.483</v>
      </c>
      <c r="J534" s="23">
        <f>IFERROR(__xludf.DUMMYFUNCTION("""COMPUTED_VALUE"""),533.0)</f>
        <v>533</v>
      </c>
      <c r="K534" s="23" t="b">
        <f>IFERROR(__xludf.DUMMYFUNCTION("""COMPUTED_VALUE"""),TRUE)</f>
        <v>1</v>
      </c>
      <c r="L534" s="23" t="str">
        <f>IFERROR(__xludf.DUMMYFUNCTION("""COMPUTED_VALUE"""),"Array;Hash Table;Matrix;")</f>
        <v>Array;Hash Table;Matrix;</v>
      </c>
      <c r="M534" s="23" t="b">
        <f>IFERROR(__xludf.DUMMYFUNCTION("""COMPUTED_VALUE"""),FALSE)</f>
        <v>0</v>
      </c>
      <c r="N534" s="23" t="b">
        <f>IFERROR(__xludf.DUMMYFUNCTION("""COMPUTED_VALUE"""),FALSE)</f>
        <v>0</v>
      </c>
      <c r="O534" s="23">
        <f>IFERROR(__xludf.DUMMYFUNCTION("""COMPUTED_VALUE"""),48.3329973795605)</f>
        <v>48.33299738</v>
      </c>
      <c r="P534" s="23">
        <f>IFERROR(__xludf.DUMMYFUNCTION("""COMPUTED_VALUE"""),11989.0)</f>
        <v>11989</v>
      </c>
      <c r="Q534" s="23">
        <f>IFERROR(__xludf.DUMMYFUNCTION("""COMPUTED_VALUE"""),24805.0)</f>
        <v>24805</v>
      </c>
    </row>
    <row r="535">
      <c r="A535" s="23">
        <f>IFERROR(__xludf.DUMMYFUNCTION("""COMPUTED_VALUE"""),1181.0)</f>
        <v>1181</v>
      </c>
      <c r="B535" s="23" t="str">
        <f>IFERROR(__xludf.DUMMYFUNCTION("""COMPUTED_VALUE"""),"Game Play Analysis III")</f>
        <v>Game Play Analysis III</v>
      </c>
      <c r="C535" s="23" t="str">
        <f>IFERROR(__xludf.DUMMYFUNCTION("""COMPUTED_VALUE"""),"game-play-analysis-iii")</f>
        <v>game-play-analysis-iii</v>
      </c>
      <c r="D535" s="23" t="b">
        <f>IFERROR(__xludf.DUMMYFUNCTION("""COMPUTED_VALUE"""),TRUE)</f>
        <v>1</v>
      </c>
      <c r="E535" s="23" t="str">
        <f>IFERROR(__xludf.DUMMYFUNCTION("""COMPUTED_VALUE"""),"Medium")</f>
        <v>Medium</v>
      </c>
      <c r="F535" s="23">
        <f>IFERROR(__xludf.DUMMYFUNCTION("""COMPUTED_VALUE"""),267.0)</f>
        <v>267</v>
      </c>
      <c r="G535" s="23">
        <f>IFERROR(__xludf.DUMMYFUNCTION("""COMPUTED_VALUE"""),12.0)</f>
        <v>12</v>
      </c>
      <c r="H535" s="23" t="str">
        <f>IFERROR(__xludf.DUMMYFUNCTION("""COMPUTED_VALUE"""),"Database")</f>
        <v>Database</v>
      </c>
      <c r="I535" s="23">
        <f>IFERROR(__xludf.DUMMYFUNCTION("""COMPUTED_VALUE"""),0.82)</f>
        <v>0.82</v>
      </c>
      <c r="J535" s="23">
        <f>IFERROR(__xludf.DUMMYFUNCTION("""COMPUTED_VALUE"""),534.0)</f>
        <v>534</v>
      </c>
      <c r="K535" s="23" t="b">
        <f>IFERROR(__xludf.DUMMYFUNCTION("""COMPUTED_VALUE"""),TRUE)</f>
        <v>1</v>
      </c>
      <c r="L535" s="23" t="str">
        <f>IFERROR(__xludf.DUMMYFUNCTION("""COMPUTED_VALUE"""),"Database;")</f>
        <v>Database;</v>
      </c>
      <c r="M535" s="23" t="b">
        <f>IFERROR(__xludf.DUMMYFUNCTION("""COMPUTED_VALUE"""),FALSE)</f>
        <v>0</v>
      </c>
      <c r="N535" s="23" t="b">
        <f>IFERROR(__xludf.DUMMYFUNCTION("""COMPUTED_VALUE"""),FALSE)</f>
        <v>0</v>
      </c>
      <c r="O535" s="23">
        <f>IFERROR(__xludf.DUMMYFUNCTION("""COMPUTED_VALUE"""),82.0357514751822)</f>
        <v>82.03575148</v>
      </c>
      <c r="P535" s="23">
        <f>IFERROR(__xludf.DUMMYFUNCTION("""COMPUTED_VALUE"""),47269.0)</f>
        <v>47269</v>
      </c>
      <c r="Q535" s="23">
        <f>IFERROR(__xludf.DUMMYFUNCTION("""COMPUTED_VALUE"""),57620.0)</f>
        <v>57620</v>
      </c>
    </row>
    <row r="536">
      <c r="A536" s="23">
        <f>IFERROR(__xludf.DUMMYFUNCTION("""COMPUTED_VALUE"""),535.0)</f>
        <v>535</v>
      </c>
      <c r="B536" s="23" t="str">
        <f>IFERROR(__xludf.DUMMYFUNCTION("""COMPUTED_VALUE"""),"Encode and Decode TinyURL")</f>
        <v>Encode and Decode TinyURL</v>
      </c>
      <c r="C536" s="23" t="str">
        <f>IFERROR(__xludf.DUMMYFUNCTION("""COMPUTED_VALUE"""),"encode-and-decode-tinyurl")</f>
        <v>encode-and-decode-tinyurl</v>
      </c>
      <c r="D536" s="23" t="b">
        <f>IFERROR(__xludf.DUMMYFUNCTION("""COMPUTED_VALUE"""),FALSE)</f>
        <v>0</v>
      </c>
      <c r="E536" s="23" t="str">
        <f>IFERROR(__xludf.DUMMYFUNCTION("""COMPUTED_VALUE"""),"Medium")</f>
        <v>Medium</v>
      </c>
      <c r="F536" s="23">
        <f>IFERROR(__xludf.DUMMYFUNCTION("""COMPUTED_VALUE"""),1564.0)</f>
        <v>1564</v>
      </c>
      <c r="G536" s="23">
        <f>IFERROR(__xludf.DUMMYFUNCTION("""COMPUTED_VALUE"""),3018.0)</f>
        <v>3018</v>
      </c>
      <c r="H536" s="23" t="str">
        <f>IFERROR(__xludf.DUMMYFUNCTION("""COMPUTED_VALUE"""),"Algorithms")</f>
        <v>Algorithms</v>
      </c>
      <c r="I536" s="23">
        <f>IFERROR(__xludf.DUMMYFUNCTION("""COMPUTED_VALUE"""),0.854)</f>
        <v>0.854</v>
      </c>
      <c r="J536" s="23">
        <f>IFERROR(__xludf.DUMMYFUNCTION("""COMPUTED_VALUE"""),535.0)</f>
        <v>535</v>
      </c>
      <c r="K536" s="23" t="b">
        <f>IFERROR(__xludf.DUMMYFUNCTION("""COMPUTED_VALUE"""),FALSE)</f>
        <v>0</v>
      </c>
      <c r="L536" s="23" t="str">
        <f>IFERROR(__xludf.DUMMYFUNCTION("""COMPUTED_VALUE"""),"Hash Table;String;Design;Hash Function;")</f>
        <v>Hash Table;String;Design;Hash Function;</v>
      </c>
      <c r="M536" s="23" t="b">
        <f>IFERROR(__xludf.DUMMYFUNCTION("""COMPUTED_VALUE"""),TRUE)</f>
        <v>1</v>
      </c>
      <c r="N536" s="23" t="b">
        <f>IFERROR(__xludf.DUMMYFUNCTION("""COMPUTED_VALUE"""),FALSE)</f>
        <v>0</v>
      </c>
      <c r="O536" s="23">
        <f>IFERROR(__xludf.DUMMYFUNCTION("""COMPUTED_VALUE"""),85.4021746897053)</f>
        <v>85.40217469</v>
      </c>
      <c r="P536" s="23">
        <f>IFERROR(__xludf.DUMMYFUNCTION("""COMPUTED_VALUE"""),203186.0)</f>
        <v>203186</v>
      </c>
      <c r="Q536" s="23">
        <f>IFERROR(__xludf.DUMMYFUNCTION("""COMPUTED_VALUE"""),237917.0)</f>
        <v>237917</v>
      </c>
    </row>
    <row r="537">
      <c r="A537" s="23">
        <f>IFERROR(__xludf.DUMMYFUNCTION("""COMPUTED_VALUE"""),536.0)</f>
        <v>536</v>
      </c>
      <c r="B537" s="23" t="str">
        <f>IFERROR(__xludf.DUMMYFUNCTION("""COMPUTED_VALUE"""),"Construct Binary Tree from String")</f>
        <v>Construct Binary Tree from String</v>
      </c>
      <c r="C537" s="23" t="str">
        <f>IFERROR(__xludf.DUMMYFUNCTION("""COMPUTED_VALUE"""),"construct-binary-tree-from-string")</f>
        <v>construct-binary-tree-from-string</v>
      </c>
      <c r="D537" s="23" t="b">
        <f>IFERROR(__xludf.DUMMYFUNCTION("""COMPUTED_VALUE"""),TRUE)</f>
        <v>1</v>
      </c>
      <c r="E537" s="23" t="str">
        <f>IFERROR(__xludf.DUMMYFUNCTION("""COMPUTED_VALUE"""),"Medium")</f>
        <v>Medium</v>
      </c>
      <c r="F537" s="23">
        <f>IFERROR(__xludf.DUMMYFUNCTION("""COMPUTED_VALUE"""),906.0)</f>
        <v>906</v>
      </c>
      <c r="G537" s="23">
        <f>IFERROR(__xludf.DUMMYFUNCTION("""COMPUTED_VALUE"""),147.0)</f>
        <v>147</v>
      </c>
      <c r="H537" s="23" t="str">
        <f>IFERROR(__xludf.DUMMYFUNCTION("""COMPUTED_VALUE"""),"Algorithms")</f>
        <v>Algorithms</v>
      </c>
      <c r="I537" s="23">
        <f>IFERROR(__xludf.DUMMYFUNCTION("""COMPUTED_VALUE"""),0.558)</f>
        <v>0.558</v>
      </c>
      <c r="J537" s="23">
        <f>IFERROR(__xludf.DUMMYFUNCTION("""COMPUTED_VALUE"""),536.0)</f>
        <v>536</v>
      </c>
      <c r="K537" s="23" t="b">
        <f>IFERROR(__xludf.DUMMYFUNCTION("""COMPUTED_VALUE"""),TRUE)</f>
        <v>1</v>
      </c>
      <c r="L537" s="23" t="str">
        <f>IFERROR(__xludf.DUMMYFUNCTION("""COMPUTED_VALUE"""),"String;Tree;Depth-First Search;Binary Tree;")</f>
        <v>String;Tree;Depth-First Search;Binary Tree;</v>
      </c>
      <c r="M537" s="23" t="b">
        <f>IFERROR(__xludf.DUMMYFUNCTION("""COMPUTED_VALUE"""),TRUE)</f>
        <v>1</v>
      </c>
      <c r="N537" s="23" t="b">
        <f>IFERROR(__xludf.DUMMYFUNCTION("""COMPUTED_VALUE"""),FALSE)</f>
        <v>0</v>
      </c>
      <c r="O537" s="23">
        <f>IFERROR(__xludf.DUMMYFUNCTION("""COMPUTED_VALUE"""),55.8122838891168)</f>
        <v>55.81228389</v>
      </c>
      <c r="P537" s="23">
        <f>IFERROR(__xludf.DUMMYFUNCTION("""COMPUTED_VALUE"""),76186.0)</f>
        <v>76186</v>
      </c>
      <c r="Q537" s="23">
        <f>IFERROR(__xludf.DUMMYFUNCTION("""COMPUTED_VALUE"""),136504.0)</f>
        <v>136504</v>
      </c>
    </row>
    <row r="538">
      <c r="A538" s="23">
        <f>IFERROR(__xludf.DUMMYFUNCTION("""COMPUTED_VALUE"""),537.0)</f>
        <v>537</v>
      </c>
      <c r="B538" s="23" t="str">
        <f>IFERROR(__xludf.DUMMYFUNCTION("""COMPUTED_VALUE"""),"Complex Number Multiplication")</f>
        <v>Complex Number Multiplication</v>
      </c>
      <c r="C538" s="23" t="str">
        <f>IFERROR(__xludf.DUMMYFUNCTION("""COMPUTED_VALUE"""),"complex-number-multiplication")</f>
        <v>complex-number-multiplication</v>
      </c>
      <c r="D538" s="23" t="b">
        <f>IFERROR(__xludf.DUMMYFUNCTION("""COMPUTED_VALUE"""),FALSE)</f>
        <v>0</v>
      </c>
      <c r="E538" s="23" t="str">
        <f>IFERROR(__xludf.DUMMYFUNCTION("""COMPUTED_VALUE"""),"Medium")</f>
        <v>Medium</v>
      </c>
      <c r="F538" s="23">
        <f>IFERROR(__xludf.DUMMYFUNCTION("""COMPUTED_VALUE"""),507.0)</f>
        <v>507</v>
      </c>
      <c r="G538" s="23">
        <f>IFERROR(__xludf.DUMMYFUNCTION("""COMPUTED_VALUE"""),1123.0)</f>
        <v>1123</v>
      </c>
      <c r="H538" s="23" t="str">
        <f>IFERROR(__xludf.DUMMYFUNCTION("""COMPUTED_VALUE"""),"Algorithms")</f>
        <v>Algorithms</v>
      </c>
      <c r="I538" s="23">
        <f>IFERROR(__xludf.DUMMYFUNCTION("""COMPUTED_VALUE"""),0.711)</f>
        <v>0.711</v>
      </c>
      <c r="J538" s="23">
        <f>IFERROR(__xludf.DUMMYFUNCTION("""COMPUTED_VALUE"""),537.0)</f>
        <v>537</v>
      </c>
      <c r="K538" s="23" t="b">
        <f>IFERROR(__xludf.DUMMYFUNCTION("""COMPUTED_VALUE"""),FALSE)</f>
        <v>0</v>
      </c>
      <c r="L538" s="23" t="str">
        <f>IFERROR(__xludf.DUMMYFUNCTION("""COMPUTED_VALUE"""),"Math;String;Simulation;")</f>
        <v>Math;String;Simulation;</v>
      </c>
      <c r="M538" s="23" t="b">
        <f>IFERROR(__xludf.DUMMYFUNCTION("""COMPUTED_VALUE"""),TRUE)</f>
        <v>1</v>
      </c>
      <c r="N538" s="23" t="b">
        <f>IFERROR(__xludf.DUMMYFUNCTION("""COMPUTED_VALUE"""),FALSE)</f>
        <v>0</v>
      </c>
      <c r="O538" s="23">
        <f>IFERROR(__xludf.DUMMYFUNCTION("""COMPUTED_VALUE"""),71.1105629894555)</f>
        <v>71.11056299</v>
      </c>
      <c r="P538" s="23">
        <f>IFERROR(__xludf.DUMMYFUNCTION("""COMPUTED_VALUE"""),80724.0)</f>
        <v>80724</v>
      </c>
      <c r="Q538" s="23">
        <f>IFERROR(__xludf.DUMMYFUNCTION("""COMPUTED_VALUE"""),113519.0)</f>
        <v>113519</v>
      </c>
    </row>
    <row r="539">
      <c r="A539" s="23">
        <f>IFERROR(__xludf.DUMMYFUNCTION("""COMPUTED_VALUE"""),538.0)</f>
        <v>538</v>
      </c>
      <c r="B539" s="23" t="str">
        <f>IFERROR(__xludf.DUMMYFUNCTION("""COMPUTED_VALUE"""),"Convert BST to Greater Tree")</f>
        <v>Convert BST to Greater Tree</v>
      </c>
      <c r="C539" s="23" t="str">
        <f>IFERROR(__xludf.DUMMYFUNCTION("""COMPUTED_VALUE"""),"convert-bst-to-greater-tree")</f>
        <v>convert-bst-to-greater-tree</v>
      </c>
      <c r="D539" s="23" t="b">
        <f>IFERROR(__xludf.DUMMYFUNCTION("""COMPUTED_VALUE"""),FALSE)</f>
        <v>0</v>
      </c>
      <c r="E539" s="23" t="str">
        <f>IFERROR(__xludf.DUMMYFUNCTION("""COMPUTED_VALUE"""),"Medium")</f>
        <v>Medium</v>
      </c>
      <c r="F539" s="23">
        <f>IFERROR(__xludf.DUMMYFUNCTION("""COMPUTED_VALUE"""),4237.0)</f>
        <v>4237</v>
      </c>
      <c r="G539" s="23">
        <f>IFERROR(__xludf.DUMMYFUNCTION("""COMPUTED_VALUE"""),159.0)</f>
        <v>159</v>
      </c>
      <c r="H539" s="23" t="str">
        <f>IFERROR(__xludf.DUMMYFUNCTION("""COMPUTED_VALUE"""),"Algorithms")</f>
        <v>Algorithms</v>
      </c>
      <c r="I539" s="23">
        <f>IFERROR(__xludf.DUMMYFUNCTION("""COMPUTED_VALUE"""),0.662)</f>
        <v>0.662</v>
      </c>
      <c r="J539" s="23">
        <f>IFERROR(__xludf.DUMMYFUNCTION("""COMPUTED_VALUE"""),538.0)</f>
        <v>538</v>
      </c>
      <c r="K539" s="23" t="b">
        <f>IFERROR(__xludf.DUMMYFUNCTION("""COMPUTED_VALUE"""),FALSE)</f>
        <v>0</v>
      </c>
      <c r="L539" s="23" t="str">
        <f>IFERROR(__xludf.DUMMYFUNCTION("""COMPUTED_VALUE"""),"Tree;Depth-First Search;Binary Search Tree;Binary Tree;")</f>
        <v>Tree;Depth-First Search;Binary Search Tree;Binary Tree;</v>
      </c>
      <c r="M539" s="23" t="b">
        <f>IFERROR(__xludf.DUMMYFUNCTION("""COMPUTED_VALUE"""),TRUE)</f>
        <v>1</v>
      </c>
      <c r="N539" s="23" t="b">
        <f>IFERROR(__xludf.DUMMYFUNCTION("""COMPUTED_VALUE"""),FALSE)</f>
        <v>0</v>
      </c>
      <c r="O539" s="23">
        <f>IFERROR(__xludf.DUMMYFUNCTION("""COMPUTED_VALUE"""),66.1893863220989)</f>
        <v>66.18938632</v>
      </c>
      <c r="P539" s="23">
        <f>IFERROR(__xludf.DUMMYFUNCTION("""COMPUTED_VALUE"""),238299.0)</f>
        <v>238299</v>
      </c>
      <c r="Q539" s="23">
        <f>IFERROR(__xludf.DUMMYFUNCTION("""COMPUTED_VALUE"""),360026.0)</f>
        <v>360026</v>
      </c>
    </row>
    <row r="540">
      <c r="A540" s="23">
        <f>IFERROR(__xludf.DUMMYFUNCTION("""COMPUTED_VALUE"""),539.0)</f>
        <v>539</v>
      </c>
      <c r="B540" s="23" t="str">
        <f>IFERROR(__xludf.DUMMYFUNCTION("""COMPUTED_VALUE"""),"Minimum Time Difference")</f>
        <v>Minimum Time Difference</v>
      </c>
      <c r="C540" s="23" t="str">
        <f>IFERROR(__xludf.DUMMYFUNCTION("""COMPUTED_VALUE"""),"minimum-time-difference")</f>
        <v>minimum-time-difference</v>
      </c>
      <c r="D540" s="23" t="b">
        <f>IFERROR(__xludf.DUMMYFUNCTION("""COMPUTED_VALUE"""),FALSE)</f>
        <v>0</v>
      </c>
      <c r="E540" s="23" t="str">
        <f>IFERROR(__xludf.DUMMYFUNCTION("""COMPUTED_VALUE"""),"Medium")</f>
        <v>Medium</v>
      </c>
      <c r="F540" s="23">
        <f>IFERROR(__xludf.DUMMYFUNCTION("""COMPUTED_VALUE"""),1029.0)</f>
        <v>1029</v>
      </c>
      <c r="G540" s="23">
        <f>IFERROR(__xludf.DUMMYFUNCTION("""COMPUTED_VALUE"""),200.0)</f>
        <v>200</v>
      </c>
      <c r="H540" s="23" t="str">
        <f>IFERROR(__xludf.DUMMYFUNCTION("""COMPUTED_VALUE"""),"Algorithms")</f>
        <v>Algorithms</v>
      </c>
      <c r="I540" s="23">
        <f>IFERROR(__xludf.DUMMYFUNCTION("""COMPUTED_VALUE"""),0.548)</f>
        <v>0.548</v>
      </c>
      <c r="J540" s="23">
        <f>IFERROR(__xludf.DUMMYFUNCTION("""COMPUTED_VALUE"""),539.0)</f>
        <v>539</v>
      </c>
      <c r="K540" s="23" t="b">
        <f>IFERROR(__xludf.DUMMYFUNCTION("""COMPUTED_VALUE"""),FALSE)</f>
        <v>0</v>
      </c>
      <c r="L540" s="23" t="str">
        <f>IFERROR(__xludf.DUMMYFUNCTION("""COMPUTED_VALUE"""),"Array;Math;String;Sorting;")</f>
        <v>Array;Math;String;Sorting;</v>
      </c>
      <c r="M540" s="23" t="b">
        <f>IFERROR(__xludf.DUMMYFUNCTION("""COMPUTED_VALUE"""),FALSE)</f>
        <v>0</v>
      </c>
      <c r="N540" s="23" t="b">
        <f>IFERROR(__xludf.DUMMYFUNCTION("""COMPUTED_VALUE"""),FALSE)</f>
        <v>0</v>
      </c>
      <c r="O540" s="23">
        <f>IFERROR(__xludf.DUMMYFUNCTION("""COMPUTED_VALUE"""),54.8232784498064)</f>
        <v>54.82327845</v>
      </c>
      <c r="P540" s="23">
        <f>IFERROR(__xludf.DUMMYFUNCTION("""COMPUTED_VALUE"""),85835.0)</f>
        <v>85835</v>
      </c>
      <c r="Q540" s="23">
        <f>IFERROR(__xludf.DUMMYFUNCTION("""COMPUTED_VALUE"""),156564.0)</f>
        <v>156564</v>
      </c>
    </row>
    <row r="541">
      <c r="A541" s="23">
        <f>IFERROR(__xludf.DUMMYFUNCTION("""COMPUTED_VALUE"""),540.0)</f>
        <v>540</v>
      </c>
      <c r="B541" s="23" t="str">
        <f>IFERROR(__xludf.DUMMYFUNCTION("""COMPUTED_VALUE"""),"Single Element in a Sorted Array")</f>
        <v>Single Element in a Sorted Array</v>
      </c>
      <c r="C541" s="23" t="str">
        <f>IFERROR(__xludf.DUMMYFUNCTION("""COMPUTED_VALUE"""),"single-element-in-a-sorted-array")</f>
        <v>single-element-in-a-sorted-array</v>
      </c>
      <c r="D541" s="23" t="b">
        <f>IFERROR(__xludf.DUMMYFUNCTION("""COMPUTED_VALUE"""),FALSE)</f>
        <v>0</v>
      </c>
      <c r="E541" s="23" t="str">
        <f>IFERROR(__xludf.DUMMYFUNCTION("""COMPUTED_VALUE"""),"Medium")</f>
        <v>Medium</v>
      </c>
      <c r="F541" s="23">
        <f>IFERROR(__xludf.DUMMYFUNCTION("""COMPUTED_VALUE"""),5029.0)</f>
        <v>5029</v>
      </c>
      <c r="G541" s="23">
        <f>IFERROR(__xludf.DUMMYFUNCTION("""COMPUTED_VALUE"""),110.0)</f>
        <v>110</v>
      </c>
      <c r="H541" s="23" t="str">
        <f>IFERROR(__xludf.DUMMYFUNCTION("""COMPUTED_VALUE"""),"Algorithms")</f>
        <v>Algorithms</v>
      </c>
      <c r="I541" s="23">
        <f>IFERROR(__xludf.DUMMYFUNCTION("""COMPUTED_VALUE"""),0.587)</f>
        <v>0.587</v>
      </c>
      <c r="J541" s="23">
        <f>IFERROR(__xludf.DUMMYFUNCTION("""COMPUTED_VALUE"""),540.0)</f>
        <v>540</v>
      </c>
      <c r="K541" s="23" t="b">
        <f>IFERROR(__xludf.DUMMYFUNCTION("""COMPUTED_VALUE"""),FALSE)</f>
        <v>0</v>
      </c>
      <c r="L541" s="23" t="str">
        <f>IFERROR(__xludf.DUMMYFUNCTION("""COMPUTED_VALUE"""),"Array;Binary Search;")</f>
        <v>Array;Binary Search;</v>
      </c>
      <c r="M541" s="23" t="b">
        <f>IFERROR(__xludf.DUMMYFUNCTION("""COMPUTED_VALUE"""),TRUE)</f>
        <v>1</v>
      </c>
      <c r="N541" s="23" t="b">
        <f>IFERROR(__xludf.DUMMYFUNCTION("""COMPUTED_VALUE"""),FALSE)</f>
        <v>0</v>
      </c>
      <c r="O541" s="23">
        <f>IFERROR(__xludf.DUMMYFUNCTION("""COMPUTED_VALUE"""),58.6828427835947)</f>
        <v>58.68284278</v>
      </c>
      <c r="P541" s="23">
        <f>IFERROR(__xludf.DUMMYFUNCTION("""COMPUTED_VALUE"""),287121.0)</f>
        <v>287121</v>
      </c>
      <c r="Q541" s="23">
        <f>IFERROR(__xludf.DUMMYFUNCTION("""COMPUTED_VALUE"""),489270.0)</f>
        <v>489270</v>
      </c>
    </row>
    <row r="542">
      <c r="A542" s="23">
        <f>IFERROR(__xludf.DUMMYFUNCTION("""COMPUTED_VALUE"""),541.0)</f>
        <v>541</v>
      </c>
      <c r="B542" s="23" t="str">
        <f>IFERROR(__xludf.DUMMYFUNCTION("""COMPUTED_VALUE"""),"Reverse String II")</f>
        <v>Reverse String II</v>
      </c>
      <c r="C542" s="23" t="str">
        <f>IFERROR(__xludf.DUMMYFUNCTION("""COMPUTED_VALUE"""),"reverse-string-ii")</f>
        <v>reverse-string-ii</v>
      </c>
      <c r="D542" s="23" t="b">
        <f>IFERROR(__xludf.DUMMYFUNCTION("""COMPUTED_VALUE"""),FALSE)</f>
        <v>0</v>
      </c>
      <c r="E542" s="23" t="str">
        <f>IFERROR(__xludf.DUMMYFUNCTION("""COMPUTED_VALUE"""),"Easy")</f>
        <v>Easy</v>
      </c>
      <c r="F542" s="23">
        <f>IFERROR(__xludf.DUMMYFUNCTION("""COMPUTED_VALUE"""),959.0)</f>
        <v>959</v>
      </c>
      <c r="G542" s="23">
        <f>IFERROR(__xludf.DUMMYFUNCTION("""COMPUTED_VALUE"""),2389.0)</f>
        <v>2389</v>
      </c>
      <c r="H542" s="23" t="str">
        <f>IFERROR(__xludf.DUMMYFUNCTION("""COMPUTED_VALUE"""),"Algorithms")</f>
        <v>Algorithms</v>
      </c>
      <c r="I542" s="23">
        <f>IFERROR(__xludf.DUMMYFUNCTION("""COMPUTED_VALUE"""),0.502)</f>
        <v>0.502</v>
      </c>
      <c r="J542" s="23">
        <f>IFERROR(__xludf.DUMMYFUNCTION("""COMPUTED_VALUE"""),541.0)</f>
        <v>541</v>
      </c>
      <c r="K542" s="23" t="b">
        <f>IFERROR(__xludf.DUMMYFUNCTION("""COMPUTED_VALUE"""),FALSE)</f>
        <v>0</v>
      </c>
      <c r="L542" s="23" t="str">
        <f>IFERROR(__xludf.DUMMYFUNCTION("""COMPUTED_VALUE"""),"Two Pointers;String;")</f>
        <v>Two Pointers;String;</v>
      </c>
      <c r="M542" s="23" t="b">
        <f>IFERROR(__xludf.DUMMYFUNCTION("""COMPUTED_VALUE"""),TRUE)</f>
        <v>1</v>
      </c>
      <c r="N542" s="23" t="b">
        <f>IFERROR(__xludf.DUMMYFUNCTION("""COMPUTED_VALUE"""),FALSE)</f>
        <v>0</v>
      </c>
      <c r="O542" s="23">
        <f>IFERROR(__xludf.DUMMYFUNCTION("""COMPUTED_VALUE"""),50.1554746058143)</f>
        <v>50.15547461</v>
      </c>
      <c r="P542" s="23">
        <f>IFERROR(__xludf.DUMMYFUNCTION("""COMPUTED_VALUE"""),150490.0)</f>
        <v>150490</v>
      </c>
      <c r="Q542" s="23">
        <f>IFERROR(__xludf.DUMMYFUNCTION("""COMPUTED_VALUE"""),300048.0)</f>
        <v>300048</v>
      </c>
    </row>
    <row r="543">
      <c r="A543" s="23">
        <f>IFERROR(__xludf.DUMMYFUNCTION("""COMPUTED_VALUE"""),542.0)</f>
        <v>542</v>
      </c>
      <c r="B543" s="23" t="str">
        <f>IFERROR(__xludf.DUMMYFUNCTION("""COMPUTED_VALUE"""),"01 Matrix")</f>
        <v>01 Matrix</v>
      </c>
      <c r="C543" s="23" t="str">
        <f>IFERROR(__xludf.DUMMYFUNCTION("""COMPUTED_VALUE"""),"01-matrix")</f>
        <v>01-matrix</v>
      </c>
      <c r="D543" s="23" t="b">
        <f>IFERROR(__xludf.DUMMYFUNCTION("""COMPUTED_VALUE"""),FALSE)</f>
        <v>0</v>
      </c>
      <c r="E543" s="23" t="str">
        <f>IFERROR(__xludf.DUMMYFUNCTION("""COMPUTED_VALUE"""),"Medium")</f>
        <v>Medium</v>
      </c>
      <c r="F543" s="23">
        <f>IFERROR(__xludf.DUMMYFUNCTION("""COMPUTED_VALUE"""),4508.0)</f>
        <v>4508</v>
      </c>
      <c r="G543" s="23">
        <f>IFERROR(__xludf.DUMMYFUNCTION("""COMPUTED_VALUE"""),222.0)</f>
        <v>222</v>
      </c>
      <c r="H543" s="23" t="str">
        <f>IFERROR(__xludf.DUMMYFUNCTION("""COMPUTED_VALUE"""),"Algorithms")</f>
        <v>Algorithms</v>
      </c>
      <c r="I543" s="23">
        <f>IFERROR(__xludf.DUMMYFUNCTION("""COMPUTED_VALUE"""),0.438)</f>
        <v>0.438</v>
      </c>
      <c r="J543" s="23">
        <f>IFERROR(__xludf.DUMMYFUNCTION("""COMPUTED_VALUE"""),542.0)</f>
        <v>542</v>
      </c>
      <c r="K543" s="23" t="b">
        <f>IFERROR(__xludf.DUMMYFUNCTION("""COMPUTED_VALUE"""),FALSE)</f>
        <v>0</v>
      </c>
      <c r="L543" s="23" t="str">
        <f>IFERROR(__xludf.DUMMYFUNCTION("""COMPUTED_VALUE"""),"Array;Dynamic Programming;Breadth-First Search;Matrix;")</f>
        <v>Array;Dynamic Programming;Breadth-First Search;Matrix;</v>
      </c>
      <c r="M543" s="23" t="b">
        <f>IFERROR(__xludf.DUMMYFUNCTION("""COMPUTED_VALUE"""),TRUE)</f>
        <v>1</v>
      </c>
      <c r="N543" s="23" t="b">
        <f>IFERROR(__xludf.DUMMYFUNCTION("""COMPUTED_VALUE"""),FALSE)</f>
        <v>0</v>
      </c>
      <c r="O543" s="23">
        <f>IFERROR(__xludf.DUMMYFUNCTION("""COMPUTED_VALUE"""),43.7694999364957)</f>
        <v>43.76949994</v>
      </c>
      <c r="P543" s="23">
        <f>IFERROR(__xludf.DUMMYFUNCTION("""COMPUTED_VALUE"""),237783.0)</f>
        <v>237783</v>
      </c>
      <c r="Q543" s="23">
        <f>IFERROR(__xludf.DUMMYFUNCTION("""COMPUTED_VALUE"""),543261.0)</f>
        <v>543261</v>
      </c>
    </row>
    <row r="544">
      <c r="A544" s="23">
        <f>IFERROR(__xludf.DUMMYFUNCTION("""COMPUTED_VALUE"""),543.0)</f>
        <v>543</v>
      </c>
      <c r="B544" s="23" t="str">
        <f>IFERROR(__xludf.DUMMYFUNCTION("""COMPUTED_VALUE"""),"Diameter of Binary Tree")</f>
        <v>Diameter of Binary Tree</v>
      </c>
      <c r="C544" s="23" t="str">
        <f>IFERROR(__xludf.DUMMYFUNCTION("""COMPUTED_VALUE"""),"diameter-of-binary-tree")</f>
        <v>diameter-of-binary-tree</v>
      </c>
      <c r="D544" s="23" t="b">
        <f>IFERROR(__xludf.DUMMYFUNCTION("""COMPUTED_VALUE"""),FALSE)</f>
        <v>0</v>
      </c>
      <c r="E544" s="23" t="str">
        <f>IFERROR(__xludf.DUMMYFUNCTION("""COMPUTED_VALUE"""),"Easy")</f>
        <v>Easy</v>
      </c>
      <c r="F544" s="23">
        <f>IFERROR(__xludf.DUMMYFUNCTION("""COMPUTED_VALUE"""),7701.0)</f>
        <v>7701</v>
      </c>
      <c r="G544" s="23">
        <f>IFERROR(__xludf.DUMMYFUNCTION("""COMPUTED_VALUE"""),487.0)</f>
        <v>487</v>
      </c>
      <c r="H544" s="23" t="str">
        <f>IFERROR(__xludf.DUMMYFUNCTION("""COMPUTED_VALUE"""),"Algorithms")</f>
        <v>Algorithms</v>
      </c>
      <c r="I544" s="23">
        <f>IFERROR(__xludf.DUMMYFUNCTION("""COMPUTED_VALUE"""),0.542)</f>
        <v>0.542</v>
      </c>
      <c r="J544" s="23">
        <f>IFERROR(__xludf.DUMMYFUNCTION("""COMPUTED_VALUE"""),543.0)</f>
        <v>543</v>
      </c>
      <c r="K544" s="23" t="b">
        <f>IFERROR(__xludf.DUMMYFUNCTION("""COMPUTED_VALUE"""),FALSE)</f>
        <v>0</v>
      </c>
      <c r="L544" s="23" t="str">
        <f>IFERROR(__xludf.DUMMYFUNCTION("""COMPUTED_VALUE"""),"Tree;Depth-First Search;Binary Tree;")</f>
        <v>Tree;Depth-First Search;Binary Tree;</v>
      </c>
      <c r="M544" s="23" t="b">
        <f>IFERROR(__xludf.DUMMYFUNCTION("""COMPUTED_VALUE"""),TRUE)</f>
        <v>1</v>
      </c>
      <c r="N544" s="23" t="b">
        <f>IFERROR(__xludf.DUMMYFUNCTION("""COMPUTED_VALUE"""),FALSE)</f>
        <v>0</v>
      </c>
      <c r="O544" s="23">
        <f>IFERROR(__xludf.DUMMYFUNCTION("""COMPUTED_VALUE"""),54.1920063936787)</f>
        <v>54.19200639</v>
      </c>
      <c r="P544" s="23">
        <f>IFERROR(__xludf.DUMMYFUNCTION("""COMPUTED_VALUE"""),718750.0)</f>
        <v>718750</v>
      </c>
      <c r="Q544" s="23">
        <f>IFERROR(__xludf.DUMMYFUNCTION("""COMPUTED_VALUE"""),1326303.0)</f>
        <v>1326303</v>
      </c>
    </row>
    <row r="545">
      <c r="A545" s="23">
        <f>IFERROR(__xludf.DUMMYFUNCTION("""COMPUTED_VALUE"""),544.0)</f>
        <v>544</v>
      </c>
      <c r="B545" s="23" t="str">
        <f>IFERROR(__xludf.DUMMYFUNCTION("""COMPUTED_VALUE"""),"Output Contest Matches")</f>
        <v>Output Contest Matches</v>
      </c>
      <c r="C545" s="23" t="str">
        <f>IFERROR(__xludf.DUMMYFUNCTION("""COMPUTED_VALUE"""),"output-contest-matches")</f>
        <v>output-contest-matches</v>
      </c>
      <c r="D545" s="23" t="b">
        <f>IFERROR(__xludf.DUMMYFUNCTION("""COMPUTED_VALUE"""),TRUE)</f>
        <v>1</v>
      </c>
      <c r="E545" s="23" t="str">
        <f>IFERROR(__xludf.DUMMYFUNCTION("""COMPUTED_VALUE"""),"Medium")</f>
        <v>Medium</v>
      </c>
      <c r="F545" s="23">
        <f>IFERROR(__xludf.DUMMYFUNCTION("""COMPUTED_VALUE"""),356.0)</f>
        <v>356</v>
      </c>
      <c r="G545" s="23">
        <f>IFERROR(__xludf.DUMMYFUNCTION("""COMPUTED_VALUE"""),116.0)</f>
        <v>116</v>
      </c>
      <c r="H545" s="23" t="str">
        <f>IFERROR(__xludf.DUMMYFUNCTION("""COMPUTED_VALUE"""),"Algorithms")</f>
        <v>Algorithms</v>
      </c>
      <c r="I545" s="23">
        <f>IFERROR(__xludf.DUMMYFUNCTION("""COMPUTED_VALUE"""),0.765)</f>
        <v>0.765</v>
      </c>
      <c r="J545" s="23">
        <f>IFERROR(__xludf.DUMMYFUNCTION("""COMPUTED_VALUE"""),544.0)</f>
        <v>544</v>
      </c>
      <c r="K545" s="23" t="b">
        <f>IFERROR(__xludf.DUMMYFUNCTION("""COMPUTED_VALUE"""),TRUE)</f>
        <v>1</v>
      </c>
      <c r="L545" s="23" t="str">
        <f>IFERROR(__xludf.DUMMYFUNCTION("""COMPUTED_VALUE"""),"String;Recursion;Simulation;")</f>
        <v>String;Recursion;Simulation;</v>
      </c>
      <c r="M545" s="23" t="b">
        <f>IFERROR(__xludf.DUMMYFUNCTION("""COMPUTED_VALUE"""),FALSE)</f>
        <v>0</v>
      </c>
      <c r="N545" s="23" t="b">
        <f>IFERROR(__xludf.DUMMYFUNCTION("""COMPUTED_VALUE"""),FALSE)</f>
        <v>0</v>
      </c>
      <c r="O545" s="23">
        <f>IFERROR(__xludf.DUMMYFUNCTION("""COMPUTED_VALUE"""),76.4765941647845)</f>
        <v>76.47659416</v>
      </c>
      <c r="P545" s="23">
        <f>IFERROR(__xludf.DUMMYFUNCTION("""COMPUTED_VALUE"""),24718.0)</f>
        <v>24718</v>
      </c>
      <c r="Q545" s="23">
        <f>IFERROR(__xludf.DUMMYFUNCTION("""COMPUTED_VALUE"""),32321.0)</f>
        <v>32321</v>
      </c>
    </row>
    <row r="546">
      <c r="A546" s="23">
        <f>IFERROR(__xludf.DUMMYFUNCTION("""COMPUTED_VALUE"""),545.0)</f>
        <v>545</v>
      </c>
      <c r="B546" s="23" t="str">
        <f>IFERROR(__xludf.DUMMYFUNCTION("""COMPUTED_VALUE"""),"Boundary of Binary Tree")</f>
        <v>Boundary of Binary Tree</v>
      </c>
      <c r="C546" s="23" t="str">
        <f>IFERROR(__xludf.DUMMYFUNCTION("""COMPUTED_VALUE"""),"boundary-of-binary-tree")</f>
        <v>boundary-of-binary-tree</v>
      </c>
      <c r="D546" s="23" t="b">
        <f>IFERROR(__xludf.DUMMYFUNCTION("""COMPUTED_VALUE"""),TRUE)</f>
        <v>1</v>
      </c>
      <c r="E546" s="23" t="str">
        <f>IFERROR(__xludf.DUMMYFUNCTION("""COMPUTED_VALUE"""),"Medium")</f>
        <v>Medium</v>
      </c>
      <c r="F546" s="23">
        <f>IFERROR(__xludf.DUMMYFUNCTION("""COMPUTED_VALUE"""),1048.0)</f>
        <v>1048</v>
      </c>
      <c r="G546" s="23">
        <f>IFERROR(__xludf.DUMMYFUNCTION("""COMPUTED_VALUE"""),1698.0)</f>
        <v>1698</v>
      </c>
      <c r="H546" s="23" t="str">
        <f>IFERROR(__xludf.DUMMYFUNCTION("""COMPUTED_VALUE"""),"Algorithms")</f>
        <v>Algorithms</v>
      </c>
      <c r="I546" s="23">
        <f>IFERROR(__xludf.DUMMYFUNCTION("""COMPUTED_VALUE"""),0.432)</f>
        <v>0.432</v>
      </c>
      <c r="J546" s="23">
        <f>IFERROR(__xludf.DUMMYFUNCTION("""COMPUTED_VALUE"""),545.0)</f>
        <v>545</v>
      </c>
      <c r="K546" s="23" t="b">
        <f>IFERROR(__xludf.DUMMYFUNCTION("""COMPUTED_VALUE"""),TRUE)</f>
        <v>1</v>
      </c>
      <c r="L546" s="23" t="str">
        <f>IFERROR(__xludf.DUMMYFUNCTION("""COMPUTED_VALUE"""),"Tree;Depth-First Search;Binary Tree;")</f>
        <v>Tree;Depth-First Search;Binary Tree;</v>
      </c>
      <c r="M546" s="23" t="b">
        <f>IFERROR(__xludf.DUMMYFUNCTION("""COMPUTED_VALUE"""),TRUE)</f>
        <v>1</v>
      </c>
      <c r="N546" s="23" t="b">
        <f>IFERROR(__xludf.DUMMYFUNCTION("""COMPUTED_VALUE"""),FALSE)</f>
        <v>0</v>
      </c>
      <c r="O546" s="23">
        <f>IFERROR(__xludf.DUMMYFUNCTION("""COMPUTED_VALUE"""),43.1922077922077)</f>
        <v>43.19220779</v>
      </c>
      <c r="P546" s="23">
        <f>IFERROR(__xludf.DUMMYFUNCTION("""COMPUTED_VALUE"""),99773.0)</f>
        <v>99773</v>
      </c>
      <c r="Q546" s="23">
        <f>IFERROR(__xludf.DUMMYFUNCTION("""COMPUTED_VALUE"""),230999.0)</f>
        <v>230999</v>
      </c>
    </row>
    <row r="547">
      <c r="A547" s="23">
        <f>IFERROR(__xludf.DUMMYFUNCTION("""COMPUTED_VALUE"""),546.0)</f>
        <v>546</v>
      </c>
      <c r="B547" s="23" t="str">
        <f>IFERROR(__xludf.DUMMYFUNCTION("""COMPUTED_VALUE"""),"Remove Boxes")</f>
        <v>Remove Boxes</v>
      </c>
      <c r="C547" s="23" t="str">
        <f>IFERROR(__xludf.DUMMYFUNCTION("""COMPUTED_VALUE"""),"remove-boxes")</f>
        <v>remove-boxes</v>
      </c>
      <c r="D547" s="23" t="b">
        <f>IFERROR(__xludf.DUMMYFUNCTION("""COMPUTED_VALUE"""),FALSE)</f>
        <v>0</v>
      </c>
      <c r="E547" s="23" t="str">
        <f>IFERROR(__xludf.DUMMYFUNCTION("""COMPUTED_VALUE"""),"Hard")</f>
        <v>Hard</v>
      </c>
      <c r="F547" s="23">
        <f>IFERROR(__xludf.DUMMYFUNCTION("""COMPUTED_VALUE"""),1498.0)</f>
        <v>1498</v>
      </c>
      <c r="G547" s="23">
        <f>IFERROR(__xludf.DUMMYFUNCTION("""COMPUTED_VALUE"""),92.0)</f>
        <v>92</v>
      </c>
      <c r="H547" s="23" t="str">
        <f>IFERROR(__xludf.DUMMYFUNCTION("""COMPUTED_VALUE"""),"Algorithms")</f>
        <v>Algorithms</v>
      </c>
      <c r="I547" s="23">
        <f>IFERROR(__xludf.DUMMYFUNCTION("""COMPUTED_VALUE"""),0.474)</f>
        <v>0.474</v>
      </c>
      <c r="J547" s="23">
        <f>IFERROR(__xludf.DUMMYFUNCTION("""COMPUTED_VALUE"""),546.0)</f>
        <v>546</v>
      </c>
      <c r="K547" s="23" t="b">
        <f>IFERROR(__xludf.DUMMYFUNCTION("""COMPUTED_VALUE"""),FALSE)</f>
        <v>0</v>
      </c>
      <c r="L547" s="23" t="str">
        <f>IFERROR(__xludf.DUMMYFUNCTION("""COMPUTED_VALUE"""),"Array;Dynamic Programming;Memoization;")</f>
        <v>Array;Dynamic Programming;Memoization;</v>
      </c>
      <c r="M547" s="23" t="b">
        <f>IFERROR(__xludf.DUMMYFUNCTION("""COMPUTED_VALUE"""),TRUE)</f>
        <v>1</v>
      </c>
      <c r="N547" s="23" t="b">
        <f>IFERROR(__xludf.DUMMYFUNCTION("""COMPUTED_VALUE"""),FALSE)</f>
        <v>0</v>
      </c>
      <c r="O547" s="23">
        <f>IFERROR(__xludf.DUMMYFUNCTION("""COMPUTED_VALUE"""),47.3641626560647)</f>
        <v>47.36416266</v>
      </c>
      <c r="P547" s="23">
        <f>IFERROR(__xludf.DUMMYFUNCTION("""COMPUTED_VALUE"""),33953.0)</f>
        <v>33953</v>
      </c>
      <c r="Q547" s="23">
        <f>IFERROR(__xludf.DUMMYFUNCTION("""COMPUTED_VALUE"""),71685.0)</f>
        <v>71685</v>
      </c>
    </row>
    <row r="548">
      <c r="A548" s="23">
        <f>IFERROR(__xludf.DUMMYFUNCTION("""COMPUTED_VALUE"""),547.0)</f>
        <v>547</v>
      </c>
      <c r="B548" s="23" t="str">
        <f>IFERROR(__xludf.DUMMYFUNCTION("""COMPUTED_VALUE"""),"Number of Provinces")</f>
        <v>Number of Provinces</v>
      </c>
      <c r="C548" s="23" t="str">
        <f>IFERROR(__xludf.DUMMYFUNCTION("""COMPUTED_VALUE"""),"number-of-provinces")</f>
        <v>number-of-provinces</v>
      </c>
      <c r="D548" s="23" t="b">
        <f>IFERROR(__xludf.DUMMYFUNCTION("""COMPUTED_VALUE"""),FALSE)</f>
        <v>0</v>
      </c>
      <c r="E548" s="23" t="str">
        <f>IFERROR(__xludf.DUMMYFUNCTION("""COMPUTED_VALUE"""),"Medium")</f>
        <v>Medium</v>
      </c>
      <c r="F548" s="23">
        <f>IFERROR(__xludf.DUMMYFUNCTION("""COMPUTED_VALUE"""),5045.0)</f>
        <v>5045</v>
      </c>
      <c r="G548" s="23">
        <f>IFERROR(__xludf.DUMMYFUNCTION("""COMPUTED_VALUE"""),236.0)</f>
        <v>236</v>
      </c>
      <c r="H548" s="23" t="str">
        <f>IFERROR(__xludf.DUMMYFUNCTION("""COMPUTED_VALUE"""),"Algorithms")</f>
        <v>Algorithms</v>
      </c>
      <c r="I548" s="23">
        <f>IFERROR(__xludf.DUMMYFUNCTION("""COMPUTED_VALUE"""),0.626)</f>
        <v>0.626</v>
      </c>
      <c r="J548" s="23">
        <f>IFERROR(__xludf.DUMMYFUNCTION("""COMPUTED_VALUE"""),547.0)</f>
        <v>547</v>
      </c>
      <c r="K548" s="23" t="b">
        <f>IFERROR(__xludf.DUMMYFUNCTION("""COMPUTED_VALUE"""),FALSE)</f>
        <v>0</v>
      </c>
      <c r="L548" s="23" t="str">
        <f>IFERROR(__xludf.DUMMYFUNCTION("""COMPUTED_VALUE"""),"Depth-First Search;Breadth-First Search;Union Find;Graph;")</f>
        <v>Depth-First Search;Breadth-First Search;Union Find;Graph;</v>
      </c>
      <c r="M548" s="23" t="b">
        <f>IFERROR(__xludf.DUMMYFUNCTION("""COMPUTED_VALUE"""),TRUE)</f>
        <v>1</v>
      </c>
      <c r="N548" s="23" t="b">
        <f>IFERROR(__xludf.DUMMYFUNCTION("""COMPUTED_VALUE"""),FALSE)</f>
        <v>0</v>
      </c>
      <c r="O548" s="23">
        <f>IFERROR(__xludf.DUMMYFUNCTION("""COMPUTED_VALUE"""),62.593267839506)</f>
        <v>62.59326784</v>
      </c>
      <c r="P548" s="23">
        <f>IFERROR(__xludf.DUMMYFUNCTION("""COMPUTED_VALUE"""),452496.0)</f>
        <v>452496</v>
      </c>
      <c r="Q548" s="23">
        <f>IFERROR(__xludf.DUMMYFUNCTION("""COMPUTED_VALUE"""),722915.0)</f>
        <v>722915</v>
      </c>
    </row>
    <row r="549">
      <c r="A549" s="23">
        <f>IFERROR(__xludf.DUMMYFUNCTION("""COMPUTED_VALUE"""),548.0)</f>
        <v>548</v>
      </c>
      <c r="B549" s="23" t="str">
        <f>IFERROR(__xludf.DUMMYFUNCTION("""COMPUTED_VALUE"""),"Split Array with Equal Sum")</f>
        <v>Split Array with Equal Sum</v>
      </c>
      <c r="C549" s="23" t="str">
        <f>IFERROR(__xludf.DUMMYFUNCTION("""COMPUTED_VALUE"""),"split-array-with-equal-sum")</f>
        <v>split-array-with-equal-sum</v>
      </c>
      <c r="D549" s="23" t="b">
        <f>IFERROR(__xludf.DUMMYFUNCTION("""COMPUTED_VALUE"""),TRUE)</f>
        <v>1</v>
      </c>
      <c r="E549" s="23" t="str">
        <f>IFERROR(__xludf.DUMMYFUNCTION("""COMPUTED_VALUE"""),"Hard")</f>
        <v>Hard</v>
      </c>
      <c r="F549" s="23">
        <f>IFERROR(__xludf.DUMMYFUNCTION("""COMPUTED_VALUE"""),383.0)</f>
        <v>383</v>
      </c>
      <c r="G549" s="23">
        <f>IFERROR(__xludf.DUMMYFUNCTION("""COMPUTED_VALUE"""),127.0)</f>
        <v>127</v>
      </c>
      <c r="H549" s="23" t="str">
        <f>IFERROR(__xludf.DUMMYFUNCTION("""COMPUTED_VALUE"""),"Algorithms")</f>
        <v>Algorithms</v>
      </c>
      <c r="I549" s="23">
        <f>IFERROR(__xludf.DUMMYFUNCTION("""COMPUTED_VALUE"""),0.498)</f>
        <v>0.498</v>
      </c>
      <c r="J549" s="23">
        <f>IFERROR(__xludf.DUMMYFUNCTION("""COMPUTED_VALUE"""),548.0)</f>
        <v>548</v>
      </c>
      <c r="K549" s="23" t="b">
        <f>IFERROR(__xludf.DUMMYFUNCTION("""COMPUTED_VALUE"""),TRUE)</f>
        <v>1</v>
      </c>
      <c r="L549" s="23" t="str">
        <f>IFERROR(__xludf.DUMMYFUNCTION("""COMPUTED_VALUE"""),"Array;Prefix Sum;")</f>
        <v>Array;Prefix Sum;</v>
      </c>
      <c r="M549" s="23" t="b">
        <f>IFERROR(__xludf.DUMMYFUNCTION("""COMPUTED_VALUE"""),TRUE)</f>
        <v>1</v>
      </c>
      <c r="N549" s="23" t="b">
        <f>IFERROR(__xludf.DUMMYFUNCTION("""COMPUTED_VALUE"""),FALSE)</f>
        <v>0</v>
      </c>
      <c r="O549" s="23">
        <f>IFERROR(__xludf.DUMMYFUNCTION("""COMPUTED_VALUE"""),49.7780681792578)</f>
        <v>49.77806818</v>
      </c>
      <c r="P549" s="23">
        <f>IFERROR(__xludf.DUMMYFUNCTION("""COMPUTED_VALUE"""),22093.0)</f>
        <v>22093</v>
      </c>
      <c r="Q549" s="23">
        <f>IFERROR(__xludf.DUMMYFUNCTION("""COMPUTED_VALUE"""),44383.0)</f>
        <v>44383</v>
      </c>
    </row>
    <row r="550">
      <c r="A550" s="23">
        <f>IFERROR(__xludf.DUMMYFUNCTION("""COMPUTED_VALUE"""),549.0)</f>
        <v>549</v>
      </c>
      <c r="B550" s="23" t="str">
        <f>IFERROR(__xludf.DUMMYFUNCTION("""COMPUTED_VALUE"""),"Binary Tree Longest Consecutive Sequence II")</f>
        <v>Binary Tree Longest Consecutive Sequence II</v>
      </c>
      <c r="C550" s="23" t="str">
        <f>IFERROR(__xludf.DUMMYFUNCTION("""COMPUTED_VALUE"""),"binary-tree-longest-consecutive-sequence-ii")</f>
        <v>binary-tree-longest-consecutive-sequence-ii</v>
      </c>
      <c r="D550" s="23" t="b">
        <f>IFERROR(__xludf.DUMMYFUNCTION("""COMPUTED_VALUE"""),TRUE)</f>
        <v>1</v>
      </c>
      <c r="E550" s="23" t="str">
        <f>IFERROR(__xludf.DUMMYFUNCTION("""COMPUTED_VALUE"""),"Medium")</f>
        <v>Medium</v>
      </c>
      <c r="F550" s="23">
        <f>IFERROR(__xludf.DUMMYFUNCTION("""COMPUTED_VALUE"""),903.0)</f>
        <v>903</v>
      </c>
      <c r="G550" s="23">
        <f>IFERROR(__xludf.DUMMYFUNCTION("""COMPUTED_VALUE"""),71.0)</f>
        <v>71</v>
      </c>
      <c r="H550" s="23" t="str">
        <f>IFERROR(__xludf.DUMMYFUNCTION("""COMPUTED_VALUE"""),"Algorithms")</f>
        <v>Algorithms</v>
      </c>
      <c r="I550" s="23">
        <f>IFERROR(__xludf.DUMMYFUNCTION("""COMPUTED_VALUE"""),0.486)</f>
        <v>0.486</v>
      </c>
      <c r="J550" s="23">
        <f>IFERROR(__xludf.DUMMYFUNCTION("""COMPUTED_VALUE"""),549.0)</f>
        <v>549</v>
      </c>
      <c r="K550" s="23" t="b">
        <f>IFERROR(__xludf.DUMMYFUNCTION("""COMPUTED_VALUE"""),TRUE)</f>
        <v>1</v>
      </c>
      <c r="L550" s="23" t="str">
        <f>IFERROR(__xludf.DUMMYFUNCTION("""COMPUTED_VALUE"""),"Tree;Depth-First Search;Binary Tree;")</f>
        <v>Tree;Depth-First Search;Binary Tree;</v>
      </c>
      <c r="M550" s="23" t="b">
        <f>IFERROR(__xludf.DUMMYFUNCTION("""COMPUTED_VALUE"""),TRUE)</f>
        <v>1</v>
      </c>
      <c r="N550" s="23" t="b">
        <f>IFERROR(__xludf.DUMMYFUNCTION("""COMPUTED_VALUE"""),FALSE)</f>
        <v>0</v>
      </c>
      <c r="O550" s="23">
        <f>IFERROR(__xludf.DUMMYFUNCTION("""COMPUTED_VALUE"""),48.5742808293841)</f>
        <v>48.57428083</v>
      </c>
      <c r="P550" s="23">
        <f>IFERROR(__xludf.DUMMYFUNCTION("""COMPUTED_VALUE"""),42332.0)</f>
        <v>42332</v>
      </c>
      <c r="Q550" s="23">
        <f>IFERROR(__xludf.DUMMYFUNCTION("""COMPUTED_VALUE"""),87149.0)</f>
        <v>87149</v>
      </c>
    </row>
    <row r="551">
      <c r="A551" s="23">
        <f>IFERROR(__xludf.DUMMYFUNCTION("""COMPUTED_VALUE"""),1182.0)</f>
        <v>1182</v>
      </c>
      <c r="B551" s="23" t="str">
        <f>IFERROR(__xludf.DUMMYFUNCTION("""COMPUTED_VALUE"""),"Game Play Analysis IV")</f>
        <v>Game Play Analysis IV</v>
      </c>
      <c r="C551" s="23" t="str">
        <f>IFERROR(__xludf.DUMMYFUNCTION("""COMPUTED_VALUE"""),"game-play-analysis-iv")</f>
        <v>game-play-analysis-iv</v>
      </c>
      <c r="D551" s="23" t="b">
        <f>IFERROR(__xludf.DUMMYFUNCTION("""COMPUTED_VALUE"""),TRUE)</f>
        <v>1</v>
      </c>
      <c r="E551" s="23" t="str">
        <f>IFERROR(__xludf.DUMMYFUNCTION("""COMPUTED_VALUE"""),"Medium")</f>
        <v>Medium</v>
      </c>
      <c r="F551" s="23">
        <f>IFERROR(__xludf.DUMMYFUNCTION("""COMPUTED_VALUE"""),213.0)</f>
        <v>213</v>
      </c>
      <c r="G551" s="23">
        <f>IFERROR(__xludf.DUMMYFUNCTION("""COMPUTED_VALUE"""),61.0)</f>
        <v>61</v>
      </c>
      <c r="H551" s="23" t="str">
        <f>IFERROR(__xludf.DUMMYFUNCTION("""COMPUTED_VALUE"""),"Database")</f>
        <v>Database</v>
      </c>
      <c r="I551" s="23">
        <f>IFERROR(__xludf.DUMMYFUNCTION("""COMPUTED_VALUE"""),0.441)</f>
        <v>0.441</v>
      </c>
      <c r="J551" s="23">
        <f>IFERROR(__xludf.DUMMYFUNCTION("""COMPUTED_VALUE"""),550.0)</f>
        <v>550</v>
      </c>
      <c r="K551" s="23" t="b">
        <f>IFERROR(__xludf.DUMMYFUNCTION("""COMPUTED_VALUE"""),TRUE)</f>
        <v>1</v>
      </c>
      <c r="L551" s="23" t="str">
        <f>IFERROR(__xludf.DUMMYFUNCTION("""COMPUTED_VALUE"""),"Database;")</f>
        <v>Database;</v>
      </c>
      <c r="M551" s="23" t="b">
        <f>IFERROR(__xludf.DUMMYFUNCTION("""COMPUTED_VALUE"""),FALSE)</f>
        <v>0</v>
      </c>
      <c r="N551" s="23" t="b">
        <f>IFERROR(__xludf.DUMMYFUNCTION("""COMPUTED_VALUE"""),FALSE)</f>
        <v>0</v>
      </c>
      <c r="O551" s="23">
        <f>IFERROR(__xludf.DUMMYFUNCTION("""COMPUTED_VALUE"""),44.1038080158115)</f>
        <v>44.10380802</v>
      </c>
      <c r="P551" s="23">
        <f>IFERROR(__xludf.DUMMYFUNCTION("""COMPUTED_VALUE"""),39274.0)</f>
        <v>39274</v>
      </c>
      <c r="Q551" s="23">
        <f>IFERROR(__xludf.DUMMYFUNCTION("""COMPUTED_VALUE"""),89049.0)</f>
        <v>89049</v>
      </c>
    </row>
    <row r="552">
      <c r="A552" s="23">
        <f>IFERROR(__xludf.DUMMYFUNCTION("""COMPUTED_VALUE"""),551.0)</f>
        <v>551</v>
      </c>
      <c r="B552" s="23" t="str">
        <f>IFERROR(__xludf.DUMMYFUNCTION("""COMPUTED_VALUE"""),"Student Attendance Record I")</f>
        <v>Student Attendance Record I</v>
      </c>
      <c r="C552" s="23" t="str">
        <f>IFERROR(__xludf.DUMMYFUNCTION("""COMPUTED_VALUE"""),"student-attendance-record-i")</f>
        <v>student-attendance-record-i</v>
      </c>
      <c r="D552" s="23" t="b">
        <f>IFERROR(__xludf.DUMMYFUNCTION("""COMPUTED_VALUE"""),FALSE)</f>
        <v>0</v>
      </c>
      <c r="E552" s="23" t="str">
        <f>IFERROR(__xludf.DUMMYFUNCTION("""COMPUTED_VALUE"""),"Easy")</f>
        <v>Easy</v>
      </c>
      <c r="F552" s="23">
        <f>IFERROR(__xludf.DUMMYFUNCTION("""COMPUTED_VALUE"""),293.0)</f>
        <v>293</v>
      </c>
      <c r="G552" s="23">
        <f>IFERROR(__xludf.DUMMYFUNCTION("""COMPUTED_VALUE"""),16.0)</f>
        <v>16</v>
      </c>
      <c r="H552" s="23" t="str">
        <f>IFERROR(__xludf.DUMMYFUNCTION("""COMPUTED_VALUE"""),"Algorithms")</f>
        <v>Algorithms</v>
      </c>
      <c r="I552" s="23">
        <f>IFERROR(__xludf.DUMMYFUNCTION("""COMPUTED_VALUE"""),0.476)</f>
        <v>0.476</v>
      </c>
      <c r="J552" s="23">
        <f>IFERROR(__xludf.DUMMYFUNCTION("""COMPUTED_VALUE"""),551.0)</f>
        <v>551</v>
      </c>
      <c r="K552" s="23" t="b">
        <f>IFERROR(__xludf.DUMMYFUNCTION("""COMPUTED_VALUE"""),FALSE)</f>
        <v>0</v>
      </c>
      <c r="L552" s="23" t="str">
        <f>IFERROR(__xludf.DUMMYFUNCTION("""COMPUTED_VALUE"""),"String;")</f>
        <v>String;</v>
      </c>
      <c r="M552" s="23" t="b">
        <f>IFERROR(__xludf.DUMMYFUNCTION("""COMPUTED_VALUE"""),TRUE)</f>
        <v>1</v>
      </c>
      <c r="N552" s="23" t="b">
        <f>IFERROR(__xludf.DUMMYFUNCTION("""COMPUTED_VALUE"""),FALSE)</f>
        <v>0</v>
      </c>
      <c r="O552" s="23">
        <f>IFERROR(__xludf.DUMMYFUNCTION("""COMPUTED_VALUE"""),47.5989879231729)</f>
        <v>47.59898792</v>
      </c>
      <c r="P552" s="23">
        <f>IFERROR(__xludf.DUMMYFUNCTION("""COMPUTED_VALUE"""),142597.0)</f>
        <v>142597</v>
      </c>
      <c r="Q552" s="23">
        <f>IFERROR(__xludf.DUMMYFUNCTION("""COMPUTED_VALUE"""),299580.0)</f>
        <v>299580</v>
      </c>
    </row>
    <row r="553">
      <c r="A553" s="23">
        <f>IFERROR(__xludf.DUMMYFUNCTION("""COMPUTED_VALUE"""),552.0)</f>
        <v>552</v>
      </c>
      <c r="B553" s="23" t="str">
        <f>IFERROR(__xludf.DUMMYFUNCTION("""COMPUTED_VALUE"""),"Student Attendance Record II")</f>
        <v>Student Attendance Record II</v>
      </c>
      <c r="C553" s="23" t="str">
        <f>IFERROR(__xludf.DUMMYFUNCTION("""COMPUTED_VALUE"""),"student-attendance-record-ii")</f>
        <v>student-attendance-record-ii</v>
      </c>
      <c r="D553" s="23" t="b">
        <f>IFERROR(__xludf.DUMMYFUNCTION("""COMPUTED_VALUE"""),FALSE)</f>
        <v>0</v>
      </c>
      <c r="E553" s="23" t="str">
        <f>IFERROR(__xludf.DUMMYFUNCTION("""COMPUTED_VALUE"""),"Hard")</f>
        <v>Hard</v>
      </c>
      <c r="F553" s="23">
        <f>IFERROR(__xludf.DUMMYFUNCTION("""COMPUTED_VALUE"""),1171.0)</f>
        <v>1171</v>
      </c>
      <c r="G553" s="23">
        <f>IFERROR(__xludf.DUMMYFUNCTION("""COMPUTED_VALUE"""),199.0)</f>
        <v>199</v>
      </c>
      <c r="H553" s="23" t="str">
        <f>IFERROR(__xludf.DUMMYFUNCTION("""COMPUTED_VALUE"""),"Algorithms")</f>
        <v>Algorithms</v>
      </c>
      <c r="I553" s="23">
        <f>IFERROR(__xludf.DUMMYFUNCTION("""COMPUTED_VALUE"""),0.406)</f>
        <v>0.406</v>
      </c>
      <c r="J553" s="23">
        <f>IFERROR(__xludf.DUMMYFUNCTION("""COMPUTED_VALUE"""),552.0)</f>
        <v>552</v>
      </c>
      <c r="K553" s="23" t="b">
        <f>IFERROR(__xludf.DUMMYFUNCTION("""COMPUTED_VALUE"""),FALSE)</f>
        <v>0</v>
      </c>
      <c r="L553" s="23" t="str">
        <f>IFERROR(__xludf.DUMMYFUNCTION("""COMPUTED_VALUE"""),"Dynamic Programming;")</f>
        <v>Dynamic Programming;</v>
      </c>
      <c r="M553" s="23" t="b">
        <f>IFERROR(__xludf.DUMMYFUNCTION("""COMPUTED_VALUE"""),TRUE)</f>
        <v>1</v>
      </c>
      <c r="N553" s="23" t="b">
        <f>IFERROR(__xludf.DUMMYFUNCTION("""COMPUTED_VALUE"""),FALSE)</f>
        <v>0</v>
      </c>
      <c r="O553" s="23">
        <f>IFERROR(__xludf.DUMMYFUNCTION("""COMPUTED_VALUE"""),40.5531992401967)</f>
        <v>40.55319924</v>
      </c>
      <c r="P553" s="23">
        <f>IFERROR(__xludf.DUMMYFUNCTION("""COMPUTED_VALUE"""),46755.0)</f>
        <v>46755</v>
      </c>
      <c r="Q553" s="23">
        <f>IFERROR(__xludf.DUMMYFUNCTION("""COMPUTED_VALUE"""),115293.0)</f>
        <v>115293</v>
      </c>
    </row>
    <row r="554">
      <c r="A554" s="23">
        <f>IFERROR(__xludf.DUMMYFUNCTION("""COMPUTED_VALUE"""),553.0)</f>
        <v>553</v>
      </c>
      <c r="B554" s="23" t="str">
        <f>IFERROR(__xludf.DUMMYFUNCTION("""COMPUTED_VALUE"""),"Optimal Division")</f>
        <v>Optimal Division</v>
      </c>
      <c r="C554" s="23" t="str">
        <f>IFERROR(__xludf.DUMMYFUNCTION("""COMPUTED_VALUE"""),"optimal-division")</f>
        <v>optimal-division</v>
      </c>
      <c r="D554" s="23" t="b">
        <f>IFERROR(__xludf.DUMMYFUNCTION("""COMPUTED_VALUE"""),FALSE)</f>
        <v>0</v>
      </c>
      <c r="E554" s="23" t="str">
        <f>IFERROR(__xludf.DUMMYFUNCTION("""COMPUTED_VALUE"""),"Medium")</f>
        <v>Medium</v>
      </c>
      <c r="F554" s="23">
        <f>IFERROR(__xludf.DUMMYFUNCTION("""COMPUTED_VALUE"""),269.0)</f>
        <v>269</v>
      </c>
      <c r="G554" s="23">
        <f>IFERROR(__xludf.DUMMYFUNCTION("""COMPUTED_VALUE"""),1383.0)</f>
        <v>1383</v>
      </c>
      <c r="H554" s="23" t="str">
        <f>IFERROR(__xludf.DUMMYFUNCTION("""COMPUTED_VALUE"""),"Algorithms")</f>
        <v>Algorithms</v>
      </c>
      <c r="I554" s="23">
        <f>IFERROR(__xludf.DUMMYFUNCTION("""COMPUTED_VALUE"""),0.59)</f>
        <v>0.59</v>
      </c>
      <c r="J554" s="23">
        <f>IFERROR(__xludf.DUMMYFUNCTION("""COMPUTED_VALUE"""),553.0)</f>
        <v>553</v>
      </c>
      <c r="K554" s="23" t="b">
        <f>IFERROR(__xludf.DUMMYFUNCTION("""COMPUTED_VALUE"""),FALSE)</f>
        <v>0</v>
      </c>
      <c r="L554" s="23" t="str">
        <f>IFERROR(__xludf.DUMMYFUNCTION("""COMPUTED_VALUE"""),"Array;Math;Dynamic Programming;")</f>
        <v>Array;Math;Dynamic Programming;</v>
      </c>
      <c r="M554" s="23" t="b">
        <f>IFERROR(__xludf.DUMMYFUNCTION("""COMPUTED_VALUE"""),TRUE)</f>
        <v>1</v>
      </c>
      <c r="N554" s="23" t="b">
        <f>IFERROR(__xludf.DUMMYFUNCTION("""COMPUTED_VALUE"""),FALSE)</f>
        <v>0</v>
      </c>
      <c r="O554" s="23">
        <f>IFERROR(__xludf.DUMMYFUNCTION("""COMPUTED_VALUE"""),59.025846785481)</f>
        <v>59.02584679</v>
      </c>
      <c r="P554" s="23">
        <f>IFERROR(__xludf.DUMMYFUNCTION("""COMPUTED_VALUE"""),31629.0)</f>
        <v>31629</v>
      </c>
      <c r="Q554" s="23">
        <f>IFERROR(__xludf.DUMMYFUNCTION("""COMPUTED_VALUE"""),53585.0)</f>
        <v>53585</v>
      </c>
    </row>
    <row r="555">
      <c r="A555" s="23">
        <f>IFERROR(__xludf.DUMMYFUNCTION("""COMPUTED_VALUE"""),554.0)</f>
        <v>554</v>
      </c>
      <c r="B555" s="23" t="str">
        <f>IFERROR(__xludf.DUMMYFUNCTION("""COMPUTED_VALUE"""),"Brick Wall")</f>
        <v>Brick Wall</v>
      </c>
      <c r="C555" s="23" t="str">
        <f>IFERROR(__xludf.DUMMYFUNCTION("""COMPUTED_VALUE"""),"brick-wall")</f>
        <v>brick-wall</v>
      </c>
      <c r="D555" s="23" t="b">
        <f>IFERROR(__xludf.DUMMYFUNCTION("""COMPUTED_VALUE"""),FALSE)</f>
        <v>0</v>
      </c>
      <c r="E555" s="23" t="str">
        <f>IFERROR(__xludf.DUMMYFUNCTION("""COMPUTED_VALUE"""),"Medium")</f>
        <v>Medium</v>
      </c>
      <c r="F555" s="23">
        <f>IFERROR(__xludf.DUMMYFUNCTION("""COMPUTED_VALUE"""),1790.0)</f>
        <v>1790</v>
      </c>
      <c r="G555" s="23">
        <f>IFERROR(__xludf.DUMMYFUNCTION("""COMPUTED_VALUE"""),101.0)</f>
        <v>101</v>
      </c>
      <c r="H555" s="23" t="str">
        <f>IFERROR(__xludf.DUMMYFUNCTION("""COMPUTED_VALUE"""),"Algorithms")</f>
        <v>Algorithms</v>
      </c>
      <c r="I555" s="23">
        <f>IFERROR(__xludf.DUMMYFUNCTION("""COMPUTED_VALUE"""),0.526)</f>
        <v>0.526</v>
      </c>
      <c r="J555" s="23">
        <f>IFERROR(__xludf.DUMMYFUNCTION("""COMPUTED_VALUE"""),554.0)</f>
        <v>554</v>
      </c>
      <c r="K555" s="23" t="b">
        <f>IFERROR(__xludf.DUMMYFUNCTION("""COMPUTED_VALUE"""),FALSE)</f>
        <v>0</v>
      </c>
      <c r="L555" s="23" t="str">
        <f>IFERROR(__xludf.DUMMYFUNCTION("""COMPUTED_VALUE"""),"Array;Hash Table;")</f>
        <v>Array;Hash Table;</v>
      </c>
      <c r="M555" s="23" t="b">
        <f>IFERROR(__xludf.DUMMYFUNCTION("""COMPUTED_VALUE"""),TRUE)</f>
        <v>1</v>
      </c>
      <c r="N555" s="23" t="b">
        <f>IFERROR(__xludf.DUMMYFUNCTION("""COMPUTED_VALUE"""),TRUE)</f>
        <v>1</v>
      </c>
      <c r="O555" s="23">
        <f>IFERROR(__xludf.DUMMYFUNCTION("""COMPUTED_VALUE"""),52.6176895781311)</f>
        <v>52.61768958</v>
      </c>
      <c r="P555" s="23">
        <f>IFERROR(__xludf.DUMMYFUNCTION("""COMPUTED_VALUE"""),100092.0)</f>
        <v>100092</v>
      </c>
      <c r="Q555" s="23">
        <f>IFERROR(__xludf.DUMMYFUNCTION("""COMPUTED_VALUE"""),190225.0)</f>
        <v>190225</v>
      </c>
    </row>
    <row r="556">
      <c r="A556" s="23">
        <f>IFERROR(__xludf.DUMMYFUNCTION("""COMPUTED_VALUE"""),555.0)</f>
        <v>555</v>
      </c>
      <c r="B556" s="23" t="str">
        <f>IFERROR(__xludf.DUMMYFUNCTION("""COMPUTED_VALUE"""),"Split Concatenated Strings")</f>
        <v>Split Concatenated Strings</v>
      </c>
      <c r="C556" s="23" t="str">
        <f>IFERROR(__xludf.DUMMYFUNCTION("""COMPUTED_VALUE"""),"split-concatenated-strings")</f>
        <v>split-concatenated-strings</v>
      </c>
      <c r="D556" s="23" t="b">
        <f>IFERROR(__xludf.DUMMYFUNCTION("""COMPUTED_VALUE"""),TRUE)</f>
        <v>1</v>
      </c>
      <c r="E556" s="23" t="str">
        <f>IFERROR(__xludf.DUMMYFUNCTION("""COMPUTED_VALUE"""),"Medium")</f>
        <v>Medium</v>
      </c>
      <c r="F556" s="23">
        <f>IFERROR(__xludf.DUMMYFUNCTION("""COMPUTED_VALUE"""),62.0)</f>
        <v>62</v>
      </c>
      <c r="G556" s="23">
        <f>IFERROR(__xludf.DUMMYFUNCTION("""COMPUTED_VALUE"""),239.0)</f>
        <v>239</v>
      </c>
      <c r="H556" s="23" t="str">
        <f>IFERROR(__xludf.DUMMYFUNCTION("""COMPUTED_VALUE"""),"Algorithms")</f>
        <v>Algorithms</v>
      </c>
      <c r="I556" s="23">
        <f>IFERROR(__xludf.DUMMYFUNCTION("""COMPUTED_VALUE"""),0.432)</f>
        <v>0.432</v>
      </c>
      <c r="J556" s="23">
        <f>IFERROR(__xludf.DUMMYFUNCTION("""COMPUTED_VALUE"""),555.0)</f>
        <v>555</v>
      </c>
      <c r="K556" s="23" t="b">
        <f>IFERROR(__xludf.DUMMYFUNCTION("""COMPUTED_VALUE"""),TRUE)</f>
        <v>1</v>
      </c>
      <c r="L556" s="23" t="str">
        <f>IFERROR(__xludf.DUMMYFUNCTION("""COMPUTED_VALUE"""),"Array;String;Greedy;")</f>
        <v>Array;String;Greedy;</v>
      </c>
      <c r="M556" s="23" t="b">
        <f>IFERROR(__xludf.DUMMYFUNCTION("""COMPUTED_VALUE"""),FALSE)</f>
        <v>0</v>
      </c>
      <c r="N556" s="23" t="b">
        <f>IFERROR(__xludf.DUMMYFUNCTION("""COMPUTED_VALUE"""),FALSE)</f>
        <v>0</v>
      </c>
      <c r="O556" s="23">
        <f>IFERROR(__xludf.DUMMYFUNCTION("""COMPUTED_VALUE"""),43.218608721015)</f>
        <v>43.21860872</v>
      </c>
      <c r="P556" s="23">
        <f>IFERROR(__xludf.DUMMYFUNCTION("""COMPUTED_VALUE"""),5927.0)</f>
        <v>5927</v>
      </c>
      <c r="Q556" s="23">
        <f>IFERROR(__xludf.DUMMYFUNCTION("""COMPUTED_VALUE"""),13714.0)</f>
        <v>13714</v>
      </c>
    </row>
    <row r="557">
      <c r="A557" s="23">
        <f>IFERROR(__xludf.DUMMYFUNCTION("""COMPUTED_VALUE"""),556.0)</f>
        <v>556</v>
      </c>
      <c r="B557" s="23" t="str">
        <f>IFERROR(__xludf.DUMMYFUNCTION("""COMPUTED_VALUE"""),"Next Greater Element III")</f>
        <v>Next Greater Element III</v>
      </c>
      <c r="C557" s="23" t="str">
        <f>IFERROR(__xludf.DUMMYFUNCTION("""COMPUTED_VALUE"""),"next-greater-element-iii")</f>
        <v>next-greater-element-iii</v>
      </c>
      <c r="D557" s="23" t="b">
        <f>IFERROR(__xludf.DUMMYFUNCTION("""COMPUTED_VALUE"""),FALSE)</f>
        <v>0</v>
      </c>
      <c r="E557" s="23" t="str">
        <f>IFERROR(__xludf.DUMMYFUNCTION("""COMPUTED_VALUE"""),"Medium")</f>
        <v>Medium</v>
      </c>
      <c r="F557" s="23">
        <f>IFERROR(__xludf.DUMMYFUNCTION("""COMPUTED_VALUE"""),2195.0)</f>
        <v>2195</v>
      </c>
      <c r="G557" s="23">
        <f>IFERROR(__xludf.DUMMYFUNCTION("""COMPUTED_VALUE"""),344.0)</f>
        <v>344</v>
      </c>
      <c r="H557" s="23" t="str">
        <f>IFERROR(__xludf.DUMMYFUNCTION("""COMPUTED_VALUE"""),"Algorithms")</f>
        <v>Algorithms</v>
      </c>
      <c r="I557" s="23">
        <f>IFERROR(__xludf.DUMMYFUNCTION("""COMPUTED_VALUE"""),0.338)</f>
        <v>0.338</v>
      </c>
      <c r="J557" s="23">
        <f>IFERROR(__xludf.DUMMYFUNCTION("""COMPUTED_VALUE"""),556.0)</f>
        <v>556</v>
      </c>
      <c r="K557" s="23" t="b">
        <f>IFERROR(__xludf.DUMMYFUNCTION("""COMPUTED_VALUE"""),FALSE)</f>
        <v>0</v>
      </c>
      <c r="L557" s="23" t="str">
        <f>IFERROR(__xludf.DUMMYFUNCTION("""COMPUTED_VALUE"""),"Math;Two Pointers;String;")</f>
        <v>Math;Two Pointers;String;</v>
      </c>
      <c r="M557" s="23" t="b">
        <f>IFERROR(__xludf.DUMMYFUNCTION("""COMPUTED_VALUE"""),TRUE)</f>
        <v>1</v>
      </c>
      <c r="N557" s="23" t="b">
        <f>IFERROR(__xludf.DUMMYFUNCTION("""COMPUTED_VALUE"""),FALSE)</f>
        <v>0</v>
      </c>
      <c r="O557" s="23">
        <f>IFERROR(__xludf.DUMMYFUNCTION("""COMPUTED_VALUE"""),33.8068024766432)</f>
        <v>33.80680248</v>
      </c>
      <c r="P557" s="23">
        <f>IFERROR(__xludf.DUMMYFUNCTION("""COMPUTED_VALUE"""),97845.0)</f>
        <v>97845</v>
      </c>
      <c r="Q557" s="23">
        <f>IFERROR(__xludf.DUMMYFUNCTION("""COMPUTED_VALUE"""),289422.0)</f>
        <v>289422</v>
      </c>
    </row>
    <row r="558">
      <c r="A558" s="23">
        <f>IFERROR(__xludf.DUMMYFUNCTION("""COMPUTED_VALUE"""),557.0)</f>
        <v>557</v>
      </c>
      <c r="B558" s="23" t="str">
        <f>IFERROR(__xludf.DUMMYFUNCTION("""COMPUTED_VALUE"""),"Reverse Words in a String III")</f>
        <v>Reverse Words in a String III</v>
      </c>
      <c r="C558" s="23" t="str">
        <f>IFERROR(__xludf.DUMMYFUNCTION("""COMPUTED_VALUE"""),"reverse-words-in-a-string-iii")</f>
        <v>reverse-words-in-a-string-iii</v>
      </c>
      <c r="D558" s="23" t="b">
        <f>IFERROR(__xludf.DUMMYFUNCTION("""COMPUTED_VALUE"""),FALSE)</f>
        <v>0</v>
      </c>
      <c r="E558" s="23" t="str">
        <f>IFERROR(__xludf.DUMMYFUNCTION("""COMPUTED_VALUE"""),"Easy")</f>
        <v>Easy</v>
      </c>
      <c r="F558" s="23">
        <f>IFERROR(__xludf.DUMMYFUNCTION("""COMPUTED_VALUE"""),2733.0)</f>
        <v>2733</v>
      </c>
      <c r="G558" s="23">
        <f>IFERROR(__xludf.DUMMYFUNCTION("""COMPUTED_VALUE"""),163.0)</f>
        <v>163</v>
      </c>
      <c r="H558" s="23" t="str">
        <f>IFERROR(__xludf.DUMMYFUNCTION("""COMPUTED_VALUE"""),"Algorithms")</f>
        <v>Algorithms</v>
      </c>
      <c r="I558" s="23">
        <f>IFERROR(__xludf.DUMMYFUNCTION("""COMPUTED_VALUE"""),0.787)</f>
        <v>0.787</v>
      </c>
      <c r="J558" s="23">
        <f>IFERROR(__xludf.DUMMYFUNCTION("""COMPUTED_VALUE"""),557.0)</f>
        <v>557</v>
      </c>
      <c r="K558" s="23" t="b">
        <f>IFERROR(__xludf.DUMMYFUNCTION("""COMPUTED_VALUE"""),FALSE)</f>
        <v>0</v>
      </c>
      <c r="L558" s="23" t="str">
        <f>IFERROR(__xludf.DUMMYFUNCTION("""COMPUTED_VALUE"""),"Two Pointers;String;")</f>
        <v>Two Pointers;String;</v>
      </c>
      <c r="M558" s="23" t="b">
        <f>IFERROR(__xludf.DUMMYFUNCTION("""COMPUTED_VALUE"""),TRUE)</f>
        <v>1</v>
      </c>
      <c r="N558" s="23" t="b">
        <f>IFERROR(__xludf.DUMMYFUNCTION("""COMPUTED_VALUE"""),FALSE)</f>
        <v>0</v>
      </c>
      <c r="O558" s="23">
        <f>IFERROR(__xludf.DUMMYFUNCTION("""COMPUTED_VALUE"""),78.6651580861653)</f>
        <v>78.66515809</v>
      </c>
      <c r="P558" s="23">
        <f>IFERROR(__xludf.DUMMYFUNCTION("""COMPUTED_VALUE"""),437323.0)</f>
        <v>437323</v>
      </c>
      <c r="Q558" s="23">
        <f>IFERROR(__xludf.DUMMYFUNCTION("""COMPUTED_VALUE"""),555930.0)</f>
        <v>555930</v>
      </c>
    </row>
    <row r="559">
      <c r="A559" s="23">
        <f>IFERROR(__xludf.DUMMYFUNCTION("""COMPUTED_VALUE"""),773.0)</f>
        <v>773</v>
      </c>
      <c r="B559" s="23" t="str">
        <f>IFERROR(__xludf.DUMMYFUNCTION("""COMPUTED_VALUE"""),"Logical OR of Two Binary Grids Represented as Quad-Trees")</f>
        <v>Logical OR of Two Binary Grids Represented as Quad-Trees</v>
      </c>
      <c r="C559" s="23" t="str">
        <f>IFERROR(__xludf.DUMMYFUNCTION("""COMPUTED_VALUE"""),"logical-or-of-two-binary-grids-represented-as-quad-trees")</f>
        <v>logical-or-of-two-binary-grids-represented-as-quad-trees</v>
      </c>
      <c r="D559" s="23" t="b">
        <f>IFERROR(__xludf.DUMMYFUNCTION("""COMPUTED_VALUE"""),FALSE)</f>
        <v>0</v>
      </c>
      <c r="E559" s="23" t="str">
        <f>IFERROR(__xludf.DUMMYFUNCTION("""COMPUTED_VALUE"""),"Medium")</f>
        <v>Medium</v>
      </c>
      <c r="F559" s="23">
        <f>IFERROR(__xludf.DUMMYFUNCTION("""COMPUTED_VALUE"""),128.0)</f>
        <v>128</v>
      </c>
      <c r="G559" s="23">
        <f>IFERROR(__xludf.DUMMYFUNCTION("""COMPUTED_VALUE"""),410.0)</f>
        <v>410</v>
      </c>
      <c r="H559" s="23" t="str">
        <f>IFERROR(__xludf.DUMMYFUNCTION("""COMPUTED_VALUE"""),"Algorithms")</f>
        <v>Algorithms</v>
      </c>
      <c r="I559" s="23">
        <f>IFERROR(__xludf.DUMMYFUNCTION("""COMPUTED_VALUE"""),0.472)</f>
        <v>0.472</v>
      </c>
      <c r="J559" s="23">
        <f>IFERROR(__xludf.DUMMYFUNCTION("""COMPUTED_VALUE"""),558.0)</f>
        <v>558</v>
      </c>
      <c r="K559" s="23" t="b">
        <f>IFERROR(__xludf.DUMMYFUNCTION("""COMPUTED_VALUE"""),FALSE)</f>
        <v>0</v>
      </c>
      <c r="L559" s="23" t="str">
        <f>IFERROR(__xludf.DUMMYFUNCTION("""COMPUTED_VALUE"""),"Divide and Conquer;Tree;")</f>
        <v>Divide and Conquer;Tree;</v>
      </c>
      <c r="M559" s="23" t="b">
        <f>IFERROR(__xludf.DUMMYFUNCTION("""COMPUTED_VALUE"""),FALSE)</f>
        <v>0</v>
      </c>
      <c r="N559" s="23" t="b">
        <f>IFERROR(__xludf.DUMMYFUNCTION("""COMPUTED_VALUE"""),FALSE)</f>
        <v>0</v>
      </c>
      <c r="O559" s="23">
        <f>IFERROR(__xludf.DUMMYFUNCTION("""COMPUTED_VALUE"""),47.1550887848496)</f>
        <v>47.15508878</v>
      </c>
      <c r="P559" s="23">
        <f>IFERROR(__xludf.DUMMYFUNCTION("""COMPUTED_VALUE"""),11180.0)</f>
        <v>11180</v>
      </c>
      <c r="Q559" s="23">
        <f>IFERROR(__xludf.DUMMYFUNCTION("""COMPUTED_VALUE"""),23709.0)</f>
        <v>23709</v>
      </c>
    </row>
    <row r="560">
      <c r="A560" s="23">
        <f>IFERROR(__xludf.DUMMYFUNCTION("""COMPUTED_VALUE"""),774.0)</f>
        <v>774</v>
      </c>
      <c r="B560" s="23" t="str">
        <f>IFERROR(__xludf.DUMMYFUNCTION("""COMPUTED_VALUE"""),"Maximum Depth of N-ary Tree")</f>
        <v>Maximum Depth of N-ary Tree</v>
      </c>
      <c r="C560" s="23" t="str">
        <f>IFERROR(__xludf.DUMMYFUNCTION("""COMPUTED_VALUE"""),"maximum-depth-of-n-ary-tree")</f>
        <v>maximum-depth-of-n-ary-tree</v>
      </c>
      <c r="D560" s="23" t="b">
        <f>IFERROR(__xludf.DUMMYFUNCTION("""COMPUTED_VALUE"""),FALSE)</f>
        <v>0</v>
      </c>
      <c r="E560" s="23" t="str">
        <f>IFERROR(__xludf.DUMMYFUNCTION("""COMPUTED_VALUE"""),"Easy")</f>
        <v>Easy</v>
      </c>
      <c r="F560" s="23">
        <f>IFERROR(__xludf.DUMMYFUNCTION("""COMPUTED_VALUE"""),1967.0)</f>
        <v>1967</v>
      </c>
      <c r="G560" s="23">
        <f>IFERROR(__xludf.DUMMYFUNCTION("""COMPUTED_VALUE"""),70.0)</f>
        <v>70</v>
      </c>
      <c r="H560" s="23" t="str">
        <f>IFERROR(__xludf.DUMMYFUNCTION("""COMPUTED_VALUE"""),"Algorithms")</f>
        <v>Algorithms</v>
      </c>
      <c r="I560" s="23">
        <f>IFERROR(__xludf.DUMMYFUNCTION("""COMPUTED_VALUE"""),0.71)</f>
        <v>0.71</v>
      </c>
      <c r="J560" s="23">
        <f>IFERROR(__xludf.DUMMYFUNCTION("""COMPUTED_VALUE"""),559.0)</f>
        <v>559</v>
      </c>
      <c r="K560" s="23" t="b">
        <f>IFERROR(__xludf.DUMMYFUNCTION("""COMPUTED_VALUE"""),FALSE)</f>
        <v>0</v>
      </c>
      <c r="L560" s="23" t="str">
        <f>IFERROR(__xludf.DUMMYFUNCTION("""COMPUTED_VALUE"""),"Tree;Depth-First Search;Breadth-First Search;")</f>
        <v>Tree;Depth-First Search;Breadth-First Search;</v>
      </c>
      <c r="M560" s="23" t="b">
        <f>IFERROR(__xludf.DUMMYFUNCTION("""COMPUTED_VALUE"""),TRUE)</f>
        <v>1</v>
      </c>
      <c r="N560" s="23" t="b">
        <f>IFERROR(__xludf.DUMMYFUNCTION("""COMPUTED_VALUE"""),FALSE)</f>
        <v>0</v>
      </c>
      <c r="O560" s="23">
        <f>IFERROR(__xludf.DUMMYFUNCTION("""COMPUTED_VALUE"""),71.0352849941837)</f>
        <v>71.03528499</v>
      </c>
      <c r="P560" s="23">
        <f>IFERROR(__xludf.DUMMYFUNCTION("""COMPUTED_VALUE"""),208848.0)</f>
        <v>208848</v>
      </c>
      <c r="Q560" s="23">
        <f>IFERROR(__xludf.DUMMYFUNCTION("""COMPUTED_VALUE"""),294006.0)</f>
        <v>294006</v>
      </c>
    </row>
    <row r="561">
      <c r="A561" s="23">
        <f>IFERROR(__xludf.DUMMYFUNCTION("""COMPUTED_VALUE"""),560.0)</f>
        <v>560</v>
      </c>
      <c r="B561" s="23" t="str">
        <f>IFERROR(__xludf.DUMMYFUNCTION("""COMPUTED_VALUE"""),"Subarray Sum Equals K")</f>
        <v>Subarray Sum Equals K</v>
      </c>
      <c r="C561" s="23" t="str">
        <f>IFERROR(__xludf.DUMMYFUNCTION("""COMPUTED_VALUE"""),"subarray-sum-equals-k")</f>
        <v>subarray-sum-equals-k</v>
      </c>
      <c r="D561" s="23" t="b">
        <f>IFERROR(__xludf.DUMMYFUNCTION("""COMPUTED_VALUE"""),FALSE)</f>
        <v>0</v>
      </c>
      <c r="E561" s="23" t="str">
        <f>IFERROR(__xludf.DUMMYFUNCTION("""COMPUTED_VALUE"""),"Medium")</f>
        <v>Medium</v>
      </c>
      <c r="F561" s="23">
        <f>IFERROR(__xludf.DUMMYFUNCTION("""COMPUTED_VALUE"""),12937.0)</f>
        <v>12937</v>
      </c>
      <c r="G561" s="23">
        <f>IFERROR(__xludf.DUMMYFUNCTION("""COMPUTED_VALUE"""),415.0)</f>
        <v>415</v>
      </c>
      <c r="H561" s="23" t="str">
        <f>IFERROR(__xludf.DUMMYFUNCTION("""COMPUTED_VALUE"""),"Algorithms")</f>
        <v>Algorithms</v>
      </c>
      <c r="I561" s="23">
        <f>IFERROR(__xludf.DUMMYFUNCTION("""COMPUTED_VALUE"""),0.442)</f>
        <v>0.442</v>
      </c>
      <c r="J561" s="23">
        <f>IFERROR(__xludf.DUMMYFUNCTION("""COMPUTED_VALUE"""),560.0)</f>
        <v>560</v>
      </c>
      <c r="K561" s="23" t="b">
        <f>IFERROR(__xludf.DUMMYFUNCTION("""COMPUTED_VALUE"""),FALSE)</f>
        <v>0</v>
      </c>
      <c r="L561" s="23" t="str">
        <f>IFERROR(__xludf.DUMMYFUNCTION("""COMPUTED_VALUE"""),"Array;Hash Table;Prefix Sum;")</f>
        <v>Array;Hash Table;Prefix Sum;</v>
      </c>
      <c r="M561" s="23" t="b">
        <f>IFERROR(__xludf.DUMMYFUNCTION("""COMPUTED_VALUE"""),TRUE)</f>
        <v>1</v>
      </c>
      <c r="N561" s="23" t="b">
        <f>IFERROR(__xludf.DUMMYFUNCTION("""COMPUTED_VALUE"""),TRUE)</f>
        <v>1</v>
      </c>
      <c r="O561" s="23">
        <f>IFERROR(__xludf.DUMMYFUNCTION("""COMPUTED_VALUE"""),44.2363126528214)</f>
        <v>44.23631265</v>
      </c>
      <c r="P561" s="23">
        <f>IFERROR(__xludf.DUMMYFUNCTION("""COMPUTED_VALUE"""),766530.0)</f>
        <v>766530</v>
      </c>
      <c r="Q561" s="23">
        <f>IFERROR(__xludf.DUMMYFUNCTION("""COMPUTED_VALUE"""),1732813.0)</f>
        <v>1732813</v>
      </c>
    </row>
    <row r="562">
      <c r="A562" s="23">
        <f>IFERROR(__xludf.DUMMYFUNCTION("""COMPUTED_VALUE"""),561.0)</f>
        <v>561</v>
      </c>
      <c r="B562" s="23" t="str">
        <f>IFERROR(__xludf.DUMMYFUNCTION("""COMPUTED_VALUE"""),"Array Partition I")</f>
        <v>Array Partition I</v>
      </c>
      <c r="C562" s="23" t="str">
        <f>IFERROR(__xludf.DUMMYFUNCTION("""COMPUTED_VALUE"""),"array-partition-i")</f>
        <v>array-partition-i</v>
      </c>
      <c r="D562" s="23" t="b">
        <f>IFERROR(__xludf.DUMMYFUNCTION("""COMPUTED_VALUE"""),FALSE)</f>
        <v>0</v>
      </c>
      <c r="E562" s="23" t="str">
        <f>IFERROR(__xludf.DUMMYFUNCTION("""COMPUTED_VALUE"""),"Easy")</f>
        <v>Easy</v>
      </c>
      <c r="F562" s="23">
        <f>IFERROR(__xludf.DUMMYFUNCTION("""COMPUTED_VALUE"""),795.0)</f>
        <v>795</v>
      </c>
      <c r="G562" s="23">
        <f>IFERROR(__xludf.DUMMYFUNCTION("""COMPUTED_VALUE"""),132.0)</f>
        <v>132</v>
      </c>
      <c r="H562" s="23" t="str">
        <f>IFERROR(__xludf.DUMMYFUNCTION("""COMPUTED_VALUE"""),"Algorithms")</f>
        <v>Algorithms</v>
      </c>
      <c r="I562" s="23">
        <f>IFERROR(__xludf.DUMMYFUNCTION("""COMPUTED_VALUE"""),0.756)</f>
        <v>0.756</v>
      </c>
      <c r="J562" s="23">
        <f>IFERROR(__xludf.DUMMYFUNCTION("""COMPUTED_VALUE"""),561.0)</f>
        <v>561</v>
      </c>
      <c r="K562" s="23" t="b">
        <f>IFERROR(__xludf.DUMMYFUNCTION("""COMPUTED_VALUE"""),FALSE)</f>
        <v>0</v>
      </c>
      <c r="L562" s="23" t="str">
        <f>IFERROR(__xludf.DUMMYFUNCTION("""COMPUTED_VALUE"""),"Array;Greedy;Sorting;Counting Sort;")</f>
        <v>Array;Greedy;Sorting;Counting Sort;</v>
      </c>
      <c r="M562" s="23" t="b">
        <f>IFERROR(__xludf.DUMMYFUNCTION("""COMPUTED_VALUE"""),FALSE)</f>
        <v>0</v>
      </c>
      <c r="N562" s="23" t="b">
        <f>IFERROR(__xludf.DUMMYFUNCTION("""COMPUTED_VALUE"""),FALSE)</f>
        <v>0</v>
      </c>
      <c r="O562" s="23">
        <f>IFERROR(__xludf.DUMMYFUNCTION("""COMPUTED_VALUE"""),75.6189300603209)</f>
        <v>75.61893006</v>
      </c>
      <c r="P562" s="23">
        <f>IFERROR(__xludf.DUMMYFUNCTION("""COMPUTED_VALUE"""),324685.0)</f>
        <v>324685</v>
      </c>
      <c r="Q562" s="23">
        <f>IFERROR(__xludf.DUMMYFUNCTION("""COMPUTED_VALUE"""),429370.0)</f>
        <v>429370</v>
      </c>
    </row>
    <row r="563">
      <c r="A563" s="23">
        <f>IFERROR(__xludf.DUMMYFUNCTION("""COMPUTED_VALUE"""),562.0)</f>
        <v>562</v>
      </c>
      <c r="B563" s="23" t="str">
        <f>IFERROR(__xludf.DUMMYFUNCTION("""COMPUTED_VALUE"""),"Longest Line of Consecutive One in Matrix")</f>
        <v>Longest Line of Consecutive One in Matrix</v>
      </c>
      <c r="C563" s="23" t="str">
        <f>IFERROR(__xludf.DUMMYFUNCTION("""COMPUTED_VALUE"""),"longest-line-of-consecutive-one-in-matrix")</f>
        <v>longest-line-of-consecutive-one-in-matrix</v>
      </c>
      <c r="D563" s="23" t="b">
        <f>IFERROR(__xludf.DUMMYFUNCTION("""COMPUTED_VALUE"""),TRUE)</f>
        <v>1</v>
      </c>
      <c r="E563" s="23" t="str">
        <f>IFERROR(__xludf.DUMMYFUNCTION("""COMPUTED_VALUE"""),"Medium")</f>
        <v>Medium</v>
      </c>
      <c r="F563" s="23">
        <f>IFERROR(__xludf.DUMMYFUNCTION("""COMPUTED_VALUE"""),704.0)</f>
        <v>704</v>
      </c>
      <c r="G563" s="23">
        <f>IFERROR(__xludf.DUMMYFUNCTION("""COMPUTED_VALUE"""),97.0)</f>
        <v>97</v>
      </c>
      <c r="H563" s="23" t="str">
        <f>IFERROR(__xludf.DUMMYFUNCTION("""COMPUTED_VALUE"""),"Algorithms")</f>
        <v>Algorithms</v>
      </c>
      <c r="I563" s="23">
        <f>IFERROR(__xludf.DUMMYFUNCTION("""COMPUTED_VALUE"""),0.491)</f>
        <v>0.491</v>
      </c>
      <c r="J563" s="23">
        <f>IFERROR(__xludf.DUMMYFUNCTION("""COMPUTED_VALUE"""),562.0)</f>
        <v>562</v>
      </c>
      <c r="K563" s="23" t="b">
        <f>IFERROR(__xludf.DUMMYFUNCTION("""COMPUTED_VALUE"""),TRUE)</f>
        <v>1</v>
      </c>
      <c r="L563" s="23" t="str">
        <f>IFERROR(__xludf.DUMMYFUNCTION("""COMPUTED_VALUE"""),"Array;Dynamic Programming;Matrix;")</f>
        <v>Array;Dynamic Programming;Matrix;</v>
      </c>
      <c r="M563" s="23" t="b">
        <f>IFERROR(__xludf.DUMMYFUNCTION("""COMPUTED_VALUE"""),TRUE)</f>
        <v>1</v>
      </c>
      <c r="N563" s="23" t="b">
        <f>IFERROR(__xludf.DUMMYFUNCTION("""COMPUTED_VALUE"""),FALSE)</f>
        <v>0</v>
      </c>
      <c r="O563" s="23">
        <f>IFERROR(__xludf.DUMMYFUNCTION("""COMPUTED_VALUE"""),49.1049304677623)</f>
        <v>49.10493047</v>
      </c>
      <c r="P563" s="23">
        <f>IFERROR(__xludf.DUMMYFUNCTION("""COMPUTED_VALUE"""),58263.0)</f>
        <v>58263</v>
      </c>
      <c r="Q563" s="23">
        <f>IFERROR(__xludf.DUMMYFUNCTION("""COMPUTED_VALUE"""),118650.0)</f>
        <v>118650</v>
      </c>
    </row>
    <row r="564">
      <c r="A564" s="23">
        <f>IFERROR(__xludf.DUMMYFUNCTION("""COMPUTED_VALUE"""),563.0)</f>
        <v>563</v>
      </c>
      <c r="B564" s="23" t="str">
        <f>IFERROR(__xludf.DUMMYFUNCTION("""COMPUTED_VALUE"""),"Binary Tree Tilt")</f>
        <v>Binary Tree Tilt</v>
      </c>
      <c r="C564" s="23" t="str">
        <f>IFERROR(__xludf.DUMMYFUNCTION("""COMPUTED_VALUE"""),"binary-tree-tilt")</f>
        <v>binary-tree-tilt</v>
      </c>
      <c r="D564" s="23" t="b">
        <f>IFERROR(__xludf.DUMMYFUNCTION("""COMPUTED_VALUE"""),FALSE)</f>
        <v>0</v>
      </c>
      <c r="E564" s="23" t="str">
        <f>IFERROR(__xludf.DUMMYFUNCTION("""COMPUTED_VALUE"""),"Easy")</f>
        <v>Easy</v>
      </c>
      <c r="F564" s="23">
        <f>IFERROR(__xludf.DUMMYFUNCTION("""COMPUTED_VALUE"""),1610.0)</f>
        <v>1610</v>
      </c>
      <c r="G564" s="23">
        <f>IFERROR(__xludf.DUMMYFUNCTION("""COMPUTED_VALUE"""),1912.0)</f>
        <v>1912</v>
      </c>
      <c r="H564" s="23" t="str">
        <f>IFERROR(__xludf.DUMMYFUNCTION("""COMPUTED_VALUE"""),"Algorithms")</f>
        <v>Algorithms</v>
      </c>
      <c r="I564" s="23">
        <f>IFERROR(__xludf.DUMMYFUNCTION("""COMPUTED_VALUE"""),0.585)</f>
        <v>0.585</v>
      </c>
      <c r="J564" s="23">
        <f>IFERROR(__xludf.DUMMYFUNCTION("""COMPUTED_VALUE"""),563.0)</f>
        <v>563</v>
      </c>
      <c r="K564" s="23" t="b">
        <f>IFERROR(__xludf.DUMMYFUNCTION("""COMPUTED_VALUE"""),FALSE)</f>
        <v>0</v>
      </c>
      <c r="L564" s="23" t="str">
        <f>IFERROR(__xludf.DUMMYFUNCTION("""COMPUTED_VALUE"""),"Tree;Depth-First Search;Binary Tree;")</f>
        <v>Tree;Depth-First Search;Binary Tree;</v>
      </c>
      <c r="M564" s="23" t="b">
        <f>IFERROR(__xludf.DUMMYFUNCTION("""COMPUTED_VALUE"""),TRUE)</f>
        <v>1</v>
      </c>
      <c r="N564" s="23" t="b">
        <f>IFERROR(__xludf.DUMMYFUNCTION("""COMPUTED_VALUE"""),FALSE)</f>
        <v>0</v>
      </c>
      <c r="O564" s="23">
        <f>IFERROR(__xludf.DUMMYFUNCTION("""COMPUTED_VALUE"""),58.5113581099653)</f>
        <v>58.51135811</v>
      </c>
      <c r="P564" s="23">
        <f>IFERROR(__xludf.DUMMYFUNCTION("""COMPUTED_VALUE"""),166033.0)</f>
        <v>166033</v>
      </c>
      <c r="Q564" s="23">
        <f>IFERROR(__xludf.DUMMYFUNCTION("""COMPUTED_VALUE"""),283762.0)</f>
        <v>283762</v>
      </c>
    </row>
    <row r="565">
      <c r="A565" s="23">
        <f>IFERROR(__xludf.DUMMYFUNCTION("""COMPUTED_VALUE"""),564.0)</f>
        <v>564</v>
      </c>
      <c r="B565" s="23" t="str">
        <f>IFERROR(__xludf.DUMMYFUNCTION("""COMPUTED_VALUE"""),"Find the Closest Palindrome")</f>
        <v>Find the Closest Palindrome</v>
      </c>
      <c r="C565" s="23" t="str">
        <f>IFERROR(__xludf.DUMMYFUNCTION("""COMPUTED_VALUE"""),"find-the-closest-palindrome")</f>
        <v>find-the-closest-palindrome</v>
      </c>
      <c r="D565" s="23" t="b">
        <f>IFERROR(__xludf.DUMMYFUNCTION("""COMPUTED_VALUE"""),FALSE)</f>
        <v>0</v>
      </c>
      <c r="E565" s="23" t="str">
        <f>IFERROR(__xludf.DUMMYFUNCTION("""COMPUTED_VALUE"""),"Hard")</f>
        <v>Hard</v>
      </c>
      <c r="F565" s="23">
        <f>IFERROR(__xludf.DUMMYFUNCTION("""COMPUTED_VALUE"""),477.0)</f>
        <v>477</v>
      </c>
      <c r="G565" s="23">
        <f>IFERROR(__xludf.DUMMYFUNCTION("""COMPUTED_VALUE"""),1130.0)</f>
        <v>1130</v>
      </c>
      <c r="H565" s="23" t="str">
        <f>IFERROR(__xludf.DUMMYFUNCTION("""COMPUTED_VALUE"""),"Algorithms")</f>
        <v>Algorithms</v>
      </c>
      <c r="I565" s="23">
        <f>IFERROR(__xludf.DUMMYFUNCTION("""COMPUTED_VALUE"""),0.213)</f>
        <v>0.213</v>
      </c>
      <c r="J565" s="23">
        <f>IFERROR(__xludf.DUMMYFUNCTION("""COMPUTED_VALUE"""),564.0)</f>
        <v>564</v>
      </c>
      <c r="K565" s="23" t="b">
        <f>IFERROR(__xludf.DUMMYFUNCTION("""COMPUTED_VALUE"""),FALSE)</f>
        <v>0</v>
      </c>
      <c r="L565" s="23" t="str">
        <f>IFERROR(__xludf.DUMMYFUNCTION("""COMPUTED_VALUE"""),"Math;String;")</f>
        <v>Math;String;</v>
      </c>
      <c r="M565" s="23" t="b">
        <f>IFERROR(__xludf.DUMMYFUNCTION("""COMPUTED_VALUE"""),FALSE)</f>
        <v>0</v>
      </c>
      <c r="N565" s="23" t="b">
        <f>IFERROR(__xludf.DUMMYFUNCTION("""COMPUTED_VALUE"""),FALSE)</f>
        <v>0</v>
      </c>
      <c r="O565" s="23">
        <f>IFERROR(__xludf.DUMMYFUNCTION("""COMPUTED_VALUE"""),21.3079178486635)</f>
        <v>21.30791785</v>
      </c>
      <c r="P565" s="23">
        <f>IFERROR(__xludf.DUMMYFUNCTION("""COMPUTED_VALUE"""),31322.0)</f>
        <v>31322</v>
      </c>
      <c r="Q565" s="23">
        <f>IFERROR(__xludf.DUMMYFUNCTION("""COMPUTED_VALUE"""),146997.0)</f>
        <v>146997</v>
      </c>
    </row>
    <row r="566">
      <c r="A566" s="23">
        <f>IFERROR(__xludf.DUMMYFUNCTION("""COMPUTED_VALUE"""),565.0)</f>
        <v>565</v>
      </c>
      <c r="B566" s="23" t="str">
        <f>IFERROR(__xludf.DUMMYFUNCTION("""COMPUTED_VALUE"""),"Array Nesting")</f>
        <v>Array Nesting</v>
      </c>
      <c r="C566" s="23" t="str">
        <f>IFERROR(__xludf.DUMMYFUNCTION("""COMPUTED_VALUE"""),"array-nesting")</f>
        <v>array-nesting</v>
      </c>
      <c r="D566" s="23" t="b">
        <f>IFERROR(__xludf.DUMMYFUNCTION("""COMPUTED_VALUE"""),FALSE)</f>
        <v>0</v>
      </c>
      <c r="E566" s="23" t="str">
        <f>IFERROR(__xludf.DUMMYFUNCTION("""COMPUTED_VALUE"""),"Medium")</f>
        <v>Medium</v>
      </c>
      <c r="F566" s="23">
        <f>IFERROR(__xludf.DUMMYFUNCTION("""COMPUTED_VALUE"""),1837.0)</f>
        <v>1837</v>
      </c>
      <c r="G566" s="23">
        <f>IFERROR(__xludf.DUMMYFUNCTION("""COMPUTED_VALUE"""),138.0)</f>
        <v>138</v>
      </c>
      <c r="H566" s="23" t="str">
        <f>IFERROR(__xludf.DUMMYFUNCTION("""COMPUTED_VALUE"""),"Algorithms")</f>
        <v>Algorithms</v>
      </c>
      <c r="I566" s="23">
        <f>IFERROR(__xludf.DUMMYFUNCTION("""COMPUTED_VALUE"""),0.563)</f>
        <v>0.563</v>
      </c>
      <c r="J566" s="23">
        <f>IFERROR(__xludf.DUMMYFUNCTION("""COMPUTED_VALUE"""),565.0)</f>
        <v>565</v>
      </c>
      <c r="K566" s="23" t="b">
        <f>IFERROR(__xludf.DUMMYFUNCTION("""COMPUTED_VALUE"""),FALSE)</f>
        <v>0</v>
      </c>
      <c r="L566" s="23" t="str">
        <f>IFERROR(__xludf.DUMMYFUNCTION("""COMPUTED_VALUE"""),"Array;Depth-First Search;")</f>
        <v>Array;Depth-First Search;</v>
      </c>
      <c r="M566" s="23" t="b">
        <f>IFERROR(__xludf.DUMMYFUNCTION("""COMPUTED_VALUE"""),TRUE)</f>
        <v>1</v>
      </c>
      <c r="N566" s="23" t="b">
        <f>IFERROR(__xludf.DUMMYFUNCTION("""COMPUTED_VALUE"""),FALSE)</f>
        <v>0</v>
      </c>
      <c r="O566" s="23">
        <f>IFERROR(__xludf.DUMMYFUNCTION("""COMPUTED_VALUE"""),56.2840849044376)</f>
        <v>56.2840849</v>
      </c>
      <c r="P566" s="23">
        <f>IFERROR(__xludf.DUMMYFUNCTION("""COMPUTED_VALUE"""),112907.0)</f>
        <v>112907</v>
      </c>
      <c r="Q566" s="23">
        <f>IFERROR(__xludf.DUMMYFUNCTION("""COMPUTED_VALUE"""),200602.0)</f>
        <v>200602</v>
      </c>
    </row>
    <row r="567">
      <c r="A567" s="23">
        <f>IFERROR(__xludf.DUMMYFUNCTION("""COMPUTED_VALUE"""),566.0)</f>
        <v>566</v>
      </c>
      <c r="B567" s="23" t="str">
        <f>IFERROR(__xludf.DUMMYFUNCTION("""COMPUTED_VALUE"""),"Reshape the Matrix")</f>
        <v>Reshape the Matrix</v>
      </c>
      <c r="C567" s="23" t="str">
        <f>IFERROR(__xludf.DUMMYFUNCTION("""COMPUTED_VALUE"""),"reshape-the-matrix")</f>
        <v>reshape-the-matrix</v>
      </c>
      <c r="D567" s="23" t="b">
        <f>IFERROR(__xludf.DUMMYFUNCTION("""COMPUTED_VALUE"""),FALSE)</f>
        <v>0</v>
      </c>
      <c r="E567" s="23" t="str">
        <f>IFERROR(__xludf.DUMMYFUNCTION("""COMPUTED_VALUE"""),"Easy")</f>
        <v>Easy</v>
      </c>
      <c r="F567" s="23">
        <f>IFERROR(__xludf.DUMMYFUNCTION("""COMPUTED_VALUE"""),2187.0)</f>
        <v>2187</v>
      </c>
      <c r="G567" s="23">
        <f>IFERROR(__xludf.DUMMYFUNCTION("""COMPUTED_VALUE"""),245.0)</f>
        <v>245</v>
      </c>
      <c r="H567" s="23" t="str">
        <f>IFERROR(__xludf.DUMMYFUNCTION("""COMPUTED_VALUE"""),"Algorithms")</f>
        <v>Algorithms</v>
      </c>
      <c r="I567" s="23">
        <f>IFERROR(__xludf.DUMMYFUNCTION("""COMPUTED_VALUE"""),0.624)</f>
        <v>0.624</v>
      </c>
      <c r="J567" s="23">
        <f>IFERROR(__xludf.DUMMYFUNCTION("""COMPUTED_VALUE"""),566.0)</f>
        <v>566</v>
      </c>
      <c r="K567" s="23" t="b">
        <f>IFERROR(__xludf.DUMMYFUNCTION("""COMPUTED_VALUE"""),FALSE)</f>
        <v>0</v>
      </c>
      <c r="L567" s="23" t="str">
        <f>IFERROR(__xludf.DUMMYFUNCTION("""COMPUTED_VALUE"""),"Array;Matrix;Simulation;")</f>
        <v>Array;Matrix;Simulation;</v>
      </c>
      <c r="M567" s="23" t="b">
        <f>IFERROR(__xludf.DUMMYFUNCTION("""COMPUTED_VALUE"""),TRUE)</f>
        <v>1</v>
      </c>
      <c r="N567" s="23" t="b">
        <f>IFERROR(__xludf.DUMMYFUNCTION("""COMPUTED_VALUE"""),FALSE)</f>
        <v>0</v>
      </c>
      <c r="O567" s="23">
        <f>IFERROR(__xludf.DUMMYFUNCTION("""COMPUTED_VALUE"""),62.416448980691)</f>
        <v>62.41644898</v>
      </c>
      <c r="P567" s="23">
        <f>IFERROR(__xludf.DUMMYFUNCTION("""COMPUTED_VALUE"""),231767.0)</f>
        <v>231767</v>
      </c>
      <c r="Q567" s="23">
        <f>IFERROR(__xludf.DUMMYFUNCTION("""COMPUTED_VALUE"""),371325.0)</f>
        <v>371325</v>
      </c>
    </row>
    <row r="568">
      <c r="A568" s="23">
        <f>IFERROR(__xludf.DUMMYFUNCTION("""COMPUTED_VALUE"""),567.0)</f>
        <v>567</v>
      </c>
      <c r="B568" s="23" t="str">
        <f>IFERROR(__xludf.DUMMYFUNCTION("""COMPUTED_VALUE"""),"Permutation in String")</f>
        <v>Permutation in String</v>
      </c>
      <c r="C568" s="23" t="str">
        <f>IFERROR(__xludf.DUMMYFUNCTION("""COMPUTED_VALUE"""),"permutation-in-string")</f>
        <v>permutation-in-string</v>
      </c>
      <c r="D568" s="23" t="b">
        <f>IFERROR(__xludf.DUMMYFUNCTION("""COMPUTED_VALUE"""),FALSE)</f>
        <v>0</v>
      </c>
      <c r="E568" s="23" t="str">
        <f>IFERROR(__xludf.DUMMYFUNCTION("""COMPUTED_VALUE"""),"Medium")</f>
        <v>Medium</v>
      </c>
      <c r="F568" s="23">
        <f>IFERROR(__xludf.DUMMYFUNCTION("""COMPUTED_VALUE"""),5752.0)</f>
        <v>5752</v>
      </c>
      <c r="G568" s="23">
        <f>IFERROR(__xludf.DUMMYFUNCTION("""COMPUTED_VALUE"""),171.0)</f>
        <v>171</v>
      </c>
      <c r="H568" s="23" t="str">
        <f>IFERROR(__xludf.DUMMYFUNCTION("""COMPUTED_VALUE"""),"Algorithms")</f>
        <v>Algorithms</v>
      </c>
      <c r="I568" s="23">
        <f>IFERROR(__xludf.DUMMYFUNCTION("""COMPUTED_VALUE"""),0.448)</f>
        <v>0.448</v>
      </c>
      <c r="J568" s="23">
        <f>IFERROR(__xludf.DUMMYFUNCTION("""COMPUTED_VALUE"""),567.0)</f>
        <v>567</v>
      </c>
      <c r="K568" s="23" t="b">
        <f>IFERROR(__xludf.DUMMYFUNCTION("""COMPUTED_VALUE"""),FALSE)</f>
        <v>0</v>
      </c>
      <c r="L568" s="23" t="str">
        <f>IFERROR(__xludf.DUMMYFUNCTION("""COMPUTED_VALUE"""),"Hash Table;Two Pointers;String;Sliding Window;")</f>
        <v>Hash Table;Two Pointers;String;Sliding Window;</v>
      </c>
      <c r="M568" s="23" t="b">
        <f>IFERROR(__xludf.DUMMYFUNCTION("""COMPUTED_VALUE"""),TRUE)</f>
        <v>1</v>
      </c>
      <c r="N568" s="23" t="b">
        <f>IFERROR(__xludf.DUMMYFUNCTION("""COMPUTED_VALUE"""),FALSE)</f>
        <v>0</v>
      </c>
      <c r="O568" s="23">
        <f>IFERROR(__xludf.DUMMYFUNCTION("""COMPUTED_VALUE"""),44.7742630508168)</f>
        <v>44.77426305</v>
      </c>
      <c r="P568" s="23">
        <f>IFERROR(__xludf.DUMMYFUNCTION("""COMPUTED_VALUE"""),376549.0)</f>
        <v>376549</v>
      </c>
      <c r="Q568" s="23">
        <f>IFERROR(__xludf.DUMMYFUNCTION("""COMPUTED_VALUE"""),840996.0)</f>
        <v>840996</v>
      </c>
    </row>
    <row r="569">
      <c r="A569" s="23">
        <f>IFERROR(__xludf.DUMMYFUNCTION("""COMPUTED_VALUE"""),568.0)</f>
        <v>568</v>
      </c>
      <c r="B569" s="23" t="str">
        <f>IFERROR(__xludf.DUMMYFUNCTION("""COMPUTED_VALUE"""),"Maximum Vacation Days")</f>
        <v>Maximum Vacation Days</v>
      </c>
      <c r="C569" s="23" t="str">
        <f>IFERROR(__xludf.DUMMYFUNCTION("""COMPUTED_VALUE"""),"maximum-vacation-days")</f>
        <v>maximum-vacation-days</v>
      </c>
      <c r="D569" s="23" t="b">
        <f>IFERROR(__xludf.DUMMYFUNCTION("""COMPUTED_VALUE"""),TRUE)</f>
        <v>1</v>
      </c>
      <c r="E569" s="23" t="str">
        <f>IFERROR(__xludf.DUMMYFUNCTION("""COMPUTED_VALUE"""),"Hard")</f>
        <v>Hard</v>
      </c>
      <c r="F569" s="23">
        <f>IFERROR(__xludf.DUMMYFUNCTION("""COMPUTED_VALUE"""),503.0)</f>
        <v>503</v>
      </c>
      <c r="G569" s="23">
        <f>IFERROR(__xludf.DUMMYFUNCTION("""COMPUTED_VALUE"""),92.0)</f>
        <v>92</v>
      </c>
      <c r="H569" s="23" t="str">
        <f>IFERROR(__xludf.DUMMYFUNCTION("""COMPUTED_VALUE"""),"Algorithms")</f>
        <v>Algorithms</v>
      </c>
      <c r="I569" s="23">
        <f>IFERROR(__xludf.DUMMYFUNCTION("""COMPUTED_VALUE"""),0.444)</f>
        <v>0.444</v>
      </c>
      <c r="J569" s="23">
        <f>IFERROR(__xludf.DUMMYFUNCTION("""COMPUTED_VALUE"""),568.0)</f>
        <v>568</v>
      </c>
      <c r="K569" s="23" t="b">
        <f>IFERROR(__xludf.DUMMYFUNCTION("""COMPUTED_VALUE"""),TRUE)</f>
        <v>1</v>
      </c>
      <c r="L569" s="23" t="str">
        <f>IFERROR(__xludf.DUMMYFUNCTION("""COMPUTED_VALUE"""),"Array;Dynamic Programming;Matrix;")</f>
        <v>Array;Dynamic Programming;Matrix;</v>
      </c>
      <c r="M569" s="23" t="b">
        <f>IFERROR(__xludf.DUMMYFUNCTION("""COMPUTED_VALUE"""),TRUE)</f>
        <v>1</v>
      </c>
      <c r="N569" s="23" t="b">
        <f>IFERROR(__xludf.DUMMYFUNCTION("""COMPUTED_VALUE"""),FALSE)</f>
        <v>0</v>
      </c>
      <c r="O569" s="23">
        <f>IFERROR(__xludf.DUMMYFUNCTION("""COMPUTED_VALUE"""),44.3696177273682)</f>
        <v>44.36961773</v>
      </c>
      <c r="P569" s="23">
        <f>IFERROR(__xludf.DUMMYFUNCTION("""COMPUTED_VALUE"""),33799.0)</f>
        <v>33799</v>
      </c>
      <c r="Q569" s="23">
        <f>IFERROR(__xludf.DUMMYFUNCTION("""COMPUTED_VALUE"""),76176.0)</f>
        <v>76176</v>
      </c>
    </row>
    <row r="570">
      <c r="A570" s="23">
        <f>IFERROR(__xludf.DUMMYFUNCTION("""COMPUTED_VALUE"""),569.0)</f>
        <v>569</v>
      </c>
      <c r="B570" s="23" t="str">
        <f>IFERROR(__xludf.DUMMYFUNCTION("""COMPUTED_VALUE"""),"Median Employee Salary")</f>
        <v>Median Employee Salary</v>
      </c>
      <c r="C570" s="23" t="str">
        <f>IFERROR(__xludf.DUMMYFUNCTION("""COMPUTED_VALUE"""),"median-employee-salary")</f>
        <v>median-employee-salary</v>
      </c>
      <c r="D570" s="23" t="b">
        <f>IFERROR(__xludf.DUMMYFUNCTION("""COMPUTED_VALUE"""),TRUE)</f>
        <v>1</v>
      </c>
      <c r="E570" s="23" t="str">
        <f>IFERROR(__xludf.DUMMYFUNCTION("""COMPUTED_VALUE"""),"Hard")</f>
        <v>Hard</v>
      </c>
      <c r="F570" s="23">
        <f>IFERROR(__xludf.DUMMYFUNCTION("""COMPUTED_VALUE"""),231.0)</f>
        <v>231</v>
      </c>
      <c r="G570" s="23">
        <f>IFERROR(__xludf.DUMMYFUNCTION("""COMPUTED_VALUE"""),124.0)</f>
        <v>124</v>
      </c>
      <c r="H570" s="23" t="str">
        <f>IFERROR(__xludf.DUMMYFUNCTION("""COMPUTED_VALUE"""),"Database")</f>
        <v>Database</v>
      </c>
      <c r="I570" s="23">
        <f>IFERROR(__xludf.DUMMYFUNCTION("""COMPUTED_VALUE"""),0.667)</f>
        <v>0.667</v>
      </c>
      <c r="J570" s="23">
        <f>IFERROR(__xludf.DUMMYFUNCTION("""COMPUTED_VALUE"""),569.0)</f>
        <v>569</v>
      </c>
      <c r="K570" s="23" t="b">
        <f>IFERROR(__xludf.DUMMYFUNCTION("""COMPUTED_VALUE"""),TRUE)</f>
        <v>1</v>
      </c>
      <c r="L570" s="23" t="str">
        <f>IFERROR(__xludf.DUMMYFUNCTION("""COMPUTED_VALUE"""),"Database;")</f>
        <v>Database;</v>
      </c>
      <c r="M570" s="23" t="b">
        <f>IFERROR(__xludf.DUMMYFUNCTION("""COMPUTED_VALUE"""),FALSE)</f>
        <v>0</v>
      </c>
      <c r="N570" s="23" t="b">
        <f>IFERROR(__xludf.DUMMYFUNCTION("""COMPUTED_VALUE"""),FALSE)</f>
        <v>0</v>
      </c>
      <c r="O570" s="23">
        <f>IFERROR(__xludf.DUMMYFUNCTION("""COMPUTED_VALUE"""),66.7019417714665)</f>
        <v>66.70194177</v>
      </c>
      <c r="P570" s="23">
        <f>IFERROR(__xludf.DUMMYFUNCTION("""COMPUTED_VALUE"""),27103.0)</f>
        <v>27103</v>
      </c>
      <c r="Q570" s="23">
        <f>IFERROR(__xludf.DUMMYFUNCTION("""COMPUTED_VALUE"""),40633.0)</f>
        <v>40633</v>
      </c>
    </row>
    <row r="571">
      <c r="A571" s="23">
        <f>IFERROR(__xludf.DUMMYFUNCTION("""COMPUTED_VALUE"""),570.0)</f>
        <v>570</v>
      </c>
      <c r="B571" s="23" t="str">
        <f>IFERROR(__xludf.DUMMYFUNCTION("""COMPUTED_VALUE"""),"Managers with at Least 5 Direct Reports")</f>
        <v>Managers with at Least 5 Direct Reports</v>
      </c>
      <c r="C571" s="23" t="str">
        <f>IFERROR(__xludf.DUMMYFUNCTION("""COMPUTED_VALUE"""),"managers-with-at-least-5-direct-reports")</f>
        <v>managers-with-at-least-5-direct-reports</v>
      </c>
      <c r="D571" s="23" t="b">
        <f>IFERROR(__xludf.DUMMYFUNCTION("""COMPUTED_VALUE"""),TRUE)</f>
        <v>1</v>
      </c>
      <c r="E571" s="23" t="str">
        <f>IFERROR(__xludf.DUMMYFUNCTION("""COMPUTED_VALUE"""),"Medium")</f>
        <v>Medium</v>
      </c>
      <c r="F571" s="23">
        <f>IFERROR(__xludf.DUMMYFUNCTION("""COMPUTED_VALUE"""),221.0)</f>
        <v>221</v>
      </c>
      <c r="G571" s="23">
        <f>IFERROR(__xludf.DUMMYFUNCTION("""COMPUTED_VALUE"""),31.0)</f>
        <v>31</v>
      </c>
      <c r="H571" s="23" t="str">
        <f>IFERROR(__xludf.DUMMYFUNCTION("""COMPUTED_VALUE"""),"Database")</f>
        <v>Database</v>
      </c>
      <c r="I571" s="23">
        <f>IFERROR(__xludf.DUMMYFUNCTION("""COMPUTED_VALUE"""),0.67)</f>
        <v>0.67</v>
      </c>
      <c r="J571" s="23">
        <f>IFERROR(__xludf.DUMMYFUNCTION("""COMPUTED_VALUE"""),570.0)</f>
        <v>570</v>
      </c>
      <c r="K571" s="23" t="b">
        <f>IFERROR(__xludf.DUMMYFUNCTION("""COMPUTED_VALUE"""),TRUE)</f>
        <v>1</v>
      </c>
      <c r="L571" s="23" t="str">
        <f>IFERROR(__xludf.DUMMYFUNCTION("""COMPUTED_VALUE"""),"Database;")</f>
        <v>Database;</v>
      </c>
      <c r="M571" s="23" t="b">
        <f>IFERROR(__xludf.DUMMYFUNCTION("""COMPUTED_VALUE"""),TRUE)</f>
        <v>1</v>
      </c>
      <c r="N571" s="23" t="b">
        <f>IFERROR(__xludf.DUMMYFUNCTION("""COMPUTED_VALUE"""),FALSE)</f>
        <v>0</v>
      </c>
      <c r="O571" s="23">
        <f>IFERROR(__xludf.DUMMYFUNCTION("""COMPUTED_VALUE"""),67.0051818265938)</f>
        <v>67.00518183</v>
      </c>
      <c r="P571" s="23">
        <f>IFERROR(__xludf.DUMMYFUNCTION("""COMPUTED_VALUE"""),57930.0)</f>
        <v>57930</v>
      </c>
      <c r="Q571" s="23">
        <f>IFERROR(__xludf.DUMMYFUNCTION("""COMPUTED_VALUE"""),86456.0)</f>
        <v>86456</v>
      </c>
    </row>
    <row r="572">
      <c r="A572" s="23">
        <f>IFERROR(__xludf.DUMMYFUNCTION("""COMPUTED_VALUE"""),571.0)</f>
        <v>571</v>
      </c>
      <c r="B572" s="23" t="str">
        <f>IFERROR(__xludf.DUMMYFUNCTION("""COMPUTED_VALUE"""),"Find Median Given Frequency of Numbers")</f>
        <v>Find Median Given Frequency of Numbers</v>
      </c>
      <c r="C572" s="23" t="str">
        <f>IFERROR(__xludf.DUMMYFUNCTION("""COMPUTED_VALUE"""),"find-median-given-frequency-of-numbers")</f>
        <v>find-median-given-frequency-of-numbers</v>
      </c>
      <c r="D572" s="23" t="b">
        <f>IFERROR(__xludf.DUMMYFUNCTION("""COMPUTED_VALUE"""),TRUE)</f>
        <v>1</v>
      </c>
      <c r="E572" s="23" t="str">
        <f>IFERROR(__xludf.DUMMYFUNCTION("""COMPUTED_VALUE"""),"Hard")</f>
        <v>Hard</v>
      </c>
      <c r="F572" s="23">
        <f>IFERROR(__xludf.DUMMYFUNCTION("""COMPUTED_VALUE"""),222.0)</f>
        <v>222</v>
      </c>
      <c r="G572" s="23">
        <f>IFERROR(__xludf.DUMMYFUNCTION("""COMPUTED_VALUE"""),64.0)</f>
        <v>64</v>
      </c>
      <c r="H572" s="23" t="str">
        <f>IFERROR(__xludf.DUMMYFUNCTION("""COMPUTED_VALUE"""),"Database")</f>
        <v>Database</v>
      </c>
      <c r="I572" s="23">
        <f>IFERROR(__xludf.DUMMYFUNCTION("""COMPUTED_VALUE"""),0.445)</f>
        <v>0.445</v>
      </c>
      <c r="J572" s="23">
        <f>IFERROR(__xludf.DUMMYFUNCTION("""COMPUTED_VALUE"""),571.0)</f>
        <v>571</v>
      </c>
      <c r="K572" s="23" t="b">
        <f>IFERROR(__xludf.DUMMYFUNCTION("""COMPUTED_VALUE"""),TRUE)</f>
        <v>1</v>
      </c>
      <c r="L572" s="23" t="str">
        <f>IFERROR(__xludf.DUMMYFUNCTION("""COMPUTED_VALUE"""),"Database;")</f>
        <v>Database;</v>
      </c>
      <c r="M572" s="23" t="b">
        <f>IFERROR(__xludf.DUMMYFUNCTION("""COMPUTED_VALUE"""),FALSE)</f>
        <v>0</v>
      </c>
      <c r="N572" s="23" t="b">
        <f>IFERROR(__xludf.DUMMYFUNCTION("""COMPUTED_VALUE"""),FALSE)</f>
        <v>0</v>
      </c>
      <c r="O572" s="23">
        <f>IFERROR(__xludf.DUMMYFUNCTION("""COMPUTED_VALUE"""),44.4801512287334)</f>
        <v>44.48015123</v>
      </c>
      <c r="P572" s="23">
        <f>IFERROR(__xludf.DUMMYFUNCTION("""COMPUTED_VALUE"""),18824.0)</f>
        <v>18824</v>
      </c>
      <c r="Q572" s="23">
        <f>IFERROR(__xludf.DUMMYFUNCTION("""COMPUTED_VALUE"""),42320.0)</f>
        <v>42320</v>
      </c>
    </row>
    <row r="573">
      <c r="A573" s="23">
        <f>IFERROR(__xludf.DUMMYFUNCTION("""COMPUTED_VALUE"""),572.0)</f>
        <v>572</v>
      </c>
      <c r="B573" s="23" t="str">
        <f>IFERROR(__xludf.DUMMYFUNCTION("""COMPUTED_VALUE"""),"Subtree of Another Tree")</f>
        <v>Subtree of Another Tree</v>
      </c>
      <c r="C573" s="23" t="str">
        <f>IFERROR(__xludf.DUMMYFUNCTION("""COMPUTED_VALUE"""),"subtree-of-another-tree")</f>
        <v>subtree-of-another-tree</v>
      </c>
      <c r="D573" s="23" t="b">
        <f>IFERROR(__xludf.DUMMYFUNCTION("""COMPUTED_VALUE"""),FALSE)</f>
        <v>0</v>
      </c>
      <c r="E573" s="23" t="str">
        <f>IFERROR(__xludf.DUMMYFUNCTION("""COMPUTED_VALUE"""),"Easy")</f>
        <v>Easy</v>
      </c>
      <c r="F573" s="23">
        <f>IFERROR(__xludf.DUMMYFUNCTION("""COMPUTED_VALUE"""),5163.0)</f>
        <v>5163</v>
      </c>
      <c r="G573" s="23">
        <f>IFERROR(__xludf.DUMMYFUNCTION("""COMPUTED_VALUE"""),270.0)</f>
        <v>270</v>
      </c>
      <c r="H573" s="23" t="str">
        <f>IFERROR(__xludf.DUMMYFUNCTION("""COMPUTED_VALUE"""),"Algorithms")</f>
        <v>Algorithms</v>
      </c>
      <c r="I573" s="23">
        <f>IFERROR(__xludf.DUMMYFUNCTION("""COMPUTED_VALUE"""),0.453)</f>
        <v>0.453</v>
      </c>
      <c r="J573" s="23">
        <f>IFERROR(__xludf.DUMMYFUNCTION("""COMPUTED_VALUE"""),572.0)</f>
        <v>572</v>
      </c>
      <c r="K573" s="23" t="b">
        <f>IFERROR(__xludf.DUMMYFUNCTION("""COMPUTED_VALUE"""),FALSE)</f>
        <v>0</v>
      </c>
      <c r="L573" s="23" t="str">
        <f>IFERROR(__xludf.DUMMYFUNCTION("""COMPUTED_VALUE"""),"Tree;Depth-First Search;String Matching;Binary Tree;Hash Function;")</f>
        <v>Tree;Depth-First Search;String Matching;Binary Tree;Hash Function;</v>
      </c>
      <c r="M573" s="23" t="b">
        <f>IFERROR(__xludf.DUMMYFUNCTION("""COMPUTED_VALUE"""),FALSE)</f>
        <v>0</v>
      </c>
      <c r="N573" s="23" t="b">
        <f>IFERROR(__xludf.DUMMYFUNCTION("""COMPUTED_VALUE"""),FALSE)</f>
        <v>0</v>
      </c>
      <c r="O573" s="23">
        <f>IFERROR(__xludf.DUMMYFUNCTION("""COMPUTED_VALUE"""),45.3432219543228)</f>
        <v>45.34322195</v>
      </c>
      <c r="P573" s="23">
        <f>IFERROR(__xludf.DUMMYFUNCTION("""COMPUTED_VALUE"""),457926.0)</f>
        <v>457926</v>
      </c>
      <c r="Q573" s="23">
        <f>IFERROR(__xludf.DUMMYFUNCTION("""COMPUTED_VALUE"""),1009911.0)</f>
        <v>1009911</v>
      </c>
    </row>
    <row r="574">
      <c r="A574" s="23">
        <f>IFERROR(__xludf.DUMMYFUNCTION("""COMPUTED_VALUE"""),573.0)</f>
        <v>573</v>
      </c>
      <c r="B574" s="23" t="str">
        <f>IFERROR(__xludf.DUMMYFUNCTION("""COMPUTED_VALUE"""),"Squirrel Simulation")</f>
        <v>Squirrel Simulation</v>
      </c>
      <c r="C574" s="23" t="str">
        <f>IFERROR(__xludf.DUMMYFUNCTION("""COMPUTED_VALUE"""),"squirrel-simulation")</f>
        <v>squirrel-simulation</v>
      </c>
      <c r="D574" s="23" t="b">
        <f>IFERROR(__xludf.DUMMYFUNCTION("""COMPUTED_VALUE"""),TRUE)</f>
        <v>1</v>
      </c>
      <c r="E574" s="23" t="str">
        <f>IFERROR(__xludf.DUMMYFUNCTION("""COMPUTED_VALUE"""),"Medium")</f>
        <v>Medium</v>
      </c>
      <c r="F574" s="23">
        <f>IFERROR(__xludf.DUMMYFUNCTION("""COMPUTED_VALUE"""),307.0)</f>
        <v>307</v>
      </c>
      <c r="G574" s="23">
        <f>IFERROR(__xludf.DUMMYFUNCTION("""COMPUTED_VALUE"""),33.0)</f>
        <v>33</v>
      </c>
      <c r="H574" s="23" t="str">
        <f>IFERROR(__xludf.DUMMYFUNCTION("""COMPUTED_VALUE"""),"Algorithms")</f>
        <v>Algorithms</v>
      </c>
      <c r="I574" s="23">
        <f>IFERROR(__xludf.DUMMYFUNCTION("""COMPUTED_VALUE"""),0.547)</f>
        <v>0.547</v>
      </c>
      <c r="J574" s="23">
        <f>IFERROR(__xludf.DUMMYFUNCTION("""COMPUTED_VALUE"""),573.0)</f>
        <v>573</v>
      </c>
      <c r="K574" s="23" t="b">
        <f>IFERROR(__xludf.DUMMYFUNCTION("""COMPUTED_VALUE"""),TRUE)</f>
        <v>1</v>
      </c>
      <c r="L574" s="23" t="str">
        <f>IFERROR(__xludf.DUMMYFUNCTION("""COMPUTED_VALUE"""),"Array;Math;")</f>
        <v>Array;Math;</v>
      </c>
      <c r="M574" s="23" t="b">
        <f>IFERROR(__xludf.DUMMYFUNCTION("""COMPUTED_VALUE"""),TRUE)</f>
        <v>1</v>
      </c>
      <c r="N574" s="23" t="b">
        <f>IFERROR(__xludf.DUMMYFUNCTION("""COMPUTED_VALUE"""),FALSE)</f>
        <v>0</v>
      </c>
      <c r="O574" s="23">
        <f>IFERROR(__xludf.DUMMYFUNCTION("""COMPUTED_VALUE"""),54.6754710903527)</f>
        <v>54.67547109</v>
      </c>
      <c r="P574" s="23">
        <f>IFERROR(__xludf.DUMMYFUNCTION("""COMPUTED_VALUE"""),16974.0)</f>
        <v>16974</v>
      </c>
      <c r="Q574" s="23">
        <f>IFERROR(__xludf.DUMMYFUNCTION("""COMPUTED_VALUE"""),31045.0)</f>
        <v>31045</v>
      </c>
    </row>
    <row r="575">
      <c r="A575" s="23">
        <f>IFERROR(__xludf.DUMMYFUNCTION("""COMPUTED_VALUE"""),574.0)</f>
        <v>574</v>
      </c>
      <c r="B575" s="23" t="str">
        <f>IFERROR(__xludf.DUMMYFUNCTION("""COMPUTED_VALUE"""),"Winning Candidate")</f>
        <v>Winning Candidate</v>
      </c>
      <c r="C575" s="23" t="str">
        <f>IFERROR(__xludf.DUMMYFUNCTION("""COMPUTED_VALUE"""),"winning-candidate")</f>
        <v>winning-candidate</v>
      </c>
      <c r="D575" s="23" t="b">
        <f>IFERROR(__xludf.DUMMYFUNCTION("""COMPUTED_VALUE"""),TRUE)</f>
        <v>1</v>
      </c>
      <c r="E575" s="23" t="str">
        <f>IFERROR(__xludf.DUMMYFUNCTION("""COMPUTED_VALUE"""),"Medium")</f>
        <v>Medium</v>
      </c>
      <c r="F575" s="23">
        <f>IFERROR(__xludf.DUMMYFUNCTION("""COMPUTED_VALUE"""),127.0)</f>
        <v>127</v>
      </c>
      <c r="G575" s="23">
        <f>IFERROR(__xludf.DUMMYFUNCTION("""COMPUTED_VALUE"""),383.0)</f>
        <v>383</v>
      </c>
      <c r="H575" s="23" t="str">
        <f>IFERROR(__xludf.DUMMYFUNCTION("""COMPUTED_VALUE"""),"Database")</f>
        <v>Database</v>
      </c>
      <c r="I575" s="23">
        <f>IFERROR(__xludf.DUMMYFUNCTION("""COMPUTED_VALUE"""),0.583)</f>
        <v>0.583</v>
      </c>
      <c r="J575" s="23">
        <f>IFERROR(__xludf.DUMMYFUNCTION("""COMPUTED_VALUE"""),574.0)</f>
        <v>574</v>
      </c>
      <c r="K575" s="23" t="b">
        <f>IFERROR(__xludf.DUMMYFUNCTION("""COMPUTED_VALUE"""),TRUE)</f>
        <v>1</v>
      </c>
      <c r="L575" s="23" t="str">
        <f>IFERROR(__xludf.DUMMYFUNCTION("""COMPUTED_VALUE"""),"Database;")</f>
        <v>Database;</v>
      </c>
      <c r="M575" s="23" t="b">
        <f>IFERROR(__xludf.DUMMYFUNCTION("""COMPUTED_VALUE"""),TRUE)</f>
        <v>1</v>
      </c>
      <c r="N575" s="23" t="b">
        <f>IFERROR(__xludf.DUMMYFUNCTION("""COMPUTED_VALUE"""),FALSE)</f>
        <v>0</v>
      </c>
      <c r="O575" s="23">
        <f>IFERROR(__xludf.DUMMYFUNCTION("""COMPUTED_VALUE"""),58.3076552415008)</f>
        <v>58.30765524</v>
      </c>
      <c r="P575" s="23">
        <f>IFERROR(__xludf.DUMMYFUNCTION("""COMPUTED_VALUE"""),45982.0)</f>
        <v>45982</v>
      </c>
      <c r="Q575" s="23">
        <f>IFERROR(__xludf.DUMMYFUNCTION("""COMPUTED_VALUE"""),78861.0)</f>
        <v>78861</v>
      </c>
    </row>
    <row r="576">
      <c r="A576" s="23">
        <f>IFERROR(__xludf.DUMMYFUNCTION("""COMPUTED_VALUE"""),575.0)</f>
        <v>575</v>
      </c>
      <c r="B576" s="23" t="str">
        <f>IFERROR(__xludf.DUMMYFUNCTION("""COMPUTED_VALUE"""),"Distribute Candies")</f>
        <v>Distribute Candies</v>
      </c>
      <c r="C576" s="23" t="str">
        <f>IFERROR(__xludf.DUMMYFUNCTION("""COMPUTED_VALUE"""),"distribute-candies")</f>
        <v>distribute-candies</v>
      </c>
      <c r="D576" s="23" t="b">
        <f>IFERROR(__xludf.DUMMYFUNCTION("""COMPUTED_VALUE"""),FALSE)</f>
        <v>0</v>
      </c>
      <c r="E576" s="23" t="str">
        <f>IFERROR(__xludf.DUMMYFUNCTION("""COMPUTED_VALUE"""),"Easy")</f>
        <v>Easy</v>
      </c>
      <c r="F576" s="23">
        <f>IFERROR(__xludf.DUMMYFUNCTION("""COMPUTED_VALUE"""),946.0)</f>
        <v>946</v>
      </c>
      <c r="G576" s="23">
        <f>IFERROR(__xludf.DUMMYFUNCTION("""COMPUTED_VALUE"""),1150.0)</f>
        <v>1150</v>
      </c>
      <c r="H576" s="23" t="str">
        <f>IFERROR(__xludf.DUMMYFUNCTION("""COMPUTED_VALUE"""),"Algorithms")</f>
        <v>Algorithms</v>
      </c>
      <c r="I576" s="23">
        <f>IFERROR(__xludf.DUMMYFUNCTION("""COMPUTED_VALUE"""),0.656)</f>
        <v>0.656</v>
      </c>
      <c r="J576" s="23">
        <f>IFERROR(__xludf.DUMMYFUNCTION("""COMPUTED_VALUE"""),575.0)</f>
        <v>575</v>
      </c>
      <c r="K576" s="23" t="b">
        <f>IFERROR(__xludf.DUMMYFUNCTION("""COMPUTED_VALUE"""),FALSE)</f>
        <v>0</v>
      </c>
      <c r="L576" s="23" t="str">
        <f>IFERROR(__xludf.DUMMYFUNCTION("""COMPUTED_VALUE"""),"Array;Hash Table;")</f>
        <v>Array;Hash Table;</v>
      </c>
      <c r="M576" s="23" t="b">
        <f>IFERROR(__xludf.DUMMYFUNCTION("""COMPUTED_VALUE"""),TRUE)</f>
        <v>1</v>
      </c>
      <c r="N576" s="23" t="b">
        <f>IFERROR(__xludf.DUMMYFUNCTION("""COMPUTED_VALUE"""),FALSE)</f>
        <v>0</v>
      </c>
      <c r="O576" s="23">
        <f>IFERROR(__xludf.DUMMYFUNCTION("""COMPUTED_VALUE"""),65.6294091248099)</f>
        <v>65.62940912</v>
      </c>
      <c r="P576" s="23">
        <f>IFERROR(__xludf.DUMMYFUNCTION("""COMPUTED_VALUE"""),203272.0)</f>
        <v>203272</v>
      </c>
      <c r="Q576" s="23">
        <f>IFERROR(__xludf.DUMMYFUNCTION("""COMPUTED_VALUE"""),309727.0)</f>
        <v>309727</v>
      </c>
    </row>
    <row r="577">
      <c r="A577" s="23">
        <f>IFERROR(__xludf.DUMMYFUNCTION("""COMPUTED_VALUE"""),576.0)</f>
        <v>576</v>
      </c>
      <c r="B577" s="23" t="str">
        <f>IFERROR(__xludf.DUMMYFUNCTION("""COMPUTED_VALUE"""),"Out of Boundary Paths")</f>
        <v>Out of Boundary Paths</v>
      </c>
      <c r="C577" s="23" t="str">
        <f>IFERROR(__xludf.DUMMYFUNCTION("""COMPUTED_VALUE"""),"out-of-boundary-paths")</f>
        <v>out-of-boundary-paths</v>
      </c>
      <c r="D577" s="23" t="b">
        <f>IFERROR(__xludf.DUMMYFUNCTION("""COMPUTED_VALUE"""),FALSE)</f>
        <v>0</v>
      </c>
      <c r="E577" s="23" t="str">
        <f>IFERROR(__xludf.DUMMYFUNCTION("""COMPUTED_VALUE"""),"Medium")</f>
        <v>Medium</v>
      </c>
      <c r="F577" s="23">
        <f>IFERROR(__xludf.DUMMYFUNCTION("""COMPUTED_VALUE"""),1483.0)</f>
        <v>1483</v>
      </c>
      <c r="G577" s="23">
        <f>IFERROR(__xludf.DUMMYFUNCTION("""COMPUTED_VALUE"""),182.0)</f>
        <v>182</v>
      </c>
      <c r="H577" s="23" t="str">
        <f>IFERROR(__xludf.DUMMYFUNCTION("""COMPUTED_VALUE"""),"Algorithms")</f>
        <v>Algorithms</v>
      </c>
      <c r="I577" s="23">
        <f>IFERROR(__xludf.DUMMYFUNCTION("""COMPUTED_VALUE"""),0.401)</f>
        <v>0.401</v>
      </c>
      <c r="J577" s="23">
        <f>IFERROR(__xludf.DUMMYFUNCTION("""COMPUTED_VALUE"""),576.0)</f>
        <v>576</v>
      </c>
      <c r="K577" s="23" t="b">
        <f>IFERROR(__xludf.DUMMYFUNCTION("""COMPUTED_VALUE"""),FALSE)</f>
        <v>0</v>
      </c>
      <c r="L577" s="23" t="str">
        <f>IFERROR(__xludf.DUMMYFUNCTION("""COMPUTED_VALUE"""),"Dynamic Programming;")</f>
        <v>Dynamic Programming;</v>
      </c>
      <c r="M577" s="23" t="b">
        <f>IFERROR(__xludf.DUMMYFUNCTION("""COMPUTED_VALUE"""),TRUE)</f>
        <v>1</v>
      </c>
      <c r="N577" s="23" t="b">
        <f>IFERROR(__xludf.DUMMYFUNCTION("""COMPUTED_VALUE"""),FALSE)</f>
        <v>0</v>
      </c>
      <c r="O577" s="23">
        <f>IFERROR(__xludf.DUMMYFUNCTION("""COMPUTED_VALUE"""),40.1199154280665)</f>
        <v>40.11991543</v>
      </c>
      <c r="P577" s="23">
        <f>IFERROR(__xludf.DUMMYFUNCTION("""COMPUTED_VALUE"""),63568.0)</f>
        <v>63568</v>
      </c>
      <c r="Q577" s="23">
        <f>IFERROR(__xludf.DUMMYFUNCTION("""COMPUTED_VALUE"""),158445.0)</f>
        <v>158445</v>
      </c>
    </row>
    <row r="578">
      <c r="A578" s="23">
        <f>IFERROR(__xludf.DUMMYFUNCTION("""COMPUTED_VALUE"""),577.0)</f>
        <v>577</v>
      </c>
      <c r="B578" s="23" t="str">
        <f>IFERROR(__xludf.DUMMYFUNCTION("""COMPUTED_VALUE"""),"Employee Bonus")</f>
        <v>Employee Bonus</v>
      </c>
      <c r="C578" s="23" t="str">
        <f>IFERROR(__xludf.DUMMYFUNCTION("""COMPUTED_VALUE"""),"employee-bonus")</f>
        <v>employee-bonus</v>
      </c>
      <c r="D578" s="23" t="b">
        <f>IFERROR(__xludf.DUMMYFUNCTION("""COMPUTED_VALUE"""),TRUE)</f>
        <v>1</v>
      </c>
      <c r="E578" s="23" t="str">
        <f>IFERROR(__xludf.DUMMYFUNCTION("""COMPUTED_VALUE"""),"Easy")</f>
        <v>Easy</v>
      </c>
      <c r="F578" s="23">
        <f>IFERROR(__xludf.DUMMYFUNCTION("""COMPUTED_VALUE"""),159.0)</f>
        <v>159</v>
      </c>
      <c r="G578" s="23">
        <f>IFERROR(__xludf.DUMMYFUNCTION("""COMPUTED_VALUE"""),89.0)</f>
        <v>89</v>
      </c>
      <c r="H578" s="23" t="str">
        <f>IFERROR(__xludf.DUMMYFUNCTION("""COMPUTED_VALUE"""),"Database")</f>
        <v>Database</v>
      </c>
      <c r="I578" s="23">
        <f>IFERROR(__xludf.DUMMYFUNCTION("""COMPUTED_VALUE"""),0.748)</f>
        <v>0.748</v>
      </c>
      <c r="J578" s="23">
        <f>IFERROR(__xludf.DUMMYFUNCTION("""COMPUTED_VALUE"""),577.0)</f>
        <v>577</v>
      </c>
      <c r="K578" s="23" t="b">
        <f>IFERROR(__xludf.DUMMYFUNCTION("""COMPUTED_VALUE"""),TRUE)</f>
        <v>1</v>
      </c>
      <c r="L578" s="23" t="str">
        <f>IFERROR(__xludf.DUMMYFUNCTION("""COMPUTED_VALUE"""),"Database;")</f>
        <v>Database;</v>
      </c>
      <c r="M578" s="23" t="b">
        <f>IFERROR(__xludf.DUMMYFUNCTION("""COMPUTED_VALUE"""),TRUE)</f>
        <v>1</v>
      </c>
      <c r="N578" s="23" t="b">
        <f>IFERROR(__xludf.DUMMYFUNCTION("""COMPUTED_VALUE"""),FALSE)</f>
        <v>0</v>
      </c>
      <c r="O578" s="23">
        <f>IFERROR(__xludf.DUMMYFUNCTION("""COMPUTED_VALUE"""),74.7575537459698)</f>
        <v>74.75755375</v>
      </c>
      <c r="P578" s="23">
        <f>IFERROR(__xludf.DUMMYFUNCTION("""COMPUTED_VALUE"""),58663.0)</f>
        <v>58663</v>
      </c>
      <c r="Q578" s="23">
        <f>IFERROR(__xludf.DUMMYFUNCTION("""COMPUTED_VALUE"""),78471.0)</f>
        <v>78471</v>
      </c>
    </row>
    <row r="579">
      <c r="A579" s="23">
        <f>IFERROR(__xludf.DUMMYFUNCTION("""COMPUTED_VALUE"""),578.0)</f>
        <v>578</v>
      </c>
      <c r="B579" s="23" t="str">
        <f>IFERROR(__xludf.DUMMYFUNCTION("""COMPUTED_VALUE"""),"Get Highest Answer Rate Question")</f>
        <v>Get Highest Answer Rate Question</v>
      </c>
      <c r="C579" s="23" t="str">
        <f>IFERROR(__xludf.DUMMYFUNCTION("""COMPUTED_VALUE"""),"get-highest-answer-rate-question")</f>
        <v>get-highest-answer-rate-question</v>
      </c>
      <c r="D579" s="23" t="b">
        <f>IFERROR(__xludf.DUMMYFUNCTION("""COMPUTED_VALUE"""),TRUE)</f>
        <v>1</v>
      </c>
      <c r="E579" s="23" t="str">
        <f>IFERROR(__xludf.DUMMYFUNCTION("""COMPUTED_VALUE"""),"Medium")</f>
        <v>Medium</v>
      </c>
      <c r="F579" s="23">
        <f>IFERROR(__xludf.DUMMYFUNCTION("""COMPUTED_VALUE"""),86.0)</f>
        <v>86</v>
      </c>
      <c r="G579" s="23">
        <f>IFERROR(__xludf.DUMMYFUNCTION("""COMPUTED_VALUE"""),814.0)</f>
        <v>814</v>
      </c>
      <c r="H579" s="23" t="str">
        <f>IFERROR(__xludf.DUMMYFUNCTION("""COMPUTED_VALUE"""),"Database")</f>
        <v>Database</v>
      </c>
      <c r="I579" s="23">
        <f>IFERROR(__xludf.DUMMYFUNCTION("""COMPUTED_VALUE"""),0.429)</f>
        <v>0.429</v>
      </c>
      <c r="J579" s="23">
        <f>IFERROR(__xludf.DUMMYFUNCTION("""COMPUTED_VALUE"""),578.0)</f>
        <v>578</v>
      </c>
      <c r="K579" s="23" t="b">
        <f>IFERROR(__xludf.DUMMYFUNCTION("""COMPUTED_VALUE"""),TRUE)</f>
        <v>1</v>
      </c>
      <c r="L579" s="23" t="str">
        <f>IFERROR(__xludf.DUMMYFUNCTION("""COMPUTED_VALUE"""),"Database;")</f>
        <v>Database;</v>
      </c>
      <c r="M579" s="23" t="b">
        <f>IFERROR(__xludf.DUMMYFUNCTION("""COMPUTED_VALUE"""),FALSE)</f>
        <v>0</v>
      </c>
      <c r="N579" s="23" t="b">
        <f>IFERROR(__xludf.DUMMYFUNCTION("""COMPUTED_VALUE"""),FALSE)</f>
        <v>0</v>
      </c>
      <c r="O579" s="23">
        <f>IFERROR(__xludf.DUMMYFUNCTION("""COMPUTED_VALUE"""),42.9183164055775)</f>
        <v>42.91831641</v>
      </c>
      <c r="P579" s="23">
        <f>IFERROR(__xludf.DUMMYFUNCTION("""COMPUTED_VALUE"""),39890.0)</f>
        <v>39890</v>
      </c>
      <c r="Q579" s="23">
        <f>IFERROR(__xludf.DUMMYFUNCTION("""COMPUTED_VALUE"""),92944.0)</f>
        <v>92944</v>
      </c>
    </row>
    <row r="580">
      <c r="A580" s="23">
        <f>IFERROR(__xludf.DUMMYFUNCTION("""COMPUTED_VALUE"""),579.0)</f>
        <v>579</v>
      </c>
      <c r="B580" s="23" t="str">
        <f>IFERROR(__xludf.DUMMYFUNCTION("""COMPUTED_VALUE"""),"Find Cumulative Salary of an Employee")</f>
        <v>Find Cumulative Salary of an Employee</v>
      </c>
      <c r="C580" s="23" t="str">
        <f>IFERROR(__xludf.DUMMYFUNCTION("""COMPUTED_VALUE"""),"find-cumulative-salary-of-an-employee")</f>
        <v>find-cumulative-salary-of-an-employee</v>
      </c>
      <c r="D580" s="23" t="b">
        <f>IFERROR(__xludf.DUMMYFUNCTION("""COMPUTED_VALUE"""),TRUE)</f>
        <v>1</v>
      </c>
      <c r="E580" s="23" t="str">
        <f>IFERROR(__xludf.DUMMYFUNCTION("""COMPUTED_VALUE"""),"Hard")</f>
        <v>Hard</v>
      </c>
      <c r="F580" s="23">
        <f>IFERROR(__xludf.DUMMYFUNCTION("""COMPUTED_VALUE"""),174.0)</f>
        <v>174</v>
      </c>
      <c r="G580" s="23">
        <f>IFERROR(__xludf.DUMMYFUNCTION("""COMPUTED_VALUE"""),376.0)</f>
        <v>376</v>
      </c>
      <c r="H580" s="23" t="str">
        <f>IFERROR(__xludf.DUMMYFUNCTION("""COMPUTED_VALUE"""),"Database")</f>
        <v>Database</v>
      </c>
      <c r="I580" s="23">
        <f>IFERROR(__xludf.DUMMYFUNCTION("""COMPUTED_VALUE"""),0.43)</f>
        <v>0.43</v>
      </c>
      <c r="J580" s="23">
        <f>IFERROR(__xludf.DUMMYFUNCTION("""COMPUTED_VALUE"""),579.0)</f>
        <v>579</v>
      </c>
      <c r="K580" s="23" t="b">
        <f>IFERROR(__xludf.DUMMYFUNCTION("""COMPUTED_VALUE"""),TRUE)</f>
        <v>1</v>
      </c>
      <c r="L580" s="23" t="str">
        <f>IFERROR(__xludf.DUMMYFUNCTION("""COMPUTED_VALUE"""),"Database;")</f>
        <v>Database;</v>
      </c>
      <c r="M580" s="23" t="b">
        <f>IFERROR(__xludf.DUMMYFUNCTION("""COMPUTED_VALUE"""),TRUE)</f>
        <v>1</v>
      </c>
      <c r="N580" s="23" t="b">
        <f>IFERROR(__xludf.DUMMYFUNCTION("""COMPUTED_VALUE"""),FALSE)</f>
        <v>0</v>
      </c>
      <c r="O580" s="23">
        <f>IFERROR(__xludf.DUMMYFUNCTION("""COMPUTED_VALUE"""),42.9972570858615)</f>
        <v>42.99725709</v>
      </c>
      <c r="P580" s="23">
        <f>IFERROR(__xludf.DUMMYFUNCTION("""COMPUTED_VALUE"""),25864.0)</f>
        <v>25864</v>
      </c>
      <c r="Q580" s="23">
        <f>IFERROR(__xludf.DUMMYFUNCTION("""COMPUTED_VALUE"""),60154.0)</f>
        <v>60154</v>
      </c>
    </row>
    <row r="581">
      <c r="A581" s="23">
        <f>IFERROR(__xludf.DUMMYFUNCTION("""COMPUTED_VALUE"""),580.0)</f>
        <v>580</v>
      </c>
      <c r="B581" s="23" t="str">
        <f>IFERROR(__xludf.DUMMYFUNCTION("""COMPUTED_VALUE"""),"Count Student Number in Departments")</f>
        <v>Count Student Number in Departments</v>
      </c>
      <c r="C581" s="23" t="str">
        <f>IFERROR(__xludf.DUMMYFUNCTION("""COMPUTED_VALUE"""),"count-student-number-in-departments")</f>
        <v>count-student-number-in-departments</v>
      </c>
      <c r="D581" s="23" t="b">
        <f>IFERROR(__xludf.DUMMYFUNCTION("""COMPUTED_VALUE"""),TRUE)</f>
        <v>1</v>
      </c>
      <c r="E581" s="23" t="str">
        <f>IFERROR(__xludf.DUMMYFUNCTION("""COMPUTED_VALUE"""),"Medium")</f>
        <v>Medium</v>
      </c>
      <c r="F581" s="23">
        <f>IFERROR(__xludf.DUMMYFUNCTION("""COMPUTED_VALUE"""),186.0)</f>
        <v>186</v>
      </c>
      <c r="G581" s="23">
        <f>IFERROR(__xludf.DUMMYFUNCTION("""COMPUTED_VALUE"""),30.0)</f>
        <v>30</v>
      </c>
      <c r="H581" s="23" t="str">
        <f>IFERROR(__xludf.DUMMYFUNCTION("""COMPUTED_VALUE"""),"Database")</f>
        <v>Database</v>
      </c>
      <c r="I581" s="23">
        <f>IFERROR(__xludf.DUMMYFUNCTION("""COMPUTED_VALUE"""),0.567)</f>
        <v>0.567</v>
      </c>
      <c r="J581" s="23">
        <f>IFERROR(__xludf.DUMMYFUNCTION("""COMPUTED_VALUE"""),580.0)</f>
        <v>580</v>
      </c>
      <c r="K581" s="23" t="b">
        <f>IFERROR(__xludf.DUMMYFUNCTION("""COMPUTED_VALUE"""),TRUE)</f>
        <v>1</v>
      </c>
      <c r="L581" s="23" t="str">
        <f>IFERROR(__xludf.DUMMYFUNCTION("""COMPUTED_VALUE"""),"Database;")</f>
        <v>Database;</v>
      </c>
      <c r="M581" s="23" t="b">
        <f>IFERROR(__xludf.DUMMYFUNCTION("""COMPUTED_VALUE"""),TRUE)</f>
        <v>1</v>
      </c>
      <c r="N581" s="23" t="b">
        <f>IFERROR(__xludf.DUMMYFUNCTION("""COMPUTED_VALUE"""),FALSE)</f>
        <v>0</v>
      </c>
      <c r="O581" s="23">
        <f>IFERROR(__xludf.DUMMYFUNCTION("""COMPUTED_VALUE"""),56.662632953315)</f>
        <v>56.66263295</v>
      </c>
      <c r="P581" s="23">
        <f>IFERROR(__xludf.DUMMYFUNCTION("""COMPUTED_VALUE"""),44483.0)</f>
        <v>44483</v>
      </c>
      <c r="Q581" s="23">
        <f>IFERROR(__xludf.DUMMYFUNCTION("""COMPUTED_VALUE"""),78505.0)</f>
        <v>78505</v>
      </c>
    </row>
    <row r="582">
      <c r="A582" s="23">
        <f>IFERROR(__xludf.DUMMYFUNCTION("""COMPUTED_VALUE"""),581.0)</f>
        <v>581</v>
      </c>
      <c r="B582" s="23" t="str">
        <f>IFERROR(__xludf.DUMMYFUNCTION("""COMPUTED_VALUE"""),"Shortest Unsorted Continuous Subarray")</f>
        <v>Shortest Unsorted Continuous Subarray</v>
      </c>
      <c r="C582" s="23" t="str">
        <f>IFERROR(__xludf.DUMMYFUNCTION("""COMPUTED_VALUE"""),"shortest-unsorted-continuous-subarray")</f>
        <v>shortest-unsorted-continuous-subarray</v>
      </c>
      <c r="D582" s="23" t="b">
        <f>IFERROR(__xludf.DUMMYFUNCTION("""COMPUTED_VALUE"""),FALSE)</f>
        <v>0</v>
      </c>
      <c r="E582" s="23" t="str">
        <f>IFERROR(__xludf.DUMMYFUNCTION("""COMPUTED_VALUE"""),"Medium")</f>
        <v>Medium</v>
      </c>
      <c r="F582" s="23">
        <f>IFERROR(__xludf.DUMMYFUNCTION("""COMPUTED_VALUE"""),4981.0)</f>
        <v>4981</v>
      </c>
      <c r="G582" s="23">
        <f>IFERROR(__xludf.DUMMYFUNCTION("""COMPUTED_VALUE"""),202.0)</f>
        <v>202</v>
      </c>
      <c r="H582" s="23" t="str">
        <f>IFERROR(__xludf.DUMMYFUNCTION("""COMPUTED_VALUE"""),"Algorithms")</f>
        <v>Algorithms</v>
      </c>
      <c r="I582" s="23">
        <f>IFERROR(__xludf.DUMMYFUNCTION("""COMPUTED_VALUE"""),0.342)</f>
        <v>0.342</v>
      </c>
      <c r="J582" s="23">
        <f>IFERROR(__xludf.DUMMYFUNCTION("""COMPUTED_VALUE"""),581.0)</f>
        <v>581</v>
      </c>
      <c r="K582" s="23" t="b">
        <f>IFERROR(__xludf.DUMMYFUNCTION("""COMPUTED_VALUE"""),FALSE)</f>
        <v>0</v>
      </c>
      <c r="L582" s="23" t="str">
        <f>IFERROR(__xludf.DUMMYFUNCTION("""COMPUTED_VALUE"""),"Array;Two Pointers;Stack;Greedy;Sorting;Monotonic Stack;")</f>
        <v>Array;Two Pointers;Stack;Greedy;Sorting;Monotonic Stack;</v>
      </c>
      <c r="M582" s="23" t="b">
        <f>IFERROR(__xludf.DUMMYFUNCTION("""COMPUTED_VALUE"""),TRUE)</f>
        <v>1</v>
      </c>
      <c r="N582" s="23" t="b">
        <f>IFERROR(__xludf.DUMMYFUNCTION("""COMPUTED_VALUE"""),FALSE)</f>
        <v>0</v>
      </c>
      <c r="O582" s="23">
        <f>IFERROR(__xludf.DUMMYFUNCTION("""COMPUTED_VALUE"""),34.1677157578224)</f>
        <v>34.16771576</v>
      </c>
      <c r="P582" s="23">
        <f>IFERROR(__xludf.DUMMYFUNCTION("""COMPUTED_VALUE"""),216583.0)</f>
        <v>216583</v>
      </c>
      <c r="Q582" s="23">
        <f>IFERROR(__xludf.DUMMYFUNCTION("""COMPUTED_VALUE"""),633878.0)</f>
        <v>633878</v>
      </c>
    </row>
    <row r="583">
      <c r="A583" s="23">
        <f>IFERROR(__xludf.DUMMYFUNCTION("""COMPUTED_VALUE"""),582.0)</f>
        <v>582</v>
      </c>
      <c r="B583" s="23" t="str">
        <f>IFERROR(__xludf.DUMMYFUNCTION("""COMPUTED_VALUE"""),"Kill Process")</f>
        <v>Kill Process</v>
      </c>
      <c r="C583" s="23" t="str">
        <f>IFERROR(__xludf.DUMMYFUNCTION("""COMPUTED_VALUE"""),"kill-process")</f>
        <v>kill-process</v>
      </c>
      <c r="D583" s="23" t="b">
        <f>IFERROR(__xludf.DUMMYFUNCTION("""COMPUTED_VALUE"""),TRUE)</f>
        <v>1</v>
      </c>
      <c r="E583" s="23" t="str">
        <f>IFERROR(__xludf.DUMMYFUNCTION("""COMPUTED_VALUE"""),"Medium")</f>
        <v>Medium</v>
      </c>
      <c r="F583" s="23">
        <f>IFERROR(__xludf.DUMMYFUNCTION("""COMPUTED_VALUE"""),895.0)</f>
        <v>895</v>
      </c>
      <c r="G583" s="23">
        <f>IFERROR(__xludf.DUMMYFUNCTION("""COMPUTED_VALUE"""),18.0)</f>
        <v>18</v>
      </c>
      <c r="H583" s="23" t="str">
        <f>IFERROR(__xludf.DUMMYFUNCTION("""COMPUTED_VALUE"""),"Algorithms")</f>
        <v>Algorithms</v>
      </c>
      <c r="I583" s="23">
        <f>IFERROR(__xludf.DUMMYFUNCTION("""COMPUTED_VALUE"""),0.67)</f>
        <v>0.67</v>
      </c>
      <c r="J583" s="23">
        <f>IFERROR(__xludf.DUMMYFUNCTION("""COMPUTED_VALUE"""),582.0)</f>
        <v>582</v>
      </c>
      <c r="K583" s="23" t="b">
        <f>IFERROR(__xludf.DUMMYFUNCTION("""COMPUTED_VALUE"""),TRUE)</f>
        <v>1</v>
      </c>
      <c r="L583" s="23" t="str">
        <f>IFERROR(__xludf.DUMMYFUNCTION("""COMPUTED_VALUE"""),"Array;Hash Table;Tree;Depth-First Search;Breadth-First Search;")</f>
        <v>Array;Hash Table;Tree;Depth-First Search;Breadth-First Search;</v>
      </c>
      <c r="M583" s="23" t="b">
        <f>IFERROR(__xludf.DUMMYFUNCTION("""COMPUTED_VALUE"""),TRUE)</f>
        <v>1</v>
      </c>
      <c r="N583" s="23" t="b">
        <f>IFERROR(__xludf.DUMMYFUNCTION("""COMPUTED_VALUE"""),TRUE)</f>
        <v>1</v>
      </c>
      <c r="O583" s="23">
        <f>IFERROR(__xludf.DUMMYFUNCTION("""COMPUTED_VALUE"""),66.9842073294189)</f>
        <v>66.98420733</v>
      </c>
      <c r="P583" s="23">
        <f>IFERROR(__xludf.DUMMYFUNCTION("""COMPUTED_VALUE"""),66167.0)</f>
        <v>66167</v>
      </c>
      <c r="Q583" s="23">
        <f>IFERROR(__xludf.DUMMYFUNCTION("""COMPUTED_VALUE"""),98780.0)</f>
        <v>98780</v>
      </c>
    </row>
    <row r="584">
      <c r="A584" s="23">
        <f>IFERROR(__xludf.DUMMYFUNCTION("""COMPUTED_VALUE"""),583.0)</f>
        <v>583</v>
      </c>
      <c r="B584" s="23" t="str">
        <f>IFERROR(__xludf.DUMMYFUNCTION("""COMPUTED_VALUE"""),"Delete Operation for Two Strings")</f>
        <v>Delete Operation for Two Strings</v>
      </c>
      <c r="C584" s="23" t="str">
        <f>IFERROR(__xludf.DUMMYFUNCTION("""COMPUTED_VALUE"""),"delete-operation-for-two-strings")</f>
        <v>delete-operation-for-two-strings</v>
      </c>
      <c r="D584" s="23" t="b">
        <f>IFERROR(__xludf.DUMMYFUNCTION("""COMPUTED_VALUE"""),FALSE)</f>
        <v>0</v>
      </c>
      <c r="E584" s="23" t="str">
        <f>IFERROR(__xludf.DUMMYFUNCTION("""COMPUTED_VALUE"""),"Medium")</f>
        <v>Medium</v>
      </c>
      <c r="F584" s="23">
        <f>IFERROR(__xludf.DUMMYFUNCTION("""COMPUTED_VALUE"""),2731.0)</f>
        <v>2731</v>
      </c>
      <c r="G584" s="23">
        <f>IFERROR(__xludf.DUMMYFUNCTION("""COMPUTED_VALUE"""),45.0)</f>
        <v>45</v>
      </c>
      <c r="H584" s="23" t="str">
        <f>IFERROR(__xludf.DUMMYFUNCTION("""COMPUTED_VALUE"""),"Algorithms")</f>
        <v>Algorithms</v>
      </c>
      <c r="I584" s="23">
        <f>IFERROR(__xludf.DUMMYFUNCTION("""COMPUTED_VALUE"""),0.558)</f>
        <v>0.558</v>
      </c>
      <c r="J584" s="23">
        <f>IFERROR(__xludf.DUMMYFUNCTION("""COMPUTED_VALUE"""),583.0)</f>
        <v>583</v>
      </c>
      <c r="K584" s="23" t="b">
        <f>IFERROR(__xludf.DUMMYFUNCTION("""COMPUTED_VALUE"""),FALSE)</f>
        <v>0</v>
      </c>
      <c r="L584" s="23" t="str">
        <f>IFERROR(__xludf.DUMMYFUNCTION("""COMPUTED_VALUE"""),"String;Dynamic Programming;")</f>
        <v>String;Dynamic Programming;</v>
      </c>
      <c r="M584" s="23" t="b">
        <f>IFERROR(__xludf.DUMMYFUNCTION("""COMPUTED_VALUE"""),TRUE)</f>
        <v>1</v>
      </c>
      <c r="N584" s="23" t="b">
        <f>IFERROR(__xludf.DUMMYFUNCTION("""COMPUTED_VALUE"""),FALSE)</f>
        <v>0</v>
      </c>
      <c r="O584" s="23">
        <f>IFERROR(__xludf.DUMMYFUNCTION("""COMPUTED_VALUE"""),55.7875216553205)</f>
        <v>55.78752166</v>
      </c>
      <c r="P584" s="23">
        <f>IFERROR(__xludf.DUMMYFUNCTION("""COMPUTED_VALUE"""),114312.0)</f>
        <v>114312</v>
      </c>
      <c r="Q584" s="23">
        <f>IFERROR(__xludf.DUMMYFUNCTION("""COMPUTED_VALUE"""),204910.0)</f>
        <v>204910</v>
      </c>
    </row>
    <row r="585">
      <c r="A585" s="23">
        <f>IFERROR(__xludf.DUMMYFUNCTION("""COMPUTED_VALUE"""),584.0)</f>
        <v>584</v>
      </c>
      <c r="B585" s="23" t="str">
        <f>IFERROR(__xludf.DUMMYFUNCTION("""COMPUTED_VALUE"""),"Find Customer Referee")</f>
        <v>Find Customer Referee</v>
      </c>
      <c r="C585" s="23" t="str">
        <f>IFERROR(__xludf.DUMMYFUNCTION("""COMPUTED_VALUE"""),"find-customer-referee")</f>
        <v>find-customer-referee</v>
      </c>
      <c r="D585" s="23" t="b">
        <f>IFERROR(__xludf.DUMMYFUNCTION("""COMPUTED_VALUE"""),FALSE)</f>
        <v>0</v>
      </c>
      <c r="E585" s="23" t="str">
        <f>IFERROR(__xludf.DUMMYFUNCTION("""COMPUTED_VALUE"""),"Easy")</f>
        <v>Easy</v>
      </c>
      <c r="F585" s="23">
        <f>IFERROR(__xludf.DUMMYFUNCTION("""COMPUTED_VALUE"""),216.0)</f>
        <v>216</v>
      </c>
      <c r="G585" s="23">
        <f>IFERROR(__xludf.DUMMYFUNCTION("""COMPUTED_VALUE"""),146.0)</f>
        <v>146</v>
      </c>
      <c r="H585" s="23" t="str">
        <f>IFERROR(__xludf.DUMMYFUNCTION("""COMPUTED_VALUE"""),"Database")</f>
        <v>Database</v>
      </c>
      <c r="I585" s="23">
        <f>IFERROR(__xludf.DUMMYFUNCTION("""COMPUTED_VALUE"""),0.769)</f>
        <v>0.769</v>
      </c>
      <c r="J585" s="23">
        <f>IFERROR(__xludf.DUMMYFUNCTION("""COMPUTED_VALUE"""),584.0)</f>
        <v>584</v>
      </c>
      <c r="K585" s="23" t="b">
        <f>IFERROR(__xludf.DUMMYFUNCTION("""COMPUTED_VALUE"""),FALSE)</f>
        <v>0</v>
      </c>
      <c r="L585" s="23" t="str">
        <f>IFERROR(__xludf.DUMMYFUNCTION("""COMPUTED_VALUE"""),"Database;")</f>
        <v>Database;</v>
      </c>
      <c r="M585" s="23" t="b">
        <f>IFERROR(__xludf.DUMMYFUNCTION("""COMPUTED_VALUE"""),TRUE)</f>
        <v>1</v>
      </c>
      <c r="N585" s="23" t="b">
        <f>IFERROR(__xludf.DUMMYFUNCTION("""COMPUTED_VALUE"""),FALSE)</f>
        <v>0</v>
      </c>
      <c r="O585" s="23">
        <f>IFERROR(__xludf.DUMMYFUNCTION("""COMPUTED_VALUE"""),76.8531943815133)</f>
        <v>76.85319438</v>
      </c>
      <c r="P585" s="23">
        <f>IFERROR(__xludf.DUMMYFUNCTION("""COMPUTED_VALUE"""),67845.0)</f>
        <v>67845</v>
      </c>
      <c r="Q585" s="23">
        <f>IFERROR(__xludf.DUMMYFUNCTION("""COMPUTED_VALUE"""),88279.0)</f>
        <v>88279</v>
      </c>
    </row>
    <row r="586">
      <c r="A586" s="23">
        <f>IFERROR(__xludf.DUMMYFUNCTION("""COMPUTED_VALUE"""),585.0)</f>
        <v>585</v>
      </c>
      <c r="B586" s="23" t="str">
        <f>IFERROR(__xludf.DUMMYFUNCTION("""COMPUTED_VALUE"""),"Investments in 2016")</f>
        <v>Investments in 2016</v>
      </c>
      <c r="C586" s="23" t="str">
        <f>IFERROR(__xludf.DUMMYFUNCTION("""COMPUTED_VALUE"""),"investments-in-2016")</f>
        <v>investments-in-2016</v>
      </c>
      <c r="D586" s="23" t="b">
        <f>IFERROR(__xludf.DUMMYFUNCTION("""COMPUTED_VALUE"""),TRUE)</f>
        <v>1</v>
      </c>
      <c r="E586" s="23" t="str">
        <f>IFERROR(__xludf.DUMMYFUNCTION("""COMPUTED_VALUE"""),"Medium")</f>
        <v>Medium</v>
      </c>
      <c r="F586" s="23">
        <f>IFERROR(__xludf.DUMMYFUNCTION("""COMPUTED_VALUE"""),195.0)</f>
        <v>195</v>
      </c>
      <c r="G586" s="23">
        <f>IFERROR(__xludf.DUMMYFUNCTION("""COMPUTED_VALUE"""),203.0)</f>
        <v>203</v>
      </c>
      <c r="H586" s="23" t="str">
        <f>IFERROR(__xludf.DUMMYFUNCTION("""COMPUTED_VALUE"""),"Database")</f>
        <v>Database</v>
      </c>
      <c r="I586" s="23">
        <f>IFERROR(__xludf.DUMMYFUNCTION("""COMPUTED_VALUE"""),0.549)</f>
        <v>0.549</v>
      </c>
      <c r="J586" s="23">
        <f>IFERROR(__xludf.DUMMYFUNCTION("""COMPUTED_VALUE"""),585.0)</f>
        <v>585</v>
      </c>
      <c r="K586" s="23" t="b">
        <f>IFERROR(__xludf.DUMMYFUNCTION("""COMPUTED_VALUE"""),TRUE)</f>
        <v>1</v>
      </c>
      <c r="L586" s="23" t="str">
        <f>IFERROR(__xludf.DUMMYFUNCTION("""COMPUTED_VALUE"""),"Database;")</f>
        <v>Database;</v>
      </c>
      <c r="M586" s="23" t="b">
        <f>IFERROR(__xludf.DUMMYFUNCTION("""COMPUTED_VALUE"""),TRUE)</f>
        <v>1</v>
      </c>
      <c r="N586" s="23" t="b">
        <f>IFERROR(__xludf.DUMMYFUNCTION("""COMPUTED_VALUE"""),FALSE)</f>
        <v>0</v>
      </c>
      <c r="O586" s="23">
        <f>IFERROR(__xludf.DUMMYFUNCTION("""COMPUTED_VALUE"""),54.8936891147818)</f>
        <v>54.89368911</v>
      </c>
      <c r="P586" s="23">
        <f>IFERROR(__xludf.DUMMYFUNCTION("""COMPUTED_VALUE"""),32401.0)</f>
        <v>32401</v>
      </c>
      <c r="Q586" s="23">
        <f>IFERROR(__xludf.DUMMYFUNCTION("""COMPUTED_VALUE"""),59025.0)</f>
        <v>59025</v>
      </c>
    </row>
    <row r="587">
      <c r="A587" s="23">
        <f>IFERROR(__xludf.DUMMYFUNCTION("""COMPUTED_VALUE"""),586.0)</f>
        <v>586</v>
      </c>
      <c r="B587" s="23" t="str">
        <f>IFERROR(__xludf.DUMMYFUNCTION("""COMPUTED_VALUE"""),"Customer Placing the Largest Number of Orders")</f>
        <v>Customer Placing the Largest Number of Orders</v>
      </c>
      <c r="C587" s="23" t="str">
        <f>IFERROR(__xludf.DUMMYFUNCTION("""COMPUTED_VALUE"""),"customer-placing-the-largest-number-of-orders")</f>
        <v>customer-placing-the-largest-number-of-orders</v>
      </c>
      <c r="D587" s="23" t="b">
        <f>IFERROR(__xludf.DUMMYFUNCTION("""COMPUTED_VALUE"""),FALSE)</f>
        <v>0</v>
      </c>
      <c r="E587" s="23" t="str">
        <f>IFERROR(__xludf.DUMMYFUNCTION("""COMPUTED_VALUE"""),"Easy")</f>
        <v>Easy</v>
      </c>
      <c r="F587" s="23">
        <f>IFERROR(__xludf.DUMMYFUNCTION("""COMPUTED_VALUE"""),255.0)</f>
        <v>255</v>
      </c>
      <c r="G587" s="23">
        <f>IFERROR(__xludf.DUMMYFUNCTION("""COMPUTED_VALUE"""),21.0)</f>
        <v>21</v>
      </c>
      <c r="H587" s="23" t="str">
        <f>IFERROR(__xludf.DUMMYFUNCTION("""COMPUTED_VALUE"""),"Database")</f>
        <v>Database</v>
      </c>
      <c r="I587" s="23">
        <f>IFERROR(__xludf.DUMMYFUNCTION("""COMPUTED_VALUE"""),0.742)</f>
        <v>0.742</v>
      </c>
      <c r="J587" s="23">
        <f>IFERROR(__xludf.DUMMYFUNCTION("""COMPUTED_VALUE"""),586.0)</f>
        <v>586</v>
      </c>
      <c r="K587" s="23" t="b">
        <f>IFERROR(__xludf.DUMMYFUNCTION("""COMPUTED_VALUE"""),FALSE)</f>
        <v>0</v>
      </c>
      <c r="L587" s="23" t="str">
        <f>IFERROR(__xludf.DUMMYFUNCTION("""COMPUTED_VALUE"""),"Database;")</f>
        <v>Database;</v>
      </c>
      <c r="M587" s="23" t="b">
        <f>IFERROR(__xludf.DUMMYFUNCTION("""COMPUTED_VALUE"""),TRUE)</f>
        <v>1</v>
      </c>
      <c r="N587" s="23" t="b">
        <f>IFERROR(__xludf.DUMMYFUNCTION("""COMPUTED_VALUE"""),FALSE)</f>
        <v>0</v>
      </c>
      <c r="O587" s="23">
        <f>IFERROR(__xludf.DUMMYFUNCTION("""COMPUTED_VALUE"""),74.1713422082358)</f>
        <v>74.17134221</v>
      </c>
      <c r="P587" s="23">
        <f>IFERROR(__xludf.DUMMYFUNCTION("""COMPUTED_VALUE"""),71650.0)</f>
        <v>71650</v>
      </c>
      <c r="Q587" s="23">
        <f>IFERROR(__xludf.DUMMYFUNCTION("""COMPUTED_VALUE"""),96600.0)</f>
        <v>96600</v>
      </c>
    </row>
    <row r="588">
      <c r="A588" s="23">
        <f>IFERROR(__xludf.DUMMYFUNCTION("""COMPUTED_VALUE"""),587.0)</f>
        <v>587</v>
      </c>
      <c r="B588" s="23" t="str">
        <f>IFERROR(__xludf.DUMMYFUNCTION("""COMPUTED_VALUE"""),"Erect the Fence")</f>
        <v>Erect the Fence</v>
      </c>
      <c r="C588" s="23" t="str">
        <f>IFERROR(__xludf.DUMMYFUNCTION("""COMPUTED_VALUE"""),"erect-the-fence")</f>
        <v>erect-the-fence</v>
      </c>
      <c r="D588" s="23" t="b">
        <f>IFERROR(__xludf.DUMMYFUNCTION("""COMPUTED_VALUE"""),FALSE)</f>
        <v>0</v>
      </c>
      <c r="E588" s="23" t="str">
        <f>IFERROR(__xludf.DUMMYFUNCTION("""COMPUTED_VALUE"""),"Hard")</f>
        <v>Hard</v>
      </c>
      <c r="F588" s="23">
        <f>IFERROR(__xludf.DUMMYFUNCTION("""COMPUTED_VALUE"""),553.0)</f>
        <v>553</v>
      </c>
      <c r="G588" s="23">
        <f>IFERROR(__xludf.DUMMYFUNCTION("""COMPUTED_VALUE"""),346.0)</f>
        <v>346</v>
      </c>
      <c r="H588" s="23" t="str">
        <f>IFERROR(__xludf.DUMMYFUNCTION("""COMPUTED_VALUE"""),"Algorithms")</f>
        <v>Algorithms</v>
      </c>
      <c r="I588" s="23">
        <f>IFERROR(__xludf.DUMMYFUNCTION("""COMPUTED_VALUE"""),0.433)</f>
        <v>0.433</v>
      </c>
      <c r="J588" s="23">
        <f>IFERROR(__xludf.DUMMYFUNCTION("""COMPUTED_VALUE"""),587.0)</f>
        <v>587</v>
      </c>
      <c r="K588" s="23" t="b">
        <f>IFERROR(__xludf.DUMMYFUNCTION("""COMPUTED_VALUE"""),FALSE)</f>
        <v>0</v>
      </c>
      <c r="L588" s="23" t="str">
        <f>IFERROR(__xludf.DUMMYFUNCTION("""COMPUTED_VALUE"""),"Array;Math;Geometry;")</f>
        <v>Array;Math;Geometry;</v>
      </c>
      <c r="M588" s="23" t="b">
        <f>IFERROR(__xludf.DUMMYFUNCTION("""COMPUTED_VALUE"""),TRUE)</f>
        <v>1</v>
      </c>
      <c r="N588" s="23" t="b">
        <f>IFERROR(__xludf.DUMMYFUNCTION("""COMPUTED_VALUE"""),FALSE)</f>
        <v>0</v>
      </c>
      <c r="O588" s="23">
        <f>IFERROR(__xludf.DUMMYFUNCTION("""COMPUTED_VALUE"""),43.2559716003353)</f>
        <v>43.2559716</v>
      </c>
      <c r="P588" s="23">
        <f>IFERROR(__xludf.DUMMYFUNCTION("""COMPUTED_VALUE"""),24248.0)</f>
        <v>24248</v>
      </c>
      <c r="Q588" s="23">
        <f>IFERROR(__xludf.DUMMYFUNCTION("""COMPUTED_VALUE"""),56057.0)</f>
        <v>56057</v>
      </c>
    </row>
    <row r="589">
      <c r="A589" s="23">
        <f>IFERROR(__xludf.DUMMYFUNCTION("""COMPUTED_VALUE"""),588.0)</f>
        <v>588</v>
      </c>
      <c r="B589" s="23" t="str">
        <f>IFERROR(__xludf.DUMMYFUNCTION("""COMPUTED_VALUE"""),"Design In-Memory File System")</f>
        <v>Design In-Memory File System</v>
      </c>
      <c r="C589" s="23" t="str">
        <f>IFERROR(__xludf.DUMMYFUNCTION("""COMPUTED_VALUE"""),"design-in-memory-file-system")</f>
        <v>design-in-memory-file-system</v>
      </c>
      <c r="D589" s="23" t="b">
        <f>IFERROR(__xludf.DUMMYFUNCTION("""COMPUTED_VALUE"""),TRUE)</f>
        <v>1</v>
      </c>
      <c r="E589" s="23" t="str">
        <f>IFERROR(__xludf.DUMMYFUNCTION("""COMPUTED_VALUE"""),"Hard")</f>
        <v>Hard</v>
      </c>
      <c r="F589" s="23">
        <f>IFERROR(__xludf.DUMMYFUNCTION("""COMPUTED_VALUE"""),1048.0)</f>
        <v>1048</v>
      </c>
      <c r="G589" s="23">
        <f>IFERROR(__xludf.DUMMYFUNCTION("""COMPUTED_VALUE"""),126.0)</f>
        <v>126</v>
      </c>
      <c r="H589" s="23" t="str">
        <f>IFERROR(__xludf.DUMMYFUNCTION("""COMPUTED_VALUE"""),"Algorithms")</f>
        <v>Algorithms</v>
      </c>
      <c r="I589" s="23">
        <f>IFERROR(__xludf.DUMMYFUNCTION("""COMPUTED_VALUE"""),0.483)</f>
        <v>0.483</v>
      </c>
      <c r="J589" s="23">
        <f>IFERROR(__xludf.DUMMYFUNCTION("""COMPUTED_VALUE"""),588.0)</f>
        <v>588</v>
      </c>
      <c r="K589" s="23" t="b">
        <f>IFERROR(__xludf.DUMMYFUNCTION("""COMPUTED_VALUE"""),TRUE)</f>
        <v>1</v>
      </c>
      <c r="L589" s="23" t="str">
        <f>IFERROR(__xludf.DUMMYFUNCTION("""COMPUTED_VALUE"""),"Hash Table;String;Design;Trie;")</f>
        <v>Hash Table;String;Design;Trie;</v>
      </c>
      <c r="M589" s="23" t="b">
        <f>IFERROR(__xludf.DUMMYFUNCTION("""COMPUTED_VALUE"""),TRUE)</f>
        <v>1</v>
      </c>
      <c r="N589" s="23" t="b">
        <f>IFERROR(__xludf.DUMMYFUNCTION("""COMPUTED_VALUE"""),FALSE)</f>
        <v>0</v>
      </c>
      <c r="O589" s="23">
        <f>IFERROR(__xludf.DUMMYFUNCTION("""COMPUTED_VALUE"""),48.3268833364644)</f>
        <v>48.32688334</v>
      </c>
      <c r="P589" s="23">
        <f>IFERROR(__xludf.DUMMYFUNCTION("""COMPUTED_VALUE"""),64311.0)</f>
        <v>64311</v>
      </c>
      <c r="Q589" s="23">
        <f>IFERROR(__xludf.DUMMYFUNCTION("""COMPUTED_VALUE"""),133075.0)</f>
        <v>133075</v>
      </c>
    </row>
    <row r="590">
      <c r="A590" s="23">
        <f>IFERROR(__xludf.DUMMYFUNCTION("""COMPUTED_VALUE"""),775.0)</f>
        <v>775</v>
      </c>
      <c r="B590" s="23" t="str">
        <f>IFERROR(__xludf.DUMMYFUNCTION("""COMPUTED_VALUE"""),"N-ary Tree Preorder Traversal")</f>
        <v>N-ary Tree Preorder Traversal</v>
      </c>
      <c r="C590" s="23" t="str">
        <f>IFERROR(__xludf.DUMMYFUNCTION("""COMPUTED_VALUE"""),"n-ary-tree-preorder-traversal")</f>
        <v>n-ary-tree-preorder-traversal</v>
      </c>
      <c r="D590" s="23" t="b">
        <f>IFERROR(__xludf.DUMMYFUNCTION("""COMPUTED_VALUE"""),FALSE)</f>
        <v>0</v>
      </c>
      <c r="E590" s="23" t="str">
        <f>IFERROR(__xludf.DUMMYFUNCTION("""COMPUTED_VALUE"""),"Easy")</f>
        <v>Easy</v>
      </c>
      <c r="F590" s="23">
        <f>IFERROR(__xludf.DUMMYFUNCTION("""COMPUTED_VALUE"""),1735.0)</f>
        <v>1735</v>
      </c>
      <c r="G590" s="23">
        <f>IFERROR(__xludf.DUMMYFUNCTION("""COMPUTED_VALUE"""),83.0)</f>
        <v>83</v>
      </c>
      <c r="H590" s="23" t="str">
        <f>IFERROR(__xludf.DUMMYFUNCTION("""COMPUTED_VALUE"""),"Algorithms")</f>
        <v>Algorithms</v>
      </c>
      <c r="I590" s="23">
        <f>IFERROR(__xludf.DUMMYFUNCTION("""COMPUTED_VALUE"""),0.761)</f>
        <v>0.761</v>
      </c>
      <c r="J590" s="23">
        <f>IFERROR(__xludf.DUMMYFUNCTION("""COMPUTED_VALUE"""),589.0)</f>
        <v>589</v>
      </c>
      <c r="K590" s="23" t="b">
        <f>IFERROR(__xludf.DUMMYFUNCTION("""COMPUTED_VALUE"""),FALSE)</f>
        <v>0</v>
      </c>
      <c r="L590" s="23" t="str">
        <f>IFERROR(__xludf.DUMMYFUNCTION("""COMPUTED_VALUE"""),"Stack;Tree;Depth-First Search;")</f>
        <v>Stack;Tree;Depth-First Search;</v>
      </c>
      <c r="M590" s="23" t="b">
        <f>IFERROR(__xludf.DUMMYFUNCTION("""COMPUTED_VALUE"""),TRUE)</f>
        <v>1</v>
      </c>
      <c r="N590" s="23" t="b">
        <f>IFERROR(__xludf.DUMMYFUNCTION("""COMPUTED_VALUE"""),FALSE)</f>
        <v>0</v>
      </c>
      <c r="O590" s="23">
        <f>IFERROR(__xludf.DUMMYFUNCTION("""COMPUTED_VALUE"""),76.1116471676114)</f>
        <v>76.11164717</v>
      </c>
      <c r="P590" s="23">
        <f>IFERROR(__xludf.DUMMYFUNCTION("""COMPUTED_VALUE"""),227173.0)</f>
        <v>227173</v>
      </c>
      <c r="Q590" s="23">
        <f>IFERROR(__xludf.DUMMYFUNCTION("""COMPUTED_VALUE"""),298474.0)</f>
        <v>298474</v>
      </c>
    </row>
    <row r="591">
      <c r="A591" s="23">
        <f>IFERROR(__xludf.DUMMYFUNCTION("""COMPUTED_VALUE"""),776.0)</f>
        <v>776</v>
      </c>
      <c r="B591" s="23" t="str">
        <f>IFERROR(__xludf.DUMMYFUNCTION("""COMPUTED_VALUE"""),"N-ary Tree Postorder Traversal")</f>
        <v>N-ary Tree Postorder Traversal</v>
      </c>
      <c r="C591" s="23" t="str">
        <f>IFERROR(__xludf.DUMMYFUNCTION("""COMPUTED_VALUE"""),"n-ary-tree-postorder-traversal")</f>
        <v>n-ary-tree-postorder-traversal</v>
      </c>
      <c r="D591" s="23" t="b">
        <f>IFERROR(__xludf.DUMMYFUNCTION("""COMPUTED_VALUE"""),FALSE)</f>
        <v>0</v>
      </c>
      <c r="E591" s="23" t="str">
        <f>IFERROR(__xludf.DUMMYFUNCTION("""COMPUTED_VALUE"""),"Easy")</f>
        <v>Easy</v>
      </c>
      <c r="F591" s="23">
        <f>IFERROR(__xludf.DUMMYFUNCTION("""COMPUTED_VALUE"""),1578.0)</f>
        <v>1578</v>
      </c>
      <c r="G591" s="23">
        <f>IFERROR(__xludf.DUMMYFUNCTION("""COMPUTED_VALUE"""),82.0)</f>
        <v>82</v>
      </c>
      <c r="H591" s="23" t="str">
        <f>IFERROR(__xludf.DUMMYFUNCTION("""COMPUTED_VALUE"""),"Algorithms")</f>
        <v>Algorithms</v>
      </c>
      <c r="I591" s="23">
        <f>IFERROR(__xludf.DUMMYFUNCTION("""COMPUTED_VALUE"""),0.762)</f>
        <v>0.762</v>
      </c>
      <c r="J591" s="23">
        <f>IFERROR(__xludf.DUMMYFUNCTION("""COMPUTED_VALUE"""),590.0)</f>
        <v>590</v>
      </c>
      <c r="K591" s="23" t="b">
        <f>IFERROR(__xludf.DUMMYFUNCTION("""COMPUTED_VALUE"""),FALSE)</f>
        <v>0</v>
      </c>
      <c r="L591" s="23" t="str">
        <f>IFERROR(__xludf.DUMMYFUNCTION("""COMPUTED_VALUE"""),"Stack;Tree;Depth-First Search;")</f>
        <v>Stack;Tree;Depth-First Search;</v>
      </c>
      <c r="M591" s="23" t="b">
        <f>IFERROR(__xludf.DUMMYFUNCTION("""COMPUTED_VALUE"""),TRUE)</f>
        <v>1</v>
      </c>
      <c r="N591" s="23" t="b">
        <f>IFERROR(__xludf.DUMMYFUNCTION("""COMPUTED_VALUE"""),FALSE)</f>
        <v>0</v>
      </c>
      <c r="O591" s="23">
        <f>IFERROR(__xludf.DUMMYFUNCTION("""COMPUTED_VALUE"""),76.1762888604873)</f>
        <v>76.17628886</v>
      </c>
      <c r="P591" s="23">
        <f>IFERROR(__xludf.DUMMYFUNCTION("""COMPUTED_VALUE"""),179999.0)</f>
        <v>179999</v>
      </c>
      <c r="Q591" s="23">
        <f>IFERROR(__xludf.DUMMYFUNCTION("""COMPUTED_VALUE"""),236293.0)</f>
        <v>236293</v>
      </c>
    </row>
    <row r="592">
      <c r="A592" s="23">
        <f>IFERROR(__xludf.DUMMYFUNCTION("""COMPUTED_VALUE"""),591.0)</f>
        <v>591</v>
      </c>
      <c r="B592" s="23" t="str">
        <f>IFERROR(__xludf.DUMMYFUNCTION("""COMPUTED_VALUE"""),"Tag Validator")</f>
        <v>Tag Validator</v>
      </c>
      <c r="C592" s="23" t="str">
        <f>IFERROR(__xludf.DUMMYFUNCTION("""COMPUTED_VALUE"""),"tag-validator")</f>
        <v>tag-validator</v>
      </c>
      <c r="D592" s="23" t="b">
        <f>IFERROR(__xludf.DUMMYFUNCTION("""COMPUTED_VALUE"""),FALSE)</f>
        <v>0</v>
      </c>
      <c r="E592" s="23" t="str">
        <f>IFERROR(__xludf.DUMMYFUNCTION("""COMPUTED_VALUE"""),"Hard")</f>
        <v>Hard</v>
      </c>
      <c r="F592" s="23">
        <f>IFERROR(__xludf.DUMMYFUNCTION("""COMPUTED_VALUE"""),130.0)</f>
        <v>130</v>
      </c>
      <c r="G592" s="23">
        <f>IFERROR(__xludf.DUMMYFUNCTION("""COMPUTED_VALUE"""),564.0)</f>
        <v>564</v>
      </c>
      <c r="H592" s="23" t="str">
        <f>IFERROR(__xludf.DUMMYFUNCTION("""COMPUTED_VALUE"""),"Algorithms")</f>
        <v>Algorithms</v>
      </c>
      <c r="I592" s="23">
        <f>IFERROR(__xludf.DUMMYFUNCTION("""COMPUTED_VALUE"""),0.364)</f>
        <v>0.364</v>
      </c>
      <c r="J592" s="23">
        <f>IFERROR(__xludf.DUMMYFUNCTION("""COMPUTED_VALUE"""),591.0)</f>
        <v>591</v>
      </c>
      <c r="K592" s="23" t="b">
        <f>IFERROR(__xludf.DUMMYFUNCTION("""COMPUTED_VALUE"""),FALSE)</f>
        <v>0</v>
      </c>
      <c r="L592" s="23" t="str">
        <f>IFERROR(__xludf.DUMMYFUNCTION("""COMPUTED_VALUE"""),"String;Stack;")</f>
        <v>String;Stack;</v>
      </c>
      <c r="M592" s="23" t="b">
        <f>IFERROR(__xludf.DUMMYFUNCTION("""COMPUTED_VALUE"""),TRUE)</f>
        <v>1</v>
      </c>
      <c r="N592" s="23" t="b">
        <f>IFERROR(__xludf.DUMMYFUNCTION("""COMPUTED_VALUE"""),FALSE)</f>
        <v>0</v>
      </c>
      <c r="O592" s="23">
        <f>IFERROR(__xludf.DUMMYFUNCTION("""COMPUTED_VALUE"""),36.4212451819429)</f>
        <v>36.42124518</v>
      </c>
      <c r="P592" s="23">
        <f>IFERROR(__xludf.DUMMYFUNCTION("""COMPUTED_VALUE"""),11150.0)</f>
        <v>11150</v>
      </c>
      <c r="Q592" s="23">
        <f>IFERROR(__xludf.DUMMYFUNCTION("""COMPUTED_VALUE"""),30614.0)</f>
        <v>30614</v>
      </c>
    </row>
    <row r="593">
      <c r="A593" s="23">
        <f>IFERROR(__xludf.DUMMYFUNCTION("""COMPUTED_VALUE"""),592.0)</f>
        <v>592</v>
      </c>
      <c r="B593" s="23" t="str">
        <f>IFERROR(__xludf.DUMMYFUNCTION("""COMPUTED_VALUE"""),"Fraction Addition and Subtraction")</f>
        <v>Fraction Addition and Subtraction</v>
      </c>
      <c r="C593" s="23" t="str">
        <f>IFERROR(__xludf.DUMMYFUNCTION("""COMPUTED_VALUE"""),"fraction-addition-and-subtraction")</f>
        <v>fraction-addition-and-subtraction</v>
      </c>
      <c r="D593" s="23" t="b">
        <f>IFERROR(__xludf.DUMMYFUNCTION("""COMPUTED_VALUE"""),FALSE)</f>
        <v>0</v>
      </c>
      <c r="E593" s="23" t="str">
        <f>IFERROR(__xludf.DUMMYFUNCTION("""COMPUTED_VALUE"""),"Medium")</f>
        <v>Medium</v>
      </c>
      <c r="F593" s="23">
        <f>IFERROR(__xludf.DUMMYFUNCTION("""COMPUTED_VALUE"""),303.0)</f>
        <v>303</v>
      </c>
      <c r="G593" s="23">
        <f>IFERROR(__xludf.DUMMYFUNCTION("""COMPUTED_VALUE"""),435.0)</f>
        <v>435</v>
      </c>
      <c r="H593" s="23" t="str">
        <f>IFERROR(__xludf.DUMMYFUNCTION("""COMPUTED_VALUE"""),"Algorithms")</f>
        <v>Algorithms</v>
      </c>
      <c r="I593" s="23">
        <f>IFERROR(__xludf.DUMMYFUNCTION("""COMPUTED_VALUE"""),0.517)</f>
        <v>0.517</v>
      </c>
      <c r="J593" s="23">
        <f>IFERROR(__xludf.DUMMYFUNCTION("""COMPUTED_VALUE"""),592.0)</f>
        <v>592</v>
      </c>
      <c r="K593" s="23" t="b">
        <f>IFERROR(__xludf.DUMMYFUNCTION("""COMPUTED_VALUE"""),FALSE)</f>
        <v>0</v>
      </c>
      <c r="L593" s="23" t="str">
        <f>IFERROR(__xludf.DUMMYFUNCTION("""COMPUTED_VALUE"""),"Math;String;Simulation;")</f>
        <v>Math;String;Simulation;</v>
      </c>
      <c r="M593" s="23" t="b">
        <f>IFERROR(__xludf.DUMMYFUNCTION("""COMPUTED_VALUE"""),TRUE)</f>
        <v>1</v>
      </c>
      <c r="N593" s="23" t="b">
        <f>IFERROR(__xludf.DUMMYFUNCTION("""COMPUTED_VALUE"""),FALSE)</f>
        <v>0</v>
      </c>
      <c r="O593" s="23">
        <f>IFERROR(__xludf.DUMMYFUNCTION("""COMPUTED_VALUE"""),51.7119540848354)</f>
        <v>51.71195408</v>
      </c>
      <c r="P593" s="23">
        <f>IFERROR(__xludf.DUMMYFUNCTION("""COMPUTED_VALUE"""),28832.0)</f>
        <v>28832</v>
      </c>
      <c r="Q593" s="23">
        <f>IFERROR(__xludf.DUMMYFUNCTION("""COMPUTED_VALUE"""),55755.0)</f>
        <v>55755</v>
      </c>
    </row>
    <row r="594">
      <c r="A594" s="23">
        <f>IFERROR(__xludf.DUMMYFUNCTION("""COMPUTED_VALUE"""),593.0)</f>
        <v>593</v>
      </c>
      <c r="B594" s="23" t="str">
        <f>IFERROR(__xludf.DUMMYFUNCTION("""COMPUTED_VALUE"""),"Valid Square")</f>
        <v>Valid Square</v>
      </c>
      <c r="C594" s="23" t="str">
        <f>IFERROR(__xludf.DUMMYFUNCTION("""COMPUTED_VALUE"""),"valid-square")</f>
        <v>valid-square</v>
      </c>
      <c r="D594" s="23" t="b">
        <f>IFERROR(__xludf.DUMMYFUNCTION("""COMPUTED_VALUE"""),FALSE)</f>
        <v>0</v>
      </c>
      <c r="E594" s="23" t="str">
        <f>IFERROR(__xludf.DUMMYFUNCTION("""COMPUTED_VALUE"""),"Medium")</f>
        <v>Medium</v>
      </c>
      <c r="F594" s="23">
        <f>IFERROR(__xludf.DUMMYFUNCTION("""COMPUTED_VALUE"""),681.0)</f>
        <v>681</v>
      </c>
      <c r="G594" s="23">
        <f>IFERROR(__xludf.DUMMYFUNCTION("""COMPUTED_VALUE"""),743.0)</f>
        <v>743</v>
      </c>
      <c r="H594" s="23" t="str">
        <f>IFERROR(__xludf.DUMMYFUNCTION("""COMPUTED_VALUE"""),"Algorithms")</f>
        <v>Algorithms</v>
      </c>
      <c r="I594" s="23">
        <f>IFERROR(__xludf.DUMMYFUNCTION("""COMPUTED_VALUE"""),0.438)</f>
        <v>0.438</v>
      </c>
      <c r="J594" s="23">
        <f>IFERROR(__xludf.DUMMYFUNCTION("""COMPUTED_VALUE"""),593.0)</f>
        <v>593</v>
      </c>
      <c r="K594" s="23" t="b">
        <f>IFERROR(__xludf.DUMMYFUNCTION("""COMPUTED_VALUE"""),FALSE)</f>
        <v>0</v>
      </c>
      <c r="L594" s="23" t="str">
        <f>IFERROR(__xludf.DUMMYFUNCTION("""COMPUTED_VALUE"""),"Math;Geometry;")</f>
        <v>Math;Geometry;</v>
      </c>
      <c r="M594" s="23" t="b">
        <f>IFERROR(__xludf.DUMMYFUNCTION("""COMPUTED_VALUE"""),TRUE)</f>
        <v>1</v>
      </c>
      <c r="N594" s="23" t="b">
        <f>IFERROR(__xludf.DUMMYFUNCTION("""COMPUTED_VALUE"""),FALSE)</f>
        <v>0</v>
      </c>
      <c r="O594" s="23">
        <f>IFERROR(__xludf.DUMMYFUNCTION("""COMPUTED_VALUE"""),43.846272704507)</f>
        <v>43.8462727</v>
      </c>
      <c r="P594" s="23">
        <f>IFERROR(__xludf.DUMMYFUNCTION("""COMPUTED_VALUE"""),82292.0)</f>
        <v>82292</v>
      </c>
      <c r="Q594" s="23">
        <f>IFERROR(__xludf.DUMMYFUNCTION("""COMPUTED_VALUE"""),187683.0)</f>
        <v>187683</v>
      </c>
    </row>
    <row r="595">
      <c r="A595" s="23">
        <f>IFERROR(__xludf.DUMMYFUNCTION("""COMPUTED_VALUE"""),594.0)</f>
        <v>594</v>
      </c>
      <c r="B595" s="23" t="str">
        <f>IFERROR(__xludf.DUMMYFUNCTION("""COMPUTED_VALUE"""),"Longest Harmonious Subsequence")</f>
        <v>Longest Harmonious Subsequence</v>
      </c>
      <c r="C595" s="23" t="str">
        <f>IFERROR(__xludf.DUMMYFUNCTION("""COMPUTED_VALUE"""),"longest-harmonious-subsequence")</f>
        <v>longest-harmonious-subsequence</v>
      </c>
      <c r="D595" s="23" t="b">
        <f>IFERROR(__xludf.DUMMYFUNCTION("""COMPUTED_VALUE"""),FALSE)</f>
        <v>0</v>
      </c>
      <c r="E595" s="23" t="str">
        <f>IFERROR(__xludf.DUMMYFUNCTION("""COMPUTED_VALUE"""),"Easy")</f>
        <v>Easy</v>
      </c>
      <c r="F595" s="23">
        <f>IFERROR(__xludf.DUMMYFUNCTION("""COMPUTED_VALUE"""),1530.0)</f>
        <v>1530</v>
      </c>
      <c r="G595" s="23">
        <f>IFERROR(__xludf.DUMMYFUNCTION("""COMPUTED_VALUE"""),151.0)</f>
        <v>151</v>
      </c>
      <c r="H595" s="23" t="str">
        <f>IFERROR(__xludf.DUMMYFUNCTION("""COMPUTED_VALUE"""),"Algorithms")</f>
        <v>Algorithms</v>
      </c>
      <c r="I595" s="23">
        <f>IFERROR(__xludf.DUMMYFUNCTION("""COMPUTED_VALUE"""),0.527)</f>
        <v>0.527</v>
      </c>
      <c r="J595" s="23">
        <f>IFERROR(__xludf.DUMMYFUNCTION("""COMPUTED_VALUE"""),594.0)</f>
        <v>594</v>
      </c>
      <c r="K595" s="23" t="b">
        <f>IFERROR(__xludf.DUMMYFUNCTION("""COMPUTED_VALUE"""),FALSE)</f>
        <v>0</v>
      </c>
      <c r="L595" s="23" t="str">
        <f>IFERROR(__xludf.DUMMYFUNCTION("""COMPUTED_VALUE"""),"Array;Hash Table;Sorting;")</f>
        <v>Array;Hash Table;Sorting;</v>
      </c>
      <c r="M595" s="23" t="b">
        <f>IFERROR(__xludf.DUMMYFUNCTION("""COMPUTED_VALUE"""),TRUE)</f>
        <v>1</v>
      </c>
      <c r="N595" s="23" t="b">
        <f>IFERROR(__xludf.DUMMYFUNCTION("""COMPUTED_VALUE"""),FALSE)</f>
        <v>0</v>
      </c>
      <c r="O595" s="23">
        <f>IFERROR(__xludf.DUMMYFUNCTION("""COMPUTED_VALUE"""),52.682146448487)</f>
        <v>52.68214645</v>
      </c>
      <c r="P595" s="23">
        <f>IFERROR(__xludf.DUMMYFUNCTION("""COMPUTED_VALUE"""),115257.0)</f>
        <v>115257</v>
      </c>
      <c r="Q595" s="23">
        <f>IFERROR(__xludf.DUMMYFUNCTION("""COMPUTED_VALUE"""),218778.0)</f>
        <v>218778</v>
      </c>
    </row>
    <row r="596">
      <c r="A596" s="23">
        <f>IFERROR(__xludf.DUMMYFUNCTION("""COMPUTED_VALUE"""),595.0)</f>
        <v>595</v>
      </c>
      <c r="B596" s="23" t="str">
        <f>IFERROR(__xludf.DUMMYFUNCTION("""COMPUTED_VALUE"""),"Big Countries")</f>
        <v>Big Countries</v>
      </c>
      <c r="C596" s="23" t="str">
        <f>IFERROR(__xludf.DUMMYFUNCTION("""COMPUTED_VALUE"""),"big-countries")</f>
        <v>big-countries</v>
      </c>
      <c r="D596" s="23" t="b">
        <f>IFERROR(__xludf.DUMMYFUNCTION("""COMPUTED_VALUE"""),FALSE)</f>
        <v>0</v>
      </c>
      <c r="E596" s="23" t="str">
        <f>IFERROR(__xludf.DUMMYFUNCTION("""COMPUTED_VALUE"""),"Easy")</f>
        <v>Easy</v>
      </c>
      <c r="F596" s="23">
        <f>IFERROR(__xludf.DUMMYFUNCTION("""COMPUTED_VALUE"""),805.0)</f>
        <v>805</v>
      </c>
      <c r="G596" s="23">
        <f>IFERROR(__xludf.DUMMYFUNCTION("""COMPUTED_VALUE"""),907.0)</f>
        <v>907</v>
      </c>
      <c r="H596" s="23" t="str">
        <f>IFERROR(__xludf.DUMMYFUNCTION("""COMPUTED_VALUE"""),"Database")</f>
        <v>Database</v>
      </c>
      <c r="I596" s="23">
        <f>IFERROR(__xludf.DUMMYFUNCTION("""COMPUTED_VALUE"""),0.77)</f>
        <v>0.77</v>
      </c>
      <c r="J596" s="23">
        <f>IFERROR(__xludf.DUMMYFUNCTION("""COMPUTED_VALUE"""),595.0)</f>
        <v>595</v>
      </c>
      <c r="K596" s="23" t="b">
        <f>IFERROR(__xludf.DUMMYFUNCTION("""COMPUTED_VALUE"""),FALSE)</f>
        <v>0</v>
      </c>
      <c r="L596" s="23" t="str">
        <f>IFERROR(__xludf.DUMMYFUNCTION("""COMPUTED_VALUE"""),"Database;")</f>
        <v>Database;</v>
      </c>
      <c r="M596" s="23" t="b">
        <f>IFERROR(__xludf.DUMMYFUNCTION("""COMPUTED_VALUE"""),TRUE)</f>
        <v>1</v>
      </c>
      <c r="N596" s="23" t="b">
        <f>IFERROR(__xludf.DUMMYFUNCTION("""COMPUTED_VALUE"""),FALSE)</f>
        <v>0</v>
      </c>
      <c r="O596" s="23">
        <f>IFERROR(__xludf.DUMMYFUNCTION("""COMPUTED_VALUE"""),76.9672598846375)</f>
        <v>76.96725988</v>
      </c>
      <c r="P596" s="23">
        <f>IFERROR(__xludf.DUMMYFUNCTION("""COMPUTED_VALUE"""),284612.0)</f>
        <v>284612</v>
      </c>
      <c r="Q596" s="23">
        <f>IFERROR(__xludf.DUMMYFUNCTION("""COMPUTED_VALUE"""),369777.0)</f>
        <v>369777</v>
      </c>
    </row>
    <row r="597">
      <c r="A597" s="23">
        <f>IFERROR(__xludf.DUMMYFUNCTION("""COMPUTED_VALUE"""),596.0)</f>
        <v>596</v>
      </c>
      <c r="B597" s="23" t="str">
        <f>IFERROR(__xludf.DUMMYFUNCTION("""COMPUTED_VALUE"""),"Classes More Than 5 Students")</f>
        <v>Classes More Than 5 Students</v>
      </c>
      <c r="C597" s="23" t="str">
        <f>IFERROR(__xludf.DUMMYFUNCTION("""COMPUTED_VALUE"""),"classes-more-than-5-students")</f>
        <v>classes-more-than-5-students</v>
      </c>
      <c r="D597" s="23" t="b">
        <f>IFERROR(__xludf.DUMMYFUNCTION("""COMPUTED_VALUE"""),FALSE)</f>
        <v>0</v>
      </c>
      <c r="E597" s="23" t="str">
        <f>IFERROR(__xludf.DUMMYFUNCTION("""COMPUTED_VALUE"""),"Easy")</f>
        <v>Easy</v>
      </c>
      <c r="F597" s="23">
        <f>IFERROR(__xludf.DUMMYFUNCTION("""COMPUTED_VALUE"""),437.0)</f>
        <v>437</v>
      </c>
      <c r="G597" s="23">
        <f>IFERROR(__xludf.DUMMYFUNCTION("""COMPUTED_VALUE"""),911.0)</f>
        <v>911</v>
      </c>
      <c r="H597" s="23" t="str">
        <f>IFERROR(__xludf.DUMMYFUNCTION("""COMPUTED_VALUE"""),"Database")</f>
        <v>Database</v>
      </c>
      <c r="I597" s="23">
        <f>IFERROR(__xludf.DUMMYFUNCTION("""COMPUTED_VALUE"""),0.427)</f>
        <v>0.427</v>
      </c>
      <c r="J597" s="23">
        <f>IFERROR(__xludf.DUMMYFUNCTION("""COMPUTED_VALUE"""),596.0)</f>
        <v>596</v>
      </c>
      <c r="K597" s="23" t="b">
        <f>IFERROR(__xludf.DUMMYFUNCTION("""COMPUTED_VALUE"""),FALSE)</f>
        <v>0</v>
      </c>
      <c r="L597" s="23" t="str">
        <f>IFERROR(__xludf.DUMMYFUNCTION("""COMPUTED_VALUE"""),"Database;")</f>
        <v>Database;</v>
      </c>
      <c r="M597" s="23" t="b">
        <f>IFERROR(__xludf.DUMMYFUNCTION("""COMPUTED_VALUE"""),TRUE)</f>
        <v>1</v>
      </c>
      <c r="N597" s="23" t="b">
        <f>IFERROR(__xludf.DUMMYFUNCTION("""COMPUTED_VALUE"""),FALSE)</f>
        <v>0</v>
      </c>
      <c r="O597" s="23">
        <f>IFERROR(__xludf.DUMMYFUNCTION("""COMPUTED_VALUE"""),42.668016530475)</f>
        <v>42.66801653</v>
      </c>
      <c r="P597" s="23">
        <f>IFERROR(__xludf.DUMMYFUNCTION("""COMPUTED_VALUE"""),159305.0)</f>
        <v>159305</v>
      </c>
      <c r="Q597" s="23">
        <f>IFERROR(__xludf.DUMMYFUNCTION("""COMPUTED_VALUE"""),373365.0)</f>
        <v>373365</v>
      </c>
    </row>
    <row r="598">
      <c r="A598" s="23">
        <f>IFERROR(__xludf.DUMMYFUNCTION("""COMPUTED_VALUE"""),597.0)</f>
        <v>597</v>
      </c>
      <c r="B598" s="23" t="str">
        <f>IFERROR(__xludf.DUMMYFUNCTION("""COMPUTED_VALUE"""),"Friend Requests I: Overall Acceptance Rate")</f>
        <v>Friend Requests I: Overall Acceptance Rate</v>
      </c>
      <c r="C598" s="23" t="str">
        <f>IFERROR(__xludf.DUMMYFUNCTION("""COMPUTED_VALUE"""),"friend-requests-i-overall-acceptance-rate")</f>
        <v>friend-requests-i-overall-acceptance-rate</v>
      </c>
      <c r="D598" s="23" t="b">
        <f>IFERROR(__xludf.DUMMYFUNCTION("""COMPUTED_VALUE"""),TRUE)</f>
        <v>1</v>
      </c>
      <c r="E598" s="23" t="str">
        <f>IFERROR(__xludf.DUMMYFUNCTION("""COMPUTED_VALUE"""),"Easy")</f>
        <v>Easy</v>
      </c>
      <c r="F598" s="23">
        <f>IFERROR(__xludf.DUMMYFUNCTION("""COMPUTED_VALUE"""),237.0)</f>
        <v>237</v>
      </c>
      <c r="G598" s="23">
        <f>IFERROR(__xludf.DUMMYFUNCTION("""COMPUTED_VALUE"""),588.0)</f>
        <v>588</v>
      </c>
      <c r="H598" s="23" t="str">
        <f>IFERROR(__xludf.DUMMYFUNCTION("""COMPUTED_VALUE"""),"Database")</f>
        <v>Database</v>
      </c>
      <c r="I598" s="23">
        <f>IFERROR(__xludf.DUMMYFUNCTION("""COMPUTED_VALUE"""),0.426)</f>
        <v>0.426</v>
      </c>
      <c r="J598" s="23">
        <f>IFERROR(__xludf.DUMMYFUNCTION("""COMPUTED_VALUE"""),597.0)</f>
        <v>597</v>
      </c>
      <c r="K598" s="23" t="b">
        <f>IFERROR(__xludf.DUMMYFUNCTION("""COMPUTED_VALUE"""),TRUE)</f>
        <v>1</v>
      </c>
      <c r="L598" s="23" t="str">
        <f>IFERROR(__xludf.DUMMYFUNCTION("""COMPUTED_VALUE"""),"Database;")</f>
        <v>Database;</v>
      </c>
      <c r="M598" s="23" t="b">
        <f>IFERROR(__xludf.DUMMYFUNCTION("""COMPUTED_VALUE"""),TRUE)</f>
        <v>1</v>
      </c>
      <c r="N598" s="23" t="b">
        <f>IFERROR(__xludf.DUMMYFUNCTION("""COMPUTED_VALUE"""),FALSE)</f>
        <v>0</v>
      </c>
      <c r="O598" s="23">
        <f>IFERROR(__xludf.DUMMYFUNCTION("""COMPUTED_VALUE"""),42.6152412783389)</f>
        <v>42.61524128</v>
      </c>
      <c r="P598" s="23">
        <f>IFERROR(__xludf.DUMMYFUNCTION("""COMPUTED_VALUE"""),57632.0)</f>
        <v>57632</v>
      </c>
      <c r="Q598" s="23">
        <f>IFERROR(__xludf.DUMMYFUNCTION("""COMPUTED_VALUE"""),135238.0)</f>
        <v>135238</v>
      </c>
    </row>
    <row r="599">
      <c r="A599" s="23">
        <f>IFERROR(__xludf.DUMMYFUNCTION("""COMPUTED_VALUE"""),598.0)</f>
        <v>598</v>
      </c>
      <c r="B599" s="23" t="str">
        <f>IFERROR(__xludf.DUMMYFUNCTION("""COMPUTED_VALUE"""),"Range Addition II")</f>
        <v>Range Addition II</v>
      </c>
      <c r="C599" s="23" t="str">
        <f>IFERROR(__xludf.DUMMYFUNCTION("""COMPUTED_VALUE"""),"range-addition-ii")</f>
        <v>range-addition-ii</v>
      </c>
      <c r="D599" s="23" t="b">
        <f>IFERROR(__xludf.DUMMYFUNCTION("""COMPUTED_VALUE"""),FALSE)</f>
        <v>0</v>
      </c>
      <c r="E599" s="23" t="str">
        <f>IFERROR(__xludf.DUMMYFUNCTION("""COMPUTED_VALUE"""),"Easy")</f>
        <v>Easy</v>
      </c>
      <c r="F599" s="23">
        <f>IFERROR(__xludf.DUMMYFUNCTION("""COMPUTED_VALUE"""),654.0)</f>
        <v>654</v>
      </c>
      <c r="G599" s="23">
        <f>IFERROR(__xludf.DUMMYFUNCTION("""COMPUTED_VALUE"""),804.0)</f>
        <v>804</v>
      </c>
      <c r="H599" s="23" t="str">
        <f>IFERROR(__xludf.DUMMYFUNCTION("""COMPUTED_VALUE"""),"Algorithms")</f>
        <v>Algorithms</v>
      </c>
      <c r="I599" s="23">
        <f>IFERROR(__xludf.DUMMYFUNCTION("""COMPUTED_VALUE"""),0.547)</f>
        <v>0.547</v>
      </c>
      <c r="J599" s="23">
        <f>IFERROR(__xludf.DUMMYFUNCTION("""COMPUTED_VALUE"""),598.0)</f>
        <v>598</v>
      </c>
      <c r="K599" s="23" t="b">
        <f>IFERROR(__xludf.DUMMYFUNCTION("""COMPUTED_VALUE"""),FALSE)</f>
        <v>0</v>
      </c>
      <c r="L599" s="23" t="str">
        <f>IFERROR(__xludf.DUMMYFUNCTION("""COMPUTED_VALUE"""),"Array;Math;")</f>
        <v>Array;Math;</v>
      </c>
      <c r="M599" s="23" t="b">
        <f>IFERROR(__xludf.DUMMYFUNCTION("""COMPUTED_VALUE"""),TRUE)</f>
        <v>1</v>
      </c>
      <c r="N599" s="23" t="b">
        <f>IFERROR(__xludf.DUMMYFUNCTION("""COMPUTED_VALUE"""),FALSE)</f>
        <v>0</v>
      </c>
      <c r="O599" s="23">
        <f>IFERROR(__xludf.DUMMYFUNCTION("""COMPUTED_VALUE"""),54.6802196485341)</f>
        <v>54.68021965</v>
      </c>
      <c r="P599" s="23">
        <f>IFERROR(__xludf.DUMMYFUNCTION("""COMPUTED_VALUE"""),77571.0)</f>
        <v>77571</v>
      </c>
      <c r="Q599" s="23">
        <f>IFERROR(__xludf.DUMMYFUNCTION("""COMPUTED_VALUE"""),141863.0)</f>
        <v>141863</v>
      </c>
    </row>
    <row r="600">
      <c r="A600" s="23">
        <f>IFERROR(__xludf.DUMMYFUNCTION("""COMPUTED_VALUE"""),599.0)</f>
        <v>599</v>
      </c>
      <c r="B600" s="23" t="str">
        <f>IFERROR(__xludf.DUMMYFUNCTION("""COMPUTED_VALUE"""),"Minimum Index Sum of Two Lists")</f>
        <v>Minimum Index Sum of Two Lists</v>
      </c>
      <c r="C600" s="23" t="str">
        <f>IFERROR(__xludf.DUMMYFUNCTION("""COMPUTED_VALUE"""),"minimum-index-sum-of-two-lists")</f>
        <v>minimum-index-sum-of-two-lists</v>
      </c>
      <c r="D600" s="23" t="b">
        <f>IFERROR(__xludf.DUMMYFUNCTION("""COMPUTED_VALUE"""),FALSE)</f>
        <v>0</v>
      </c>
      <c r="E600" s="23" t="str">
        <f>IFERROR(__xludf.DUMMYFUNCTION("""COMPUTED_VALUE"""),"Easy")</f>
        <v>Easy</v>
      </c>
      <c r="F600" s="23">
        <f>IFERROR(__xludf.DUMMYFUNCTION("""COMPUTED_VALUE"""),1184.0)</f>
        <v>1184</v>
      </c>
      <c r="G600" s="23">
        <f>IFERROR(__xludf.DUMMYFUNCTION("""COMPUTED_VALUE"""),318.0)</f>
        <v>318</v>
      </c>
      <c r="H600" s="23" t="str">
        <f>IFERROR(__xludf.DUMMYFUNCTION("""COMPUTED_VALUE"""),"Algorithms")</f>
        <v>Algorithms</v>
      </c>
      <c r="I600" s="23">
        <f>IFERROR(__xludf.DUMMYFUNCTION("""COMPUTED_VALUE"""),0.528)</f>
        <v>0.528</v>
      </c>
      <c r="J600" s="23">
        <f>IFERROR(__xludf.DUMMYFUNCTION("""COMPUTED_VALUE"""),599.0)</f>
        <v>599</v>
      </c>
      <c r="K600" s="23" t="b">
        <f>IFERROR(__xludf.DUMMYFUNCTION("""COMPUTED_VALUE"""),FALSE)</f>
        <v>0</v>
      </c>
      <c r="L600" s="23" t="str">
        <f>IFERROR(__xludf.DUMMYFUNCTION("""COMPUTED_VALUE"""),"Array;Hash Table;String;")</f>
        <v>Array;Hash Table;String;</v>
      </c>
      <c r="M600" s="23" t="b">
        <f>IFERROR(__xludf.DUMMYFUNCTION("""COMPUTED_VALUE"""),TRUE)</f>
        <v>1</v>
      </c>
      <c r="N600" s="23" t="b">
        <f>IFERROR(__xludf.DUMMYFUNCTION("""COMPUTED_VALUE"""),FALSE)</f>
        <v>0</v>
      </c>
      <c r="O600" s="23">
        <f>IFERROR(__xludf.DUMMYFUNCTION("""COMPUTED_VALUE"""),52.7810357351664)</f>
        <v>52.78103574</v>
      </c>
      <c r="P600" s="23">
        <f>IFERROR(__xludf.DUMMYFUNCTION("""COMPUTED_VALUE"""),148954.0)</f>
        <v>148954</v>
      </c>
      <c r="Q600" s="23">
        <f>IFERROR(__xludf.DUMMYFUNCTION("""COMPUTED_VALUE"""),282213.0)</f>
        <v>282213</v>
      </c>
    </row>
    <row r="601">
      <c r="A601" s="23">
        <f>IFERROR(__xludf.DUMMYFUNCTION("""COMPUTED_VALUE"""),600.0)</f>
        <v>600</v>
      </c>
      <c r="B601" s="23" t="str">
        <f>IFERROR(__xludf.DUMMYFUNCTION("""COMPUTED_VALUE"""),"Non-negative Integers without Consecutive Ones")</f>
        <v>Non-negative Integers without Consecutive Ones</v>
      </c>
      <c r="C601" s="23" t="str">
        <f>IFERROR(__xludf.DUMMYFUNCTION("""COMPUTED_VALUE"""),"non-negative-integers-without-consecutive-ones")</f>
        <v>non-negative-integers-without-consecutive-ones</v>
      </c>
      <c r="D601" s="23" t="b">
        <f>IFERROR(__xludf.DUMMYFUNCTION("""COMPUTED_VALUE"""),FALSE)</f>
        <v>0</v>
      </c>
      <c r="E601" s="23" t="str">
        <f>IFERROR(__xludf.DUMMYFUNCTION("""COMPUTED_VALUE"""),"Hard")</f>
        <v>Hard</v>
      </c>
      <c r="F601" s="23">
        <f>IFERROR(__xludf.DUMMYFUNCTION("""COMPUTED_VALUE"""),1061.0)</f>
        <v>1061</v>
      </c>
      <c r="G601" s="23">
        <f>IFERROR(__xludf.DUMMYFUNCTION("""COMPUTED_VALUE"""),114.0)</f>
        <v>114</v>
      </c>
      <c r="H601" s="23" t="str">
        <f>IFERROR(__xludf.DUMMYFUNCTION("""COMPUTED_VALUE"""),"Algorithms")</f>
        <v>Algorithms</v>
      </c>
      <c r="I601" s="23">
        <f>IFERROR(__xludf.DUMMYFUNCTION("""COMPUTED_VALUE"""),0.388)</f>
        <v>0.388</v>
      </c>
      <c r="J601" s="23">
        <f>IFERROR(__xludf.DUMMYFUNCTION("""COMPUTED_VALUE"""),600.0)</f>
        <v>600</v>
      </c>
      <c r="K601" s="23" t="b">
        <f>IFERROR(__xludf.DUMMYFUNCTION("""COMPUTED_VALUE"""),FALSE)</f>
        <v>0</v>
      </c>
      <c r="L601" s="23" t="str">
        <f>IFERROR(__xludf.DUMMYFUNCTION("""COMPUTED_VALUE"""),"Dynamic Programming;")</f>
        <v>Dynamic Programming;</v>
      </c>
      <c r="M601" s="23" t="b">
        <f>IFERROR(__xludf.DUMMYFUNCTION("""COMPUTED_VALUE"""),TRUE)</f>
        <v>1</v>
      </c>
      <c r="N601" s="23" t="b">
        <f>IFERROR(__xludf.DUMMYFUNCTION("""COMPUTED_VALUE"""),FALSE)</f>
        <v>0</v>
      </c>
      <c r="O601" s="23">
        <f>IFERROR(__xludf.DUMMYFUNCTION("""COMPUTED_VALUE"""),38.7991466016458)</f>
        <v>38.7991466</v>
      </c>
      <c r="P601" s="23">
        <f>IFERROR(__xludf.DUMMYFUNCTION("""COMPUTED_VALUE"""),30552.0)</f>
        <v>30552</v>
      </c>
      <c r="Q601" s="23">
        <f>IFERROR(__xludf.DUMMYFUNCTION("""COMPUTED_VALUE"""),78744.0)</f>
        <v>78744</v>
      </c>
    </row>
    <row r="602">
      <c r="A602" s="23">
        <f>IFERROR(__xludf.DUMMYFUNCTION("""COMPUTED_VALUE"""),601.0)</f>
        <v>601</v>
      </c>
      <c r="B602" s="23" t="str">
        <f>IFERROR(__xludf.DUMMYFUNCTION("""COMPUTED_VALUE"""),"Human Traffic of Stadium")</f>
        <v>Human Traffic of Stadium</v>
      </c>
      <c r="C602" s="23" t="str">
        <f>IFERROR(__xludf.DUMMYFUNCTION("""COMPUTED_VALUE"""),"human-traffic-of-stadium")</f>
        <v>human-traffic-of-stadium</v>
      </c>
      <c r="D602" s="23" t="b">
        <f>IFERROR(__xludf.DUMMYFUNCTION("""COMPUTED_VALUE"""),FALSE)</f>
        <v>0</v>
      </c>
      <c r="E602" s="23" t="str">
        <f>IFERROR(__xludf.DUMMYFUNCTION("""COMPUTED_VALUE"""),"Hard")</f>
        <v>Hard</v>
      </c>
      <c r="F602" s="23">
        <f>IFERROR(__xludf.DUMMYFUNCTION("""COMPUTED_VALUE"""),343.0)</f>
        <v>343</v>
      </c>
      <c r="G602" s="23">
        <f>IFERROR(__xludf.DUMMYFUNCTION("""COMPUTED_VALUE"""),482.0)</f>
        <v>482</v>
      </c>
      <c r="H602" s="23" t="str">
        <f>IFERROR(__xludf.DUMMYFUNCTION("""COMPUTED_VALUE"""),"Database")</f>
        <v>Database</v>
      </c>
      <c r="I602" s="23">
        <f>IFERROR(__xludf.DUMMYFUNCTION("""COMPUTED_VALUE"""),0.496)</f>
        <v>0.496</v>
      </c>
      <c r="J602" s="23">
        <f>IFERROR(__xludf.DUMMYFUNCTION("""COMPUTED_VALUE"""),601.0)</f>
        <v>601</v>
      </c>
      <c r="K602" s="23" t="b">
        <f>IFERROR(__xludf.DUMMYFUNCTION("""COMPUTED_VALUE"""),FALSE)</f>
        <v>0</v>
      </c>
      <c r="L602" s="23" t="str">
        <f>IFERROR(__xludf.DUMMYFUNCTION("""COMPUTED_VALUE"""),"Database;")</f>
        <v>Database;</v>
      </c>
      <c r="M602" s="23" t="b">
        <f>IFERROR(__xludf.DUMMYFUNCTION("""COMPUTED_VALUE"""),TRUE)</f>
        <v>1</v>
      </c>
      <c r="N602" s="23" t="b">
        <f>IFERROR(__xludf.DUMMYFUNCTION("""COMPUTED_VALUE"""),FALSE)</f>
        <v>0</v>
      </c>
      <c r="O602" s="23">
        <f>IFERROR(__xludf.DUMMYFUNCTION("""COMPUTED_VALUE"""),49.5937865592096)</f>
        <v>49.59378656</v>
      </c>
      <c r="P602" s="23">
        <f>IFERROR(__xludf.DUMMYFUNCTION("""COMPUTED_VALUE"""),61044.0)</f>
        <v>61044</v>
      </c>
      <c r="Q602" s="23">
        <f>IFERROR(__xludf.DUMMYFUNCTION("""COMPUTED_VALUE"""),123088.0)</f>
        <v>123088</v>
      </c>
    </row>
    <row r="603">
      <c r="A603" s="23">
        <f>IFERROR(__xludf.DUMMYFUNCTION("""COMPUTED_VALUE"""),602.0)</f>
        <v>602</v>
      </c>
      <c r="B603" s="23" t="str">
        <f>IFERROR(__xludf.DUMMYFUNCTION("""COMPUTED_VALUE"""),"Friend Requests II: Who Has the Most Friends")</f>
        <v>Friend Requests II: Who Has the Most Friends</v>
      </c>
      <c r="C603" s="23" t="str">
        <f>IFERROR(__xludf.DUMMYFUNCTION("""COMPUTED_VALUE"""),"friend-requests-ii-who-has-the-most-friends")</f>
        <v>friend-requests-ii-who-has-the-most-friends</v>
      </c>
      <c r="D603" s="23" t="b">
        <f>IFERROR(__xludf.DUMMYFUNCTION("""COMPUTED_VALUE"""),TRUE)</f>
        <v>1</v>
      </c>
      <c r="E603" s="23" t="str">
        <f>IFERROR(__xludf.DUMMYFUNCTION("""COMPUTED_VALUE"""),"Medium")</f>
        <v>Medium</v>
      </c>
      <c r="F603" s="23">
        <f>IFERROR(__xludf.DUMMYFUNCTION("""COMPUTED_VALUE"""),249.0)</f>
        <v>249</v>
      </c>
      <c r="G603" s="23">
        <f>IFERROR(__xludf.DUMMYFUNCTION("""COMPUTED_VALUE"""),73.0)</f>
        <v>73</v>
      </c>
      <c r="H603" s="23" t="str">
        <f>IFERROR(__xludf.DUMMYFUNCTION("""COMPUTED_VALUE"""),"Database")</f>
        <v>Database</v>
      </c>
      <c r="I603" s="23">
        <f>IFERROR(__xludf.DUMMYFUNCTION("""COMPUTED_VALUE"""),0.608)</f>
        <v>0.608</v>
      </c>
      <c r="J603" s="23">
        <f>IFERROR(__xludf.DUMMYFUNCTION("""COMPUTED_VALUE"""),602.0)</f>
        <v>602</v>
      </c>
      <c r="K603" s="23" t="b">
        <f>IFERROR(__xludf.DUMMYFUNCTION("""COMPUTED_VALUE"""),TRUE)</f>
        <v>1</v>
      </c>
      <c r="L603" s="23" t="str">
        <f>IFERROR(__xludf.DUMMYFUNCTION("""COMPUTED_VALUE"""),"Database;")</f>
        <v>Database;</v>
      </c>
      <c r="M603" s="23" t="b">
        <f>IFERROR(__xludf.DUMMYFUNCTION("""COMPUTED_VALUE"""),FALSE)</f>
        <v>0</v>
      </c>
      <c r="N603" s="23" t="b">
        <f>IFERROR(__xludf.DUMMYFUNCTION("""COMPUTED_VALUE"""),FALSE)</f>
        <v>0</v>
      </c>
      <c r="O603" s="23">
        <f>IFERROR(__xludf.DUMMYFUNCTION("""COMPUTED_VALUE"""),60.7731997122516)</f>
        <v>60.77319971</v>
      </c>
      <c r="P603" s="23">
        <f>IFERROR(__xludf.DUMMYFUNCTION("""COMPUTED_VALUE"""),48999.0)</f>
        <v>48999</v>
      </c>
      <c r="Q603" s="23">
        <f>IFERROR(__xludf.DUMMYFUNCTION("""COMPUTED_VALUE"""),80626.0)</f>
        <v>80626</v>
      </c>
    </row>
    <row r="604">
      <c r="A604" s="23">
        <f>IFERROR(__xludf.DUMMYFUNCTION("""COMPUTED_VALUE"""),603.0)</f>
        <v>603</v>
      </c>
      <c r="B604" s="23" t="str">
        <f>IFERROR(__xludf.DUMMYFUNCTION("""COMPUTED_VALUE"""),"Consecutive Available Seats")</f>
        <v>Consecutive Available Seats</v>
      </c>
      <c r="C604" s="23" t="str">
        <f>IFERROR(__xludf.DUMMYFUNCTION("""COMPUTED_VALUE"""),"consecutive-available-seats")</f>
        <v>consecutive-available-seats</v>
      </c>
      <c r="D604" s="23" t="b">
        <f>IFERROR(__xludf.DUMMYFUNCTION("""COMPUTED_VALUE"""),TRUE)</f>
        <v>1</v>
      </c>
      <c r="E604" s="23" t="str">
        <f>IFERROR(__xludf.DUMMYFUNCTION("""COMPUTED_VALUE"""),"Easy")</f>
        <v>Easy</v>
      </c>
      <c r="F604" s="23">
        <f>IFERROR(__xludf.DUMMYFUNCTION("""COMPUTED_VALUE"""),467.0)</f>
        <v>467</v>
      </c>
      <c r="G604" s="23">
        <f>IFERROR(__xludf.DUMMYFUNCTION("""COMPUTED_VALUE"""),40.0)</f>
        <v>40</v>
      </c>
      <c r="H604" s="23" t="str">
        <f>IFERROR(__xludf.DUMMYFUNCTION("""COMPUTED_VALUE"""),"Database")</f>
        <v>Database</v>
      </c>
      <c r="I604" s="23">
        <f>IFERROR(__xludf.DUMMYFUNCTION("""COMPUTED_VALUE"""),0.678)</f>
        <v>0.678</v>
      </c>
      <c r="J604" s="23">
        <f>IFERROR(__xludf.DUMMYFUNCTION("""COMPUTED_VALUE"""),603.0)</f>
        <v>603</v>
      </c>
      <c r="K604" s="23" t="b">
        <f>IFERROR(__xludf.DUMMYFUNCTION("""COMPUTED_VALUE"""),TRUE)</f>
        <v>1</v>
      </c>
      <c r="L604" s="23" t="str">
        <f>IFERROR(__xludf.DUMMYFUNCTION("""COMPUTED_VALUE"""),"Database;")</f>
        <v>Database;</v>
      </c>
      <c r="M604" s="23" t="b">
        <f>IFERROR(__xludf.DUMMYFUNCTION("""COMPUTED_VALUE"""),TRUE)</f>
        <v>1</v>
      </c>
      <c r="N604" s="23" t="b">
        <f>IFERROR(__xludf.DUMMYFUNCTION("""COMPUTED_VALUE"""),FALSE)</f>
        <v>0</v>
      </c>
      <c r="O604" s="23">
        <f>IFERROR(__xludf.DUMMYFUNCTION("""COMPUTED_VALUE"""),67.7670092761204)</f>
        <v>67.76700928</v>
      </c>
      <c r="P604" s="23">
        <f>IFERROR(__xludf.DUMMYFUNCTION("""COMPUTED_VALUE"""),55449.0)</f>
        <v>55449</v>
      </c>
      <c r="Q604" s="23">
        <f>IFERROR(__xludf.DUMMYFUNCTION("""COMPUTED_VALUE"""),81823.0)</f>
        <v>81823</v>
      </c>
    </row>
    <row r="605">
      <c r="A605" s="23">
        <f>IFERROR(__xludf.DUMMYFUNCTION("""COMPUTED_VALUE"""),604.0)</f>
        <v>604</v>
      </c>
      <c r="B605" s="23" t="str">
        <f>IFERROR(__xludf.DUMMYFUNCTION("""COMPUTED_VALUE"""),"Design Compressed String Iterator")</f>
        <v>Design Compressed String Iterator</v>
      </c>
      <c r="C605" s="23" t="str">
        <f>IFERROR(__xludf.DUMMYFUNCTION("""COMPUTED_VALUE"""),"design-compressed-string-iterator")</f>
        <v>design-compressed-string-iterator</v>
      </c>
      <c r="D605" s="23" t="b">
        <f>IFERROR(__xludf.DUMMYFUNCTION("""COMPUTED_VALUE"""),TRUE)</f>
        <v>1</v>
      </c>
      <c r="E605" s="23" t="str">
        <f>IFERROR(__xludf.DUMMYFUNCTION("""COMPUTED_VALUE"""),"Easy")</f>
        <v>Easy</v>
      </c>
      <c r="F605" s="23">
        <f>IFERROR(__xludf.DUMMYFUNCTION("""COMPUTED_VALUE"""),360.0)</f>
        <v>360</v>
      </c>
      <c r="G605" s="23">
        <f>IFERROR(__xludf.DUMMYFUNCTION("""COMPUTED_VALUE"""),124.0)</f>
        <v>124</v>
      </c>
      <c r="H605" s="23" t="str">
        <f>IFERROR(__xludf.DUMMYFUNCTION("""COMPUTED_VALUE"""),"Algorithms")</f>
        <v>Algorithms</v>
      </c>
      <c r="I605" s="23">
        <f>IFERROR(__xludf.DUMMYFUNCTION("""COMPUTED_VALUE"""),0.391)</f>
        <v>0.391</v>
      </c>
      <c r="J605" s="23">
        <f>IFERROR(__xludf.DUMMYFUNCTION("""COMPUTED_VALUE"""),604.0)</f>
        <v>604</v>
      </c>
      <c r="K605" s="23" t="b">
        <f>IFERROR(__xludf.DUMMYFUNCTION("""COMPUTED_VALUE"""),TRUE)</f>
        <v>1</v>
      </c>
      <c r="L605" s="23" t="str">
        <f>IFERROR(__xludf.DUMMYFUNCTION("""COMPUTED_VALUE"""),"Array;Hash Table;String;Design;Iterator;")</f>
        <v>Array;Hash Table;String;Design;Iterator;</v>
      </c>
      <c r="M605" s="23" t="b">
        <f>IFERROR(__xludf.DUMMYFUNCTION("""COMPUTED_VALUE"""),TRUE)</f>
        <v>1</v>
      </c>
      <c r="N605" s="23" t="b">
        <f>IFERROR(__xludf.DUMMYFUNCTION("""COMPUTED_VALUE"""),FALSE)</f>
        <v>0</v>
      </c>
      <c r="O605" s="23">
        <f>IFERROR(__xludf.DUMMYFUNCTION("""COMPUTED_VALUE"""),39.086249031412)</f>
        <v>39.08624903</v>
      </c>
      <c r="P605" s="23">
        <f>IFERROR(__xludf.DUMMYFUNCTION("""COMPUTED_VALUE"""),26230.0)</f>
        <v>26230</v>
      </c>
      <c r="Q605" s="23">
        <f>IFERROR(__xludf.DUMMYFUNCTION("""COMPUTED_VALUE"""),67108.0)</f>
        <v>67108</v>
      </c>
    </row>
    <row r="606">
      <c r="A606" s="23">
        <f>IFERROR(__xludf.DUMMYFUNCTION("""COMPUTED_VALUE"""),605.0)</f>
        <v>605</v>
      </c>
      <c r="B606" s="23" t="str">
        <f>IFERROR(__xludf.DUMMYFUNCTION("""COMPUTED_VALUE"""),"Can Place Flowers")</f>
        <v>Can Place Flowers</v>
      </c>
      <c r="C606" s="23" t="str">
        <f>IFERROR(__xludf.DUMMYFUNCTION("""COMPUTED_VALUE"""),"can-place-flowers")</f>
        <v>can-place-flowers</v>
      </c>
      <c r="D606" s="23" t="b">
        <f>IFERROR(__xludf.DUMMYFUNCTION("""COMPUTED_VALUE"""),FALSE)</f>
        <v>0</v>
      </c>
      <c r="E606" s="23" t="str">
        <f>IFERROR(__xludf.DUMMYFUNCTION("""COMPUTED_VALUE"""),"Easy")</f>
        <v>Easy</v>
      </c>
      <c r="F606" s="23">
        <f>IFERROR(__xludf.DUMMYFUNCTION("""COMPUTED_VALUE"""),2878.0)</f>
        <v>2878</v>
      </c>
      <c r="G606" s="23">
        <f>IFERROR(__xludf.DUMMYFUNCTION("""COMPUTED_VALUE"""),644.0)</f>
        <v>644</v>
      </c>
      <c r="H606" s="23" t="str">
        <f>IFERROR(__xludf.DUMMYFUNCTION("""COMPUTED_VALUE"""),"Algorithms")</f>
        <v>Algorithms</v>
      </c>
      <c r="I606" s="23">
        <f>IFERROR(__xludf.DUMMYFUNCTION("""COMPUTED_VALUE"""),0.331)</f>
        <v>0.331</v>
      </c>
      <c r="J606" s="23">
        <f>IFERROR(__xludf.DUMMYFUNCTION("""COMPUTED_VALUE"""),605.0)</f>
        <v>605</v>
      </c>
      <c r="K606" s="23" t="b">
        <f>IFERROR(__xludf.DUMMYFUNCTION("""COMPUTED_VALUE"""),FALSE)</f>
        <v>0</v>
      </c>
      <c r="L606" s="23" t="str">
        <f>IFERROR(__xludf.DUMMYFUNCTION("""COMPUTED_VALUE"""),"Array;Greedy;")</f>
        <v>Array;Greedy;</v>
      </c>
      <c r="M606" s="23" t="b">
        <f>IFERROR(__xludf.DUMMYFUNCTION("""COMPUTED_VALUE"""),TRUE)</f>
        <v>1</v>
      </c>
      <c r="N606" s="23" t="b">
        <f>IFERROR(__xludf.DUMMYFUNCTION("""COMPUTED_VALUE"""),FALSE)</f>
        <v>0</v>
      </c>
      <c r="O606" s="23">
        <f>IFERROR(__xludf.DUMMYFUNCTION("""COMPUTED_VALUE"""),33.0793992268512)</f>
        <v>33.07939923</v>
      </c>
      <c r="P606" s="23">
        <f>IFERROR(__xludf.DUMMYFUNCTION("""COMPUTED_VALUE"""),291539.0)</f>
        <v>291539</v>
      </c>
      <c r="Q606" s="23">
        <f>IFERROR(__xludf.DUMMYFUNCTION("""COMPUTED_VALUE"""),881327.0)</f>
        <v>881327</v>
      </c>
    </row>
    <row r="607">
      <c r="A607" s="23">
        <f>IFERROR(__xludf.DUMMYFUNCTION("""COMPUTED_VALUE"""),606.0)</f>
        <v>606</v>
      </c>
      <c r="B607" s="23" t="str">
        <f>IFERROR(__xludf.DUMMYFUNCTION("""COMPUTED_VALUE"""),"Construct String from Binary Tree")</f>
        <v>Construct String from Binary Tree</v>
      </c>
      <c r="C607" s="23" t="str">
        <f>IFERROR(__xludf.DUMMYFUNCTION("""COMPUTED_VALUE"""),"construct-string-from-binary-tree")</f>
        <v>construct-string-from-binary-tree</v>
      </c>
      <c r="D607" s="23" t="b">
        <f>IFERROR(__xludf.DUMMYFUNCTION("""COMPUTED_VALUE"""),FALSE)</f>
        <v>0</v>
      </c>
      <c r="E607" s="23" t="str">
        <f>IFERROR(__xludf.DUMMYFUNCTION("""COMPUTED_VALUE"""),"Easy")</f>
        <v>Easy</v>
      </c>
      <c r="F607" s="23">
        <f>IFERROR(__xludf.DUMMYFUNCTION("""COMPUTED_VALUE"""),1350.0)</f>
        <v>1350</v>
      </c>
      <c r="G607" s="23">
        <f>IFERROR(__xludf.DUMMYFUNCTION("""COMPUTED_VALUE"""),1727.0)</f>
        <v>1727</v>
      </c>
      <c r="H607" s="23" t="str">
        <f>IFERROR(__xludf.DUMMYFUNCTION("""COMPUTED_VALUE"""),"Algorithms")</f>
        <v>Algorithms</v>
      </c>
      <c r="I607" s="23">
        <f>IFERROR(__xludf.DUMMYFUNCTION("""COMPUTED_VALUE"""),0.577)</f>
        <v>0.577</v>
      </c>
      <c r="J607" s="23">
        <f>IFERROR(__xludf.DUMMYFUNCTION("""COMPUTED_VALUE"""),606.0)</f>
        <v>606</v>
      </c>
      <c r="K607" s="23" t="b">
        <f>IFERROR(__xludf.DUMMYFUNCTION("""COMPUTED_VALUE"""),FALSE)</f>
        <v>0</v>
      </c>
      <c r="L607" s="23" t="str">
        <f>IFERROR(__xludf.DUMMYFUNCTION("""COMPUTED_VALUE"""),"String;Tree;Depth-First Search;Binary Tree;")</f>
        <v>String;Tree;Depth-First Search;Binary Tree;</v>
      </c>
      <c r="M607" s="23" t="b">
        <f>IFERROR(__xludf.DUMMYFUNCTION("""COMPUTED_VALUE"""),TRUE)</f>
        <v>1</v>
      </c>
      <c r="N607" s="23" t="b">
        <f>IFERROR(__xludf.DUMMYFUNCTION("""COMPUTED_VALUE"""),FALSE)</f>
        <v>0</v>
      </c>
      <c r="O607" s="23">
        <f>IFERROR(__xludf.DUMMYFUNCTION("""COMPUTED_VALUE"""),57.6767763166779)</f>
        <v>57.67677632</v>
      </c>
      <c r="P607" s="23">
        <f>IFERROR(__xludf.DUMMYFUNCTION("""COMPUTED_VALUE"""),128118.0)</f>
        <v>128118</v>
      </c>
      <c r="Q607" s="23">
        <f>IFERROR(__xludf.DUMMYFUNCTION("""COMPUTED_VALUE"""),222131.0)</f>
        <v>222131</v>
      </c>
    </row>
    <row r="608">
      <c r="A608" s="23">
        <f>IFERROR(__xludf.DUMMYFUNCTION("""COMPUTED_VALUE"""),607.0)</f>
        <v>607</v>
      </c>
      <c r="B608" s="23" t="str">
        <f>IFERROR(__xludf.DUMMYFUNCTION("""COMPUTED_VALUE"""),"Sales Person")</f>
        <v>Sales Person</v>
      </c>
      <c r="C608" s="23" t="str">
        <f>IFERROR(__xludf.DUMMYFUNCTION("""COMPUTED_VALUE"""),"sales-person")</f>
        <v>sales-person</v>
      </c>
      <c r="D608" s="23" t="b">
        <f>IFERROR(__xludf.DUMMYFUNCTION("""COMPUTED_VALUE"""),FALSE)</f>
        <v>0</v>
      </c>
      <c r="E608" s="23" t="str">
        <f>IFERROR(__xludf.DUMMYFUNCTION("""COMPUTED_VALUE"""),"Easy")</f>
        <v>Easy</v>
      </c>
      <c r="F608" s="23">
        <f>IFERROR(__xludf.DUMMYFUNCTION("""COMPUTED_VALUE"""),286.0)</f>
        <v>286</v>
      </c>
      <c r="G608" s="23">
        <f>IFERROR(__xludf.DUMMYFUNCTION("""COMPUTED_VALUE"""),48.0)</f>
        <v>48</v>
      </c>
      <c r="H608" s="23" t="str">
        <f>IFERROR(__xludf.DUMMYFUNCTION("""COMPUTED_VALUE"""),"Database")</f>
        <v>Database</v>
      </c>
      <c r="I608" s="23">
        <f>IFERROR(__xludf.DUMMYFUNCTION("""COMPUTED_VALUE"""),0.69)</f>
        <v>0.69</v>
      </c>
      <c r="J608" s="23">
        <f>IFERROR(__xludf.DUMMYFUNCTION("""COMPUTED_VALUE"""),607.0)</f>
        <v>607</v>
      </c>
      <c r="K608" s="23" t="b">
        <f>IFERROR(__xludf.DUMMYFUNCTION("""COMPUTED_VALUE"""),FALSE)</f>
        <v>0</v>
      </c>
      <c r="L608" s="23" t="str">
        <f>IFERROR(__xludf.DUMMYFUNCTION("""COMPUTED_VALUE"""),"Database;")</f>
        <v>Database;</v>
      </c>
      <c r="M608" s="23" t="b">
        <f>IFERROR(__xludf.DUMMYFUNCTION("""COMPUTED_VALUE"""),TRUE)</f>
        <v>1</v>
      </c>
      <c r="N608" s="23" t="b">
        <f>IFERROR(__xludf.DUMMYFUNCTION("""COMPUTED_VALUE"""),FALSE)</f>
        <v>0</v>
      </c>
      <c r="O608" s="23">
        <f>IFERROR(__xludf.DUMMYFUNCTION("""COMPUTED_VALUE"""),69.0359487262213)</f>
        <v>69.03594873</v>
      </c>
      <c r="P608" s="23">
        <f>IFERROR(__xludf.DUMMYFUNCTION("""COMPUTED_VALUE"""),55633.0)</f>
        <v>55633</v>
      </c>
      <c r="Q608" s="23">
        <f>IFERROR(__xludf.DUMMYFUNCTION("""COMPUTED_VALUE"""),80586.0)</f>
        <v>80586</v>
      </c>
    </row>
    <row r="609">
      <c r="A609" s="23">
        <f>IFERROR(__xludf.DUMMYFUNCTION("""COMPUTED_VALUE"""),608.0)</f>
        <v>608</v>
      </c>
      <c r="B609" s="23" t="str">
        <f>IFERROR(__xludf.DUMMYFUNCTION("""COMPUTED_VALUE"""),"Tree Node")</f>
        <v>Tree Node</v>
      </c>
      <c r="C609" s="23" t="str">
        <f>IFERROR(__xludf.DUMMYFUNCTION("""COMPUTED_VALUE"""),"tree-node")</f>
        <v>tree-node</v>
      </c>
      <c r="D609" s="23" t="b">
        <f>IFERROR(__xludf.DUMMYFUNCTION("""COMPUTED_VALUE"""),FALSE)</f>
        <v>0</v>
      </c>
      <c r="E609" s="23" t="str">
        <f>IFERROR(__xludf.DUMMYFUNCTION("""COMPUTED_VALUE"""),"Medium")</f>
        <v>Medium</v>
      </c>
      <c r="F609" s="23">
        <f>IFERROR(__xludf.DUMMYFUNCTION("""COMPUTED_VALUE"""),385.0)</f>
        <v>385</v>
      </c>
      <c r="G609" s="23">
        <f>IFERROR(__xludf.DUMMYFUNCTION("""COMPUTED_VALUE"""),32.0)</f>
        <v>32</v>
      </c>
      <c r="H609" s="23" t="str">
        <f>IFERROR(__xludf.DUMMYFUNCTION("""COMPUTED_VALUE"""),"Database")</f>
        <v>Database</v>
      </c>
      <c r="I609" s="23">
        <f>IFERROR(__xludf.DUMMYFUNCTION("""COMPUTED_VALUE"""),0.724)</f>
        <v>0.724</v>
      </c>
      <c r="J609" s="23">
        <f>IFERROR(__xludf.DUMMYFUNCTION("""COMPUTED_VALUE"""),608.0)</f>
        <v>608</v>
      </c>
      <c r="K609" s="23" t="b">
        <f>IFERROR(__xludf.DUMMYFUNCTION("""COMPUTED_VALUE"""),FALSE)</f>
        <v>0</v>
      </c>
      <c r="L609" s="23" t="str">
        <f>IFERROR(__xludf.DUMMYFUNCTION("""COMPUTED_VALUE"""),"Database;")</f>
        <v>Database;</v>
      </c>
      <c r="M609" s="23" t="b">
        <f>IFERROR(__xludf.DUMMYFUNCTION("""COMPUTED_VALUE"""),TRUE)</f>
        <v>1</v>
      </c>
      <c r="N609" s="23" t="b">
        <f>IFERROR(__xludf.DUMMYFUNCTION("""COMPUTED_VALUE"""),FALSE)</f>
        <v>0</v>
      </c>
      <c r="O609" s="23">
        <f>IFERROR(__xludf.DUMMYFUNCTION("""COMPUTED_VALUE"""),72.4068802987176)</f>
        <v>72.4068803</v>
      </c>
      <c r="P609" s="23">
        <f>IFERROR(__xludf.DUMMYFUNCTION("""COMPUTED_VALUE"""),47314.0)</f>
        <v>47314</v>
      </c>
      <c r="Q609" s="23">
        <f>IFERROR(__xludf.DUMMYFUNCTION("""COMPUTED_VALUE"""),65345.0)</f>
        <v>65345</v>
      </c>
    </row>
    <row r="610">
      <c r="A610" s="23">
        <f>IFERROR(__xludf.DUMMYFUNCTION("""COMPUTED_VALUE"""),609.0)</f>
        <v>609</v>
      </c>
      <c r="B610" s="23" t="str">
        <f>IFERROR(__xludf.DUMMYFUNCTION("""COMPUTED_VALUE"""),"Find Duplicate File in System")</f>
        <v>Find Duplicate File in System</v>
      </c>
      <c r="C610" s="23" t="str">
        <f>IFERROR(__xludf.DUMMYFUNCTION("""COMPUTED_VALUE"""),"find-duplicate-file-in-system")</f>
        <v>find-duplicate-file-in-system</v>
      </c>
      <c r="D610" s="23" t="b">
        <f>IFERROR(__xludf.DUMMYFUNCTION("""COMPUTED_VALUE"""),FALSE)</f>
        <v>0</v>
      </c>
      <c r="E610" s="23" t="str">
        <f>IFERROR(__xludf.DUMMYFUNCTION("""COMPUTED_VALUE"""),"Medium")</f>
        <v>Medium</v>
      </c>
      <c r="F610" s="23">
        <f>IFERROR(__xludf.DUMMYFUNCTION("""COMPUTED_VALUE"""),813.0)</f>
        <v>813</v>
      </c>
      <c r="G610" s="23">
        <f>IFERROR(__xludf.DUMMYFUNCTION("""COMPUTED_VALUE"""),917.0)</f>
        <v>917</v>
      </c>
      <c r="H610" s="23" t="str">
        <f>IFERROR(__xludf.DUMMYFUNCTION("""COMPUTED_VALUE"""),"Algorithms")</f>
        <v>Algorithms</v>
      </c>
      <c r="I610" s="23">
        <f>IFERROR(__xludf.DUMMYFUNCTION("""COMPUTED_VALUE"""),0.638)</f>
        <v>0.638</v>
      </c>
      <c r="J610" s="23">
        <f>IFERROR(__xludf.DUMMYFUNCTION("""COMPUTED_VALUE"""),609.0)</f>
        <v>609</v>
      </c>
      <c r="K610" s="23" t="b">
        <f>IFERROR(__xludf.DUMMYFUNCTION("""COMPUTED_VALUE"""),FALSE)</f>
        <v>0</v>
      </c>
      <c r="L610" s="23" t="str">
        <f>IFERROR(__xludf.DUMMYFUNCTION("""COMPUTED_VALUE"""),"Array;Hash Table;String;")</f>
        <v>Array;Hash Table;String;</v>
      </c>
      <c r="M610" s="23" t="b">
        <f>IFERROR(__xludf.DUMMYFUNCTION("""COMPUTED_VALUE"""),TRUE)</f>
        <v>1</v>
      </c>
      <c r="N610" s="23" t="b">
        <f>IFERROR(__xludf.DUMMYFUNCTION("""COMPUTED_VALUE"""),FALSE)</f>
        <v>0</v>
      </c>
      <c r="O610" s="23">
        <f>IFERROR(__xludf.DUMMYFUNCTION("""COMPUTED_VALUE"""),63.7765487318209)</f>
        <v>63.77654873</v>
      </c>
      <c r="P610" s="23">
        <f>IFERROR(__xludf.DUMMYFUNCTION("""COMPUTED_VALUE"""),95249.0)</f>
        <v>95249</v>
      </c>
      <c r="Q610" s="23">
        <f>IFERROR(__xludf.DUMMYFUNCTION("""COMPUTED_VALUE"""),149348.0)</f>
        <v>149348</v>
      </c>
    </row>
    <row r="611">
      <c r="A611" s="23">
        <f>IFERROR(__xludf.DUMMYFUNCTION("""COMPUTED_VALUE"""),610.0)</f>
        <v>610</v>
      </c>
      <c r="B611" s="23" t="str">
        <f>IFERROR(__xludf.DUMMYFUNCTION("""COMPUTED_VALUE"""),"Triangle Judgement")</f>
        <v>Triangle Judgement</v>
      </c>
      <c r="C611" s="23" t="str">
        <f>IFERROR(__xludf.DUMMYFUNCTION("""COMPUTED_VALUE"""),"triangle-judgement")</f>
        <v>triangle-judgement</v>
      </c>
      <c r="D611" s="23" t="b">
        <f>IFERROR(__xludf.DUMMYFUNCTION("""COMPUTED_VALUE"""),TRUE)</f>
        <v>1</v>
      </c>
      <c r="E611" s="23" t="str">
        <f>IFERROR(__xludf.DUMMYFUNCTION("""COMPUTED_VALUE"""),"Easy")</f>
        <v>Easy</v>
      </c>
      <c r="F611" s="23">
        <f>IFERROR(__xludf.DUMMYFUNCTION("""COMPUTED_VALUE"""),211.0)</f>
        <v>211</v>
      </c>
      <c r="G611" s="23">
        <f>IFERROR(__xludf.DUMMYFUNCTION("""COMPUTED_VALUE"""),50.0)</f>
        <v>50</v>
      </c>
      <c r="H611" s="23" t="str">
        <f>IFERROR(__xludf.DUMMYFUNCTION("""COMPUTED_VALUE"""),"Database")</f>
        <v>Database</v>
      </c>
      <c r="I611" s="23">
        <f>IFERROR(__xludf.DUMMYFUNCTION("""COMPUTED_VALUE"""),0.709)</f>
        <v>0.709</v>
      </c>
      <c r="J611" s="23">
        <f>IFERROR(__xludf.DUMMYFUNCTION("""COMPUTED_VALUE"""),610.0)</f>
        <v>610</v>
      </c>
      <c r="K611" s="23" t="b">
        <f>IFERROR(__xludf.DUMMYFUNCTION("""COMPUTED_VALUE"""),TRUE)</f>
        <v>1</v>
      </c>
      <c r="L611" s="23" t="str">
        <f>IFERROR(__xludf.DUMMYFUNCTION("""COMPUTED_VALUE"""),"Database;")</f>
        <v>Database;</v>
      </c>
      <c r="M611" s="23" t="b">
        <f>IFERROR(__xludf.DUMMYFUNCTION("""COMPUTED_VALUE"""),TRUE)</f>
        <v>1</v>
      </c>
      <c r="N611" s="23" t="b">
        <f>IFERROR(__xludf.DUMMYFUNCTION("""COMPUTED_VALUE"""),FALSE)</f>
        <v>0</v>
      </c>
      <c r="O611" s="23">
        <f>IFERROR(__xludf.DUMMYFUNCTION("""COMPUTED_VALUE"""),70.882885944048)</f>
        <v>70.88288594</v>
      </c>
      <c r="P611" s="23">
        <f>IFERROR(__xludf.DUMMYFUNCTION("""COMPUTED_VALUE"""),50066.0)</f>
        <v>50066</v>
      </c>
      <c r="Q611" s="23">
        <f>IFERROR(__xludf.DUMMYFUNCTION("""COMPUTED_VALUE"""),70632.0)</f>
        <v>70632</v>
      </c>
    </row>
    <row r="612">
      <c r="A612" s="23">
        <f>IFERROR(__xludf.DUMMYFUNCTION("""COMPUTED_VALUE"""),611.0)</f>
        <v>611</v>
      </c>
      <c r="B612" s="23" t="str">
        <f>IFERROR(__xludf.DUMMYFUNCTION("""COMPUTED_VALUE"""),"Valid Triangle Number")</f>
        <v>Valid Triangle Number</v>
      </c>
      <c r="C612" s="23" t="str">
        <f>IFERROR(__xludf.DUMMYFUNCTION("""COMPUTED_VALUE"""),"valid-triangle-number")</f>
        <v>valid-triangle-number</v>
      </c>
      <c r="D612" s="23" t="b">
        <f>IFERROR(__xludf.DUMMYFUNCTION("""COMPUTED_VALUE"""),FALSE)</f>
        <v>0</v>
      </c>
      <c r="E612" s="23" t="str">
        <f>IFERROR(__xludf.DUMMYFUNCTION("""COMPUTED_VALUE"""),"Medium")</f>
        <v>Medium</v>
      </c>
      <c r="F612" s="23">
        <f>IFERROR(__xludf.DUMMYFUNCTION("""COMPUTED_VALUE"""),2502.0)</f>
        <v>2502</v>
      </c>
      <c r="G612" s="23">
        <f>IFERROR(__xludf.DUMMYFUNCTION("""COMPUTED_VALUE"""),151.0)</f>
        <v>151</v>
      </c>
      <c r="H612" s="23" t="str">
        <f>IFERROR(__xludf.DUMMYFUNCTION("""COMPUTED_VALUE"""),"Algorithms")</f>
        <v>Algorithms</v>
      </c>
      <c r="I612" s="23">
        <f>IFERROR(__xludf.DUMMYFUNCTION("""COMPUTED_VALUE"""),0.497)</f>
        <v>0.497</v>
      </c>
      <c r="J612" s="23">
        <f>IFERROR(__xludf.DUMMYFUNCTION("""COMPUTED_VALUE"""),611.0)</f>
        <v>611</v>
      </c>
      <c r="K612" s="23" t="b">
        <f>IFERROR(__xludf.DUMMYFUNCTION("""COMPUTED_VALUE"""),FALSE)</f>
        <v>0</v>
      </c>
      <c r="L612" s="23" t="str">
        <f>IFERROR(__xludf.DUMMYFUNCTION("""COMPUTED_VALUE"""),"Array;Two Pointers;Binary Search;Greedy;Sorting;")</f>
        <v>Array;Two Pointers;Binary Search;Greedy;Sorting;</v>
      </c>
      <c r="M612" s="23" t="b">
        <f>IFERROR(__xludf.DUMMYFUNCTION("""COMPUTED_VALUE"""),TRUE)</f>
        <v>1</v>
      </c>
      <c r="N612" s="23" t="b">
        <f>IFERROR(__xludf.DUMMYFUNCTION("""COMPUTED_VALUE"""),FALSE)</f>
        <v>0</v>
      </c>
      <c r="O612" s="23">
        <f>IFERROR(__xludf.DUMMYFUNCTION("""COMPUTED_VALUE"""),49.7316019857417)</f>
        <v>49.73160199</v>
      </c>
      <c r="P612" s="23">
        <f>IFERROR(__xludf.DUMMYFUNCTION("""COMPUTED_VALUE"""),135538.0)</f>
        <v>135538</v>
      </c>
      <c r="Q612" s="23">
        <f>IFERROR(__xludf.DUMMYFUNCTION("""COMPUTED_VALUE"""),272540.0)</f>
        <v>272540</v>
      </c>
    </row>
    <row r="613">
      <c r="A613" s="23">
        <f>IFERROR(__xludf.DUMMYFUNCTION("""COMPUTED_VALUE"""),612.0)</f>
        <v>612</v>
      </c>
      <c r="B613" s="23" t="str">
        <f>IFERROR(__xludf.DUMMYFUNCTION("""COMPUTED_VALUE"""),"Shortest Distance in a Plane")</f>
        <v>Shortest Distance in a Plane</v>
      </c>
      <c r="C613" s="23" t="str">
        <f>IFERROR(__xludf.DUMMYFUNCTION("""COMPUTED_VALUE"""),"shortest-distance-in-a-plane")</f>
        <v>shortest-distance-in-a-plane</v>
      </c>
      <c r="D613" s="23" t="b">
        <f>IFERROR(__xludf.DUMMYFUNCTION("""COMPUTED_VALUE"""),TRUE)</f>
        <v>1</v>
      </c>
      <c r="E613" s="23" t="str">
        <f>IFERROR(__xludf.DUMMYFUNCTION("""COMPUTED_VALUE"""),"Medium")</f>
        <v>Medium</v>
      </c>
      <c r="F613" s="23">
        <f>IFERROR(__xludf.DUMMYFUNCTION("""COMPUTED_VALUE"""),169.0)</f>
        <v>169</v>
      </c>
      <c r="G613" s="23">
        <f>IFERROR(__xludf.DUMMYFUNCTION("""COMPUTED_VALUE"""),60.0)</f>
        <v>60</v>
      </c>
      <c r="H613" s="23" t="str">
        <f>IFERROR(__xludf.DUMMYFUNCTION("""COMPUTED_VALUE"""),"Database")</f>
        <v>Database</v>
      </c>
      <c r="I613" s="23">
        <f>IFERROR(__xludf.DUMMYFUNCTION("""COMPUTED_VALUE"""),0.63)</f>
        <v>0.63</v>
      </c>
      <c r="J613" s="23">
        <f>IFERROR(__xludf.DUMMYFUNCTION("""COMPUTED_VALUE"""),612.0)</f>
        <v>612</v>
      </c>
      <c r="K613" s="23" t="b">
        <f>IFERROR(__xludf.DUMMYFUNCTION("""COMPUTED_VALUE"""),TRUE)</f>
        <v>1</v>
      </c>
      <c r="L613" s="23" t="str">
        <f>IFERROR(__xludf.DUMMYFUNCTION("""COMPUTED_VALUE"""),"Database;")</f>
        <v>Database;</v>
      </c>
      <c r="M613" s="23" t="b">
        <f>IFERROR(__xludf.DUMMYFUNCTION("""COMPUTED_VALUE"""),TRUE)</f>
        <v>1</v>
      </c>
      <c r="N613" s="23" t="b">
        <f>IFERROR(__xludf.DUMMYFUNCTION("""COMPUTED_VALUE"""),FALSE)</f>
        <v>0</v>
      </c>
      <c r="O613" s="23">
        <f>IFERROR(__xludf.DUMMYFUNCTION("""COMPUTED_VALUE"""),63.0291963142539)</f>
        <v>63.02919631</v>
      </c>
      <c r="P613" s="23">
        <f>IFERROR(__xludf.DUMMYFUNCTION("""COMPUTED_VALUE"""),30029.0)</f>
        <v>30029</v>
      </c>
      <c r="Q613" s="23">
        <f>IFERROR(__xludf.DUMMYFUNCTION("""COMPUTED_VALUE"""),47643.0)</f>
        <v>47643</v>
      </c>
    </row>
    <row r="614">
      <c r="A614" s="23">
        <f>IFERROR(__xludf.DUMMYFUNCTION("""COMPUTED_VALUE"""),613.0)</f>
        <v>613</v>
      </c>
      <c r="B614" s="23" t="str">
        <f>IFERROR(__xludf.DUMMYFUNCTION("""COMPUTED_VALUE"""),"Shortest Distance in a Line")</f>
        <v>Shortest Distance in a Line</v>
      </c>
      <c r="C614" s="23" t="str">
        <f>IFERROR(__xludf.DUMMYFUNCTION("""COMPUTED_VALUE"""),"shortest-distance-in-a-line")</f>
        <v>shortest-distance-in-a-line</v>
      </c>
      <c r="D614" s="23" t="b">
        <f>IFERROR(__xludf.DUMMYFUNCTION("""COMPUTED_VALUE"""),TRUE)</f>
        <v>1</v>
      </c>
      <c r="E614" s="23" t="str">
        <f>IFERROR(__xludf.DUMMYFUNCTION("""COMPUTED_VALUE"""),"Easy")</f>
        <v>Easy</v>
      </c>
      <c r="F614" s="23">
        <f>IFERROR(__xludf.DUMMYFUNCTION("""COMPUTED_VALUE"""),250.0)</f>
        <v>250</v>
      </c>
      <c r="G614" s="23">
        <f>IFERROR(__xludf.DUMMYFUNCTION("""COMPUTED_VALUE"""),36.0)</f>
        <v>36</v>
      </c>
      <c r="H614" s="23" t="str">
        <f>IFERROR(__xludf.DUMMYFUNCTION("""COMPUTED_VALUE"""),"Database")</f>
        <v>Database</v>
      </c>
      <c r="I614" s="23">
        <f>IFERROR(__xludf.DUMMYFUNCTION("""COMPUTED_VALUE"""),0.811)</f>
        <v>0.811</v>
      </c>
      <c r="J614" s="23">
        <f>IFERROR(__xludf.DUMMYFUNCTION("""COMPUTED_VALUE"""),613.0)</f>
        <v>613</v>
      </c>
      <c r="K614" s="23" t="b">
        <f>IFERROR(__xludf.DUMMYFUNCTION("""COMPUTED_VALUE"""),TRUE)</f>
        <v>1</v>
      </c>
      <c r="L614" s="23" t="str">
        <f>IFERROR(__xludf.DUMMYFUNCTION("""COMPUTED_VALUE"""),"Database;")</f>
        <v>Database;</v>
      </c>
      <c r="M614" s="23" t="b">
        <f>IFERROR(__xludf.DUMMYFUNCTION("""COMPUTED_VALUE"""),TRUE)</f>
        <v>1</v>
      </c>
      <c r="N614" s="23" t="b">
        <f>IFERROR(__xludf.DUMMYFUNCTION("""COMPUTED_VALUE"""),FALSE)</f>
        <v>0</v>
      </c>
      <c r="O614" s="23">
        <f>IFERROR(__xludf.DUMMYFUNCTION("""COMPUTED_VALUE"""),81.1105419854659)</f>
        <v>81.11054199</v>
      </c>
      <c r="P614" s="23">
        <f>IFERROR(__xludf.DUMMYFUNCTION("""COMPUTED_VALUE"""),50671.0)</f>
        <v>50671</v>
      </c>
      <c r="Q614" s="23">
        <f>IFERROR(__xludf.DUMMYFUNCTION("""COMPUTED_VALUE"""),62472.0)</f>
        <v>62472</v>
      </c>
    </row>
    <row r="615">
      <c r="A615" s="23">
        <f>IFERROR(__xludf.DUMMYFUNCTION("""COMPUTED_VALUE"""),614.0)</f>
        <v>614</v>
      </c>
      <c r="B615" s="23" t="str">
        <f>IFERROR(__xludf.DUMMYFUNCTION("""COMPUTED_VALUE"""),"Second Degree Follower")</f>
        <v>Second Degree Follower</v>
      </c>
      <c r="C615" s="23" t="str">
        <f>IFERROR(__xludf.DUMMYFUNCTION("""COMPUTED_VALUE"""),"second-degree-follower")</f>
        <v>second-degree-follower</v>
      </c>
      <c r="D615" s="23" t="b">
        <f>IFERROR(__xludf.DUMMYFUNCTION("""COMPUTED_VALUE"""),TRUE)</f>
        <v>1</v>
      </c>
      <c r="E615" s="23" t="str">
        <f>IFERROR(__xludf.DUMMYFUNCTION("""COMPUTED_VALUE"""),"Medium")</f>
        <v>Medium</v>
      </c>
      <c r="F615" s="23">
        <f>IFERROR(__xludf.DUMMYFUNCTION("""COMPUTED_VALUE"""),118.0)</f>
        <v>118</v>
      </c>
      <c r="G615" s="23">
        <f>IFERROR(__xludf.DUMMYFUNCTION("""COMPUTED_VALUE"""),700.0)</f>
        <v>700</v>
      </c>
      <c r="H615" s="23" t="str">
        <f>IFERROR(__xludf.DUMMYFUNCTION("""COMPUTED_VALUE"""),"Database")</f>
        <v>Database</v>
      </c>
      <c r="I615" s="23">
        <f>IFERROR(__xludf.DUMMYFUNCTION("""COMPUTED_VALUE"""),0.356)</f>
        <v>0.356</v>
      </c>
      <c r="J615" s="23">
        <f>IFERROR(__xludf.DUMMYFUNCTION("""COMPUTED_VALUE"""),614.0)</f>
        <v>614</v>
      </c>
      <c r="K615" s="23" t="b">
        <f>IFERROR(__xludf.DUMMYFUNCTION("""COMPUTED_VALUE"""),TRUE)</f>
        <v>1</v>
      </c>
      <c r="L615" s="23" t="str">
        <f>IFERROR(__xludf.DUMMYFUNCTION("""COMPUTED_VALUE"""),"Database;")</f>
        <v>Database;</v>
      </c>
      <c r="M615" s="23" t="b">
        <f>IFERROR(__xludf.DUMMYFUNCTION("""COMPUTED_VALUE"""),FALSE)</f>
        <v>0</v>
      </c>
      <c r="N615" s="23" t="b">
        <f>IFERROR(__xludf.DUMMYFUNCTION("""COMPUTED_VALUE"""),FALSE)</f>
        <v>0</v>
      </c>
      <c r="O615" s="23">
        <f>IFERROR(__xludf.DUMMYFUNCTION("""COMPUTED_VALUE"""),35.5606440329589)</f>
        <v>35.56064403</v>
      </c>
      <c r="P615" s="23">
        <f>IFERROR(__xludf.DUMMYFUNCTION("""COMPUTED_VALUE"""),39446.0)</f>
        <v>39446</v>
      </c>
      <c r="Q615" s="23">
        <f>IFERROR(__xludf.DUMMYFUNCTION("""COMPUTED_VALUE"""),110926.0)</f>
        <v>110926</v>
      </c>
    </row>
    <row r="616">
      <c r="A616" s="23">
        <f>IFERROR(__xludf.DUMMYFUNCTION("""COMPUTED_VALUE"""),615.0)</f>
        <v>615</v>
      </c>
      <c r="B616" s="23" t="str">
        <f>IFERROR(__xludf.DUMMYFUNCTION("""COMPUTED_VALUE"""),"Average Salary: Departments VS Company")</f>
        <v>Average Salary: Departments VS Company</v>
      </c>
      <c r="C616" s="23" t="str">
        <f>IFERROR(__xludf.DUMMYFUNCTION("""COMPUTED_VALUE"""),"average-salary-departments-vs-company")</f>
        <v>average-salary-departments-vs-company</v>
      </c>
      <c r="D616" s="23" t="b">
        <f>IFERROR(__xludf.DUMMYFUNCTION("""COMPUTED_VALUE"""),TRUE)</f>
        <v>1</v>
      </c>
      <c r="E616" s="23" t="str">
        <f>IFERROR(__xludf.DUMMYFUNCTION("""COMPUTED_VALUE"""),"Hard")</f>
        <v>Hard</v>
      </c>
      <c r="F616" s="23">
        <f>IFERROR(__xludf.DUMMYFUNCTION("""COMPUTED_VALUE"""),175.0)</f>
        <v>175</v>
      </c>
      <c r="G616" s="23">
        <f>IFERROR(__xludf.DUMMYFUNCTION("""COMPUTED_VALUE"""),59.0)</f>
        <v>59</v>
      </c>
      <c r="H616" s="23" t="str">
        <f>IFERROR(__xludf.DUMMYFUNCTION("""COMPUTED_VALUE"""),"Database")</f>
        <v>Database</v>
      </c>
      <c r="I616" s="23">
        <f>IFERROR(__xludf.DUMMYFUNCTION("""COMPUTED_VALUE"""),0.563)</f>
        <v>0.563</v>
      </c>
      <c r="J616" s="23">
        <f>IFERROR(__xludf.DUMMYFUNCTION("""COMPUTED_VALUE"""),615.0)</f>
        <v>615</v>
      </c>
      <c r="K616" s="23" t="b">
        <f>IFERROR(__xludf.DUMMYFUNCTION("""COMPUTED_VALUE"""),TRUE)</f>
        <v>1</v>
      </c>
      <c r="L616" s="23" t="str">
        <f>IFERROR(__xludf.DUMMYFUNCTION("""COMPUTED_VALUE"""),"Database;")</f>
        <v>Database;</v>
      </c>
      <c r="M616" s="23" t="b">
        <f>IFERROR(__xludf.DUMMYFUNCTION("""COMPUTED_VALUE"""),TRUE)</f>
        <v>1</v>
      </c>
      <c r="N616" s="23" t="b">
        <f>IFERROR(__xludf.DUMMYFUNCTION("""COMPUTED_VALUE"""),FALSE)</f>
        <v>0</v>
      </c>
      <c r="O616" s="23">
        <f>IFERROR(__xludf.DUMMYFUNCTION("""COMPUTED_VALUE"""),56.340799031477)</f>
        <v>56.34079903</v>
      </c>
      <c r="P616" s="23">
        <f>IFERROR(__xludf.DUMMYFUNCTION("""COMPUTED_VALUE"""),26061.0)</f>
        <v>26061</v>
      </c>
      <c r="Q616" s="23">
        <f>IFERROR(__xludf.DUMMYFUNCTION("""COMPUTED_VALUE"""),46251.0)</f>
        <v>46251</v>
      </c>
    </row>
    <row r="617">
      <c r="A617" s="23">
        <f>IFERROR(__xludf.DUMMYFUNCTION("""COMPUTED_VALUE"""),616.0)</f>
        <v>616</v>
      </c>
      <c r="B617" s="23" t="str">
        <f>IFERROR(__xludf.DUMMYFUNCTION("""COMPUTED_VALUE"""),"Add Bold Tag in String")</f>
        <v>Add Bold Tag in String</v>
      </c>
      <c r="C617" s="23" t="str">
        <f>IFERROR(__xludf.DUMMYFUNCTION("""COMPUTED_VALUE"""),"add-bold-tag-in-string")</f>
        <v>add-bold-tag-in-string</v>
      </c>
      <c r="D617" s="23" t="b">
        <f>IFERROR(__xludf.DUMMYFUNCTION("""COMPUTED_VALUE"""),TRUE)</f>
        <v>1</v>
      </c>
      <c r="E617" s="23" t="str">
        <f>IFERROR(__xludf.DUMMYFUNCTION("""COMPUTED_VALUE"""),"Medium")</f>
        <v>Medium</v>
      </c>
      <c r="F617" s="23">
        <f>IFERROR(__xludf.DUMMYFUNCTION("""COMPUTED_VALUE"""),905.0)</f>
        <v>905</v>
      </c>
      <c r="G617" s="23">
        <f>IFERROR(__xludf.DUMMYFUNCTION("""COMPUTED_VALUE"""),155.0)</f>
        <v>155</v>
      </c>
      <c r="H617" s="23" t="str">
        <f>IFERROR(__xludf.DUMMYFUNCTION("""COMPUTED_VALUE"""),"Algorithms")</f>
        <v>Algorithms</v>
      </c>
      <c r="I617" s="23">
        <f>IFERROR(__xludf.DUMMYFUNCTION("""COMPUTED_VALUE"""),0.482)</f>
        <v>0.482</v>
      </c>
      <c r="J617" s="23">
        <f>IFERROR(__xludf.DUMMYFUNCTION("""COMPUTED_VALUE"""),616.0)</f>
        <v>616</v>
      </c>
      <c r="K617" s="23" t="b">
        <f>IFERROR(__xludf.DUMMYFUNCTION("""COMPUTED_VALUE"""),TRUE)</f>
        <v>1</v>
      </c>
      <c r="L617" s="23" t="str">
        <f>IFERROR(__xludf.DUMMYFUNCTION("""COMPUTED_VALUE"""),"Array;Hash Table;String;Trie;String Matching;")</f>
        <v>Array;Hash Table;String;Trie;String Matching;</v>
      </c>
      <c r="M617" s="23" t="b">
        <f>IFERROR(__xludf.DUMMYFUNCTION("""COMPUTED_VALUE"""),FALSE)</f>
        <v>0</v>
      </c>
      <c r="N617" s="23" t="b">
        <f>IFERROR(__xludf.DUMMYFUNCTION("""COMPUTED_VALUE"""),FALSE)</f>
        <v>0</v>
      </c>
      <c r="O617" s="23">
        <f>IFERROR(__xludf.DUMMYFUNCTION("""COMPUTED_VALUE"""),48.2184556955528)</f>
        <v>48.2184557</v>
      </c>
      <c r="P617" s="23">
        <f>IFERROR(__xludf.DUMMYFUNCTION("""COMPUTED_VALUE"""),75161.0)</f>
        <v>75161</v>
      </c>
      <c r="Q617" s="23">
        <f>IFERROR(__xludf.DUMMYFUNCTION("""COMPUTED_VALUE"""),155876.0)</f>
        <v>155876</v>
      </c>
    </row>
    <row r="618">
      <c r="A618" s="23">
        <f>IFERROR(__xludf.DUMMYFUNCTION("""COMPUTED_VALUE"""),617.0)</f>
        <v>617</v>
      </c>
      <c r="B618" s="23" t="str">
        <f>IFERROR(__xludf.DUMMYFUNCTION("""COMPUTED_VALUE"""),"Merge Two Binary Trees")</f>
        <v>Merge Two Binary Trees</v>
      </c>
      <c r="C618" s="23" t="str">
        <f>IFERROR(__xludf.DUMMYFUNCTION("""COMPUTED_VALUE"""),"merge-two-binary-trees")</f>
        <v>merge-two-binary-trees</v>
      </c>
      <c r="D618" s="23" t="b">
        <f>IFERROR(__xludf.DUMMYFUNCTION("""COMPUTED_VALUE"""),FALSE)</f>
        <v>0</v>
      </c>
      <c r="E618" s="23" t="str">
        <f>IFERROR(__xludf.DUMMYFUNCTION("""COMPUTED_VALUE"""),"Easy")</f>
        <v>Easy</v>
      </c>
      <c r="F618" s="23">
        <f>IFERROR(__xludf.DUMMYFUNCTION("""COMPUTED_VALUE"""),6463.0)</f>
        <v>6463</v>
      </c>
      <c r="G618" s="23">
        <f>IFERROR(__xludf.DUMMYFUNCTION("""COMPUTED_VALUE"""),242.0)</f>
        <v>242</v>
      </c>
      <c r="H618" s="23" t="str">
        <f>IFERROR(__xludf.DUMMYFUNCTION("""COMPUTED_VALUE"""),"Algorithms")</f>
        <v>Algorithms</v>
      </c>
      <c r="I618" s="23">
        <f>IFERROR(__xludf.DUMMYFUNCTION("""COMPUTED_VALUE"""),0.779)</f>
        <v>0.779</v>
      </c>
      <c r="J618" s="23">
        <f>IFERROR(__xludf.DUMMYFUNCTION("""COMPUTED_VALUE"""),617.0)</f>
        <v>617</v>
      </c>
      <c r="K618" s="23" t="b">
        <f>IFERROR(__xludf.DUMMYFUNCTION("""COMPUTED_VALUE"""),FALSE)</f>
        <v>0</v>
      </c>
      <c r="L618" s="23" t="str">
        <f>IFERROR(__xludf.DUMMYFUNCTION("""COMPUTED_VALUE"""),"Tree;Depth-First Search;Breadth-First Search;Binary Tree;")</f>
        <v>Tree;Depth-First Search;Breadth-First Search;Binary Tree;</v>
      </c>
      <c r="M618" s="23" t="b">
        <f>IFERROR(__xludf.DUMMYFUNCTION("""COMPUTED_VALUE"""),TRUE)</f>
        <v>1</v>
      </c>
      <c r="N618" s="23" t="b">
        <f>IFERROR(__xludf.DUMMYFUNCTION("""COMPUTED_VALUE"""),FALSE)</f>
        <v>0</v>
      </c>
      <c r="O618" s="23">
        <f>IFERROR(__xludf.DUMMYFUNCTION("""COMPUTED_VALUE"""),77.912757164713)</f>
        <v>77.91275716</v>
      </c>
      <c r="P618" s="23">
        <f>IFERROR(__xludf.DUMMYFUNCTION("""COMPUTED_VALUE"""),555603.0)</f>
        <v>555603</v>
      </c>
      <c r="Q618" s="23">
        <f>IFERROR(__xludf.DUMMYFUNCTION("""COMPUTED_VALUE"""),713110.0)</f>
        <v>713110</v>
      </c>
    </row>
    <row r="619">
      <c r="A619" s="23">
        <f>IFERROR(__xludf.DUMMYFUNCTION("""COMPUTED_VALUE"""),618.0)</f>
        <v>618</v>
      </c>
      <c r="B619" s="23" t="str">
        <f>IFERROR(__xludf.DUMMYFUNCTION("""COMPUTED_VALUE"""),"Students Report By Geography")</f>
        <v>Students Report By Geography</v>
      </c>
      <c r="C619" s="23" t="str">
        <f>IFERROR(__xludf.DUMMYFUNCTION("""COMPUTED_VALUE"""),"students-report-by-geography")</f>
        <v>students-report-by-geography</v>
      </c>
      <c r="D619" s="23" t="b">
        <f>IFERROR(__xludf.DUMMYFUNCTION("""COMPUTED_VALUE"""),TRUE)</f>
        <v>1</v>
      </c>
      <c r="E619" s="23" t="str">
        <f>IFERROR(__xludf.DUMMYFUNCTION("""COMPUTED_VALUE"""),"Hard")</f>
        <v>Hard</v>
      </c>
      <c r="F619" s="23">
        <f>IFERROR(__xludf.DUMMYFUNCTION("""COMPUTED_VALUE"""),121.0)</f>
        <v>121</v>
      </c>
      <c r="G619" s="23">
        <f>IFERROR(__xludf.DUMMYFUNCTION("""COMPUTED_VALUE"""),134.0)</f>
        <v>134</v>
      </c>
      <c r="H619" s="23" t="str">
        <f>IFERROR(__xludf.DUMMYFUNCTION("""COMPUTED_VALUE"""),"Database")</f>
        <v>Database</v>
      </c>
      <c r="I619" s="23">
        <f>IFERROR(__xludf.DUMMYFUNCTION("""COMPUTED_VALUE"""),0.633)</f>
        <v>0.633</v>
      </c>
      <c r="J619" s="23">
        <f>IFERROR(__xludf.DUMMYFUNCTION("""COMPUTED_VALUE"""),618.0)</f>
        <v>618</v>
      </c>
      <c r="K619" s="23" t="b">
        <f>IFERROR(__xludf.DUMMYFUNCTION("""COMPUTED_VALUE"""),TRUE)</f>
        <v>1</v>
      </c>
      <c r="L619" s="23" t="str">
        <f>IFERROR(__xludf.DUMMYFUNCTION("""COMPUTED_VALUE"""),"Database;")</f>
        <v>Database;</v>
      </c>
      <c r="M619" s="23" t="b">
        <f>IFERROR(__xludf.DUMMYFUNCTION("""COMPUTED_VALUE"""),TRUE)</f>
        <v>1</v>
      </c>
      <c r="N619" s="23" t="b">
        <f>IFERROR(__xludf.DUMMYFUNCTION("""COMPUTED_VALUE"""),FALSE)</f>
        <v>0</v>
      </c>
      <c r="O619" s="23">
        <f>IFERROR(__xludf.DUMMYFUNCTION("""COMPUTED_VALUE"""),63.3151750972762)</f>
        <v>63.3151751</v>
      </c>
      <c r="P619" s="23">
        <f>IFERROR(__xludf.DUMMYFUNCTION("""COMPUTED_VALUE"""),16272.0)</f>
        <v>16272</v>
      </c>
      <c r="Q619" s="23">
        <f>IFERROR(__xludf.DUMMYFUNCTION("""COMPUTED_VALUE"""),25700.0)</f>
        <v>25700</v>
      </c>
    </row>
    <row r="620">
      <c r="A620" s="23">
        <f>IFERROR(__xludf.DUMMYFUNCTION("""COMPUTED_VALUE"""),619.0)</f>
        <v>619</v>
      </c>
      <c r="B620" s="23" t="str">
        <f>IFERROR(__xludf.DUMMYFUNCTION("""COMPUTED_VALUE"""),"Biggest Single Number")</f>
        <v>Biggest Single Number</v>
      </c>
      <c r="C620" s="23" t="str">
        <f>IFERROR(__xludf.DUMMYFUNCTION("""COMPUTED_VALUE"""),"biggest-single-number")</f>
        <v>biggest-single-number</v>
      </c>
      <c r="D620" s="23" t="b">
        <f>IFERROR(__xludf.DUMMYFUNCTION("""COMPUTED_VALUE"""),TRUE)</f>
        <v>1</v>
      </c>
      <c r="E620" s="23" t="str">
        <f>IFERROR(__xludf.DUMMYFUNCTION("""COMPUTED_VALUE"""),"Easy")</f>
        <v>Easy</v>
      </c>
      <c r="F620" s="23">
        <f>IFERROR(__xludf.DUMMYFUNCTION("""COMPUTED_VALUE"""),119.0)</f>
        <v>119</v>
      </c>
      <c r="G620" s="23">
        <f>IFERROR(__xludf.DUMMYFUNCTION("""COMPUTED_VALUE"""),108.0)</f>
        <v>108</v>
      </c>
      <c r="H620" s="23" t="str">
        <f>IFERROR(__xludf.DUMMYFUNCTION("""COMPUTED_VALUE"""),"Database")</f>
        <v>Database</v>
      </c>
      <c r="I620" s="23">
        <f>IFERROR(__xludf.DUMMYFUNCTION("""COMPUTED_VALUE"""),0.475)</f>
        <v>0.475</v>
      </c>
      <c r="J620" s="23">
        <f>IFERROR(__xludf.DUMMYFUNCTION("""COMPUTED_VALUE"""),619.0)</f>
        <v>619</v>
      </c>
      <c r="K620" s="23" t="b">
        <f>IFERROR(__xludf.DUMMYFUNCTION("""COMPUTED_VALUE"""),TRUE)</f>
        <v>1</v>
      </c>
      <c r="L620" s="23" t="str">
        <f>IFERROR(__xludf.DUMMYFUNCTION("""COMPUTED_VALUE"""),"Database;")</f>
        <v>Database;</v>
      </c>
      <c r="M620" s="23" t="b">
        <f>IFERROR(__xludf.DUMMYFUNCTION("""COMPUTED_VALUE"""),TRUE)</f>
        <v>1</v>
      </c>
      <c r="N620" s="23" t="b">
        <f>IFERROR(__xludf.DUMMYFUNCTION("""COMPUTED_VALUE"""),FALSE)</f>
        <v>0</v>
      </c>
      <c r="O620" s="23">
        <f>IFERROR(__xludf.DUMMYFUNCTION("""COMPUTED_VALUE"""),47.4650968951865)</f>
        <v>47.4650969</v>
      </c>
      <c r="P620" s="23">
        <f>IFERROR(__xludf.DUMMYFUNCTION("""COMPUTED_VALUE"""),45557.0)</f>
        <v>45557</v>
      </c>
      <c r="Q620" s="23">
        <f>IFERROR(__xludf.DUMMYFUNCTION("""COMPUTED_VALUE"""),95980.0)</f>
        <v>95980</v>
      </c>
    </row>
    <row r="621">
      <c r="A621" s="23">
        <f>IFERROR(__xludf.DUMMYFUNCTION("""COMPUTED_VALUE"""),620.0)</f>
        <v>620</v>
      </c>
      <c r="B621" s="23" t="str">
        <f>IFERROR(__xludf.DUMMYFUNCTION("""COMPUTED_VALUE"""),"Not Boring Movies")</f>
        <v>Not Boring Movies</v>
      </c>
      <c r="C621" s="23" t="str">
        <f>IFERROR(__xludf.DUMMYFUNCTION("""COMPUTED_VALUE"""),"not-boring-movies")</f>
        <v>not-boring-movies</v>
      </c>
      <c r="D621" s="23" t="b">
        <f>IFERROR(__xludf.DUMMYFUNCTION("""COMPUTED_VALUE"""),FALSE)</f>
        <v>0</v>
      </c>
      <c r="E621" s="23" t="str">
        <f>IFERROR(__xludf.DUMMYFUNCTION("""COMPUTED_VALUE"""),"Easy")</f>
        <v>Easy</v>
      </c>
      <c r="F621" s="23">
        <f>IFERROR(__xludf.DUMMYFUNCTION("""COMPUTED_VALUE"""),485.0)</f>
        <v>485</v>
      </c>
      <c r="G621" s="23">
        <f>IFERROR(__xludf.DUMMYFUNCTION("""COMPUTED_VALUE"""),362.0)</f>
        <v>362</v>
      </c>
      <c r="H621" s="23" t="str">
        <f>IFERROR(__xludf.DUMMYFUNCTION("""COMPUTED_VALUE"""),"Database")</f>
        <v>Database</v>
      </c>
      <c r="I621" s="23">
        <f>IFERROR(__xludf.DUMMYFUNCTION("""COMPUTED_VALUE"""),0.726)</f>
        <v>0.726</v>
      </c>
      <c r="J621" s="23">
        <f>IFERROR(__xludf.DUMMYFUNCTION("""COMPUTED_VALUE"""),620.0)</f>
        <v>620</v>
      </c>
      <c r="K621" s="23" t="b">
        <f>IFERROR(__xludf.DUMMYFUNCTION("""COMPUTED_VALUE"""),FALSE)</f>
        <v>0</v>
      </c>
      <c r="L621" s="23" t="str">
        <f>IFERROR(__xludf.DUMMYFUNCTION("""COMPUTED_VALUE"""),"Database;")</f>
        <v>Database;</v>
      </c>
      <c r="M621" s="23" t="b">
        <f>IFERROR(__xludf.DUMMYFUNCTION("""COMPUTED_VALUE"""),TRUE)</f>
        <v>1</v>
      </c>
      <c r="N621" s="23" t="b">
        <f>IFERROR(__xludf.DUMMYFUNCTION("""COMPUTED_VALUE"""),FALSE)</f>
        <v>0</v>
      </c>
      <c r="O621" s="23">
        <f>IFERROR(__xludf.DUMMYFUNCTION("""COMPUTED_VALUE"""),72.5616392977142)</f>
        <v>72.5616393</v>
      </c>
      <c r="P621" s="23">
        <f>IFERROR(__xludf.DUMMYFUNCTION("""COMPUTED_VALUE"""),183996.0)</f>
        <v>183996</v>
      </c>
      <c r="Q621" s="23">
        <f>IFERROR(__xludf.DUMMYFUNCTION("""COMPUTED_VALUE"""),253572.0)</f>
        <v>253572</v>
      </c>
    </row>
    <row r="622">
      <c r="A622" s="23">
        <f>IFERROR(__xludf.DUMMYFUNCTION("""COMPUTED_VALUE"""),621.0)</f>
        <v>621</v>
      </c>
      <c r="B622" s="23" t="str">
        <f>IFERROR(__xludf.DUMMYFUNCTION("""COMPUTED_VALUE"""),"Task Scheduler")</f>
        <v>Task Scheduler</v>
      </c>
      <c r="C622" s="23" t="str">
        <f>IFERROR(__xludf.DUMMYFUNCTION("""COMPUTED_VALUE"""),"task-scheduler")</f>
        <v>task-scheduler</v>
      </c>
      <c r="D622" s="23" t="b">
        <f>IFERROR(__xludf.DUMMYFUNCTION("""COMPUTED_VALUE"""),FALSE)</f>
        <v>0</v>
      </c>
      <c r="E622" s="23" t="str">
        <f>IFERROR(__xludf.DUMMYFUNCTION("""COMPUTED_VALUE"""),"Medium")</f>
        <v>Medium</v>
      </c>
      <c r="F622" s="23">
        <f>IFERROR(__xludf.DUMMYFUNCTION("""COMPUTED_VALUE"""),6315.0)</f>
        <v>6315</v>
      </c>
      <c r="G622" s="23">
        <f>IFERROR(__xludf.DUMMYFUNCTION("""COMPUTED_VALUE"""),1217.0)</f>
        <v>1217</v>
      </c>
      <c r="H622" s="23" t="str">
        <f>IFERROR(__xludf.DUMMYFUNCTION("""COMPUTED_VALUE"""),"Algorithms")</f>
        <v>Algorithms</v>
      </c>
      <c r="I622" s="23">
        <f>IFERROR(__xludf.DUMMYFUNCTION("""COMPUTED_VALUE"""),0.545)</f>
        <v>0.545</v>
      </c>
      <c r="J622" s="23">
        <f>IFERROR(__xludf.DUMMYFUNCTION("""COMPUTED_VALUE"""),621.0)</f>
        <v>621</v>
      </c>
      <c r="K622" s="23" t="b">
        <f>IFERROR(__xludf.DUMMYFUNCTION("""COMPUTED_VALUE"""),FALSE)</f>
        <v>0</v>
      </c>
      <c r="L622" s="23" t="str">
        <f>IFERROR(__xludf.DUMMYFUNCTION("""COMPUTED_VALUE"""),"Array;Hash Table;Greedy;Sorting;Heap (Priority Queue);Counting;")</f>
        <v>Array;Hash Table;Greedy;Sorting;Heap (Priority Queue);Counting;</v>
      </c>
      <c r="M622" s="23" t="b">
        <f>IFERROR(__xludf.DUMMYFUNCTION("""COMPUTED_VALUE"""),TRUE)</f>
        <v>1</v>
      </c>
      <c r="N622" s="23" t="b">
        <f>IFERROR(__xludf.DUMMYFUNCTION("""COMPUTED_VALUE"""),FALSE)</f>
        <v>0</v>
      </c>
      <c r="O622" s="23">
        <f>IFERROR(__xludf.DUMMYFUNCTION("""COMPUTED_VALUE"""),54.4742452196702)</f>
        <v>54.47424522</v>
      </c>
      <c r="P622" s="23">
        <f>IFERROR(__xludf.DUMMYFUNCTION("""COMPUTED_VALUE"""),334230.0)</f>
        <v>334230</v>
      </c>
      <c r="Q622" s="23">
        <f>IFERROR(__xludf.DUMMYFUNCTION("""COMPUTED_VALUE"""),613556.0)</f>
        <v>613556</v>
      </c>
    </row>
    <row r="623">
      <c r="A623" s="23">
        <f>IFERROR(__xludf.DUMMYFUNCTION("""COMPUTED_VALUE"""),860.0)</f>
        <v>860</v>
      </c>
      <c r="B623" s="23" t="str">
        <f>IFERROR(__xludf.DUMMYFUNCTION("""COMPUTED_VALUE"""),"Design Circular Queue")</f>
        <v>Design Circular Queue</v>
      </c>
      <c r="C623" s="23" t="str">
        <f>IFERROR(__xludf.DUMMYFUNCTION("""COMPUTED_VALUE"""),"design-circular-queue")</f>
        <v>design-circular-queue</v>
      </c>
      <c r="D623" s="23" t="b">
        <f>IFERROR(__xludf.DUMMYFUNCTION("""COMPUTED_VALUE"""),FALSE)</f>
        <v>0</v>
      </c>
      <c r="E623" s="23" t="str">
        <f>IFERROR(__xludf.DUMMYFUNCTION("""COMPUTED_VALUE"""),"Medium")</f>
        <v>Medium</v>
      </c>
      <c r="F623" s="23">
        <f>IFERROR(__xludf.DUMMYFUNCTION("""COMPUTED_VALUE"""),1659.0)</f>
        <v>1659</v>
      </c>
      <c r="G623" s="23">
        <f>IFERROR(__xludf.DUMMYFUNCTION("""COMPUTED_VALUE"""),171.0)</f>
        <v>171</v>
      </c>
      <c r="H623" s="23" t="str">
        <f>IFERROR(__xludf.DUMMYFUNCTION("""COMPUTED_VALUE"""),"Algorithms")</f>
        <v>Algorithms</v>
      </c>
      <c r="I623" s="23">
        <f>IFERROR(__xludf.DUMMYFUNCTION("""COMPUTED_VALUE"""),0.487)</f>
        <v>0.487</v>
      </c>
      <c r="J623" s="23">
        <f>IFERROR(__xludf.DUMMYFUNCTION("""COMPUTED_VALUE"""),622.0)</f>
        <v>622</v>
      </c>
      <c r="K623" s="23" t="b">
        <f>IFERROR(__xludf.DUMMYFUNCTION("""COMPUTED_VALUE"""),FALSE)</f>
        <v>0</v>
      </c>
      <c r="L623" s="23" t="str">
        <f>IFERROR(__xludf.DUMMYFUNCTION("""COMPUTED_VALUE"""),"Array;Linked List;Design;Queue;")</f>
        <v>Array;Linked List;Design;Queue;</v>
      </c>
      <c r="M623" s="23" t="b">
        <f>IFERROR(__xludf.DUMMYFUNCTION("""COMPUTED_VALUE"""),TRUE)</f>
        <v>1</v>
      </c>
      <c r="N623" s="23" t="b">
        <f>IFERROR(__xludf.DUMMYFUNCTION("""COMPUTED_VALUE"""),FALSE)</f>
        <v>0</v>
      </c>
      <c r="O623" s="23">
        <f>IFERROR(__xludf.DUMMYFUNCTION("""COMPUTED_VALUE"""),48.6693197363512)</f>
        <v>48.66931974</v>
      </c>
      <c r="P623" s="23">
        <f>IFERROR(__xludf.DUMMYFUNCTION("""COMPUTED_VALUE"""),172191.0)</f>
        <v>172191</v>
      </c>
      <c r="Q623" s="23">
        <f>IFERROR(__xludf.DUMMYFUNCTION("""COMPUTED_VALUE"""),353801.0)</f>
        <v>353801</v>
      </c>
    </row>
    <row r="624">
      <c r="A624" s="23">
        <f>IFERROR(__xludf.DUMMYFUNCTION("""COMPUTED_VALUE"""),623.0)</f>
        <v>623</v>
      </c>
      <c r="B624" s="23" t="str">
        <f>IFERROR(__xludf.DUMMYFUNCTION("""COMPUTED_VALUE"""),"Add One Row to Tree")</f>
        <v>Add One Row to Tree</v>
      </c>
      <c r="C624" s="23" t="str">
        <f>IFERROR(__xludf.DUMMYFUNCTION("""COMPUTED_VALUE"""),"add-one-row-to-tree")</f>
        <v>add-one-row-to-tree</v>
      </c>
      <c r="D624" s="23" t="b">
        <f>IFERROR(__xludf.DUMMYFUNCTION("""COMPUTED_VALUE"""),FALSE)</f>
        <v>0</v>
      </c>
      <c r="E624" s="23" t="str">
        <f>IFERROR(__xludf.DUMMYFUNCTION("""COMPUTED_VALUE"""),"Medium")</f>
        <v>Medium</v>
      </c>
      <c r="F624" s="23">
        <f>IFERROR(__xludf.DUMMYFUNCTION("""COMPUTED_VALUE"""),1258.0)</f>
        <v>1258</v>
      </c>
      <c r="G624" s="23">
        <f>IFERROR(__xludf.DUMMYFUNCTION("""COMPUTED_VALUE"""),171.0)</f>
        <v>171</v>
      </c>
      <c r="H624" s="23" t="str">
        <f>IFERROR(__xludf.DUMMYFUNCTION("""COMPUTED_VALUE"""),"Algorithms")</f>
        <v>Algorithms</v>
      </c>
      <c r="I624" s="23">
        <f>IFERROR(__xludf.DUMMYFUNCTION("""COMPUTED_VALUE"""),0.539)</f>
        <v>0.539</v>
      </c>
      <c r="J624" s="23">
        <f>IFERROR(__xludf.DUMMYFUNCTION("""COMPUTED_VALUE"""),623.0)</f>
        <v>623</v>
      </c>
      <c r="K624" s="23" t="b">
        <f>IFERROR(__xludf.DUMMYFUNCTION("""COMPUTED_VALUE"""),FALSE)</f>
        <v>0</v>
      </c>
      <c r="L624" s="23" t="str">
        <f>IFERROR(__xludf.DUMMYFUNCTION("""COMPUTED_VALUE"""),"Tree;Depth-First Search;Breadth-First Search;Binary Tree;")</f>
        <v>Tree;Depth-First Search;Breadth-First Search;Binary Tree;</v>
      </c>
      <c r="M624" s="23" t="b">
        <f>IFERROR(__xludf.DUMMYFUNCTION("""COMPUTED_VALUE"""),TRUE)</f>
        <v>1</v>
      </c>
      <c r="N624" s="23" t="b">
        <f>IFERROR(__xludf.DUMMYFUNCTION("""COMPUTED_VALUE"""),FALSE)</f>
        <v>0</v>
      </c>
      <c r="O624" s="23">
        <f>IFERROR(__xludf.DUMMYFUNCTION("""COMPUTED_VALUE"""),53.9273184099356)</f>
        <v>53.92731841</v>
      </c>
      <c r="P624" s="23">
        <f>IFERROR(__xludf.DUMMYFUNCTION("""COMPUTED_VALUE"""),82847.0)</f>
        <v>82847</v>
      </c>
      <c r="Q624" s="23">
        <f>IFERROR(__xludf.DUMMYFUNCTION("""COMPUTED_VALUE"""),153628.0)</f>
        <v>153628</v>
      </c>
    </row>
    <row r="625">
      <c r="A625" s="23">
        <f>IFERROR(__xludf.DUMMYFUNCTION("""COMPUTED_VALUE"""),624.0)</f>
        <v>624</v>
      </c>
      <c r="B625" s="23" t="str">
        <f>IFERROR(__xludf.DUMMYFUNCTION("""COMPUTED_VALUE"""),"Maximum Distance in Arrays")</f>
        <v>Maximum Distance in Arrays</v>
      </c>
      <c r="C625" s="23" t="str">
        <f>IFERROR(__xludf.DUMMYFUNCTION("""COMPUTED_VALUE"""),"maximum-distance-in-arrays")</f>
        <v>maximum-distance-in-arrays</v>
      </c>
      <c r="D625" s="23" t="b">
        <f>IFERROR(__xludf.DUMMYFUNCTION("""COMPUTED_VALUE"""),TRUE)</f>
        <v>1</v>
      </c>
      <c r="E625" s="23" t="str">
        <f>IFERROR(__xludf.DUMMYFUNCTION("""COMPUTED_VALUE"""),"Medium")</f>
        <v>Medium</v>
      </c>
      <c r="F625" s="23">
        <f>IFERROR(__xludf.DUMMYFUNCTION("""COMPUTED_VALUE"""),594.0)</f>
        <v>594</v>
      </c>
      <c r="G625" s="23">
        <f>IFERROR(__xludf.DUMMYFUNCTION("""COMPUTED_VALUE"""),62.0)</f>
        <v>62</v>
      </c>
      <c r="H625" s="23" t="str">
        <f>IFERROR(__xludf.DUMMYFUNCTION("""COMPUTED_VALUE"""),"Algorithms")</f>
        <v>Algorithms</v>
      </c>
      <c r="I625" s="23">
        <f>IFERROR(__xludf.DUMMYFUNCTION("""COMPUTED_VALUE"""),0.416)</f>
        <v>0.416</v>
      </c>
      <c r="J625" s="23">
        <f>IFERROR(__xludf.DUMMYFUNCTION("""COMPUTED_VALUE"""),624.0)</f>
        <v>624</v>
      </c>
      <c r="K625" s="23" t="b">
        <f>IFERROR(__xludf.DUMMYFUNCTION("""COMPUTED_VALUE"""),TRUE)</f>
        <v>1</v>
      </c>
      <c r="L625" s="23" t="str">
        <f>IFERROR(__xludf.DUMMYFUNCTION("""COMPUTED_VALUE"""),"Array;Greedy;")</f>
        <v>Array;Greedy;</v>
      </c>
      <c r="M625" s="23" t="b">
        <f>IFERROR(__xludf.DUMMYFUNCTION("""COMPUTED_VALUE"""),TRUE)</f>
        <v>1</v>
      </c>
      <c r="N625" s="23" t="b">
        <f>IFERROR(__xludf.DUMMYFUNCTION("""COMPUTED_VALUE"""),FALSE)</f>
        <v>0</v>
      </c>
      <c r="O625" s="23">
        <f>IFERROR(__xludf.DUMMYFUNCTION("""COMPUTED_VALUE"""),41.5589118220789)</f>
        <v>41.55891182</v>
      </c>
      <c r="P625" s="23">
        <f>IFERROR(__xludf.DUMMYFUNCTION("""COMPUTED_VALUE"""),35579.0)</f>
        <v>35579</v>
      </c>
      <c r="Q625" s="23">
        <f>IFERROR(__xludf.DUMMYFUNCTION("""COMPUTED_VALUE"""),85611.0)</f>
        <v>85611</v>
      </c>
    </row>
    <row r="626">
      <c r="A626" s="23">
        <f>IFERROR(__xludf.DUMMYFUNCTION("""COMPUTED_VALUE"""),625.0)</f>
        <v>625</v>
      </c>
      <c r="B626" s="23" t="str">
        <f>IFERROR(__xludf.DUMMYFUNCTION("""COMPUTED_VALUE"""),"Minimum Factorization")</f>
        <v>Minimum Factorization</v>
      </c>
      <c r="C626" s="23" t="str">
        <f>IFERROR(__xludf.DUMMYFUNCTION("""COMPUTED_VALUE"""),"minimum-factorization")</f>
        <v>minimum-factorization</v>
      </c>
      <c r="D626" s="23" t="b">
        <f>IFERROR(__xludf.DUMMYFUNCTION("""COMPUTED_VALUE"""),TRUE)</f>
        <v>1</v>
      </c>
      <c r="E626" s="23" t="str">
        <f>IFERROR(__xludf.DUMMYFUNCTION("""COMPUTED_VALUE"""),"Medium")</f>
        <v>Medium</v>
      </c>
      <c r="F626" s="23">
        <f>IFERROR(__xludf.DUMMYFUNCTION("""COMPUTED_VALUE"""),119.0)</f>
        <v>119</v>
      </c>
      <c r="G626" s="23">
        <f>IFERROR(__xludf.DUMMYFUNCTION("""COMPUTED_VALUE"""),100.0)</f>
        <v>100</v>
      </c>
      <c r="H626" s="23" t="str">
        <f>IFERROR(__xludf.DUMMYFUNCTION("""COMPUTED_VALUE"""),"Algorithms")</f>
        <v>Algorithms</v>
      </c>
      <c r="I626" s="23">
        <f>IFERROR(__xludf.DUMMYFUNCTION("""COMPUTED_VALUE"""),0.332)</f>
        <v>0.332</v>
      </c>
      <c r="J626" s="23">
        <f>IFERROR(__xludf.DUMMYFUNCTION("""COMPUTED_VALUE"""),625.0)</f>
        <v>625</v>
      </c>
      <c r="K626" s="23" t="b">
        <f>IFERROR(__xludf.DUMMYFUNCTION("""COMPUTED_VALUE"""),TRUE)</f>
        <v>1</v>
      </c>
      <c r="L626" s="23" t="str">
        <f>IFERROR(__xludf.DUMMYFUNCTION("""COMPUTED_VALUE"""),"Math;Greedy;")</f>
        <v>Math;Greedy;</v>
      </c>
      <c r="M626" s="23" t="b">
        <f>IFERROR(__xludf.DUMMYFUNCTION("""COMPUTED_VALUE"""),TRUE)</f>
        <v>1</v>
      </c>
      <c r="N626" s="23" t="b">
        <f>IFERROR(__xludf.DUMMYFUNCTION("""COMPUTED_VALUE"""),FALSE)</f>
        <v>0</v>
      </c>
      <c r="O626" s="23">
        <f>IFERROR(__xludf.DUMMYFUNCTION("""COMPUTED_VALUE"""),33.2379636937648)</f>
        <v>33.23796369</v>
      </c>
      <c r="P626" s="23">
        <f>IFERROR(__xludf.DUMMYFUNCTION("""COMPUTED_VALUE"""),10107.0)</f>
        <v>10107</v>
      </c>
      <c r="Q626" s="23">
        <f>IFERROR(__xludf.DUMMYFUNCTION("""COMPUTED_VALUE"""),30408.0)</f>
        <v>30408</v>
      </c>
    </row>
    <row r="627">
      <c r="A627" s="23">
        <f>IFERROR(__xludf.DUMMYFUNCTION("""COMPUTED_VALUE"""),626.0)</f>
        <v>626</v>
      </c>
      <c r="B627" s="23" t="str">
        <f>IFERROR(__xludf.DUMMYFUNCTION("""COMPUTED_VALUE"""),"Exchange Seats")</f>
        <v>Exchange Seats</v>
      </c>
      <c r="C627" s="23" t="str">
        <f>IFERROR(__xludf.DUMMYFUNCTION("""COMPUTED_VALUE"""),"exchange-seats")</f>
        <v>exchange-seats</v>
      </c>
      <c r="D627" s="23" t="b">
        <f>IFERROR(__xludf.DUMMYFUNCTION("""COMPUTED_VALUE"""),FALSE)</f>
        <v>0</v>
      </c>
      <c r="E627" s="23" t="str">
        <f>IFERROR(__xludf.DUMMYFUNCTION("""COMPUTED_VALUE"""),"Medium")</f>
        <v>Medium</v>
      </c>
      <c r="F627" s="23">
        <f>IFERROR(__xludf.DUMMYFUNCTION("""COMPUTED_VALUE"""),657.0)</f>
        <v>657</v>
      </c>
      <c r="G627" s="23">
        <f>IFERROR(__xludf.DUMMYFUNCTION("""COMPUTED_VALUE"""),354.0)</f>
        <v>354</v>
      </c>
      <c r="H627" s="23" t="str">
        <f>IFERROR(__xludf.DUMMYFUNCTION("""COMPUTED_VALUE"""),"Database")</f>
        <v>Database</v>
      </c>
      <c r="I627" s="23">
        <f>IFERROR(__xludf.DUMMYFUNCTION("""COMPUTED_VALUE"""),0.693)</f>
        <v>0.693</v>
      </c>
      <c r="J627" s="23">
        <f>IFERROR(__xludf.DUMMYFUNCTION("""COMPUTED_VALUE"""),626.0)</f>
        <v>626</v>
      </c>
      <c r="K627" s="23" t="b">
        <f>IFERROR(__xludf.DUMMYFUNCTION("""COMPUTED_VALUE"""),FALSE)</f>
        <v>0</v>
      </c>
      <c r="L627" s="23" t="str">
        <f>IFERROR(__xludf.DUMMYFUNCTION("""COMPUTED_VALUE"""),"Database;")</f>
        <v>Database;</v>
      </c>
      <c r="M627" s="23" t="b">
        <f>IFERROR(__xludf.DUMMYFUNCTION("""COMPUTED_VALUE"""),TRUE)</f>
        <v>1</v>
      </c>
      <c r="N627" s="23" t="b">
        <f>IFERROR(__xludf.DUMMYFUNCTION("""COMPUTED_VALUE"""),FALSE)</f>
        <v>0</v>
      </c>
      <c r="O627" s="23">
        <f>IFERROR(__xludf.DUMMYFUNCTION("""COMPUTED_VALUE"""),69.2751891676622)</f>
        <v>69.27518917</v>
      </c>
      <c r="P627" s="23">
        <f>IFERROR(__xludf.DUMMYFUNCTION("""COMPUTED_VALUE"""),100891.0)</f>
        <v>100891</v>
      </c>
      <c r="Q627" s="23">
        <f>IFERROR(__xludf.DUMMYFUNCTION("""COMPUTED_VALUE"""),145638.0)</f>
        <v>145638</v>
      </c>
    </row>
    <row r="628">
      <c r="A628" s="23">
        <f>IFERROR(__xludf.DUMMYFUNCTION("""COMPUTED_VALUE"""),627.0)</f>
        <v>627</v>
      </c>
      <c r="B628" s="23" t="str">
        <f>IFERROR(__xludf.DUMMYFUNCTION("""COMPUTED_VALUE"""),"Swap Salary")</f>
        <v>Swap Salary</v>
      </c>
      <c r="C628" s="23" t="str">
        <f>IFERROR(__xludf.DUMMYFUNCTION("""COMPUTED_VALUE"""),"swap-salary")</f>
        <v>swap-salary</v>
      </c>
      <c r="D628" s="23" t="b">
        <f>IFERROR(__xludf.DUMMYFUNCTION("""COMPUTED_VALUE"""),FALSE)</f>
        <v>0</v>
      </c>
      <c r="E628" s="23" t="str">
        <f>IFERROR(__xludf.DUMMYFUNCTION("""COMPUTED_VALUE"""),"Easy")</f>
        <v>Easy</v>
      </c>
      <c r="F628" s="23">
        <f>IFERROR(__xludf.DUMMYFUNCTION("""COMPUTED_VALUE"""),870.0)</f>
        <v>870</v>
      </c>
      <c r="G628" s="23">
        <f>IFERROR(__xludf.DUMMYFUNCTION("""COMPUTED_VALUE"""),497.0)</f>
        <v>497</v>
      </c>
      <c r="H628" s="23" t="str">
        <f>IFERROR(__xludf.DUMMYFUNCTION("""COMPUTED_VALUE"""),"Database")</f>
        <v>Database</v>
      </c>
      <c r="I628" s="23">
        <f>IFERROR(__xludf.DUMMYFUNCTION("""COMPUTED_VALUE"""),0.797)</f>
        <v>0.797</v>
      </c>
      <c r="J628" s="23">
        <f>IFERROR(__xludf.DUMMYFUNCTION("""COMPUTED_VALUE"""),627.0)</f>
        <v>627</v>
      </c>
      <c r="K628" s="23" t="b">
        <f>IFERROR(__xludf.DUMMYFUNCTION("""COMPUTED_VALUE"""),FALSE)</f>
        <v>0</v>
      </c>
      <c r="L628" s="23" t="str">
        <f>IFERROR(__xludf.DUMMYFUNCTION("""COMPUTED_VALUE"""),"Database;")</f>
        <v>Database;</v>
      </c>
      <c r="M628" s="23" t="b">
        <f>IFERROR(__xludf.DUMMYFUNCTION("""COMPUTED_VALUE"""),TRUE)</f>
        <v>1</v>
      </c>
      <c r="N628" s="23" t="b">
        <f>IFERROR(__xludf.DUMMYFUNCTION("""COMPUTED_VALUE"""),FALSE)</f>
        <v>0</v>
      </c>
      <c r="O628" s="23">
        <f>IFERROR(__xludf.DUMMYFUNCTION("""COMPUTED_VALUE"""),79.6910208190306)</f>
        <v>79.69102082</v>
      </c>
      <c r="P628" s="23">
        <f>IFERROR(__xludf.DUMMYFUNCTION("""COMPUTED_VALUE"""),189207.0)</f>
        <v>189207</v>
      </c>
      <c r="Q628" s="23">
        <f>IFERROR(__xludf.DUMMYFUNCTION("""COMPUTED_VALUE"""),237426.0)</f>
        <v>237426</v>
      </c>
    </row>
    <row r="629">
      <c r="A629" s="23">
        <f>IFERROR(__xludf.DUMMYFUNCTION("""COMPUTED_VALUE"""),628.0)</f>
        <v>628</v>
      </c>
      <c r="B629" s="23" t="str">
        <f>IFERROR(__xludf.DUMMYFUNCTION("""COMPUTED_VALUE"""),"Maximum Product of Three Numbers")</f>
        <v>Maximum Product of Three Numbers</v>
      </c>
      <c r="C629" s="23" t="str">
        <f>IFERROR(__xludf.DUMMYFUNCTION("""COMPUTED_VALUE"""),"maximum-product-of-three-numbers")</f>
        <v>maximum-product-of-three-numbers</v>
      </c>
      <c r="D629" s="23" t="b">
        <f>IFERROR(__xludf.DUMMYFUNCTION("""COMPUTED_VALUE"""),FALSE)</f>
        <v>0</v>
      </c>
      <c r="E629" s="23" t="str">
        <f>IFERROR(__xludf.DUMMYFUNCTION("""COMPUTED_VALUE"""),"Easy")</f>
        <v>Easy</v>
      </c>
      <c r="F629" s="23">
        <f>IFERROR(__xludf.DUMMYFUNCTION("""COMPUTED_VALUE"""),2649.0)</f>
        <v>2649</v>
      </c>
      <c r="G629" s="23">
        <f>IFERROR(__xludf.DUMMYFUNCTION("""COMPUTED_VALUE"""),522.0)</f>
        <v>522</v>
      </c>
      <c r="H629" s="23" t="str">
        <f>IFERROR(__xludf.DUMMYFUNCTION("""COMPUTED_VALUE"""),"Algorithms")</f>
        <v>Algorithms</v>
      </c>
      <c r="I629" s="23">
        <f>IFERROR(__xludf.DUMMYFUNCTION("""COMPUTED_VALUE"""),0.467)</f>
        <v>0.467</v>
      </c>
      <c r="J629" s="23">
        <f>IFERROR(__xludf.DUMMYFUNCTION("""COMPUTED_VALUE"""),628.0)</f>
        <v>628</v>
      </c>
      <c r="K629" s="23" t="b">
        <f>IFERROR(__xludf.DUMMYFUNCTION("""COMPUTED_VALUE"""),FALSE)</f>
        <v>0</v>
      </c>
      <c r="L629" s="23" t="str">
        <f>IFERROR(__xludf.DUMMYFUNCTION("""COMPUTED_VALUE"""),"Array;Math;Sorting;")</f>
        <v>Array;Math;Sorting;</v>
      </c>
      <c r="M629" s="23" t="b">
        <f>IFERROR(__xludf.DUMMYFUNCTION("""COMPUTED_VALUE"""),TRUE)</f>
        <v>1</v>
      </c>
      <c r="N629" s="23" t="b">
        <f>IFERROR(__xludf.DUMMYFUNCTION("""COMPUTED_VALUE"""),FALSE)</f>
        <v>0</v>
      </c>
      <c r="O629" s="23">
        <f>IFERROR(__xludf.DUMMYFUNCTION("""COMPUTED_VALUE"""),46.7411710290036)</f>
        <v>46.74117103</v>
      </c>
      <c r="P629" s="23">
        <f>IFERROR(__xludf.DUMMYFUNCTION("""COMPUTED_VALUE"""),206147.0)</f>
        <v>206147</v>
      </c>
      <c r="Q629" s="23">
        <f>IFERROR(__xludf.DUMMYFUNCTION("""COMPUTED_VALUE"""),441042.0)</f>
        <v>441042</v>
      </c>
    </row>
    <row r="630">
      <c r="A630" s="23">
        <f>IFERROR(__xludf.DUMMYFUNCTION("""COMPUTED_VALUE"""),629.0)</f>
        <v>629</v>
      </c>
      <c r="B630" s="23" t="str">
        <f>IFERROR(__xludf.DUMMYFUNCTION("""COMPUTED_VALUE"""),"K Inverse Pairs Array")</f>
        <v>K Inverse Pairs Array</v>
      </c>
      <c r="C630" s="23" t="str">
        <f>IFERROR(__xludf.DUMMYFUNCTION("""COMPUTED_VALUE"""),"k-inverse-pairs-array")</f>
        <v>k-inverse-pairs-array</v>
      </c>
      <c r="D630" s="23" t="b">
        <f>IFERROR(__xludf.DUMMYFUNCTION("""COMPUTED_VALUE"""),FALSE)</f>
        <v>0</v>
      </c>
      <c r="E630" s="23" t="str">
        <f>IFERROR(__xludf.DUMMYFUNCTION("""COMPUTED_VALUE"""),"Hard")</f>
        <v>Hard</v>
      </c>
      <c r="F630" s="23">
        <f>IFERROR(__xludf.DUMMYFUNCTION("""COMPUTED_VALUE"""),753.0)</f>
        <v>753</v>
      </c>
      <c r="G630" s="23">
        <f>IFERROR(__xludf.DUMMYFUNCTION("""COMPUTED_VALUE"""),110.0)</f>
        <v>110</v>
      </c>
      <c r="H630" s="23" t="str">
        <f>IFERROR(__xludf.DUMMYFUNCTION("""COMPUTED_VALUE"""),"Algorithms")</f>
        <v>Algorithms</v>
      </c>
      <c r="I630" s="23">
        <f>IFERROR(__xludf.DUMMYFUNCTION("""COMPUTED_VALUE"""),0.373)</f>
        <v>0.373</v>
      </c>
      <c r="J630" s="23">
        <f>IFERROR(__xludf.DUMMYFUNCTION("""COMPUTED_VALUE"""),629.0)</f>
        <v>629</v>
      </c>
      <c r="K630" s="23" t="b">
        <f>IFERROR(__xludf.DUMMYFUNCTION("""COMPUTED_VALUE"""),FALSE)</f>
        <v>0</v>
      </c>
      <c r="L630" s="23" t="str">
        <f>IFERROR(__xludf.DUMMYFUNCTION("""COMPUTED_VALUE"""),"Dynamic Programming;")</f>
        <v>Dynamic Programming;</v>
      </c>
      <c r="M630" s="23" t="b">
        <f>IFERROR(__xludf.DUMMYFUNCTION("""COMPUTED_VALUE"""),TRUE)</f>
        <v>1</v>
      </c>
      <c r="N630" s="23" t="b">
        <f>IFERROR(__xludf.DUMMYFUNCTION("""COMPUTED_VALUE"""),FALSE)</f>
        <v>0</v>
      </c>
      <c r="O630" s="23">
        <f>IFERROR(__xludf.DUMMYFUNCTION("""COMPUTED_VALUE"""),37.2747325300481)</f>
        <v>37.27473253</v>
      </c>
      <c r="P630" s="23">
        <f>IFERROR(__xludf.DUMMYFUNCTION("""COMPUTED_VALUE"""),24841.0)</f>
        <v>24841</v>
      </c>
      <c r="Q630" s="23">
        <f>IFERROR(__xludf.DUMMYFUNCTION("""COMPUTED_VALUE"""),66642.0)</f>
        <v>66642</v>
      </c>
    </row>
    <row r="631">
      <c r="A631" s="23">
        <f>IFERROR(__xludf.DUMMYFUNCTION("""COMPUTED_VALUE"""),630.0)</f>
        <v>630</v>
      </c>
      <c r="B631" s="23" t="str">
        <f>IFERROR(__xludf.DUMMYFUNCTION("""COMPUTED_VALUE"""),"Course Schedule III")</f>
        <v>Course Schedule III</v>
      </c>
      <c r="C631" s="23" t="str">
        <f>IFERROR(__xludf.DUMMYFUNCTION("""COMPUTED_VALUE"""),"course-schedule-iii")</f>
        <v>course-schedule-iii</v>
      </c>
      <c r="D631" s="23" t="b">
        <f>IFERROR(__xludf.DUMMYFUNCTION("""COMPUTED_VALUE"""),FALSE)</f>
        <v>0</v>
      </c>
      <c r="E631" s="23" t="str">
        <f>IFERROR(__xludf.DUMMYFUNCTION("""COMPUTED_VALUE"""),"Hard")</f>
        <v>Hard</v>
      </c>
      <c r="F631" s="23">
        <f>IFERROR(__xludf.DUMMYFUNCTION("""COMPUTED_VALUE"""),1916.0)</f>
        <v>1916</v>
      </c>
      <c r="G631" s="23">
        <f>IFERROR(__xludf.DUMMYFUNCTION("""COMPUTED_VALUE"""),55.0)</f>
        <v>55</v>
      </c>
      <c r="H631" s="23" t="str">
        <f>IFERROR(__xludf.DUMMYFUNCTION("""COMPUTED_VALUE"""),"Algorithms")</f>
        <v>Algorithms</v>
      </c>
      <c r="I631" s="23">
        <f>IFERROR(__xludf.DUMMYFUNCTION("""COMPUTED_VALUE"""),0.357)</f>
        <v>0.357</v>
      </c>
      <c r="J631" s="23">
        <f>IFERROR(__xludf.DUMMYFUNCTION("""COMPUTED_VALUE"""),630.0)</f>
        <v>630</v>
      </c>
      <c r="K631" s="23" t="b">
        <f>IFERROR(__xludf.DUMMYFUNCTION("""COMPUTED_VALUE"""),FALSE)</f>
        <v>0</v>
      </c>
      <c r="L631" s="23" t="str">
        <f>IFERROR(__xludf.DUMMYFUNCTION("""COMPUTED_VALUE"""),"Array;Greedy;Heap (Priority Queue);")</f>
        <v>Array;Greedy;Heap (Priority Queue);</v>
      </c>
      <c r="M631" s="23" t="b">
        <f>IFERROR(__xludf.DUMMYFUNCTION("""COMPUTED_VALUE"""),TRUE)</f>
        <v>1</v>
      </c>
      <c r="N631" s="23" t="b">
        <f>IFERROR(__xludf.DUMMYFUNCTION("""COMPUTED_VALUE"""),FALSE)</f>
        <v>0</v>
      </c>
      <c r="O631" s="23">
        <f>IFERROR(__xludf.DUMMYFUNCTION("""COMPUTED_VALUE"""),35.7129786791012)</f>
        <v>35.71297868</v>
      </c>
      <c r="P631" s="23">
        <f>IFERROR(__xludf.DUMMYFUNCTION("""COMPUTED_VALUE"""),56599.0)</f>
        <v>56599</v>
      </c>
      <c r="Q631" s="23">
        <f>IFERROR(__xludf.DUMMYFUNCTION("""COMPUTED_VALUE"""),158480.0)</f>
        <v>158480</v>
      </c>
    </row>
    <row r="632">
      <c r="A632" s="23">
        <f>IFERROR(__xludf.DUMMYFUNCTION("""COMPUTED_VALUE"""),631.0)</f>
        <v>631</v>
      </c>
      <c r="B632" s="23" t="str">
        <f>IFERROR(__xludf.DUMMYFUNCTION("""COMPUTED_VALUE"""),"Design Excel Sum Formula")</f>
        <v>Design Excel Sum Formula</v>
      </c>
      <c r="C632" s="23" t="str">
        <f>IFERROR(__xludf.DUMMYFUNCTION("""COMPUTED_VALUE"""),"design-excel-sum-formula")</f>
        <v>design-excel-sum-formula</v>
      </c>
      <c r="D632" s="23" t="b">
        <f>IFERROR(__xludf.DUMMYFUNCTION("""COMPUTED_VALUE"""),TRUE)</f>
        <v>1</v>
      </c>
      <c r="E632" s="23" t="str">
        <f>IFERROR(__xludf.DUMMYFUNCTION("""COMPUTED_VALUE"""),"Hard")</f>
        <v>Hard</v>
      </c>
      <c r="F632" s="23">
        <f>IFERROR(__xludf.DUMMYFUNCTION("""COMPUTED_VALUE"""),178.0)</f>
        <v>178</v>
      </c>
      <c r="G632" s="23">
        <f>IFERROR(__xludf.DUMMYFUNCTION("""COMPUTED_VALUE"""),217.0)</f>
        <v>217</v>
      </c>
      <c r="H632" s="23" t="str">
        <f>IFERROR(__xludf.DUMMYFUNCTION("""COMPUTED_VALUE"""),"Algorithms")</f>
        <v>Algorithms</v>
      </c>
      <c r="I632" s="23">
        <f>IFERROR(__xludf.DUMMYFUNCTION("""COMPUTED_VALUE"""),0.418)</f>
        <v>0.418</v>
      </c>
      <c r="J632" s="23">
        <f>IFERROR(__xludf.DUMMYFUNCTION("""COMPUTED_VALUE"""),631.0)</f>
        <v>631</v>
      </c>
      <c r="K632" s="23" t="b">
        <f>IFERROR(__xludf.DUMMYFUNCTION("""COMPUTED_VALUE"""),TRUE)</f>
        <v>1</v>
      </c>
      <c r="L632" s="23" t="str">
        <f>IFERROR(__xludf.DUMMYFUNCTION("""COMPUTED_VALUE"""),"Graph;Design;Topological Sort;")</f>
        <v>Graph;Design;Topological Sort;</v>
      </c>
      <c r="M632" s="23" t="b">
        <f>IFERROR(__xludf.DUMMYFUNCTION("""COMPUTED_VALUE"""),TRUE)</f>
        <v>1</v>
      </c>
      <c r="N632" s="23" t="b">
        <f>IFERROR(__xludf.DUMMYFUNCTION("""COMPUTED_VALUE"""),FALSE)</f>
        <v>0</v>
      </c>
      <c r="O632" s="23">
        <f>IFERROR(__xludf.DUMMYFUNCTION("""COMPUTED_VALUE"""),41.8194136023184)</f>
        <v>41.8194136</v>
      </c>
      <c r="P632" s="23">
        <f>IFERROR(__xludf.DUMMYFUNCTION("""COMPUTED_VALUE"""),11111.0)</f>
        <v>11111</v>
      </c>
      <c r="Q632" s="23">
        <f>IFERROR(__xludf.DUMMYFUNCTION("""COMPUTED_VALUE"""),26569.0)</f>
        <v>26569</v>
      </c>
    </row>
    <row r="633">
      <c r="A633" s="23">
        <f>IFERROR(__xludf.DUMMYFUNCTION("""COMPUTED_VALUE"""),632.0)</f>
        <v>632</v>
      </c>
      <c r="B633" s="23" t="str">
        <f>IFERROR(__xludf.DUMMYFUNCTION("""COMPUTED_VALUE"""),"Smallest Range Covering Elements from K Lists")</f>
        <v>Smallest Range Covering Elements from K Lists</v>
      </c>
      <c r="C633" s="23" t="str">
        <f>IFERROR(__xludf.DUMMYFUNCTION("""COMPUTED_VALUE"""),"smallest-range-covering-elements-from-k-lists")</f>
        <v>smallest-range-covering-elements-from-k-lists</v>
      </c>
      <c r="D633" s="23" t="b">
        <f>IFERROR(__xludf.DUMMYFUNCTION("""COMPUTED_VALUE"""),FALSE)</f>
        <v>0</v>
      </c>
      <c r="E633" s="23" t="str">
        <f>IFERROR(__xludf.DUMMYFUNCTION("""COMPUTED_VALUE"""),"Hard")</f>
        <v>Hard</v>
      </c>
      <c r="F633" s="23">
        <f>IFERROR(__xludf.DUMMYFUNCTION("""COMPUTED_VALUE"""),2121.0)</f>
        <v>2121</v>
      </c>
      <c r="G633" s="23">
        <f>IFERROR(__xludf.DUMMYFUNCTION("""COMPUTED_VALUE"""),36.0)</f>
        <v>36</v>
      </c>
      <c r="H633" s="23" t="str">
        <f>IFERROR(__xludf.DUMMYFUNCTION("""COMPUTED_VALUE"""),"Algorithms")</f>
        <v>Algorithms</v>
      </c>
      <c r="I633" s="23">
        <f>IFERROR(__xludf.DUMMYFUNCTION("""COMPUTED_VALUE"""),0.585)</f>
        <v>0.585</v>
      </c>
      <c r="J633" s="23">
        <f>IFERROR(__xludf.DUMMYFUNCTION("""COMPUTED_VALUE"""),632.0)</f>
        <v>632</v>
      </c>
      <c r="K633" s="23" t="b">
        <f>IFERROR(__xludf.DUMMYFUNCTION("""COMPUTED_VALUE"""),FALSE)</f>
        <v>0</v>
      </c>
      <c r="L633" s="23" t="str">
        <f>IFERROR(__xludf.DUMMYFUNCTION("""COMPUTED_VALUE"""),"Array;Hash Table;Greedy;Sliding Window;Sorting;Heap (Priority Queue);")</f>
        <v>Array;Hash Table;Greedy;Sliding Window;Sorting;Heap (Priority Queue);</v>
      </c>
      <c r="M633" s="23" t="b">
        <f>IFERROR(__xludf.DUMMYFUNCTION("""COMPUTED_VALUE"""),TRUE)</f>
        <v>1</v>
      </c>
      <c r="N633" s="23" t="b">
        <f>IFERROR(__xludf.DUMMYFUNCTION("""COMPUTED_VALUE"""),FALSE)</f>
        <v>0</v>
      </c>
      <c r="O633" s="23">
        <f>IFERROR(__xludf.DUMMYFUNCTION("""COMPUTED_VALUE"""),58.5063180985877)</f>
        <v>58.5063181</v>
      </c>
      <c r="P633" s="23">
        <f>IFERROR(__xludf.DUMMYFUNCTION("""COMPUTED_VALUE"""),64543.0)</f>
        <v>64543</v>
      </c>
      <c r="Q633" s="23">
        <f>IFERROR(__xludf.DUMMYFUNCTION("""COMPUTED_VALUE"""),110318.0)</f>
        <v>110318</v>
      </c>
    </row>
    <row r="634">
      <c r="A634" s="23">
        <f>IFERROR(__xludf.DUMMYFUNCTION("""COMPUTED_VALUE"""),633.0)</f>
        <v>633</v>
      </c>
      <c r="B634" s="23" t="str">
        <f>IFERROR(__xludf.DUMMYFUNCTION("""COMPUTED_VALUE"""),"Sum of Square Numbers")</f>
        <v>Sum of Square Numbers</v>
      </c>
      <c r="C634" s="23" t="str">
        <f>IFERROR(__xludf.DUMMYFUNCTION("""COMPUTED_VALUE"""),"sum-of-square-numbers")</f>
        <v>sum-of-square-numbers</v>
      </c>
      <c r="D634" s="23" t="b">
        <f>IFERROR(__xludf.DUMMYFUNCTION("""COMPUTED_VALUE"""),FALSE)</f>
        <v>0</v>
      </c>
      <c r="E634" s="23" t="str">
        <f>IFERROR(__xludf.DUMMYFUNCTION("""COMPUTED_VALUE"""),"Medium")</f>
        <v>Medium</v>
      </c>
      <c r="F634" s="23">
        <f>IFERROR(__xludf.DUMMYFUNCTION("""COMPUTED_VALUE"""),1386.0)</f>
        <v>1386</v>
      </c>
      <c r="G634" s="23">
        <f>IFERROR(__xludf.DUMMYFUNCTION("""COMPUTED_VALUE"""),465.0)</f>
        <v>465</v>
      </c>
      <c r="H634" s="23" t="str">
        <f>IFERROR(__xludf.DUMMYFUNCTION("""COMPUTED_VALUE"""),"Algorithms")</f>
        <v>Algorithms</v>
      </c>
      <c r="I634" s="23">
        <f>IFERROR(__xludf.DUMMYFUNCTION("""COMPUTED_VALUE"""),0.347)</f>
        <v>0.347</v>
      </c>
      <c r="J634" s="23">
        <f>IFERROR(__xludf.DUMMYFUNCTION("""COMPUTED_VALUE"""),633.0)</f>
        <v>633</v>
      </c>
      <c r="K634" s="23" t="b">
        <f>IFERROR(__xludf.DUMMYFUNCTION("""COMPUTED_VALUE"""),FALSE)</f>
        <v>0</v>
      </c>
      <c r="L634" s="23" t="str">
        <f>IFERROR(__xludf.DUMMYFUNCTION("""COMPUTED_VALUE"""),"Math;Two Pointers;Binary Search;")</f>
        <v>Math;Two Pointers;Binary Search;</v>
      </c>
      <c r="M634" s="23" t="b">
        <f>IFERROR(__xludf.DUMMYFUNCTION("""COMPUTED_VALUE"""),TRUE)</f>
        <v>1</v>
      </c>
      <c r="N634" s="23" t="b">
        <f>IFERROR(__xludf.DUMMYFUNCTION("""COMPUTED_VALUE"""),FALSE)</f>
        <v>0</v>
      </c>
      <c r="O634" s="23">
        <f>IFERROR(__xludf.DUMMYFUNCTION("""COMPUTED_VALUE"""),34.6579216777142)</f>
        <v>34.65792168</v>
      </c>
      <c r="P634" s="23">
        <f>IFERROR(__xludf.DUMMYFUNCTION("""COMPUTED_VALUE"""),134058.0)</f>
        <v>134058</v>
      </c>
      <c r="Q634" s="23">
        <f>IFERROR(__xludf.DUMMYFUNCTION("""COMPUTED_VALUE"""),386804.0)</f>
        <v>386804</v>
      </c>
    </row>
    <row r="635">
      <c r="A635" s="23">
        <f>IFERROR(__xludf.DUMMYFUNCTION("""COMPUTED_VALUE"""),634.0)</f>
        <v>634</v>
      </c>
      <c r="B635" s="23" t="str">
        <f>IFERROR(__xludf.DUMMYFUNCTION("""COMPUTED_VALUE"""),"Find the Derangement of An Array")</f>
        <v>Find the Derangement of An Array</v>
      </c>
      <c r="C635" s="23" t="str">
        <f>IFERROR(__xludf.DUMMYFUNCTION("""COMPUTED_VALUE"""),"find-the-derangement-of-an-array")</f>
        <v>find-the-derangement-of-an-array</v>
      </c>
      <c r="D635" s="23" t="b">
        <f>IFERROR(__xludf.DUMMYFUNCTION("""COMPUTED_VALUE"""),TRUE)</f>
        <v>1</v>
      </c>
      <c r="E635" s="23" t="str">
        <f>IFERROR(__xludf.DUMMYFUNCTION("""COMPUTED_VALUE"""),"Medium")</f>
        <v>Medium</v>
      </c>
      <c r="F635" s="23">
        <f>IFERROR(__xludf.DUMMYFUNCTION("""COMPUTED_VALUE"""),169.0)</f>
        <v>169</v>
      </c>
      <c r="G635" s="23">
        <f>IFERROR(__xludf.DUMMYFUNCTION("""COMPUTED_VALUE"""),135.0)</f>
        <v>135</v>
      </c>
      <c r="H635" s="23" t="str">
        <f>IFERROR(__xludf.DUMMYFUNCTION("""COMPUTED_VALUE"""),"Algorithms")</f>
        <v>Algorithms</v>
      </c>
      <c r="I635" s="23">
        <f>IFERROR(__xludf.DUMMYFUNCTION("""COMPUTED_VALUE"""),0.412)</f>
        <v>0.412</v>
      </c>
      <c r="J635" s="23">
        <f>IFERROR(__xludf.DUMMYFUNCTION("""COMPUTED_VALUE"""),634.0)</f>
        <v>634</v>
      </c>
      <c r="K635" s="23" t="b">
        <f>IFERROR(__xludf.DUMMYFUNCTION("""COMPUTED_VALUE"""),TRUE)</f>
        <v>1</v>
      </c>
      <c r="L635" s="23" t="str">
        <f>IFERROR(__xludf.DUMMYFUNCTION("""COMPUTED_VALUE"""),"Math;Dynamic Programming;")</f>
        <v>Math;Dynamic Programming;</v>
      </c>
      <c r="M635" s="23" t="b">
        <f>IFERROR(__xludf.DUMMYFUNCTION("""COMPUTED_VALUE"""),TRUE)</f>
        <v>1</v>
      </c>
      <c r="N635" s="23" t="b">
        <f>IFERROR(__xludf.DUMMYFUNCTION("""COMPUTED_VALUE"""),FALSE)</f>
        <v>0</v>
      </c>
      <c r="O635" s="23">
        <f>IFERROR(__xludf.DUMMYFUNCTION("""COMPUTED_VALUE"""),41.2432990704765)</f>
        <v>41.24329907</v>
      </c>
      <c r="P635" s="23">
        <f>IFERROR(__xludf.DUMMYFUNCTION("""COMPUTED_VALUE"""),8386.0)</f>
        <v>8386</v>
      </c>
      <c r="Q635" s="23">
        <f>IFERROR(__xludf.DUMMYFUNCTION("""COMPUTED_VALUE"""),20333.0)</f>
        <v>20333</v>
      </c>
    </row>
    <row r="636">
      <c r="A636" s="23">
        <f>IFERROR(__xludf.DUMMYFUNCTION("""COMPUTED_VALUE"""),635.0)</f>
        <v>635</v>
      </c>
      <c r="B636" s="23" t="str">
        <f>IFERROR(__xludf.DUMMYFUNCTION("""COMPUTED_VALUE"""),"Design Log Storage System")</f>
        <v>Design Log Storage System</v>
      </c>
      <c r="C636" s="23" t="str">
        <f>IFERROR(__xludf.DUMMYFUNCTION("""COMPUTED_VALUE"""),"design-log-storage-system")</f>
        <v>design-log-storage-system</v>
      </c>
      <c r="D636" s="23" t="b">
        <f>IFERROR(__xludf.DUMMYFUNCTION("""COMPUTED_VALUE"""),TRUE)</f>
        <v>1</v>
      </c>
      <c r="E636" s="23" t="str">
        <f>IFERROR(__xludf.DUMMYFUNCTION("""COMPUTED_VALUE"""),"Medium")</f>
        <v>Medium</v>
      </c>
      <c r="F636" s="23">
        <f>IFERROR(__xludf.DUMMYFUNCTION("""COMPUTED_VALUE"""),419.0)</f>
        <v>419</v>
      </c>
      <c r="G636" s="23">
        <f>IFERROR(__xludf.DUMMYFUNCTION("""COMPUTED_VALUE"""),174.0)</f>
        <v>174</v>
      </c>
      <c r="H636" s="23" t="str">
        <f>IFERROR(__xludf.DUMMYFUNCTION("""COMPUTED_VALUE"""),"Algorithms")</f>
        <v>Algorithms</v>
      </c>
      <c r="I636" s="23">
        <f>IFERROR(__xludf.DUMMYFUNCTION("""COMPUTED_VALUE"""),0.624)</f>
        <v>0.624</v>
      </c>
      <c r="J636" s="23">
        <f>IFERROR(__xludf.DUMMYFUNCTION("""COMPUTED_VALUE"""),635.0)</f>
        <v>635</v>
      </c>
      <c r="K636" s="23" t="b">
        <f>IFERROR(__xludf.DUMMYFUNCTION("""COMPUTED_VALUE"""),TRUE)</f>
        <v>1</v>
      </c>
      <c r="L636" s="23" t="str">
        <f>IFERROR(__xludf.DUMMYFUNCTION("""COMPUTED_VALUE"""),"Hash Table;String;Design;Ordered Set;")</f>
        <v>Hash Table;String;Design;Ordered Set;</v>
      </c>
      <c r="M636" s="23" t="b">
        <f>IFERROR(__xludf.DUMMYFUNCTION("""COMPUTED_VALUE"""),TRUE)</f>
        <v>1</v>
      </c>
      <c r="N636" s="23" t="b">
        <f>IFERROR(__xludf.DUMMYFUNCTION("""COMPUTED_VALUE"""),FALSE)</f>
        <v>0</v>
      </c>
      <c r="O636" s="23">
        <f>IFERROR(__xludf.DUMMYFUNCTION("""COMPUTED_VALUE"""),62.4127246436686)</f>
        <v>62.41272464</v>
      </c>
      <c r="P636" s="23">
        <f>IFERROR(__xludf.DUMMYFUNCTION("""COMPUTED_VALUE"""),30214.0)</f>
        <v>30214</v>
      </c>
      <c r="Q636" s="23">
        <f>IFERROR(__xludf.DUMMYFUNCTION("""COMPUTED_VALUE"""),48410.0)</f>
        <v>48410</v>
      </c>
    </row>
    <row r="637">
      <c r="A637" s="23">
        <f>IFERROR(__xludf.DUMMYFUNCTION("""COMPUTED_VALUE"""),636.0)</f>
        <v>636</v>
      </c>
      <c r="B637" s="23" t="str">
        <f>IFERROR(__xludf.DUMMYFUNCTION("""COMPUTED_VALUE"""),"Exclusive Time of Functions")</f>
        <v>Exclusive Time of Functions</v>
      </c>
      <c r="C637" s="23" t="str">
        <f>IFERROR(__xludf.DUMMYFUNCTION("""COMPUTED_VALUE"""),"exclusive-time-of-functions")</f>
        <v>exclusive-time-of-functions</v>
      </c>
      <c r="D637" s="23" t="b">
        <f>IFERROR(__xludf.DUMMYFUNCTION("""COMPUTED_VALUE"""),FALSE)</f>
        <v>0</v>
      </c>
      <c r="E637" s="23" t="str">
        <f>IFERROR(__xludf.DUMMYFUNCTION("""COMPUTED_VALUE"""),"Medium")</f>
        <v>Medium</v>
      </c>
      <c r="F637" s="23">
        <f>IFERROR(__xludf.DUMMYFUNCTION("""COMPUTED_VALUE"""),1598.0)</f>
        <v>1598</v>
      </c>
      <c r="G637" s="23">
        <f>IFERROR(__xludf.DUMMYFUNCTION("""COMPUTED_VALUE"""),2394.0)</f>
        <v>2394</v>
      </c>
      <c r="H637" s="23" t="str">
        <f>IFERROR(__xludf.DUMMYFUNCTION("""COMPUTED_VALUE"""),"Algorithms")</f>
        <v>Algorithms</v>
      </c>
      <c r="I637" s="23">
        <f>IFERROR(__xludf.DUMMYFUNCTION("""COMPUTED_VALUE"""),0.602)</f>
        <v>0.602</v>
      </c>
      <c r="J637" s="23">
        <f>IFERROR(__xludf.DUMMYFUNCTION("""COMPUTED_VALUE"""),636.0)</f>
        <v>636</v>
      </c>
      <c r="K637" s="23" t="b">
        <f>IFERROR(__xludf.DUMMYFUNCTION("""COMPUTED_VALUE"""),FALSE)</f>
        <v>0</v>
      </c>
      <c r="L637" s="23" t="str">
        <f>IFERROR(__xludf.DUMMYFUNCTION("""COMPUTED_VALUE"""),"Array;Stack;")</f>
        <v>Array;Stack;</v>
      </c>
      <c r="M637" s="23" t="b">
        <f>IFERROR(__xludf.DUMMYFUNCTION("""COMPUTED_VALUE"""),FALSE)</f>
        <v>0</v>
      </c>
      <c r="N637" s="23" t="b">
        <f>IFERROR(__xludf.DUMMYFUNCTION("""COMPUTED_VALUE"""),FALSE)</f>
        <v>0</v>
      </c>
      <c r="O637" s="23">
        <f>IFERROR(__xludf.DUMMYFUNCTION("""COMPUTED_VALUE"""),60.2274588558691)</f>
        <v>60.22745886</v>
      </c>
      <c r="P637" s="23">
        <f>IFERROR(__xludf.DUMMYFUNCTION("""COMPUTED_VALUE"""),169143.0)</f>
        <v>169143</v>
      </c>
      <c r="Q637" s="23">
        <f>IFERROR(__xludf.DUMMYFUNCTION("""COMPUTED_VALUE"""),280841.0)</f>
        <v>280841</v>
      </c>
    </row>
    <row r="638">
      <c r="A638" s="23">
        <f>IFERROR(__xludf.DUMMYFUNCTION("""COMPUTED_VALUE"""),637.0)</f>
        <v>637</v>
      </c>
      <c r="B638" s="23" t="str">
        <f>IFERROR(__xludf.DUMMYFUNCTION("""COMPUTED_VALUE"""),"Average of Levels in Binary Tree")</f>
        <v>Average of Levels in Binary Tree</v>
      </c>
      <c r="C638" s="23" t="str">
        <f>IFERROR(__xludf.DUMMYFUNCTION("""COMPUTED_VALUE"""),"average-of-levels-in-binary-tree")</f>
        <v>average-of-levels-in-binary-tree</v>
      </c>
      <c r="D638" s="23" t="b">
        <f>IFERROR(__xludf.DUMMYFUNCTION("""COMPUTED_VALUE"""),FALSE)</f>
        <v>0</v>
      </c>
      <c r="E638" s="23" t="str">
        <f>IFERROR(__xludf.DUMMYFUNCTION("""COMPUTED_VALUE"""),"Easy")</f>
        <v>Easy</v>
      </c>
      <c r="F638" s="23">
        <f>IFERROR(__xludf.DUMMYFUNCTION("""COMPUTED_VALUE"""),2945.0)</f>
        <v>2945</v>
      </c>
      <c r="G638" s="23">
        <f>IFERROR(__xludf.DUMMYFUNCTION("""COMPUTED_VALUE"""),234.0)</f>
        <v>234</v>
      </c>
      <c r="H638" s="23" t="str">
        <f>IFERROR(__xludf.DUMMYFUNCTION("""COMPUTED_VALUE"""),"Algorithms")</f>
        <v>Algorithms</v>
      </c>
      <c r="I638" s="23">
        <f>IFERROR(__xludf.DUMMYFUNCTION("""COMPUTED_VALUE"""),0.687)</f>
        <v>0.687</v>
      </c>
      <c r="J638" s="23">
        <f>IFERROR(__xludf.DUMMYFUNCTION("""COMPUTED_VALUE"""),637.0)</f>
        <v>637</v>
      </c>
      <c r="K638" s="23" t="b">
        <f>IFERROR(__xludf.DUMMYFUNCTION("""COMPUTED_VALUE"""),FALSE)</f>
        <v>0</v>
      </c>
      <c r="L638" s="23" t="str">
        <f>IFERROR(__xludf.DUMMYFUNCTION("""COMPUTED_VALUE"""),"Tree;Depth-First Search;Breadth-First Search;Binary Tree;")</f>
        <v>Tree;Depth-First Search;Breadth-First Search;Binary Tree;</v>
      </c>
      <c r="M638" s="23" t="b">
        <f>IFERROR(__xludf.DUMMYFUNCTION("""COMPUTED_VALUE"""),TRUE)</f>
        <v>1</v>
      </c>
      <c r="N638" s="23" t="b">
        <f>IFERROR(__xludf.DUMMYFUNCTION("""COMPUTED_VALUE"""),FALSE)</f>
        <v>0</v>
      </c>
      <c r="O638" s="23">
        <f>IFERROR(__xludf.DUMMYFUNCTION("""COMPUTED_VALUE"""),68.6514439428606)</f>
        <v>68.65144394</v>
      </c>
      <c r="P638" s="23">
        <f>IFERROR(__xludf.DUMMYFUNCTION("""COMPUTED_VALUE"""),266436.0)</f>
        <v>266436</v>
      </c>
      <c r="Q638" s="23">
        <f>IFERROR(__xludf.DUMMYFUNCTION("""COMPUTED_VALUE"""),388101.0)</f>
        <v>388101</v>
      </c>
    </row>
    <row r="639">
      <c r="A639" s="23">
        <f>IFERROR(__xludf.DUMMYFUNCTION("""COMPUTED_VALUE"""),638.0)</f>
        <v>638</v>
      </c>
      <c r="B639" s="23" t="str">
        <f>IFERROR(__xludf.DUMMYFUNCTION("""COMPUTED_VALUE"""),"Shopping Offers")</f>
        <v>Shopping Offers</v>
      </c>
      <c r="C639" s="23" t="str">
        <f>IFERROR(__xludf.DUMMYFUNCTION("""COMPUTED_VALUE"""),"shopping-offers")</f>
        <v>shopping-offers</v>
      </c>
      <c r="D639" s="23" t="b">
        <f>IFERROR(__xludf.DUMMYFUNCTION("""COMPUTED_VALUE"""),FALSE)</f>
        <v>0</v>
      </c>
      <c r="E639" s="23" t="str">
        <f>IFERROR(__xludf.DUMMYFUNCTION("""COMPUTED_VALUE"""),"Medium")</f>
        <v>Medium</v>
      </c>
      <c r="F639" s="23">
        <f>IFERROR(__xludf.DUMMYFUNCTION("""COMPUTED_VALUE"""),990.0)</f>
        <v>990</v>
      </c>
      <c r="G639" s="23">
        <f>IFERROR(__xludf.DUMMYFUNCTION("""COMPUTED_VALUE"""),634.0)</f>
        <v>634</v>
      </c>
      <c r="H639" s="23" t="str">
        <f>IFERROR(__xludf.DUMMYFUNCTION("""COMPUTED_VALUE"""),"Algorithms")</f>
        <v>Algorithms</v>
      </c>
      <c r="I639" s="23">
        <f>IFERROR(__xludf.DUMMYFUNCTION("""COMPUTED_VALUE"""),0.546)</f>
        <v>0.546</v>
      </c>
      <c r="J639" s="23">
        <f>IFERROR(__xludf.DUMMYFUNCTION("""COMPUTED_VALUE"""),638.0)</f>
        <v>638</v>
      </c>
      <c r="K639" s="23" t="b">
        <f>IFERROR(__xludf.DUMMYFUNCTION("""COMPUTED_VALUE"""),FALSE)</f>
        <v>0</v>
      </c>
      <c r="L639" s="23" t="str">
        <f>IFERROR(__xludf.DUMMYFUNCTION("""COMPUTED_VALUE"""),"Array;Dynamic Programming;Backtracking;Bit Manipulation;Memoization;Bitmask;")</f>
        <v>Array;Dynamic Programming;Backtracking;Bit Manipulation;Memoization;Bitmask;</v>
      </c>
      <c r="M639" s="23" t="b">
        <f>IFERROR(__xludf.DUMMYFUNCTION("""COMPUTED_VALUE"""),TRUE)</f>
        <v>1</v>
      </c>
      <c r="N639" s="23" t="b">
        <f>IFERROR(__xludf.DUMMYFUNCTION("""COMPUTED_VALUE"""),FALSE)</f>
        <v>0</v>
      </c>
      <c r="O639" s="23">
        <f>IFERROR(__xludf.DUMMYFUNCTION("""COMPUTED_VALUE"""),54.5864050756933)</f>
        <v>54.58640508</v>
      </c>
      <c r="P639" s="23">
        <f>IFERROR(__xludf.DUMMYFUNCTION("""COMPUTED_VALUE"""),45684.0)</f>
        <v>45684</v>
      </c>
      <c r="Q639" s="23">
        <f>IFERROR(__xludf.DUMMYFUNCTION("""COMPUTED_VALUE"""),83691.0)</f>
        <v>83691</v>
      </c>
    </row>
    <row r="640">
      <c r="A640" s="23">
        <f>IFERROR(__xludf.DUMMYFUNCTION("""COMPUTED_VALUE"""),639.0)</f>
        <v>639</v>
      </c>
      <c r="B640" s="23" t="str">
        <f>IFERROR(__xludf.DUMMYFUNCTION("""COMPUTED_VALUE"""),"Decode Ways II")</f>
        <v>Decode Ways II</v>
      </c>
      <c r="C640" s="23" t="str">
        <f>IFERROR(__xludf.DUMMYFUNCTION("""COMPUTED_VALUE"""),"decode-ways-ii")</f>
        <v>decode-ways-ii</v>
      </c>
      <c r="D640" s="23" t="b">
        <f>IFERROR(__xludf.DUMMYFUNCTION("""COMPUTED_VALUE"""),FALSE)</f>
        <v>0</v>
      </c>
      <c r="E640" s="23" t="str">
        <f>IFERROR(__xludf.DUMMYFUNCTION("""COMPUTED_VALUE"""),"Hard")</f>
        <v>Hard</v>
      </c>
      <c r="F640" s="23">
        <f>IFERROR(__xludf.DUMMYFUNCTION("""COMPUTED_VALUE"""),1054.0)</f>
        <v>1054</v>
      </c>
      <c r="G640" s="23">
        <f>IFERROR(__xludf.DUMMYFUNCTION("""COMPUTED_VALUE"""),745.0)</f>
        <v>745</v>
      </c>
      <c r="H640" s="23" t="str">
        <f>IFERROR(__xludf.DUMMYFUNCTION("""COMPUTED_VALUE"""),"Algorithms")</f>
        <v>Algorithms</v>
      </c>
      <c r="I640" s="23">
        <f>IFERROR(__xludf.DUMMYFUNCTION("""COMPUTED_VALUE"""),0.304)</f>
        <v>0.304</v>
      </c>
      <c r="J640" s="23">
        <f>IFERROR(__xludf.DUMMYFUNCTION("""COMPUTED_VALUE"""),639.0)</f>
        <v>639</v>
      </c>
      <c r="K640" s="23" t="b">
        <f>IFERROR(__xludf.DUMMYFUNCTION("""COMPUTED_VALUE"""),FALSE)</f>
        <v>0</v>
      </c>
      <c r="L640" s="23" t="str">
        <f>IFERROR(__xludf.DUMMYFUNCTION("""COMPUTED_VALUE"""),"String;Dynamic Programming;")</f>
        <v>String;Dynamic Programming;</v>
      </c>
      <c r="M640" s="23" t="b">
        <f>IFERROR(__xludf.DUMMYFUNCTION("""COMPUTED_VALUE"""),TRUE)</f>
        <v>1</v>
      </c>
      <c r="N640" s="23" t="b">
        <f>IFERROR(__xludf.DUMMYFUNCTION("""COMPUTED_VALUE"""),FALSE)</f>
        <v>0</v>
      </c>
      <c r="O640" s="23">
        <f>IFERROR(__xludf.DUMMYFUNCTION("""COMPUTED_VALUE"""),30.3666365733774)</f>
        <v>30.36663657</v>
      </c>
      <c r="P640" s="23">
        <f>IFERROR(__xludf.DUMMYFUNCTION("""COMPUTED_VALUE"""),60545.0)</f>
        <v>60545</v>
      </c>
      <c r="Q640" s="23">
        <f>IFERROR(__xludf.DUMMYFUNCTION("""COMPUTED_VALUE"""),199378.0)</f>
        <v>199378</v>
      </c>
    </row>
    <row r="641">
      <c r="A641" s="23">
        <f>IFERROR(__xludf.DUMMYFUNCTION("""COMPUTED_VALUE"""),640.0)</f>
        <v>640</v>
      </c>
      <c r="B641" s="23" t="str">
        <f>IFERROR(__xludf.DUMMYFUNCTION("""COMPUTED_VALUE"""),"Solve the Equation")</f>
        <v>Solve the Equation</v>
      </c>
      <c r="C641" s="23" t="str">
        <f>IFERROR(__xludf.DUMMYFUNCTION("""COMPUTED_VALUE"""),"solve-the-equation")</f>
        <v>solve-the-equation</v>
      </c>
      <c r="D641" s="23" t="b">
        <f>IFERROR(__xludf.DUMMYFUNCTION("""COMPUTED_VALUE"""),FALSE)</f>
        <v>0</v>
      </c>
      <c r="E641" s="23" t="str">
        <f>IFERROR(__xludf.DUMMYFUNCTION("""COMPUTED_VALUE"""),"Medium")</f>
        <v>Medium</v>
      </c>
      <c r="F641" s="23">
        <f>IFERROR(__xludf.DUMMYFUNCTION("""COMPUTED_VALUE"""),367.0)</f>
        <v>367</v>
      </c>
      <c r="G641" s="23">
        <f>IFERROR(__xludf.DUMMYFUNCTION("""COMPUTED_VALUE"""),693.0)</f>
        <v>693</v>
      </c>
      <c r="H641" s="23" t="str">
        <f>IFERROR(__xludf.DUMMYFUNCTION("""COMPUTED_VALUE"""),"Algorithms")</f>
        <v>Algorithms</v>
      </c>
      <c r="I641" s="23">
        <f>IFERROR(__xludf.DUMMYFUNCTION("""COMPUTED_VALUE"""),0.433)</f>
        <v>0.433</v>
      </c>
      <c r="J641" s="23">
        <f>IFERROR(__xludf.DUMMYFUNCTION("""COMPUTED_VALUE"""),640.0)</f>
        <v>640</v>
      </c>
      <c r="K641" s="23" t="b">
        <f>IFERROR(__xludf.DUMMYFUNCTION("""COMPUTED_VALUE"""),FALSE)</f>
        <v>0</v>
      </c>
      <c r="L641" s="23" t="str">
        <f>IFERROR(__xludf.DUMMYFUNCTION("""COMPUTED_VALUE"""),"Math;String;Simulation;")</f>
        <v>Math;String;Simulation;</v>
      </c>
      <c r="M641" s="23" t="b">
        <f>IFERROR(__xludf.DUMMYFUNCTION("""COMPUTED_VALUE"""),TRUE)</f>
        <v>1</v>
      </c>
      <c r="N641" s="23" t="b">
        <f>IFERROR(__xludf.DUMMYFUNCTION("""COMPUTED_VALUE"""),FALSE)</f>
        <v>0</v>
      </c>
      <c r="O641" s="23">
        <f>IFERROR(__xludf.DUMMYFUNCTION("""COMPUTED_VALUE"""),43.2926418928922)</f>
        <v>43.29264189</v>
      </c>
      <c r="P641" s="23">
        <f>IFERROR(__xludf.DUMMYFUNCTION("""COMPUTED_VALUE"""),32166.0)</f>
        <v>32166</v>
      </c>
      <c r="Q641" s="23">
        <f>IFERROR(__xludf.DUMMYFUNCTION("""COMPUTED_VALUE"""),74299.0)</f>
        <v>74299</v>
      </c>
    </row>
    <row r="642">
      <c r="A642" s="23">
        <f>IFERROR(__xludf.DUMMYFUNCTION("""COMPUTED_VALUE"""),859.0)</f>
        <v>859</v>
      </c>
      <c r="B642" s="23" t="str">
        <f>IFERROR(__xludf.DUMMYFUNCTION("""COMPUTED_VALUE"""),"Design Circular Deque")</f>
        <v>Design Circular Deque</v>
      </c>
      <c r="C642" s="23" t="str">
        <f>IFERROR(__xludf.DUMMYFUNCTION("""COMPUTED_VALUE"""),"design-circular-deque")</f>
        <v>design-circular-deque</v>
      </c>
      <c r="D642" s="23" t="b">
        <f>IFERROR(__xludf.DUMMYFUNCTION("""COMPUTED_VALUE"""),FALSE)</f>
        <v>0</v>
      </c>
      <c r="E642" s="23" t="str">
        <f>IFERROR(__xludf.DUMMYFUNCTION("""COMPUTED_VALUE"""),"Medium")</f>
        <v>Medium</v>
      </c>
      <c r="F642" s="23">
        <f>IFERROR(__xludf.DUMMYFUNCTION("""COMPUTED_VALUE"""),687.0)</f>
        <v>687</v>
      </c>
      <c r="G642" s="23">
        <f>IFERROR(__xludf.DUMMYFUNCTION("""COMPUTED_VALUE"""),56.0)</f>
        <v>56</v>
      </c>
      <c r="H642" s="23" t="str">
        <f>IFERROR(__xludf.DUMMYFUNCTION("""COMPUTED_VALUE"""),"Algorithms")</f>
        <v>Algorithms</v>
      </c>
      <c r="I642" s="23">
        <f>IFERROR(__xludf.DUMMYFUNCTION("""COMPUTED_VALUE"""),0.572)</f>
        <v>0.572</v>
      </c>
      <c r="J642" s="23">
        <f>IFERROR(__xludf.DUMMYFUNCTION("""COMPUTED_VALUE"""),641.0)</f>
        <v>641</v>
      </c>
      <c r="K642" s="23" t="b">
        <f>IFERROR(__xludf.DUMMYFUNCTION("""COMPUTED_VALUE"""),FALSE)</f>
        <v>0</v>
      </c>
      <c r="L642" s="23" t="str">
        <f>IFERROR(__xludf.DUMMYFUNCTION("""COMPUTED_VALUE"""),"Array;Linked List;Design;Queue;")</f>
        <v>Array;Linked List;Design;Queue;</v>
      </c>
      <c r="M642" s="23" t="b">
        <f>IFERROR(__xludf.DUMMYFUNCTION("""COMPUTED_VALUE"""),FALSE)</f>
        <v>0</v>
      </c>
      <c r="N642" s="23" t="b">
        <f>IFERROR(__xludf.DUMMYFUNCTION("""COMPUTED_VALUE"""),FALSE)</f>
        <v>0</v>
      </c>
      <c r="O642" s="23">
        <f>IFERROR(__xludf.DUMMYFUNCTION("""COMPUTED_VALUE"""),57.2145696959961)</f>
        <v>57.2145697</v>
      </c>
      <c r="P642" s="23">
        <f>IFERROR(__xludf.DUMMYFUNCTION("""COMPUTED_VALUE"""),42740.0)</f>
        <v>42740</v>
      </c>
      <c r="Q642" s="23">
        <f>IFERROR(__xludf.DUMMYFUNCTION("""COMPUTED_VALUE"""),74702.0)</f>
        <v>74702</v>
      </c>
    </row>
    <row r="643">
      <c r="A643" s="23">
        <f>IFERROR(__xludf.DUMMYFUNCTION("""COMPUTED_VALUE"""),642.0)</f>
        <v>642</v>
      </c>
      <c r="B643" s="23" t="str">
        <f>IFERROR(__xludf.DUMMYFUNCTION("""COMPUTED_VALUE"""),"Design Search Autocomplete System")</f>
        <v>Design Search Autocomplete System</v>
      </c>
      <c r="C643" s="23" t="str">
        <f>IFERROR(__xludf.DUMMYFUNCTION("""COMPUTED_VALUE"""),"design-search-autocomplete-system")</f>
        <v>design-search-autocomplete-system</v>
      </c>
      <c r="D643" s="23" t="b">
        <f>IFERROR(__xludf.DUMMYFUNCTION("""COMPUTED_VALUE"""),TRUE)</f>
        <v>1</v>
      </c>
      <c r="E643" s="23" t="str">
        <f>IFERROR(__xludf.DUMMYFUNCTION("""COMPUTED_VALUE"""),"Hard")</f>
        <v>Hard</v>
      </c>
      <c r="F643" s="23">
        <f>IFERROR(__xludf.DUMMYFUNCTION("""COMPUTED_VALUE"""),1754.0)</f>
        <v>1754</v>
      </c>
      <c r="G643" s="23">
        <f>IFERROR(__xludf.DUMMYFUNCTION("""COMPUTED_VALUE"""),119.0)</f>
        <v>119</v>
      </c>
      <c r="H643" s="23" t="str">
        <f>IFERROR(__xludf.DUMMYFUNCTION("""COMPUTED_VALUE"""),"Algorithms")</f>
        <v>Algorithms</v>
      </c>
      <c r="I643" s="23">
        <f>IFERROR(__xludf.DUMMYFUNCTION("""COMPUTED_VALUE"""),0.482)</f>
        <v>0.482</v>
      </c>
      <c r="J643" s="23">
        <f>IFERROR(__xludf.DUMMYFUNCTION("""COMPUTED_VALUE"""),642.0)</f>
        <v>642</v>
      </c>
      <c r="K643" s="23" t="b">
        <f>IFERROR(__xludf.DUMMYFUNCTION("""COMPUTED_VALUE"""),TRUE)</f>
        <v>1</v>
      </c>
      <c r="L643" s="23" t="str">
        <f>IFERROR(__xludf.DUMMYFUNCTION("""COMPUTED_VALUE"""),"String;Design;Trie;Data Stream;")</f>
        <v>String;Design;Trie;Data Stream;</v>
      </c>
      <c r="M643" s="23" t="b">
        <f>IFERROR(__xludf.DUMMYFUNCTION("""COMPUTED_VALUE"""),FALSE)</f>
        <v>0</v>
      </c>
      <c r="N643" s="23" t="b">
        <f>IFERROR(__xludf.DUMMYFUNCTION("""COMPUTED_VALUE"""),FALSE)</f>
        <v>0</v>
      </c>
      <c r="O643" s="23">
        <f>IFERROR(__xludf.DUMMYFUNCTION("""COMPUTED_VALUE"""),48.2408369767821)</f>
        <v>48.24083698</v>
      </c>
      <c r="P643" s="23">
        <f>IFERROR(__xludf.DUMMYFUNCTION("""COMPUTED_VALUE"""),112323.0)</f>
        <v>112323</v>
      </c>
      <c r="Q643" s="23">
        <f>IFERROR(__xludf.DUMMYFUNCTION("""COMPUTED_VALUE"""),232838.0)</f>
        <v>232838</v>
      </c>
    </row>
    <row r="644">
      <c r="A644" s="23">
        <f>IFERROR(__xludf.DUMMYFUNCTION("""COMPUTED_VALUE"""),643.0)</f>
        <v>643</v>
      </c>
      <c r="B644" s="23" t="str">
        <f>IFERROR(__xludf.DUMMYFUNCTION("""COMPUTED_VALUE"""),"Maximum Average Subarray I")</f>
        <v>Maximum Average Subarray I</v>
      </c>
      <c r="C644" s="23" t="str">
        <f>IFERROR(__xludf.DUMMYFUNCTION("""COMPUTED_VALUE"""),"maximum-average-subarray-i")</f>
        <v>maximum-average-subarray-i</v>
      </c>
      <c r="D644" s="23" t="b">
        <f>IFERROR(__xludf.DUMMYFUNCTION("""COMPUTED_VALUE"""),FALSE)</f>
        <v>0</v>
      </c>
      <c r="E644" s="23" t="str">
        <f>IFERROR(__xludf.DUMMYFUNCTION("""COMPUTED_VALUE"""),"Easy")</f>
        <v>Easy</v>
      </c>
      <c r="F644" s="23">
        <f>IFERROR(__xludf.DUMMYFUNCTION("""COMPUTED_VALUE"""),1591.0)</f>
        <v>1591</v>
      </c>
      <c r="G644" s="23">
        <f>IFERROR(__xludf.DUMMYFUNCTION("""COMPUTED_VALUE"""),158.0)</f>
        <v>158</v>
      </c>
      <c r="H644" s="23" t="str">
        <f>IFERROR(__xludf.DUMMYFUNCTION("""COMPUTED_VALUE"""),"Algorithms")</f>
        <v>Algorithms</v>
      </c>
      <c r="I644" s="23">
        <f>IFERROR(__xludf.DUMMYFUNCTION("""COMPUTED_VALUE"""),0.435)</f>
        <v>0.435</v>
      </c>
      <c r="J644" s="23">
        <f>IFERROR(__xludf.DUMMYFUNCTION("""COMPUTED_VALUE"""),643.0)</f>
        <v>643</v>
      </c>
      <c r="K644" s="23" t="b">
        <f>IFERROR(__xludf.DUMMYFUNCTION("""COMPUTED_VALUE"""),FALSE)</f>
        <v>0</v>
      </c>
      <c r="L644" s="23" t="str">
        <f>IFERROR(__xludf.DUMMYFUNCTION("""COMPUTED_VALUE"""),"Array;Sliding Window;")</f>
        <v>Array;Sliding Window;</v>
      </c>
      <c r="M644" s="23" t="b">
        <f>IFERROR(__xludf.DUMMYFUNCTION("""COMPUTED_VALUE"""),TRUE)</f>
        <v>1</v>
      </c>
      <c r="N644" s="23" t="b">
        <f>IFERROR(__xludf.DUMMYFUNCTION("""COMPUTED_VALUE"""),FALSE)</f>
        <v>0</v>
      </c>
      <c r="O644" s="23">
        <f>IFERROR(__xludf.DUMMYFUNCTION("""COMPUTED_VALUE"""),43.4929160278135)</f>
        <v>43.49291603</v>
      </c>
      <c r="P644" s="23">
        <f>IFERROR(__xludf.DUMMYFUNCTION("""COMPUTED_VALUE"""),141547.0)</f>
        <v>141547</v>
      </c>
      <c r="Q644" s="23">
        <f>IFERROR(__xludf.DUMMYFUNCTION("""COMPUTED_VALUE"""),325447.0)</f>
        <v>325447</v>
      </c>
    </row>
    <row r="645">
      <c r="A645" s="23">
        <f>IFERROR(__xludf.DUMMYFUNCTION("""COMPUTED_VALUE"""),644.0)</f>
        <v>644</v>
      </c>
      <c r="B645" s="23" t="str">
        <f>IFERROR(__xludf.DUMMYFUNCTION("""COMPUTED_VALUE"""),"Maximum Average Subarray II")</f>
        <v>Maximum Average Subarray II</v>
      </c>
      <c r="C645" s="23" t="str">
        <f>IFERROR(__xludf.DUMMYFUNCTION("""COMPUTED_VALUE"""),"maximum-average-subarray-ii")</f>
        <v>maximum-average-subarray-ii</v>
      </c>
      <c r="D645" s="23" t="b">
        <f>IFERROR(__xludf.DUMMYFUNCTION("""COMPUTED_VALUE"""),TRUE)</f>
        <v>1</v>
      </c>
      <c r="E645" s="23" t="str">
        <f>IFERROR(__xludf.DUMMYFUNCTION("""COMPUTED_VALUE"""),"Hard")</f>
        <v>Hard</v>
      </c>
      <c r="F645" s="23">
        <f>IFERROR(__xludf.DUMMYFUNCTION("""COMPUTED_VALUE"""),534.0)</f>
        <v>534</v>
      </c>
      <c r="G645" s="23">
        <f>IFERROR(__xludf.DUMMYFUNCTION("""COMPUTED_VALUE"""),59.0)</f>
        <v>59</v>
      </c>
      <c r="H645" s="23" t="str">
        <f>IFERROR(__xludf.DUMMYFUNCTION("""COMPUTED_VALUE"""),"Algorithms")</f>
        <v>Algorithms</v>
      </c>
      <c r="I645" s="23">
        <f>IFERROR(__xludf.DUMMYFUNCTION("""COMPUTED_VALUE"""),0.352)</f>
        <v>0.352</v>
      </c>
      <c r="J645" s="23">
        <f>IFERROR(__xludf.DUMMYFUNCTION("""COMPUTED_VALUE"""),644.0)</f>
        <v>644</v>
      </c>
      <c r="K645" s="23" t="b">
        <f>IFERROR(__xludf.DUMMYFUNCTION("""COMPUTED_VALUE"""),TRUE)</f>
        <v>1</v>
      </c>
      <c r="L645" s="23" t="str">
        <f>IFERROR(__xludf.DUMMYFUNCTION("""COMPUTED_VALUE"""),"Array;Binary Search;")</f>
        <v>Array;Binary Search;</v>
      </c>
      <c r="M645" s="23" t="b">
        <f>IFERROR(__xludf.DUMMYFUNCTION("""COMPUTED_VALUE"""),TRUE)</f>
        <v>1</v>
      </c>
      <c r="N645" s="23" t="b">
        <f>IFERROR(__xludf.DUMMYFUNCTION("""COMPUTED_VALUE"""),TRUE)</f>
        <v>1</v>
      </c>
      <c r="O645" s="23">
        <f>IFERROR(__xludf.DUMMYFUNCTION("""COMPUTED_VALUE"""),35.2470232624634)</f>
        <v>35.24702326</v>
      </c>
      <c r="P645" s="23">
        <f>IFERROR(__xludf.DUMMYFUNCTION("""COMPUTED_VALUE"""),17258.0)</f>
        <v>17258</v>
      </c>
      <c r="Q645" s="23">
        <f>IFERROR(__xludf.DUMMYFUNCTION("""COMPUTED_VALUE"""),48963.0)</f>
        <v>48963</v>
      </c>
    </row>
    <row r="646">
      <c r="A646" s="23">
        <f>IFERROR(__xludf.DUMMYFUNCTION("""COMPUTED_VALUE"""),645.0)</f>
        <v>645</v>
      </c>
      <c r="B646" s="23" t="str">
        <f>IFERROR(__xludf.DUMMYFUNCTION("""COMPUTED_VALUE"""),"Set Mismatch")</f>
        <v>Set Mismatch</v>
      </c>
      <c r="C646" s="23" t="str">
        <f>IFERROR(__xludf.DUMMYFUNCTION("""COMPUTED_VALUE"""),"set-mismatch")</f>
        <v>set-mismatch</v>
      </c>
      <c r="D646" s="23" t="b">
        <f>IFERROR(__xludf.DUMMYFUNCTION("""COMPUTED_VALUE"""),FALSE)</f>
        <v>0</v>
      </c>
      <c r="E646" s="23" t="str">
        <f>IFERROR(__xludf.DUMMYFUNCTION("""COMPUTED_VALUE"""),"Easy")</f>
        <v>Easy</v>
      </c>
      <c r="F646" s="23">
        <f>IFERROR(__xludf.DUMMYFUNCTION("""COMPUTED_VALUE"""),1891.0)</f>
        <v>1891</v>
      </c>
      <c r="G646" s="23">
        <f>IFERROR(__xludf.DUMMYFUNCTION("""COMPUTED_VALUE"""),557.0)</f>
        <v>557</v>
      </c>
      <c r="H646" s="23" t="str">
        <f>IFERROR(__xludf.DUMMYFUNCTION("""COMPUTED_VALUE"""),"Algorithms")</f>
        <v>Algorithms</v>
      </c>
      <c r="I646" s="23">
        <f>IFERROR(__xludf.DUMMYFUNCTION("""COMPUTED_VALUE"""),0.413)</f>
        <v>0.413</v>
      </c>
      <c r="J646" s="23">
        <f>IFERROR(__xludf.DUMMYFUNCTION("""COMPUTED_VALUE"""),645.0)</f>
        <v>645</v>
      </c>
      <c r="K646" s="23" t="b">
        <f>IFERROR(__xludf.DUMMYFUNCTION("""COMPUTED_VALUE"""),FALSE)</f>
        <v>0</v>
      </c>
      <c r="L646" s="23" t="str">
        <f>IFERROR(__xludf.DUMMYFUNCTION("""COMPUTED_VALUE"""),"Array;Hash Table;Bit Manipulation;Sorting;")</f>
        <v>Array;Hash Table;Bit Manipulation;Sorting;</v>
      </c>
      <c r="M646" s="23" t="b">
        <f>IFERROR(__xludf.DUMMYFUNCTION("""COMPUTED_VALUE"""),TRUE)</f>
        <v>1</v>
      </c>
      <c r="N646" s="23" t="b">
        <f>IFERROR(__xludf.DUMMYFUNCTION("""COMPUTED_VALUE"""),FALSE)</f>
        <v>0</v>
      </c>
      <c r="O646" s="23">
        <f>IFERROR(__xludf.DUMMYFUNCTION("""COMPUTED_VALUE"""),41.2651536002896)</f>
        <v>41.2651536</v>
      </c>
      <c r="P646" s="23">
        <f>IFERROR(__xludf.DUMMYFUNCTION("""COMPUTED_VALUE"""),166417.0)</f>
        <v>166417</v>
      </c>
      <c r="Q646" s="23">
        <f>IFERROR(__xludf.DUMMYFUNCTION("""COMPUTED_VALUE"""),403286.0)</f>
        <v>403286</v>
      </c>
    </row>
    <row r="647">
      <c r="A647" s="23">
        <f>IFERROR(__xludf.DUMMYFUNCTION("""COMPUTED_VALUE"""),646.0)</f>
        <v>646</v>
      </c>
      <c r="B647" s="23" t="str">
        <f>IFERROR(__xludf.DUMMYFUNCTION("""COMPUTED_VALUE"""),"Maximum Length of Pair Chain")</f>
        <v>Maximum Length of Pair Chain</v>
      </c>
      <c r="C647" s="23" t="str">
        <f>IFERROR(__xludf.DUMMYFUNCTION("""COMPUTED_VALUE"""),"maximum-length-of-pair-chain")</f>
        <v>maximum-length-of-pair-chain</v>
      </c>
      <c r="D647" s="23" t="b">
        <f>IFERROR(__xludf.DUMMYFUNCTION("""COMPUTED_VALUE"""),FALSE)</f>
        <v>0</v>
      </c>
      <c r="E647" s="23" t="str">
        <f>IFERROR(__xludf.DUMMYFUNCTION("""COMPUTED_VALUE"""),"Medium")</f>
        <v>Medium</v>
      </c>
      <c r="F647" s="23">
        <f>IFERROR(__xludf.DUMMYFUNCTION("""COMPUTED_VALUE"""),2208.0)</f>
        <v>2208</v>
      </c>
      <c r="G647" s="23">
        <f>IFERROR(__xludf.DUMMYFUNCTION("""COMPUTED_VALUE"""),101.0)</f>
        <v>101</v>
      </c>
      <c r="H647" s="23" t="str">
        <f>IFERROR(__xludf.DUMMYFUNCTION("""COMPUTED_VALUE"""),"Algorithms")</f>
        <v>Algorithms</v>
      </c>
      <c r="I647" s="23">
        <f>IFERROR(__xludf.DUMMYFUNCTION("""COMPUTED_VALUE"""),0.557)</f>
        <v>0.557</v>
      </c>
      <c r="J647" s="23">
        <f>IFERROR(__xludf.DUMMYFUNCTION("""COMPUTED_VALUE"""),646.0)</f>
        <v>646</v>
      </c>
      <c r="K647" s="23" t="b">
        <f>IFERROR(__xludf.DUMMYFUNCTION("""COMPUTED_VALUE"""),FALSE)</f>
        <v>0</v>
      </c>
      <c r="L647" s="23" t="str">
        <f>IFERROR(__xludf.DUMMYFUNCTION("""COMPUTED_VALUE"""),"Array;Dynamic Programming;Greedy;Sorting;")</f>
        <v>Array;Dynamic Programming;Greedy;Sorting;</v>
      </c>
      <c r="M647" s="23" t="b">
        <f>IFERROR(__xludf.DUMMYFUNCTION("""COMPUTED_VALUE"""),TRUE)</f>
        <v>1</v>
      </c>
      <c r="N647" s="23" t="b">
        <f>IFERROR(__xludf.DUMMYFUNCTION("""COMPUTED_VALUE"""),FALSE)</f>
        <v>0</v>
      </c>
      <c r="O647" s="23">
        <f>IFERROR(__xludf.DUMMYFUNCTION("""COMPUTED_VALUE"""),55.6596158622402)</f>
        <v>55.65961586</v>
      </c>
      <c r="P647" s="23">
        <f>IFERROR(__xludf.DUMMYFUNCTION("""COMPUTED_VALUE"""),107570.0)</f>
        <v>107570</v>
      </c>
      <c r="Q647" s="23">
        <f>IFERROR(__xludf.DUMMYFUNCTION("""COMPUTED_VALUE"""),193264.0)</f>
        <v>193264</v>
      </c>
    </row>
    <row r="648">
      <c r="A648" s="23">
        <f>IFERROR(__xludf.DUMMYFUNCTION("""COMPUTED_VALUE"""),647.0)</f>
        <v>647</v>
      </c>
      <c r="B648" s="23" t="str">
        <f>IFERROR(__xludf.DUMMYFUNCTION("""COMPUTED_VALUE"""),"Palindromic Substrings")</f>
        <v>Palindromic Substrings</v>
      </c>
      <c r="C648" s="23" t="str">
        <f>IFERROR(__xludf.DUMMYFUNCTION("""COMPUTED_VALUE"""),"palindromic-substrings")</f>
        <v>palindromic-substrings</v>
      </c>
      <c r="D648" s="23" t="b">
        <f>IFERROR(__xludf.DUMMYFUNCTION("""COMPUTED_VALUE"""),FALSE)</f>
        <v>0</v>
      </c>
      <c r="E648" s="23" t="str">
        <f>IFERROR(__xludf.DUMMYFUNCTION("""COMPUTED_VALUE"""),"Medium")</f>
        <v>Medium</v>
      </c>
      <c r="F648" s="23">
        <f>IFERROR(__xludf.DUMMYFUNCTION("""COMPUTED_VALUE"""),6190.0)</f>
        <v>6190</v>
      </c>
      <c r="G648" s="23">
        <f>IFERROR(__xludf.DUMMYFUNCTION("""COMPUTED_VALUE"""),154.0)</f>
        <v>154</v>
      </c>
      <c r="H648" s="23" t="str">
        <f>IFERROR(__xludf.DUMMYFUNCTION("""COMPUTED_VALUE"""),"Algorithms")</f>
        <v>Algorithms</v>
      </c>
      <c r="I648" s="23">
        <f>IFERROR(__xludf.DUMMYFUNCTION("""COMPUTED_VALUE"""),0.646)</f>
        <v>0.646</v>
      </c>
      <c r="J648" s="23">
        <f>IFERROR(__xludf.DUMMYFUNCTION("""COMPUTED_VALUE"""),647.0)</f>
        <v>647</v>
      </c>
      <c r="K648" s="23" t="b">
        <f>IFERROR(__xludf.DUMMYFUNCTION("""COMPUTED_VALUE"""),FALSE)</f>
        <v>0</v>
      </c>
      <c r="L648" s="23" t="str">
        <f>IFERROR(__xludf.DUMMYFUNCTION("""COMPUTED_VALUE"""),"String;Dynamic Programming;")</f>
        <v>String;Dynamic Programming;</v>
      </c>
      <c r="M648" s="23" t="b">
        <f>IFERROR(__xludf.DUMMYFUNCTION("""COMPUTED_VALUE"""),TRUE)</f>
        <v>1</v>
      </c>
      <c r="N648" s="23" t="b">
        <f>IFERROR(__xludf.DUMMYFUNCTION("""COMPUTED_VALUE"""),FALSE)</f>
        <v>0</v>
      </c>
      <c r="O648" s="23">
        <f>IFERROR(__xludf.DUMMYFUNCTION("""COMPUTED_VALUE"""),64.612620111074)</f>
        <v>64.61262011</v>
      </c>
      <c r="P648" s="23">
        <f>IFERROR(__xludf.DUMMYFUNCTION("""COMPUTED_VALUE"""),400560.0)</f>
        <v>400560</v>
      </c>
      <c r="Q648" s="23">
        <f>IFERROR(__xludf.DUMMYFUNCTION("""COMPUTED_VALUE"""),619942.0)</f>
        <v>619942</v>
      </c>
    </row>
    <row r="649">
      <c r="A649" s="23">
        <f>IFERROR(__xludf.DUMMYFUNCTION("""COMPUTED_VALUE"""),648.0)</f>
        <v>648</v>
      </c>
      <c r="B649" s="23" t="str">
        <f>IFERROR(__xludf.DUMMYFUNCTION("""COMPUTED_VALUE"""),"Replace Words")</f>
        <v>Replace Words</v>
      </c>
      <c r="C649" s="23" t="str">
        <f>IFERROR(__xludf.DUMMYFUNCTION("""COMPUTED_VALUE"""),"replace-words")</f>
        <v>replace-words</v>
      </c>
      <c r="D649" s="23" t="b">
        <f>IFERROR(__xludf.DUMMYFUNCTION("""COMPUTED_VALUE"""),FALSE)</f>
        <v>0</v>
      </c>
      <c r="E649" s="23" t="str">
        <f>IFERROR(__xludf.DUMMYFUNCTION("""COMPUTED_VALUE"""),"Medium")</f>
        <v>Medium</v>
      </c>
      <c r="F649" s="23">
        <f>IFERROR(__xludf.DUMMYFUNCTION("""COMPUTED_VALUE"""),1494.0)</f>
        <v>1494</v>
      </c>
      <c r="G649" s="23">
        <f>IFERROR(__xludf.DUMMYFUNCTION("""COMPUTED_VALUE"""),152.0)</f>
        <v>152</v>
      </c>
      <c r="H649" s="23" t="str">
        <f>IFERROR(__xludf.DUMMYFUNCTION("""COMPUTED_VALUE"""),"Algorithms")</f>
        <v>Algorithms</v>
      </c>
      <c r="I649" s="23">
        <f>IFERROR(__xludf.DUMMYFUNCTION("""COMPUTED_VALUE"""),0.62)</f>
        <v>0.62</v>
      </c>
      <c r="J649" s="23">
        <f>IFERROR(__xludf.DUMMYFUNCTION("""COMPUTED_VALUE"""),648.0)</f>
        <v>648</v>
      </c>
      <c r="K649" s="23" t="b">
        <f>IFERROR(__xludf.DUMMYFUNCTION("""COMPUTED_VALUE"""),FALSE)</f>
        <v>0</v>
      </c>
      <c r="L649" s="23" t="str">
        <f>IFERROR(__xludf.DUMMYFUNCTION("""COMPUTED_VALUE"""),"Array;Hash Table;String;Trie;")</f>
        <v>Array;Hash Table;String;Trie;</v>
      </c>
      <c r="M649" s="23" t="b">
        <f>IFERROR(__xludf.DUMMYFUNCTION("""COMPUTED_VALUE"""),TRUE)</f>
        <v>1</v>
      </c>
      <c r="N649" s="23" t="b">
        <f>IFERROR(__xludf.DUMMYFUNCTION("""COMPUTED_VALUE"""),FALSE)</f>
        <v>0</v>
      </c>
      <c r="O649" s="23">
        <f>IFERROR(__xludf.DUMMYFUNCTION("""COMPUTED_VALUE"""),61.9730778243549)</f>
        <v>61.97307782</v>
      </c>
      <c r="P649" s="23">
        <f>IFERROR(__xludf.DUMMYFUNCTION("""COMPUTED_VALUE"""),95207.0)</f>
        <v>95207</v>
      </c>
      <c r="Q649" s="23">
        <f>IFERROR(__xludf.DUMMYFUNCTION("""COMPUTED_VALUE"""),153627.0)</f>
        <v>153627</v>
      </c>
    </row>
    <row r="650">
      <c r="A650" s="23">
        <f>IFERROR(__xludf.DUMMYFUNCTION("""COMPUTED_VALUE"""),649.0)</f>
        <v>649</v>
      </c>
      <c r="B650" s="23" t="str">
        <f>IFERROR(__xludf.DUMMYFUNCTION("""COMPUTED_VALUE"""),"Dota2 Senate")</f>
        <v>Dota2 Senate</v>
      </c>
      <c r="C650" s="23" t="str">
        <f>IFERROR(__xludf.DUMMYFUNCTION("""COMPUTED_VALUE"""),"dota2-senate")</f>
        <v>dota2-senate</v>
      </c>
      <c r="D650" s="23" t="b">
        <f>IFERROR(__xludf.DUMMYFUNCTION("""COMPUTED_VALUE"""),FALSE)</f>
        <v>0</v>
      </c>
      <c r="E650" s="23" t="str">
        <f>IFERROR(__xludf.DUMMYFUNCTION("""COMPUTED_VALUE"""),"Medium")</f>
        <v>Medium</v>
      </c>
      <c r="F650" s="23">
        <f>IFERROR(__xludf.DUMMYFUNCTION("""COMPUTED_VALUE"""),427.0)</f>
        <v>427</v>
      </c>
      <c r="G650" s="23">
        <f>IFERROR(__xludf.DUMMYFUNCTION("""COMPUTED_VALUE"""),305.0)</f>
        <v>305</v>
      </c>
      <c r="H650" s="23" t="str">
        <f>IFERROR(__xludf.DUMMYFUNCTION("""COMPUTED_VALUE"""),"Algorithms")</f>
        <v>Algorithms</v>
      </c>
      <c r="I650" s="23">
        <f>IFERROR(__xludf.DUMMYFUNCTION("""COMPUTED_VALUE"""),0.399)</f>
        <v>0.399</v>
      </c>
      <c r="J650" s="23">
        <f>IFERROR(__xludf.DUMMYFUNCTION("""COMPUTED_VALUE"""),649.0)</f>
        <v>649</v>
      </c>
      <c r="K650" s="23" t="b">
        <f>IFERROR(__xludf.DUMMYFUNCTION("""COMPUTED_VALUE"""),FALSE)</f>
        <v>0</v>
      </c>
      <c r="L650" s="23" t="str">
        <f>IFERROR(__xludf.DUMMYFUNCTION("""COMPUTED_VALUE"""),"String;Greedy;Queue;")</f>
        <v>String;Greedy;Queue;</v>
      </c>
      <c r="M650" s="23" t="b">
        <f>IFERROR(__xludf.DUMMYFUNCTION("""COMPUTED_VALUE"""),FALSE)</f>
        <v>0</v>
      </c>
      <c r="N650" s="23" t="b">
        <f>IFERROR(__xludf.DUMMYFUNCTION("""COMPUTED_VALUE"""),FALSE)</f>
        <v>0</v>
      </c>
      <c r="O650" s="23">
        <f>IFERROR(__xludf.DUMMYFUNCTION("""COMPUTED_VALUE"""),39.8951954037502)</f>
        <v>39.8951954</v>
      </c>
      <c r="P650" s="23">
        <f>IFERROR(__xludf.DUMMYFUNCTION("""COMPUTED_VALUE"""),18957.0)</f>
        <v>18957</v>
      </c>
      <c r="Q650" s="23">
        <f>IFERROR(__xludf.DUMMYFUNCTION("""COMPUTED_VALUE"""),47517.0)</f>
        <v>47517</v>
      </c>
    </row>
    <row r="651">
      <c r="A651" s="23">
        <f>IFERROR(__xludf.DUMMYFUNCTION("""COMPUTED_VALUE"""),650.0)</f>
        <v>650</v>
      </c>
      <c r="B651" s="23" t="str">
        <f>IFERROR(__xludf.DUMMYFUNCTION("""COMPUTED_VALUE"""),"2 Keys Keyboard")</f>
        <v>2 Keys Keyboard</v>
      </c>
      <c r="C651" s="23" t="str">
        <f>IFERROR(__xludf.DUMMYFUNCTION("""COMPUTED_VALUE"""),"2-keys-keyboard")</f>
        <v>2-keys-keyboard</v>
      </c>
      <c r="D651" s="23" t="b">
        <f>IFERROR(__xludf.DUMMYFUNCTION("""COMPUTED_VALUE"""),FALSE)</f>
        <v>0</v>
      </c>
      <c r="E651" s="23" t="str">
        <f>IFERROR(__xludf.DUMMYFUNCTION("""COMPUTED_VALUE"""),"Medium")</f>
        <v>Medium</v>
      </c>
      <c r="F651" s="23">
        <f>IFERROR(__xludf.DUMMYFUNCTION("""COMPUTED_VALUE"""),2563.0)</f>
        <v>2563</v>
      </c>
      <c r="G651" s="23">
        <f>IFERROR(__xludf.DUMMYFUNCTION("""COMPUTED_VALUE"""),158.0)</f>
        <v>158</v>
      </c>
      <c r="H651" s="23" t="str">
        <f>IFERROR(__xludf.DUMMYFUNCTION("""COMPUTED_VALUE"""),"Algorithms")</f>
        <v>Algorithms</v>
      </c>
      <c r="I651" s="23">
        <f>IFERROR(__xludf.DUMMYFUNCTION("""COMPUTED_VALUE"""),0.523)</f>
        <v>0.523</v>
      </c>
      <c r="J651" s="23">
        <f>IFERROR(__xludf.DUMMYFUNCTION("""COMPUTED_VALUE"""),650.0)</f>
        <v>650</v>
      </c>
      <c r="K651" s="23" t="b">
        <f>IFERROR(__xludf.DUMMYFUNCTION("""COMPUTED_VALUE"""),FALSE)</f>
        <v>0</v>
      </c>
      <c r="L651" s="23" t="str">
        <f>IFERROR(__xludf.DUMMYFUNCTION("""COMPUTED_VALUE"""),"Math;Dynamic Programming;")</f>
        <v>Math;Dynamic Programming;</v>
      </c>
      <c r="M651" s="23" t="b">
        <f>IFERROR(__xludf.DUMMYFUNCTION("""COMPUTED_VALUE"""),TRUE)</f>
        <v>1</v>
      </c>
      <c r="N651" s="23" t="b">
        <f>IFERROR(__xludf.DUMMYFUNCTION("""COMPUTED_VALUE"""),FALSE)</f>
        <v>0</v>
      </c>
      <c r="O651" s="23">
        <f>IFERROR(__xludf.DUMMYFUNCTION("""COMPUTED_VALUE"""),52.3399685782449)</f>
        <v>52.33996858</v>
      </c>
      <c r="P651" s="23">
        <f>IFERROR(__xludf.DUMMYFUNCTION("""COMPUTED_VALUE"""),98943.0)</f>
        <v>98943</v>
      </c>
      <c r="Q651" s="23">
        <f>IFERROR(__xludf.DUMMYFUNCTION("""COMPUTED_VALUE"""),189040.0)</f>
        <v>189040</v>
      </c>
    </row>
    <row r="652">
      <c r="A652" s="23">
        <f>IFERROR(__xludf.DUMMYFUNCTION("""COMPUTED_VALUE"""),651.0)</f>
        <v>651</v>
      </c>
      <c r="B652" s="23" t="str">
        <f>IFERROR(__xludf.DUMMYFUNCTION("""COMPUTED_VALUE"""),"4 Keys Keyboard")</f>
        <v>4 Keys Keyboard</v>
      </c>
      <c r="C652" s="23" t="str">
        <f>IFERROR(__xludf.DUMMYFUNCTION("""COMPUTED_VALUE"""),"4-keys-keyboard")</f>
        <v>4-keys-keyboard</v>
      </c>
      <c r="D652" s="23" t="b">
        <f>IFERROR(__xludf.DUMMYFUNCTION("""COMPUTED_VALUE"""),TRUE)</f>
        <v>1</v>
      </c>
      <c r="E652" s="23" t="str">
        <f>IFERROR(__xludf.DUMMYFUNCTION("""COMPUTED_VALUE"""),"Medium")</f>
        <v>Medium</v>
      </c>
      <c r="F652" s="23">
        <f>IFERROR(__xludf.DUMMYFUNCTION("""COMPUTED_VALUE"""),505.0)</f>
        <v>505</v>
      </c>
      <c r="G652" s="23">
        <f>IFERROR(__xludf.DUMMYFUNCTION("""COMPUTED_VALUE"""),71.0)</f>
        <v>71</v>
      </c>
      <c r="H652" s="23" t="str">
        <f>IFERROR(__xludf.DUMMYFUNCTION("""COMPUTED_VALUE"""),"Algorithms")</f>
        <v>Algorithms</v>
      </c>
      <c r="I652" s="23">
        <f>IFERROR(__xludf.DUMMYFUNCTION("""COMPUTED_VALUE"""),0.541)</f>
        <v>0.541</v>
      </c>
      <c r="J652" s="23">
        <f>IFERROR(__xludf.DUMMYFUNCTION("""COMPUTED_VALUE"""),651.0)</f>
        <v>651</v>
      </c>
      <c r="K652" s="23" t="b">
        <f>IFERROR(__xludf.DUMMYFUNCTION("""COMPUTED_VALUE"""),TRUE)</f>
        <v>1</v>
      </c>
      <c r="L652" s="23" t="str">
        <f>IFERROR(__xludf.DUMMYFUNCTION("""COMPUTED_VALUE"""),"Math;Dynamic Programming;")</f>
        <v>Math;Dynamic Programming;</v>
      </c>
      <c r="M652" s="23" t="b">
        <f>IFERROR(__xludf.DUMMYFUNCTION("""COMPUTED_VALUE"""),FALSE)</f>
        <v>0</v>
      </c>
      <c r="N652" s="23" t="b">
        <f>IFERROR(__xludf.DUMMYFUNCTION("""COMPUTED_VALUE"""),FALSE)</f>
        <v>0</v>
      </c>
      <c r="O652" s="23">
        <f>IFERROR(__xludf.DUMMYFUNCTION("""COMPUTED_VALUE"""),54.1324166791212)</f>
        <v>54.13241668</v>
      </c>
      <c r="P652" s="23">
        <f>IFERROR(__xludf.DUMMYFUNCTION("""COMPUTED_VALUE"""),21732.0)</f>
        <v>21732</v>
      </c>
      <c r="Q652" s="23">
        <f>IFERROR(__xludf.DUMMYFUNCTION("""COMPUTED_VALUE"""),40146.0)</f>
        <v>40146</v>
      </c>
    </row>
    <row r="653">
      <c r="A653" s="23">
        <f>IFERROR(__xludf.DUMMYFUNCTION("""COMPUTED_VALUE"""),652.0)</f>
        <v>652</v>
      </c>
      <c r="B653" s="23" t="str">
        <f>IFERROR(__xludf.DUMMYFUNCTION("""COMPUTED_VALUE"""),"Find Duplicate Subtrees")</f>
        <v>Find Duplicate Subtrees</v>
      </c>
      <c r="C653" s="23" t="str">
        <f>IFERROR(__xludf.DUMMYFUNCTION("""COMPUTED_VALUE"""),"find-duplicate-subtrees")</f>
        <v>find-duplicate-subtrees</v>
      </c>
      <c r="D653" s="23" t="b">
        <f>IFERROR(__xludf.DUMMYFUNCTION("""COMPUTED_VALUE"""),FALSE)</f>
        <v>0</v>
      </c>
      <c r="E653" s="23" t="str">
        <f>IFERROR(__xludf.DUMMYFUNCTION("""COMPUTED_VALUE"""),"Medium")</f>
        <v>Medium</v>
      </c>
      <c r="F653" s="23">
        <f>IFERROR(__xludf.DUMMYFUNCTION("""COMPUTED_VALUE"""),3180.0)</f>
        <v>3180</v>
      </c>
      <c r="G653" s="23">
        <f>IFERROR(__xludf.DUMMYFUNCTION("""COMPUTED_VALUE"""),294.0)</f>
        <v>294</v>
      </c>
      <c r="H653" s="23" t="str">
        <f>IFERROR(__xludf.DUMMYFUNCTION("""COMPUTED_VALUE"""),"Algorithms")</f>
        <v>Algorithms</v>
      </c>
      <c r="I653" s="23">
        <f>IFERROR(__xludf.DUMMYFUNCTION("""COMPUTED_VALUE"""),0.558)</f>
        <v>0.558</v>
      </c>
      <c r="J653" s="23">
        <f>IFERROR(__xludf.DUMMYFUNCTION("""COMPUTED_VALUE"""),652.0)</f>
        <v>652</v>
      </c>
      <c r="K653" s="23" t="b">
        <f>IFERROR(__xludf.DUMMYFUNCTION("""COMPUTED_VALUE"""),FALSE)</f>
        <v>0</v>
      </c>
      <c r="L653" s="23" t="str">
        <f>IFERROR(__xludf.DUMMYFUNCTION("""COMPUTED_VALUE"""),"Hash Table;Tree;Depth-First Search;Binary Tree;")</f>
        <v>Hash Table;Tree;Depth-First Search;Binary Tree;</v>
      </c>
      <c r="M653" s="23" t="b">
        <f>IFERROR(__xludf.DUMMYFUNCTION("""COMPUTED_VALUE"""),FALSE)</f>
        <v>0</v>
      </c>
      <c r="N653" s="23" t="b">
        <f>IFERROR(__xludf.DUMMYFUNCTION("""COMPUTED_VALUE"""),FALSE)</f>
        <v>0</v>
      </c>
      <c r="O653" s="23">
        <f>IFERROR(__xludf.DUMMYFUNCTION("""COMPUTED_VALUE"""),55.8006207091131)</f>
        <v>55.80062071</v>
      </c>
      <c r="P653" s="23">
        <f>IFERROR(__xludf.DUMMYFUNCTION("""COMPUTED_VALUE"""),148327.0)</f>
        <v>148327</v>
      </c>
      <c r="Q653" s="23">
        <f>IFERROR(__xludf.DUMMYFUNCTION("""COMPUTED_VALUE"""),265819.0)</f>
        <v>265819</v>
      </c>
    </row>
    <row r="654">
      <c r="A654" s="23">
        <f>IFERROR(__xludf.DUMMYFUNCTION("""COMPUTED_VALUE"""),653.0)</f>
        <v>653</v>
      </c>
      <c r="B654" s="23" t="str">
        <f>IFERROR(__xludf.DUMMYFUNCTION("""COMPUTED_VALUE"""),"Two Sum IV - Input is a BST")</f>
        <v>Two Sum IV - Input is a BST</v>
      </c>
      <c r="C654" s="23" t="str">
        <f>IFERROR(__xludf.DUMMYFUNCTION("""COMPUTED_VALUE"""),"two-sum-iv-input-is-a-bst")</f>
        <v>two-sum-iv-input-is-a-bst</v>
      </c>
      <c r="D654" s="23" t="b">
        <f>IFERROR(__xludf.DUMMYFUNCTION("""COMPUTED_VALUE"""),FALSE)</f>
        <v>0</v>
      </c>
      <c r="E654" s="23" t="str">
        <f>IFERROR(__xludf.DUMMYFUNCTION("""COMPUTED_VALUE"""),"Easy")</f>
        <v>Easy</v>
      </c>
      <c r="F654" s="23">
        <f>IFERROR(__xludf.DUMMYFUNCTION("""COMPUTED_VALUE"""),3585.0)</f>
        <v>3585</v>
      </c>
      <c r="G654" s="23">
        <f>IFERROR(__xludf.DUMMYFUNCTION("""COMPUTED_VALUE"""),201.0)</f>
        <v>201</v>
      </c>
      <c r="H654" s="23" t="str">
        <f>IFERROR(__xludf.DUMMYFUNCTION("""COMPUTED_VALUE"""),"Algorithms")</f>
        <v>Algorithms</v>
      </c>
      <c r="I654" s="23">
        <f>IFERROR(__xludf.DUMMYFUNCTION("""COMPUTED_VALUE"""),0.588)</f>
        <v>0.588</v>
      </c>
      <c r="J654" s="23">
        <f>IFERROR(__xludf.DUMMYFUNCTION("""COMPUTED_VALUE"""),653.0)</f>
        <v>653</v>
      </c>
      <c r="K654" s="23" t="b">
        <f>IFERROR(__xludf.DUMMYFUNCTION("""COMPUTED_VALUE"""),FALSE)</f>
        <v>0</v>
      </c>
      <c r="L654" s="23" t="str">
        <f>IFERROR(__xludf.DUMMYFUNCTION("""COMPUTED_VALUE"""),"Hash Table;Two Pointers;Tree;Depth-First Search;Breadth-First Search;Binary Search Tree;Binary Tree;")</f>
        <v>Hash Table;Two Pointers;Tree;Depth-First Search;Breadth-First Search;Binary Search Tree;Binary Tree;</v>
      </c>
      <c r="M654" s="23" t="b">
        <f>IFERROR(__xludf.DUMMYFUNCTION("""COMPUTED_VALUE"""),TRUE)</f>
        <v>1</v>
      </c>
      <c r="N654" s="23" t="b">
        <f>IFERROR(__xludf.DUMMYFUNCTION("""COMPUTED_VALUE"""),FALSE)</f>
        <v>0</v>
      </c>
      <c r="O654" s="23">
        <f>IFERROR(__xludf.DUMMYFUNCTION("""COMPUTED_VALUE"""),58.7802293165812)</f>
        <v>58.78022932</v>
      </c>
      <c r="P654" s="23">
        <f>IFERROR(__xludf.DUMMYFUNCTION("""COMPUTED_VALUE"""),306155.0)</f>
        <v>306155</v>
      </c>
      <c r="Q654" s="23">
        <f>IFERROR(__xludf.DUMMYFUNCTION("""COMPUTED_VALUE"""),520848.0)</f>
        <v>520848</v>
      </c>
    </row>
    <row r="655">
      <c r="A655" s="23">
        <f>IFERROR(__xludf.DUMMYFUNCTION("""COMPUTED_VALUE"""),654.0)</f>
        <v>654</v>
      </c>
      <c r="B655" s="23" t="str">
        <f>IFERROR(__xludf.DUMMYFUNCTION("""COMPUTED_VALUE"""),"Maximum Binary Tree")</f>
        <v>Maximum Binary Tree</v>
      </c>
      <c r="C655" s="23" t="str">
        <f>IFERROR(__xludf.DUMMYFUNCTION("""COMPUTED_VALUE"""),"maximum-binary-tree")</f>
        <v>maximum-binary-tree</v>
      </c>
      <c r="D655" s="23" t="b">
        <f>IFERROR(__xludf.DUMMYFUNCTION("""COMPUTED_VALUE"""),FALSE)</f>
        <v>0</v>
      </c>
      <c r="E655" s="23" t="str">
        <f>IFERROR(__xludf.DUMMYFUNCTION("""COMPUTED_VALUE"""),"Medium")</f>
        <v>Medium</v>
      </c>
      <c r="F655" s="23">
        <f>IFERROR(__xludf.DUMMYFUNCTION("""COMPUTED_VALUE"""),3622.0)</f>
        <v>3622</v>
      </c>
      <c r="G655" s="23">
        <f>IFERROR(__xludf.DUMMYFUNCTION("""COMPUTED_VALUE"""),294.0)</f>
        <v>294</v>
      </c>
      <c r="H655" s="23" t="str">
        <f>IFERROR(__xludf.DUMMYFUNCTION("""COMPUTED_VALUE"""),"Algorithms")</f>
        <v>Algorithms</v>
      </c>
      <c r="I655" s="23">
        <f>IFERROR(__xludf.DUMMYFUNCTION("""COMPUTED_VALUE"""),0.836)</f>
        <v>0.836</v>
      </c>
      <c r="J655" s="23">
        <f>IFERROR(__xludf.DUMMYFUNCTION("""COMPUTED_VALUE"""),654.0)</f>
        <v>654</v>
      </c>
      <c r="K655" s="23" t="b">
        <f>IFERROR(__xludf.DUMMYFUNCTION("""COMPUTED_VALUE"""),FALSE)</f>
        <v>0</v>
      </c>
      <c r="L655" s="23" t="str">
        <f>IFERROR(__xludf.DUMMYFUNCTION("""COMPUTED_VALUE"""),"Array;Divide and Conquer;Stack;Tree;Monotonic Stack;Binary Tree;")</f>
        <v>Array;Divide and Conquer;Stack;Tree;Monotonic Stack;Binary Tree;</v>
      </c>
      <c r="M655" s="23" t="b">
        <f>IFERROR(__xludf.DUMMYFUNCTION("""COMPUTED_VALUE"""),TRUE)</f>
        <v>1</v>
      </c>
      <c r="N655" s="23" t="b">
        <f>IFERROR(__xludf.DUMMYFUNCTION("""COMPUTED_VALUE"""),FALSE)</f>
        <v>0</v>
      </c>
      <c r="O655" s="23">
        <f>IFERROR(__xludf.DUMMYFUNCTION("""COMPUTED_VALUE"""),83.554652052102)</f>
        <v>83.55465205</v>
      </c>
      <c r="P655" s="23">
        <f>IFERROR(__xludf.DUMMYFUNCTION("""COMPUTED_VALUE"""),210851.0)</f>
        <v>210851</v>
      </c>
      <c r="Q655" s="23">
        <f>IFERROR(__xludf.DUMMYFUNCTION("""COMPUTED_VALUE"""),252351.0)</f>
        <v>252351</v>
      </c>
    </row>
    <row r="656">
      <c r="A656" s="23">
        <f>IFERROR(__xludf.DUMMYFUNCTION("""COMPUTED_VALUE"""),655.0)</f>
        <v>655</v>
      </c>
      <c r="B656" s="23" t="str">
        <f>IFERROR(__xludf.DUMMYFUNCTION("""COMPUTED_VALUE"""),"Print Binary Tree")</f>
        <v>Print Binary Tree</v>
      </c>
      <c r="C656" s="23" t="str">
        <f>IFERROR(__xludf.DUMMYFUNCTION("""COMPUTED_VALUE"""),"print-binary-tree")</f>
        <v>print-binary-tree</v>
      </c>
      <c r="D656" s="23" t="b">
        <f>IFERROR(__xludf.DUMMYFUNCTION("""COMPUTED_VALUE"""),FALSE)</f>
        <v>0</v>
      </c>
      <c r="E656" s="23" t="str">
        <f>IFERROR(__xludf.DUMMYFUNCTION("""COMPUTED_VALUE"""),"Medium")</f>
        <v>Medium</v>
      </c>
      <c r="F656" s="23">
        <f>IFERROR(__xludf.DUMMYFUNCTION("""COMPUTED_VALUE"""),182.0)</f>
        <v>182</v>
      </c>
      <c r="G656" s="23">
        <f>IFERROR(__xludf.DUMMYFUNCTION("""COMPUTED_VALUE"""),208.0)</f>
        <v>208</v>
      </c>
      <c r="H656" s="23" t="str">
        <f>IFERROR(__xludf.DUMMYFUNCTION("""COMPUTED_VALUE"""),"Algorithms")</f>
        <v>Algorithms</v>
      </c>
      <c r="I656" s="23">
        <f>IFERROR(__xludf.DUMMYFUNCTION("""COMPUTED_VALUE"""),0.598)</f>
        <v>0.598</v>
      </c>
      <c r="J656" s="23">
        <f>IFERROR(__xludf.DUMMYFUNCTION("""COMPUTED_VALUE"""),655.0)</f>
        <v>655</v>
      </c>
      <c r="K656" s="23" t="b">
        <f>IFERROR(__xludf.DUMMYFUNCTION("""COMPUTED_VALUE"""),FALSE)</f>
        <v>0</v>
      </c>
      <c r="L656" s="23" t="str">
        <f>IFERROR(__xludf.DUMMYFUNCTION("""COMPUTED_VALUE"""),"Tree;Depth-First Search;Breadth-First Search;Binary Tree;")</f>
        <v>Tree;Depth-First Search;Breadth-First Search;Binary Tree;</v>
      </c>
      <c r="M656" s="23" t="b">
        <f>IFERROR(__xludf.DUMMYFUNCTION("""COMPUTED_VALUE"""),FALSE)</f>
        <v>0</v>
      </c>
      <c r="N656" s="23" t="b">
        <f>IFERROR(__xludf.DUMMYFUNCTION("""COMPUTED_VALUE"""),FALSE)</f>
        <v>0</v>
      </c>
      <c r="O656" s="23">
        <f>IFERROR(__xludf.DUMMYFUNCTION("""COMPUTED_VALUE"""),59.7985380427722)</f>
        <v>59.79853804</v>
      </c>
      <c r="P656" s="23">
        <f>IFERROR(__xludf.DUMMYFUNCTION("""COMPUTED_VALUE"""),50638.0)</f>
        <v>50638</v>
      </c>
      <c r="Q656" s="23">
        <f>IFERROR(__xludf.DUMMYFUNCTION("""COMPUTED_VALUE"""),84681.0)</f>
        <v>84681</v>
      </c>
    </row>
    <row r="657">
      <c r="A657" s="23">
        <f>IFERROR(__xludf.DUMMYFUNCTION("""COMPUTED_VALUE"""),656.0)</f>
        <v>656</v>
      </c>
      <c r="B657" s="23" t="str">
        <f>IFERROR(__xludf.DUMMYFUNCTION("""COMPUTED_VALUE"""),"Coin Path")</f>
        <v>Coin Path</v>
      </c>
      <c r="C657" s="23" t="str">
        <f>IFERROR(__xludf.DUMMYFUNCTION("""COMPUTED_VALUE"""),"coin-path")</f>
        <v>coin-path</v>
      </c>
      <c r="D657" s="23" t="b">
        <f>IFERROR(__xludf.DUMMYFUNCTION("""COMPUTED_VALUE"""),TRUE)</f>
        <v>1</v>
      </c>
      <c r="E657" s="23" t="str">
        <f>IFERROR(__xludf.DUMMYFUNCTION("""COMPUTED_VALUE"""),"Hard")</f>
        <v>Hard</v>
      </c>
      <c r="F657" s="23">
        <f>IFERROR(__xludf.DUMMYFUNCTION("""COMPUTED_VALUE"""),220.0)</f>
        <v>220</v>
      </c>
      <c r="G657" s="23">
        <f>IFERROR(__xludf.DUMMYFUNCTION("""COMPUTED_VALUE"""),98.0)</f>
        <v>98</v>
      </c>
      <c r="H657" s="23" t="str">
        <f>IFERROR(__xludf.DUMMYFUNCTION("""COMPUTED_VALUE"""),"Algorithms")</f>
        <v>Algorithms</v>
      </c>
      <c r="I657" s="23">
        <f>IFERROR(__xludf.DUMMYFUNCTION("""COMPUTED_VALUE"""),0.313)</f>
        <v>0.313</v>
      </c>
      <c r="J657" s="23">
        <f>IFERROR(__xludf.DUMMYFUNCTION("""COMPUTED_VALUE"""),656.0)</f>
        <v>656</v>
      </c>
      <c r="K657" s="23" t="b">
        <f>IFERROR(__xludf.DUMMYFUNCTION("""COMPUTED_VALUE"""),TRUE)</f>
        <v>1</v>
      </c>
      <c r="L657" s="23" t="str">
        <f>IFERROR(__xludf.DUMMYFUNCTION("""COMPUTED_VALUE"""),"Array;Dynamic Programming;")</f>
        <v>Array;Dynamic Programming;</v>
      </c>
      <c r="M657" s="23" t="b">
        <f>IFERROR(__xludf.DUMMYFUNCTION("""COMPUTED_VALUE"""),TRUE)</f>
        <v>1</v>
      </c>
      <c r="N657" s="23" t="b">
        <f>IFERROR(__xludf.DUMMYFUNCTION("""COMPUTED_VALUE"""),FALSE)</f>
        <v>0</v>
      </c>
      <c r="O657" s="23">
        <f>IFERROR(__xludf.DUMMYFUNCTION("""COMPUTED_VALUE"""),31.2511006566202)</f>
        <v>31.25110066</v>
      </c>
      <c r="P657" s="23">
        <f>IFERROR(__xludf.DUMMYFUNCTION("""COMPUTED_VALUE"""),12422.0)</f>
        <v>12422</v>
      </c>
      <c r="Q657" s="23">
        <f>IFERROR(__xludf.DUMMYFUNCTION("""COMPUTED_VALUE"""),39749.0)</f>
        <v>39749</v>
      </c>
    </row>
    <row r="658">
      <c r="A658" s="23">
        <f>IFERROR(__xludf.DUMMYFUNCTION("""COMPUTED_VALUE"""),657.0)</f>
        <v>657</v>
      </c>
      <c r="B658" s="23" t="str">
        <f>IFERROR(__xludf.DUMMYFUNCTION("""COMPUTED_VALUE"""),"Robot Return to Origin")</f>
        <v>Robot Return to Origin</v>
      </c>
      <c r="C658" s="23" t="str">
        <f>IFERROR(__xludf.DUMMYFUNCTION("""COMPUTED_VALUE"""),"robot-return-to-origin")</f>
        <v>robot-return-to-origin</v>
      </c>
      <c r="D658" s="23" t="b">
        <f>IFERROR(__xludf.DUMMYFUNCTION("""COMPUTED_VALUE"""),FALSE)</f>
        <v>0</v>
      </c>
      <c r="E658" s="23" t="str">
        <f>IFERROR(__xludf.DUMMYFUNCTION("""COMPUTED_VALUE"""),"Easy")</f>
        <v>Easy</v>
      </c>
      <c r="F658" s="23">
        <f>IFERROR(__xludf.DUMMYFUNCTION("""COMPUTED_VALUE"""),1671.0)</f>
        <v>1671</v>
      </c>
      <c r="G658" s="23">
        <f>IFERROR(__xludf.DUMMYFUNCTION("""COMPUTED_VALUE"""),713.0)</f>
        <v>713</v>
      </c>
      <c r="H658" s="23" t="str">
        <f>IFERROR(__xludf.DUMMYFUNCTION("""COMPUTED_VALUE"""),"Algorithms")</f>
        <v>Algorithms</v>
      </c>
      <c r="I658" s="23">
        <f>IFERROR(__xludf.DUMMYFUNCTION("""COMPUTED_VALUE"""),0.75)</f>
        <v>0.75</v>
      </c>
      <c r="J658" s="23">
        <f>IFERROR(__xludf.DUMMYFUNCTION("""COMPUTED_VALUE"""),657.0)</f>
        <v>657</v>
      </c>
      <c r="K658" s="23" t="b">
        <f>IFERROR(__xludf.DUMMYFUNCTION("""COMPUTED_VALUE"""),FALSE)</f>
        <v>0</v>
      </c>
      <c r="L658" s="23" t="str">
        <f>IFERROR(__xludf.DUMMYFUNCTION("""COMPUTED_VALUE"""),"String;Simulation;")</f>
        <v>String;Simulation;</v>
      </c>
      <c r="M658" s="23" t="b">
        <f>IFERROR(__xludf.DUMMYFUNCTION("""COMPUTED_VALUE"""),TRUE)</f>
        <v>1</v>
      </c>
      <c r="N658" s="23" t="b">
        <f>IFERROR(__xludf.DUMMYFUNCTION("""COMPUTED_VALUE"""),FALSE)</f>
        <v>0</v>
      </c>
      <c r="O658" s="23">
        <f>IFERROR(__xludf.DUMMYFUNCTION("""COMPUTED_VALUE"""),75.042988668393)</f>
        <v>75.04298867</v>
      </c>
      <c r="P658" s="23">
        <f>IFERROR(__xludf.DUMMYFUNCTION("""COMPUTED_VALUE"""),327745.0)</f>
        <v>327745</v>
      </c>
      <c r="Q658" s="23">
        <f>IFERROR(__xludf.DUMMYFUNCTION("""COMPUTED_VALUE"""),436743.0)</f>
        <v>436743</v>
      </c>
    </row>
    <row r="659">
      <c r="A659" s="23">
        <f>IFERROR(__xludf.DUMMYFUNCTION("""COMPUTED_VALUE"""),658.0)</f>
        <v>658</v>
      </c>
      <c r="B659" s="23" t="str">
        <f>IFERROR(__xludf.DUMMYFUNCTION("""COMPUTED_VALUE"""),"Find K Closest Elements")</f>
        <v>Find K Closest Elements</v>
      </c>
      <c r="C659" s="23" t="str">
        <f>IFERROR(__xludf.DUMMYFUNCTION("""COMPUTED_VALUE"""),"find-k-closest-elements")</f>
        <v>find-k-closest-elements</v>
      </c>
      <c r="D659" s="23" t="b">
        <f>IFERROR(__xludf.DUMMYFUNCTION("""COMPUTED_VALUE"""),FALSE)</f>
        <v>0</v>
      </c>
      <c r="E659" s="23" t="str">
        <f>IFERROR(__xludf.DUMMYFUNCTION("""COMPUTED_VALUE"""),"Medium")</f>
        <v>Medium</v>
      </c>
      <c r="F659" s="23">
        <f>IFERROR(__xludf.DUMMYFUNCTION("""COMPUTED_VALUE"""),4237.0)</f>
        <v>4237</v>
      </c>
      <c r="G659" s="23">
        <f>IFERROR(__xludf.DUMMYFUNCTION("""COMPUTED_VALUE"""),423.0)</f>
        <v>423</v>
      </c>
      <c r="H659" s="23" t="str">
        <f>IFERROR(__xludf.DUMMYFUNCTION("""COMPUTED_VALUE"""),"Algorithms")</f>
        <v>Algorithms</v>
      </c>
      <c r="I659" s="23">
        <f>IFERROR(__xludf.DUMMYFUNCTION("""COMPUTED_VALUE"""),0.445)</f>
        <v>0.445</v>
      </c>
      <c r="J659" s="23">
        <f>IFERROR(__xludf.DUMMYFUNCTION("""COMPUTED_VALUE"""),658.0)</f>
        <v>658</v>
      </c>
      <c r="K659" s="23" t="b">
        <f>IFERROR(__xludf.DUMMYFUNCTION("""COMPUTED_VALUE"""),FALSE)</f>
        <v>0</v>
      </c>
      <c r="L659" s="23" t="str">
        <f>IFERROR(__xludf.DUMMYFUNCTION("""COMPUTED_VALUE"""),"Array;Two Pointers;Binary Search;Sorting;Heap (Priority Queue);")</f>
        <v>Array;Two Pointers;Binary Search;Sorting;Heap (Priority Queue);</v>
      </c>
      <c r="M659" s="23" t="b">
        <f>IFERROR(__xludf.DUMMYFUNCTION("""COMPUTED_VALUE"""),TRUE)</f>
        <v>1</v>
      </c>
      <c r="N659" s="23" t="b">
        <f>IFERROR(__xludf.DUMMYFUNCTION("""COMPUTED_VALUE"""),FALSE)</f>
        <v>0</v>
      </c>
      <c r="O659" s="23">
        <f>IFERROR(__xludf.DUMMYFUNCTION("""COMPUTED_VALUE"""),44.5058921631869)</f>
        <v>44.50589216</v>
      </c>
      <c r="P659" s="23">
        <f>IFERROR(__xludf.DUMMYFUNCTION("""COMPUTED_VALUE"""),282873.0)</f>
        <v>282873</v>
      </c>
      <c r="Q659" s="23">
        <f>IFERROR(__xludf.DUMMYFUNCTION("""COMPUTED_VALUE"""),635585.0)</f>
        <v>635585</v>
      </c>
    </row>
    <row r="660">
      <c r="A660" s="23">
        <f>IFERROR(__xludf.DUMMYFUNCTION("""COMPUTED_VALUE"""),659.0)</f>
        <v>659</v>
      </c>
      <c r="B660" s="23" t="str">
        <f>IFERROR(__xludf.DUMMYFUNCTION("""COMPUTED_VALUE"""),"Split Array into Consecutive Subsequences")</f>
        <v>Split Array into Consecutive Subsequences</v>
      </c>
      <c r="C660" s="23" t="str">
        <f>IFERROR(__xludf.DUMMYFUNCTION("""COMPUTED_VALUE"""),"split-array-into-consecutive-subsequences")</f>
        <v>split-array-into-consecutive-subsequences</v>
      </c>
      <c r="D660" s="23" t="b">
        <f>IFERROR(__xludf.DUMMYFUNCTION("""COMPUTED_VALUE"""),FALSE)</f>
        <v>0</v>
      </c>
      <c r="E660" s="23" t="str">
        <f>IFERROR(__xludf.DUMMYFUNCTION("""COMPUTED_VALUE"""),"Medium")</f>
        <v>Medium</v>
      </c>
      <c r="F660" s="23">
        <f>IFERROR(__xludf.DUMMYFUNCTION("""COMPUTED_VALUE"""),2140.0)</f>
        <v>2140</v>
      </c>
      <c r="G660" s="23">
        <f>IFERROR(__xludf.DUMMYFUNCTION("""COMPUTED_VALUE"""),549.0)</f>
        <v>549</v>
      </c>
      <c r="H660" s="23" t="str">
        <f>IFERROR(__xludf.DUMMYFUNCTION("""COMPUTED_VALUE"""),"Algorithms")</f>
        <v>Algorithms</v>
      </c>
      <c r="I660" s="23">
        <f>IFERROR(__xludf.DUMMYFUNCTION("""COMPUTED_VALUE"""),0.457)</f>
        <v>0.457</v>
      </c>
      <c r="J660" s="23">
        <f>IFERROR(__xludf.DUMMYFUNCTION("""COMPUTED_VALUE"""),659.0)</f>
        <v>659</v>
      </c>
      <c r="K660" s="23" t="b">
        <f>IFERROR(__xludf.DUMMYFUNCTION("""COMPUTED_VALUE"""),FALSE)</f>
        <v>0</v>
      </c>
      <c r="L660" s="23" t="str">
        <f>IFERROR(__xludf.DUMMYFUNCTION("""COMPUTED_VALUE"""),"Array;Hash Table;Greedy;Heap (Priority Queue);")</f>
        <v>Array;Hash Table;Greedy;Heap (Priority Queue);</v>
      </c>
      <c r="M660" s="23" t="b">
        <f>IFERROR(__xludf.DUMMYFUNCTION("""COMPUTED_VALUE"""),TRUE)</f>
        <v>1</v>
      </c>
      <c r="N660" s="23" t="b">
        <f>IFERROR(__xludf.DUMMYFUNCTION("""COMPUTED_VALUE"""),FALSE)</f>
        <v>0</v>
      </c>
      <c r="O660" s="23">
        <f>IFERROR(__xludf.DUMMYFUNCTION("""COMPUTED_VALUE"""),45.6963851611755)</f>
        <v>45.69638516</v>
      </c>
      <c r="P660" s="23">
        <f>IFERROR(__xludf.DUMMYFUNCTION("""COMPUTED_VALUE"""),69363.0)</f>
        <v>69363</v>
      </c>
      <c r="Q660" s="23">
        <f>IFERROR(__xludf.DUMMYFUNCTION("""COMPUTED_VALUE"""),151791.0)</f>
        <v>151791</v>
      </c>
    </row>
    <row r="661">
      <c r="A661" s="23">
        <f>IFERROR(__xludf.DUMMYFUNCTION("""COMPUTED_VALUE"""),660.0)</f>
        <v>660</v>
      </c>
      <c r="B661" s="23" t="str">
        <f>IFERROR(__xludf.DUMMYFUNCTION("""COMPUTED_VALUE"""),"Remove 9")</f>
        <v>Remove 9</v>
      </c>
      <c r="C661" s="23" t="str">
        <f>IFERROR(__xludf.DUMMYFUNCTION("""COMPUTED_VALUE"""),"remove-9")</f>
        <v>remove-9</v>
      </c>
      <c r="D661" s="23" t="b">
        <f>IFERROR(__xludf.DUMMYFUNCTION("""COMPUTED_VALUE"""),TRUE)</f>
        <v>1</v>
      </c>
      <c r="E661" s="23" t="str">
        <f>IFERROR(__xludf.DUMMYFUNCTION("""COMPUTED_VALUE"""),"Hard")</f>
        <v>Hard</v>
      </c>
      <c r="F661" s="23">
        <f>IFERROR(__xludf.DUMMYFUNCTION("""COMPUTED_VALUE"""),138.0)</f>
        <v>138</v>
      </c>
      <c r="G661" s="23">
        <f>IFERROR(__xludf.DUMMYFUNCTION("""COMPUTED_VALUE"""),178.0)</f>
        <v>178</v>
      </c>
      <c r="H661" s="23" t="str">
        <f>IFERROR(__xludf.DUMMYFUNCTION("""COMPUTED_VALUE"""),"Algorithms")</f>
        <v>Algorithms</v>
      </c>
      <c r="I661" s="23">
        <f>IFERROR(__xludf.DUMMYFUNCTION("""COMPUTED_VALUE"""),0.558)</f>
        <v>0.558</v>
      </c>
      <c r="J661" s="23">
        <f>IFERROR(__xludf.DUMMYFUNCTION("""COMPUTED_VALUE"""),660.0)</f>
        <v>660</v>
      </c>
      <c r="K661" s="23" t="b">
        <f>IFERROR(__xludf.DUMMYFUNCTION("""COMPUTED_VALUE"""),TRUE)</f>
        <v>1</v>
      </c>
      <c r="L661" s="23" t="str">
        <f>IFERROR(__xludf.DUMMYFUNCTION("""COMPUTED_VALUE"""),"Math;")</f>
        <v>Math;</v>
      </c>
      <c r="M661" s="23" t="b">
        <f>IFERROR(__xludf.DUMMYFUNCTION("""COMPUTED_VALUE"""),TRUE)</f>
        <v>1</v>
      </c>
      <c r="N661" s="23" t="b">
        <f>IFERROR(__xludf.DUMMYFUNCTION("""COMPUTED_VALUE"""),FALSE)</f>
        <v>0</v>
      </c>
      <c r="O661" s="23">
        <f>IFERROR(__xludf.DUMMYFUNCTION("""COMPUTED_VALUE"""),55.8083462132921)</f>
        <v>55.80834621</v>
      </c>
      <c r="P661" s="23">
        <f>IFERROR(__xludf.DUMMYFUNCTION("""COMPUTED_VALUE"""),9027.0)</f>
        <v>9027</v>
      </c>
      <c r="Q661" s="23">
        <f>IFERROR(__xludf.DUMMYFUNCTION("""COMPUTED_VALUE"""),16175.0)</f>
        <v>16175</v>
      </c>
    </row>
    <row r="662">
      <c r="A662" s="23">
        <f>IFERROR(__xludf.DUMMYFUNCTION("""COMPUTED_VALUE"""),661.0)</f>
        <v>661</v>
      </c>
      <c r="B662" s="23" t="str">
        <f>IFERROR(__xludf.DUMMYFUNCTION("""COMPUTED_VALUE"""),"Image Smoother")</f>
        <v>Image Smoother</v>
      </c>
      <c r="C662" s="23" t="str">
        <f>IFERROR(__xludf.DUMMYFUNCTION("""COMPUTED_VALUE"""),"image-smoother")</f>
        <v>image-smoother</v>
      </c>
      <c r="D662" s="23" t="b">
        <f>IFERROR(__xludf.DUMMYFUNCTION("""COMPUTED_VALUE"""),FALSE)</f>
        <v>0</v>
      </c>
      <c r="E662" s="23" t="str">
        <f>IFERROR(__xludf.DUMMYFUNCTION("""COMPUTED_VALUE"""),"Easy")</f>
        <v>Easy</v>
      </c>
      <c r="F662" s="23">
        <f>IFERROR(__xludf.DUMMYFUNCTION("""COMPUTED_VALUE"""),379.0)</f>
        <v>379</v>
      </c>
      <c r="G662" s="23">
        <f>IFERROR(__xludf.DUMMYFUNCTION("""COMPUTED_VALUE"""),1585.0)</f>
        <v>1585</v>
      </c>
      <c r="H662" s="23" t="str">
        <f>IFERROR(__xludf.DUMMYFUNCTION("""COMPUTED_VALUE"""),"Algorithms")</f>
        <v>Algorithms</v>
      </c>
      <c r="I662" s="23">
        <f>IFERROR(__xludf.DUMMYFUNCTION("""COMPUTED_VALUE"""),0.543)</f>
        <v>0.543</v>
      </c>
      <c r="J662" s="23">
        <f>IFERROR(__xludf.DUMMYFUNCTION("""COMPUTED_VALUE"""),661.0)</f>
        <v>661</v>
      </c>
      <c r="K662" s="23" t="b">
        <f>IFERROR(__xludf.DUMMYFUNCTION("""COMPUTED_VALUE"""),FALSE)</f>
        <v>0</v>
      </c>
      <c r="L662" s="23" t="str">
        <f>IFERROR(__xludf.DUMMYFUNCTION("""COMPUTED_VALUE"""),"Array;Matrix;")</f>
        <v>Array;Matrix;</v>
      </c>
      <c r="M662" s="23" t="b">
        <f>IFERROR(__xludf.DUMMYFUNCTION("""COMPUTED_VALUE"""),FALSE)</f>
        <v>0</v>
      </c>
      <c r="N662" s="23" t="b">
        <f>IFERROR(__xludf.DUMMYFUNCTION("""COMPUTED_VALUE"""),FALSE)</f>
        <v>0</v>
      </c>
      <c r="O662" s="23">
        <f>IFERROR(__xludf.DUMMYFUNCTION("""COMPUTED_VALUE"""),54.2528852509024)</f>
        <v>54.25288525</v>
      </c>
      <c r="P662" s="23">
        <f>IFERROR(__xludf.DUMMYFUNCTION("""COMPUTED_VALUE"""),64026.0)</f>
        <v>64026</v>
      </c>
      <c r="Q662" s="23">
        <f>IFERROR(__xludf.DUMMYFUNCTION("""COMPUTED_VALUE"""),118014.0)</f>
        <v>118014</v>
      </c>
    </row>
    <row r="663">
      <c r="A663" s="23">
        <f>IFERROR(__xludf.DUMMYFUNCTION("""COMPUTED_VALUE"""),662.0)</f>
        <v>662</v>
      </c>
      <c r="B663" s="23" t="str">
        <f>IFERROR(__xludf.DUMMYFUNCTION("""COMPUTED_VALUE"""),"Maximum Width of Binary Tree")</f>
        <v>Maximum Width of Binary Tree</v>
      </c>
      <c r="C663" s="23" t="str">
        <f>IFERROR(__xludf.DUMMYFUNCTION("""COMPUTED_VALUE"""),"maximum-width-of-binary-tree")</f>
        <v>maximum-width-of-binary-tree</v>
      </c>
      <c r="D663" s="23" t="b">
        <f>IFERROR(__xludf.DUMMYFUNCTION("""COMPUTED_VALUE"""),FALSE)</f>
        <v>0</v>
      </c>
      <c r="E663" s="23" t="str">
        <f>IFERROR(__xludf.DUMMYFUNCTION("""COMPUTED_VALUE"""),"Medium")</f>
        <v>Medium</v>
      </c>
      <c r="F663" s="23">
        <f>IFERROR(__xludf.DUMMYFUNCTION("""COMPUTED_VALUE"""),4478.0)</f>
        <v>4478</v>
      </c>
      <c r="G663" s="23">
        <f>IFERROR(__xludf.DUMMYFUNCTION("""COMPUTED_VALUE"""),720.0)</f>
        <v>720</v>
      </c>
      <c r="H663" s="23" t="str">
        <f>IFERROR(__xludf.DUMMYFUNCTION("""COMPUTED_VALUE"""),"Algorithms")</f>
        <v>Algorithms</v>
      </c>
      <c r="I663" s="23">
        <f>IFERROR(__xludf.DUMMYFUNCTION("""COMPUTED_VALUE"""),0.402)</f>
        <v>0.402</v>
      </c>
      <c r="J663" s="23">
        <f>IFERROR(__xludf.DUMMYFUNCTION("""COMPUTED_VALUE"""),662.0)</f>
        <v>662</v>
      </c>
      <c r="K663" s="23" t="b">
        <f>IFERROR(__xludf.DUMMYFUNCTION("""COMPUTED_VALUE"""),FALSE)</f>
        <v>0</v>
      </c>
      <c r="L663" s="23" t="str">
        <f>IFERROR(__xludf.DUMMYFUNCTION("""COMPUTED_VALUE"""),"Tree;Depth-First Search;Breadth-First Search;Binary Tree;")</f>
        <v>Tree;Depth-First Search;Breadth-First Search;Binary Tree;</v>
      </c>
      <c r="M663" s="23" t="b">
        <f>IFERROR(__xludf.DUMMYFUNCTION("""COMPUTED_VALUE"""),TRUE)</f>
        <v>1</v>
      </c>
      <c r="N663" s="23" t="b">
        <f>IFERROR(__xludf.DUMMYFUNCTION("""COMPUTED_VALUE"""),FALSE)</f>
        <v>0</v>
      </c>
      <c r="O663" s="23">
        <f>IFERROR(__xludf.DUMMYFUNCTION("""COMPUTED_VALUE"""),40.2485928186754)</f>
        <v>40.24859282</v>
      </c>
      <c r="P663" s="23">
        <f>IFERROR(__xludf.DUMMYFUNCTION("""COMPUTED_VALUE"""),181982.0)</f>
        <v>181982</v>
      </c>
      <c r="Q663" s="23">
        <f>IFERROR(__xludf.DUMMYFUNCTION("""COMPUTED_VALUE"""),452145.0)</f>
        <v>452145</v>
      </c>
    </row>
    <row r="664">
      <c r="A664" s="23">
        <f>IFERROR(__xludf.DUMMYFUNCTION("""COMPUTED_VALUE"""),663.0)</f>
        <v>663</v>
      </c>
      <c r="B664" s="23" t="str">
        <f>IFERROR(__xludf.DUMMYFUNCTION("""COMPUTED_VALUE"""),"Equal Tree Partition")</f>
        <v>Equal Tree Partition</v>
      </c>
      <c r="C664" s="23" t="str">
        <f>IFERROR(__xludf.DUMMYFUNCTION("""COMPUTED_VALUE"""),"equal-tree-partition")</f>
        <v>equal-tree-partition</v>
      </c>
      <c r="D664" s="23" t="b">
        <f>IFERROR(__xludf.DUMMYFUNCTION("""COMPUTED_VALUE"""),TRUE)</f>
        <v>1</v>
      </c>
      <c r="E664" s="23" t="str">
        <f>IFERROR(__xludf.DUMMYFUNCTION("""COMPUTED_VALUE"""),"Medium")</f>
        <v>Medium</v>
      </c>
      <c r="F664" s="23">
        <f>IFERROR(__xludf.DUMMYFUNCTION("""COMPUTED_VALUE"""),429.0)</f>
        <v>429</v>
      </c>
      <c r="G664" s="23">
        <f>IFERROR(__xludf.DUMMYFUNCTION("""COMPUTED_VALUE"""),33.0)</f>
        <v>33</v>
      </c>
      <c r="H664" s="23" t="str">
        <f>IFERROR(__xludf.DUMMYFUNCTION("""COMPUTED_VALUE"""),"Algorithms")</f>
        <v>Algorithms</v>
      </c>
      <c r="I664" s="23">
        <f>IFERROR(__xludf.DUMMYFUNCTION("""COMPUTED_VALUE"""),0.412)</f>
        <v>0.412</v>
      </c>
      <c r="J664" s="23">
        <f>IFERROR(__xludf.DUMMYFUNCTION("""COMPUTED_VALUE"""),663.0)</f>
        <v>663</v>
      </c>
      <c r="K664" s="23" t="b">
        <f>IFERROR(__xludf.DUMMYFUNCTION("""COMPUTED_VALUE"""),TRUE)</f>
        <v>1</v>
      </c>
      <c r="L664" s="23" t="str">
        <f>IFERROR(__xludf.DUMMYFUNCTION("""COMPUTED_VALUE"""),"Tree;Depth-First Search;Binary Tree;")</f>
        <v>Tree;Depth-First Search;Binary Tree;</v>
      </c>
      <c r="M664" s="23" t="b">
        <f>IFERROR(__xludf.DUMMYFUNCTION("""COMPUTED_VALUE"""),TRUE)</f>
        <v>1</v>
      </c>
      <c r="N664" s="23" t="b">
        <f>IFERROR(__xludf.DUMMYFUNCTION("""COMPUTED_VALUE"""),FALSE)</f>
        <v>0</v>
      </c>
      <c r="O664" s="23">
        <f>IFERROR(__xludf.DUMMYFUNCTION("""COMPUTED_VALUE"""),41.1955688496745)</f>
        <v>41.19556885</v>
      </c>
      <c r="P664" s="23">
        <f>IFERROR(__xludf.DUMMYFUNCTION("""COMPUTED_VALUE"""),27407.0)</f>
        <v>27407</v>
      </c>
      <c r="Q664" s="23">
        <f>IFERROR(__xludf.DUMMYFUNCTION("""COMPUTED_VALUE"""),66529.0)</f>
        <v>66529</v>
      </c>
    </row>
    <row r="665">
      <c r="A665" s="23">
        <f>IFERROR(__xludf.DUMMYFUNCTION("""COMPUTED_VALUE"""),664.0)</f>
        <v>664</v>
      </c>
      <c r="B665" s="23" t="str">
        <f>IFERROR(__xludf.DUMMYFUNCTION("""COMPUTED_VALUE"""),"Strange Printer")</f>
        <v>Strange Printer</v>
      </c>
      <c r="C665" s="23" t="str">
        <f>IFERROR(__xludf.DUMMYFUNCTION("""COMPUTED_VALUE"""),"strange-printer")</f>
        <v>strange-printer</v>
      </c>
      <c r="D665" s="23" t="b">
        <f>IFERROR(__xludf.DUMMYFUNCTION("""COMPUTED_VALUE"""),FALSE)</f>
        <v>0</v>
      </c>
      <c r="E665" s="23" t="str">
        <f>IFERROR(__xludf.DUMMYFUNCTION("""COMPUTED_VALUE"""),"Hard")</f>
        <v>Hard</v>
      </c>
      <c r="F665" s="23">
        <f>IFERROR(__xludf.DUMMYFUNCTION("""COMPUTED_VALUE"""),849.0)</f>
        <v>849</v>
      </c>
      <c r="G665" s="23">
        <f>IFERROR(__xludf.DUMMYFUNCTION("""COMPUTED_VALUE"""),83.0)</f>
        <v>83</v>
      </c>
      <c r="H665" s="23" t="str">
        <f>IFERROR(__xludf.DUMMYFUNCTION("""COMPUTED_VALUE"""),"Algorithms")</f>
        <v>Algorithms</v>
      </c>
      <c r="I665" s="23">
        <f>IFERROR(__xludf.DUMMYFUNCTION("""COMPUTED_VALUE"""),0.462)</f>
        <v>0.462</v>
      </c>
      <c r="J665" s="23">
        <f>IFERROR(__xludf.DUMMYFUNCTION("""COMPUTED_VALUE"""),664.0)</f>
        <v>664</v>
      </c>
      <c r="K665" s="23" t="b">
        <f>IFERROR(__xludf.DUMMYFUNCTION("""COMPUTED_VALUE"""),FALSE)</f>
        <v>0</v>
      </c>
      <c r="L665" s="23" t="str">
        <f>IFERROR(__xludf.DUMMYFUNCTION("""COMPUTED_VALUE"""),"String;Dynamic Programming;")</f>
        <v>String;Dynamic Programming;</v>
      </c>
      <c r="M665" s="23" t="b">
        <f>IFERROR(__xludf.DUMMYFUNCTION("""COMPUTED_VALUE"""),FALSE)</f>
        <v>0</v>
      </c>
      <c r="N665" s="23" t="b">
        <f>IFERROR(__xludf.DUMMYFUNCTION("""COMPUTED_VALUE"""),FALSE)</f>
        <v>0</v>
      </c>
      <c r="O665" s="23">
        <f>IFERROR(__xludf.DUMMYFUNCTION("""COMPUTED_VALUE"""),46.1862834395978)</f>
        <v>46.18628344</v>
      </c>
      <c r="P665" s="23">
        <f>IFERROR(__xludf.DUMMYFUNCTION("""COMPUTED_VALUE"""),27382.0)</f>
        <v>27382</v>
      </c>
      <c r="Q665" s="23">
        <f>IFERROR(__xludf.DUMMYFUNCTION("""COMPUTED_VALUE"""),59286.0)</f>
        <v>59286</v>
      </c>
    </row>
    <row r="666">
      <c r="A666" s="23">
        <f>IFERROR(__xludf.DUMMYFUNCTION("""COMPUTED_VALUE"""),665.0)</f>
        <v>665</v>
      </c>
      <c r="B666" s="23" t="str">
        <f>IFERROR(__xludf.DUMMYFUNCTION("""COMPUTED_VALUE"""),"Non-decreasing Array")</f>
        <v>Non-decreasing Array</v>
      </c>
      <c r="C666" s="23" t="str">
        <f>IFERROR(__xludf.DUMMYFUNCTION("""COMPUTED_VALUE"""),"non-decreasing-array")</f>
        <v>non-decreasing-array</v>
      </c>
      <c r="D666" s="23" t="b">
        <f>IFERROR(__xludf.DUMMYFUNCTION("""COMPUTED_VALUE"""),FALSE)</f>
        <v>0</v>
      </c>
      <c r="E666" s="23" t="str">
        <f>IFERROR(__xludf.DUMMYFUNCTION("""COMPUTED_VALUE"""),"Medium")</f>
        <v>Medium</v>
      </c>
      <c r="F666" s="23">
        <f>IFERROR(__xludf.DUMMYFUNCTION("""COMPUTED_VALUE"""),3580.0)</f>
        <v>3580</v>
      </c>
      <c r="G666" s="23">
        <f>IFERROR(__xludf.DUMMYFUNCTION("""COMPUTED_VALUE"""),664.0)</f>
        <v>664</v>
      </c>
      <c r="H666" s="23" t="str">
        <f>IFERROR(__xludf.DUMMYFUNCTION("""COMPUTED_VALUE"""),"Algorithms")</f>
        <v>Algorithms</v>
      </c>
      <c r="I666" s="23">
        <f>IFERROR(__xludf.DUMMYFUNCTION("""COMPUTED_VALUE"""),0.215)</f>
        <v>0.215</v>
      </c>
      <c r="J666" s="23">
        <f>IFERROR(__xludf.DUMMYFUNCTION("""COMPUTED_VALUE"""),665.0)</f>
        <v>665</v>
      </c>
      <c r="K666" s="23" t="b">
        <f>IFERROR(__xludf.DUMMYFUNCTION("""COMPUTED_VALUE"""),FALSE)</f>
        <v>0</v>
      </c>
      <c r="L666" s="23" t="str">
        <f>IFERROR(__xludf.DUMMYFUNCTION("""COMPUTED_VALUE"""),"Array;")</f>
        <v>Array;</v>
      </c>
      <c r="M666" s="23" t="b">
        <f>IFERROR(__xludf.DUMMYFUNCTION("""COMPUTED_VALUE"""),TRUE)</f>
        <v>1</v>
      </c>
      <c r="N666" s="23" t="b">
        <f>IFERROR(__xludf.DUMMYFUNCTION("""COMPUTED_VALUE"""),FALSE)</f>
        <v>0</v>
      </c>
      <c r="O666" s="23">
        <f>IFERROR(__xludf.DUMMYFUNCTION("""COMPUTED_VALUE"""),21.5360456780778)</f>
        <v>21.53604568</v>
      </c>
      <c r="P666" s="23">
        <f>IFERROR(__xludf.DUMMYFUNCTION("""COMPUTED_VALUE"""),171843.0)</f>
        <v>171843</v>
      </c>
      <c r="Q666" s="23">
        <f>IFERROR(__xludf.DUMMYFUNCTION("""COMPUTED_VALUE"""),797932.0)</f>
        <v>797932</v>
      </c>
    </row>
    <row r="667">
      <c r="A667" s="23">
        <f>IFERROR(__xludf.DUMMYFUNCTION("""COMPUTED_VALUE"""),666.0)</f>
        <v>666</v>
      </c>
      <c r="B667" s="23" t="str">
        <f>IFERROR(__xludf.DUMMYFUNCTION("""COMPUTED_VALUE"""),"Path Sum IV")</f>
        <v>Path Sum IV</v>
      </c>
      <c r="C667" s="23" t="str">
        <f>IFERROR(__xludf.DUMMYFUNCTION("""COMPUTED_VALUE"""),"path-sum-iv")</f>
        <v>path-sum-iv</v>
      </c>
      <c r="D667" s="23" t="b">
        <f>IFERROR(__xludf.DUMMYFUNCTION("""COMPUTED_VALUE"""),TRUE)</f>
        <v>1</v>
      </c>
      <c r="E667" s="23" t="str">
        <f>IFERROR(__xludf.DUMMYFUNCTION("""COMPUTED_VALUE"""),"Medium")</f>
        <v>Medium</v>
      </c>
      <c r="F667" s="23">
        <f>IFERROR(__xludf.DUMMYFUNCTION("""COMPUTED_VALUE"""),279.0)</f>
        <v>279</v>
      </c>
      <c r="G667" s="23">
        <f>IFERROR(__xludf.DUMMYFUNCTION("""COMPUTED_VALUE"""),373.0)</f>
        <v>373</v>
      </c>
      <c r="H667" s="23" t="str">
        <f>IFERROR(__xludf.DUMMYFUNCTION("""COMPUTED_VALUE"""),"Algorithms")</f>
        <v>Algorithms</v>
      </c>
      <c r="I667" s="23">
        <f>IFERROR(__xludf.DUMMYFUNCTION("""COMPUTED_VALUE"""),0.586)</f>
        <v>0.586</v>
      </c>
      <c r="J667" s="23">
        <f>IFERROR(__xludf.DUMMYFUNCTION("""COMPUTED_VALUE"""),666.0)</f>
        <v>666</v>
      </c>
      <c r="K667" s="23" t="b">
        <f>IFERROR(__xludf.DUMMYFUNCTION("""COMPUTED_VALUE"""),TRUE)</f>
        <v>1</v>
      </c>
      <c r="L667" s="23" t="str">
        <f>IFERROR(__xludf.DUMMYFUNCTION("""COMPUTED_VALUE"""),"Array;Tree;Depth-First Search;Binary Tree;")</f>
        <v>Array;Tree;Depth-First Search;Binary Tree;</v>
      </c>
      <c r="M667" s="23" t="b">
        <f>IFERROR(__xludf.DUMMYFUNCTION("""COMPUTED_VALUE"""),TRUE)</f>
        <v>1</v>
      </c>
      <c r="N667" s="23" t="b">
        <f>IFERROR(__xludf.DUMMYFUNCTION("""COMPUTED_VALUE"""),FALSE)</f>
        <v>0</v>
      </c>
      <c r="O667" s="23">
        <f>IFERROR(__xludf.DUMMYFUNCTION("""COMPUTED_VALUE"""),58.6060001812743)</f>
        <v>58.60600018</v>
      </c>
      <c r="P667" s="23">
        <f>IFERROR(__xludf.DUMMYFUNCTION("""COMPUTED_VALUE"""),19398.0)</f>
        <v>19398</v>
      </c>
      <c r="Q667" s="23">
        <f>IFERROR(__xludf.DUMMYFUNCTION("""COMPUTED_VALUE"""),33099.0)</f>
        <v>33099</v>
      </c>
    </row>
    <row r="668">
      <c r="A668" s="23">
        <f>IFERROR(__xludf.DUMMYFUNCTION("""COMPUTED_VALUE"""),667.0)</f>
        <v>667</v>
      </c>
      <c r="B668" s="23" t="str">
        <f>IFERROR(__xludf.DUMMYFUNCTION("""COMPUTED_VALUE"""),"Beautiful Arrangement II")</f>
        <v>Beautiful Arrangement II</v>
      </c>
      <c r="C668" s="23" t="str">
        <f>IFERROR(__xludf.DUMMYFUNCTION("""COMPUTED_VALUE"""),"beautiful-arrangement-ii")</f>
        <v>beautiful-arrangement-ii</v>
      </c>
      <c r="D668" s="23" t="b">
        <f>IFERROR(__xludf.DUMMYFUNCTION("""COMPUTED_VALUE"""),FALSE)</f>
        <v>0</v>
      </c>
      <c r="E668" s="23" t="str">
        <f>IFERROR(__xludf.DUMMYFUNCTION("""COMPUTED_VALUE"""),"Medium")</f>
        <v>Medium</v>
      </c>
      <c r="F668" s="23">
        <f>IFERROR(__xludf.DUMMYFUNCTION("""COMPUTED_VALUE"""),657.0)</f>
        <v>657</v>
      </c>
      <c r="G668" s="23">
        <f>IFERROR(__xludf.DUMMYFUNCTION("""COMPUTED_VALUE"""),957.0)</f>
        <v>957</v>
      </c>
      <c r="H668" s="23" t="str">
        <f>IFERROR(__xludf.DUMMYFUNCTION("""COMPUTED_VALUE"""),"Algorithms")</f>
        <v>Algorithms</v>
      </c>
      <c r="I668" s="23">
        <f>IFERROR(__xludf.DUMMYFUNCTION("""COMPUTED_VALUE"""),0.594)</f>
        <v>0.594</v>
      </c>
      <c r="J668" s="23">
        <f>IFERROR(__xludf.DUMMYFUNCTION("""COMPUTED_VALUE"""),667.0)</f>
        <v>667</v>
      </c>
      <c r="K668" s="23" t="b">
        <f>IFERROR(__xludf.DUMMYFUNCTION("""COMPUTED_VALUE"""),FALSE)</f>
        <v>0</v>
      </c>
      <c r="L668" s="23" t="str">
        <f>IFERROR(__xludf.DUMMYFUNCTION("""COMPUTED_VALUE"""),"Array;Math;")</f>
        <v>Array;Math;</v>
      </c>
      <c r="M668" s="23" t="b">
        <f>IFERROR(__xludf.DUMMYFUNCTION("""COMPUTED_VALUE"""),TRUE)</f>
        <v>1</v>
      </c>
      <c r="N668" s="23" t="b">
        <f>IFERROR(__xludf.DUMMYFUNCTION("""COMPUTED_VALUE"""),FALSE)</f>
        <v>0</v>
      </c>
      <c r="O668" s="23">
        <f>IFERROR(__xludf.DUMMYFUNCTION("""COMPUTED_VALUE"""),59.4012413289521)</f>
        <v>59.40124133</v>
      </c>
      <c r="P668" s="23">
        <f>IFERROR(__xludf.DUMMYFUNCTION("""COMPUTED_VALUE"""),47183.0)</f>
        <v>47183</v>
      </c>
      <c r="Q668" s="23">
        <f>IFERROR(__xludf.DUMMYFUNCTION("""COMPUTED_VALUE"""),79431.0)</f>
        <v>79431</v>
      </c>
    </row>
    <row r="669">
      <c r="A669" s="23">
        <f>IFERROR(__xludf.DUMMYFUNCTION("""COMPUTED_VALUE"""),668.0)</f>
        <v>668</v>
      </c>
      <c r="B669" s="23" t="str">
        <f>IFERROR(__xludf.DUMMYFUNCTION("""COMPUTED_VALUE"""),"Kth Smallest Number in Multiplication Table")</f>
        <v>Kth Smallest Number in Multiplication Table</v>
      </c>
      <c r="C669" s="23" t="str">
        <f>IFERROR(__xludf.DUMMYFUNCTION("""COMPUTED_VALUE"""),"kth-smallest-number-in-multiplication-table")</f>
        <v>kth-smallest-number-in-multiplication-table</v>
      </c>
      <c r="D669" s="23" t="b">
        <f>IFERROR(__xludf.DUMMYFUNCTION("""COMPUTED_VALUE"""),FALSE)</f>
        <v>0</v>
      </c>
      <c r="E669" s="23" t="str">
        <f>IFERROR(__xludf.DUMMYFUNCTION("""COMPUTED_VALUE"""),"Hard")</f>
        <v>Hard</v>
      </c>
      <c r="F669" s="23">
        <f>IFERROR(__xludf.DUMMYFUNCTION("""COMPUTED_VALUE"""),1599.0)</f>
        <v>1599</v>
      </c>
      <c r="G669" s="23">
        <f>IFERROR(__xludf.DUMMYFUNCTION("""COMPUTED_VALUE"""),45.0)</f>
        <v>45</v>
      </c>
      <c r="H669" s="23" t="str">
        <f>IFERROR(__xludf.DUMMYFUNCTION("""COMPUTED_VALUE"""),"Algorithms")</f>
        <v>Algorithms</v>
      </c>
      <c r="I669" s="23">
        <f>IFERROR(__xludf.DUMMYFUNCTION("""COMPUTED_VALUE"""),0.51)</f>
        <v>0.51</v>
      </c>
      <c r="J669" s="23">
        <f>IFERROR(__xludf.DUMMYFUNCTION("""COMPUTED_VALUE"""),668.0)</f>
        <v>668</v>
      </c>
      <c r="K669" s="23" t="b">
        <f>IFERROR(__xludf.DUMMYFUNCTION("""COMPUTED_VALUE"""),FALSE)</f>
        <v>0</v>
      </c>
      <c r="L669" s="23" t="str">
        <f>IFERROR(__xludf.DUMMYFUNCTION("""COMPUTED_VALUE"""),"Binary Search;")</f>
        <v>Binary Search;</v>
      </c>
      <c r="M669" s="23" t="b">
        <f>IFERROR(__xludf.DUMMYFUNCTION("""COMPUTED_VALUE"""),TRUE)</f>
        <v>1</v>
      </c>
      <c r="N669" s="23" t="b">
        <f>IFERROR(__xludf.DUMMYFUNCTION("""COMPUTED_VALUE"""),FALSE)</f>
        <v>0</v>
      </c>
      <c r="O669" s="23">
        <f>IFERROR(__xludf.DUMMYFUNCTION("""COMPUTED_VALUE"""),51.0404746768383)</f>
        <v>51.04047468</v>
      </c>
      <c r="P669" s="23">
        <f>IFERROR(__xludf.DUMMYFUNCTION("""COMPUTED_VALUE"""),48172.0)</f>
        <v>48172</v>
      </c>
      <c r="Q669" s="23">
        <f>IFERROR(__xludf.DUMMYFUNCTION("""COMPUTED_VALUE"""),94380.0)</f>
        <v>94380</v>
      </c>
    </row>
    <row r="670">
      <c r="A670" s="23">
        <f>IFERROR(__xludf.DUMMYFUNCTION("""COMPUTED_VALUE"""),669.0)</f>
        <v>669</v>
      </c>
      <c r="B670" s="23" t="str">
        <f>IFERROR(__xludf.DUMMYFUNCTION("""COMPUTED_VALUE"""),"Trim a Binary Search Tree")</f>
        <v>Trim a Binary Search Tree</v>
      </c>
      <c r="C670" s="23" t="str">
        <f>IFERROR(__xludf.DUMMYFUNCTION("""COMPUTED_VALUE"""),"trim-a-binary-search-tree")</f>
        <v>trim-a-binary-search-tree</v>
      </c>
      <c r="D670" s="23" t="b">
        <f>IFERROR(__xludf.DUMMYFUNCTION("""COMPUTED_VALUE"""),FALSE)</f>
        <v>0</v>
      </c>
      <c r="E670" s="23" t="str">
        <f>IFERROR(__xludf.DUMMYFUNCTION("""COMPUTED_VALUE"""),"Medium")</f>
        <v>Medium</v>
      </c>
      <c r="F670" s="23">
        <f>IFERROR(__xludf.DUMMYFUNCTION("""COMPUTED_VALUE"""),4720.0)</f>
        <v>4720</v>
      </c>
      <c r="G670" s="23">
        <f>IFERROR(__xludf.DUMMYFUNCTION("""COMPUTED_VALUE"""),236.0)</f>
        <v>236</v>
      </c>
      <c r="H670" s="23" t="str">
        <f>IFERROR(__xludf.DUMMYFUNCTION("""COMPUTED_VALUE"""),"Algorithms")</f>
        <v>Algorithms</v>
      </c>
      <c r="I670" s="23">
        <f>IFERROR(__xludf.DUMMYFUNCTION("""COMPUTED_VALUE"""),0.663)</f>
        <v>0.663</v>
      </c>
      <c r="J670" s="23">
        <f>IFERROR(__xludf.DUMMYFUNCTION("""COMPUTED_VALUE"""),669.0)</f>
        <v>669</v>
      </c>
      <c r="K670" s="23" t="b">
        <f>IFERROR(__xludf.DUMMYFUNCTION("""COMPUTED_VALUE"""),FALSE)</f>
        <v>0</v>
      </c>
      <c r="L670" s="23" t="str">
        <f>IFERROR(__xludf.DUMMYFUNCTION("""COMPUTED_VALUE"""),"Tree;Depth-First Search;Binary Search Tree;Binary Tree;")</f>
        <v>Tree;Depth-First Search;Binary Search Tree;Binary Tree;</v>
      </c>
      <c r="M670" s="23" t="b">
        <f>IFERROR(__xludf.DUMMYFUNCTION("""COMPUTED_VALUE"""),TRUE)</f>
        <v>1</v>
      </c>
      <c r="N670" s="23" t="b">
        <f>IFERROR(__xludf.DUMMYFUNCTION("""COMPUTED_VALUE"""),FALSE)</f>
        <v>0</v>
      </c>
      <c r="O670" s="23">
        <f>IFERROR(__xludf.DUMMYFUNCTION("""COMPUTED_VALUE"""),66.2556630971993)</f>
        <v>66.2556631</v>
      </c>
      <c r="P670" s="23">
        <f>IFERROR(__xludf.DUMMYFUNCTION("""COMPUTED_VALUE"""),231651.0)</f>
        <v>231651</v>
      </c>
      <c r="Q670" s="23">
        <f>IFERROR(__xludf.DUMMYFUNCTION("""COMPUTED_VALUE"""),349632.0)</f>
        <v>349632</v>
      </c>
    </row>
    <row r="671">
      <c r="A671" s="23">
        <f>IFERROR(__xludf.DUMMYFUNCTION("""COMPUTED_VALUE"""),670.0)</f>
        <v>670</v>
      </c>
      <c r="B671" s="23" t="str">
        <f>IFERROR(__xludf.DUMMYFUNCTION("""COMPUTED_VALUE"""),"Maximum Swap")</f>
        <v>Maximum Swap</v>
      </c>
      <c r="C671" s="23" t="str">
        <f>IFERROR(__xludf.DUMMYFUNCTION("""COMPUTED_VALUE"""),"maximum-swap")</f>
        <v>maximum-swap</v>
      </c>
      <c r="D671" s="23" t="b">
        <f>IFERROR(__xludf.DUMMYFUNCTION("""COMPUTED_VALUE"""),FALSE)</f>
        <v>0</v>
      </c>
      <c r="E671" s="23" t="str">
        <f>IFERROR(__xludf.DUMMYFUNCTION("""COMPUTED_VALUE"""),"Medium")</f>
        <v>Medium</v>
      </c>
      <c r="F671" s="23">
        <f>IFERROR(__xludf.DUMMYFUNCTION("""COMPUTED_VALUE"""),2462.0)</f>
        <v>2462</v>
      </c>
      <c r="G671" s="23">
        <f>IFERROR(__xludf.DUMMYFUNCTION("""COMPUTED_VALUE"""),142.0)</f>
        <v>142</v>
      </c>
      <c r="H671" s="23" t="str">
        <f>IFERROR(__xludf.DUMMYFUNCTION("""COMPUTED_VALUE"""),"Algorithms")</f>
        <v>Algorithms</v>
      </c>
      <c r="I671" s="23">
        <f>IFERROR(__xludf.DUMMYFUNCTION("""COMPUTED_VALUE"""),0.475)</f>
        <v>0.475</v>
      </c>
      <c r="J671" s="23">
        <f>IFERROR(__xludf.DUMMYFUNCTION("""COMPUTED_VALUE"""),670.0)</f>
        <v>670</v>
      </c>
      <c r="K671" s="23" t="b">
        <f>IFERROR(__xludf.DUMMYFUNCTION("""COMPUTED_VALUE"""),FALSE)</f>
        <v>0</v>
      </c>
      <c r="L671" s="23" t="str">
        <f>IFERROR(__xludf.DUMMYFUNCTION("""COMPUTED_VALUE"""),"Math;Greedy;")</f>
        <v>Math;Greedy;</v>
      </c>
      <c r="M671" s="23" t="b">
        <f>IFERROR(__xludf.DUMMYFUNCTION("""COMPUTED_VALUE"""),FALSE)</f>
        <v>0</v>
      </c>
      <c r="N671" s="23" t="b">
        <f>IFERROR(__xludf.DUMMYFUNCTION("""COMPUTED_VALUE"""),FALSE)</f>
        <v>0</v>
      </c>
      <c r="O671" s="23">
        <f>IFERROR(__xludf.DUMMYFUNCTION("""COMPUTED_VALUE"""),47.5475104874791)</f>
        <v>47.54751049</v>
      </c>
      <c r="P671" s="23">
        <f>IFERROR(__xludf.DUMMYFUNCTION("""COMPUTED_VALUE"""),166955.0)</f>
        <v>166955</v>
      </c>
      <c r="Q671" s="23">
        <f>IFERROR(__xludf.DUMMYFUNCTION("""COMPUTED_VALUE"""),351133.0)</f>
        <v>351133</v>
      </c>
    </row>
    <row r="672">
      <c r="A672" s="23">
        <f>IFERROR(__xludf.DUMMYFUNCTION("""COMPUTED_VALUE"""),671.0)</f>
        <v>671</v>
      </c>
      <c r="B672" s="23" t="str">
        <f>IFERROR(__xludf.DUMMYFUNCTION("""COMPUTED_VALUE"""),"Second Minimum Node In a Binary Tree")</f>
        <v>Second Minimum Node In a Binary Tree</v>
      </c>
      <c r="C672" s="23" t="str">
        <f>IFERROR(__xludf.DUMMYFUNCTION("""COMPUTED_VALUE"""),"second-minimum-node-in-a-binary-tree")</f>
        <v>second-minimum-node-in-a-binary-tree</v>
      </c>
      <c r="D672" s="23" t="b">
        <f>IFERROR(__xludf.DUMMYFUNCTION("""COMPUTED_VALUE"""),FALSE)</f>
        <v>0</v>
      </c>
      <c r="E672" s="23" t="str">
        <f>IFERROR(__xludf.DUMMYFUNCTION("""COMPUTED_VALUE"""),"Easy")</f>
        <v>Easy</v>
      </c>
      <c r="F672" s="23">
        <f>IFERROR(__xludf.DUMMYFUNCTION("""COMPUTED_VALUE"""),1237.0)</f>
        <v>1237</v>
      </c>
      <c r="G672" s="23">
        <f>IFERROR(__xludf.DUMMYFUNCTION("""COMPUTED_VALUE"""),1485.0)</f>
        <v>1485</v>
      </c>
      <c r="H672" s="23" t="str">
        <f>IFERROR(__xludf.DUMMYFUNCTION("""COMPUTED_VALUE"""),"Algorithms")</f>
        <v>Algorithms</v>
      </c>
      <c r="I672" s="23">
        <f>IFERROR(__xludf.DUMMYFUNCTION("""COMPUTED_VALUE"""),0.437)</f>
        <v>0.437</v>
      </c>
      <c r="J672" s="23">
        <f>IFERROR(__xludf.DUMMYFUNCTION("""COMPUTED_VALUE"""),671.0)</f>
        <v>671</v>
      </c>
      <c r="K672" s="23" t="b">
        <f>IFERROR(__xludf.DUMMYFUNCTION("""COMPUTED_VALUE"""),FALSE)</f>
        <v>0</v>
      </c>
      <c r="L672" s="23" t="str">
        <f>IFERROR(__xludf.DUMMYFUNCTION("""COMPUTED_VALUE"""),"Tree;Depth-First Search;Binary Tree;")</f>
        <v>Tree;Depth-First Search;Binary Tree;</v>
      </c>
      <c r="M672" s="23" t="b">
        <f>IFERROR(__xludf.DUMMYFUNCTION("""COMPUTED_VALUE"""),TRUE)</f>
        <v>1</v>
      </c>
      <c r="N672" s="23" t="b">
        <f>IFERROR(__xludf.DUMMYFUNCTION("""COMPUTED_VALUE"""),FALSE)</f>
        <v>0</v>
      </c>
      <c r="O672" s="23">
        <f>IFERROR(__xludf.DUMMYFUNCTION("""COMPUTED_VALUE"""),43.6780709798778)</f>
        <v>43.67807098</v>
      </c>
      <c r="P672" s="23">
        <f>IFERROR(__xludf.DUMMYFUNCTION("""COMPUTED_VALUE"""),139551.0)</f>
        <v>139551</v>
      </c>
      <c r="Q672" s="23">
        <f>IFERROR(__xludf.DUMMYFUNCTION("""COMPUTED_VALUE"""),319499.0)</f>
        <v>319499</v>
      </c>
    </row>
    <row r="673">
      <c r="A673" s="23">
        <f>IFERROR(__xludf.DUMMYFUNCTION("""COMPUTED_VALUE"""),672.0)</f>
        <v>672</v>
      </c>
      <c r="B673" s="23" t="str">
        <f>IFERROR(__xludf.DUMMYFUNCTION("""COMPUTED_VALUE"""),"Bulb Switcher II")</f>
        <v>Bulb Switcher II</v>
      </c>
      <c r="C673" s="23" t="str">
        <f>IFERROR(__xludf.DUMMYFUNCTION("""COMPUTED_VALUE"""),"bulb-switcher-ii")</f>
        <v>bulb-switcher-ii</v>
      </c>
      <c r="D673" s="23" t="b">
        <f>IFERROR(__xludf.DUMMYFUNCTION("""COMPUTED_VALUE"""),FALSE)</f>
        <v>0</v>
      </c>
      <c r="E673" s="23" t="str">
        <f>IFERROR(__xludf.DUMMYFUNCTION("""COMPUTED_VALUE"""),"Medium")</f>
        <v>Medium</v>
      </c>
      <c r="F673" s="23">
        <f>IFERROR(__xludf.DUMMYFUNCTION("""COMPUTED_VALUE"""),34.0)</f>
        <v>34</v>
      </c>
      <c r="G673" s="23">
        <f>IFERROR(__xludf.DUMMYFUNCTION("""COMPUTED_VALUE"""),76.0)</f>
        <v>76</v>
      </c>
      <c r="H673" s="23" t="str">
        <f>IFERROR(__xludf.DUMMYFUNCTION("""COMPUTED_VALUE"""),"Algorithms")</f>
        <v>Algorithms</v>
      </c>
      <c r="I673" s="23">
        <f>IFERROR(__xludf.DUMMYFUNCTION("""COMPUTED_VALUE"""),0.508)</f>
        <v>0.508</v>
      </c>
      <c r="J673" s="23">
        <f>IFERROR(__xludf.DUMMYFUNCTION("""COMPUTED_VALUE"""),672.0)</f>
        <v>672</v>
      </c>
      <c r="K673" s="23" t="b">
        <f>IFERROR(__xludf.DUMMYFUNCTION("""COMPUTED_VALUE"""),FALSE)</f>
        <v>0</v>
      </c>
      <c r="L673" s="23" t="str">
        <f>IFERROR(__xludf.DUMMYFUNCTION("""COMPUTED_VALUE"""),"Math;Bit Manipulation;Depth-First Search;Breadth-First Search;")</f>
        <v>Math;Bit Manipulation;Depth-First Search;Breadth-First Search;</v>
      </c>
      <c r="M673" s="23" t="b">
        <f>IFERROR(__xludf.DUMMYFUNCTION("""COMPUTED_VALUE"""),FALSE)</f>
        <v>0</v>
      </c>
      <c r="N673" s="23" t="b">
        <f>IFERROR(__xludf.DUMMYFUNCTION("""COMPUTED_VALUE"""),FALSE)</f>
        <v>0</v>
      </c>
      <c r="O673" s="23">
        <f>IFERROR(__xludf.DUMMYFUNCTION("""COMPUTED_VALUE"""),50.7725141276902)</f>
        <v>50.77251413</v>
      </c>
      <c r="P673" s="23">
        <f>IFERROR(__xludf.DUMMYFUNCTION("""COMPUTED_VALUE"""),16891.0)</f>
        <v>16891</v>
      </c>
      <c r="Q673" s="23">
        <f>IFERROR(__xludf.DUMMYFUNCTION("""COMPUTED_VALUE"""),33268.0)</f>
        <v>33268</v>
      </c>
    </row>
    <row r="674">
      <c r="A674" s="23">
        <f>IFERROR(__xludf.DUMMYFUNCTION("""COMPUTED_VALUE"""),673.0)</f>
        <v>673</v>
      </c>
      <c r="B674" s="23" t="str">
        <f>IFERROR(__xludf.DUMMYFUNCTION("""COMPUTED_VALUE"""),"Number of Longest Increasing Subsequence")</f>
        <v>Number of Longest Increasing Subsequence</v>
      </c>
      <c r="C674" s="23" t="str">
        <f>IFERROR(__xludf.DUMMYFUNCTION("""COMPUTED_VALUE"""),"number-of-longest-increasing-subsequence")</f>
        <v>number-of-longest-increasing-subsequence</v>
      </c>
      <c r="D674" s="23" t="b">
        <f>IFERROR(__xludf.DUMMYFUNCTION("""COMPUTED_VALUE"""),FALSE)</f>
        <v>0</v>
      </c>
      <c r="E674" s="23" t="str">
        <f>IFERROR(__xludf.DUMMYFUNCTION("""COMPUTED_VALUE"""),"Medium")</f>
        <v>Medium</v>
      </c>
      <c r="F674" s="23">
        <f>IFERROR(__xludf.DUMMYFUNCTION("""COMPUTED_VALUE"""),3420.0)</f>
        <v>3420</v>
      </c>
      <c r="G674" s="23">
        <f>IFERROR(__xludf.DUMMYFUNCTION("""COMPUTED_VALUE"""),166.0)</f>
        <v>166</v>
      </c>
      <c r="H674" s="23" t="str">
        <f>IFERROR(__xludf.DUMMYFUNCTION("""COMPUTED_VALUE"""),"Algorithms")</f>
        <v>Algorithms</v>
      </c>
      <c r="I674" s="23">
        <f>IFERROR(__xludf.DUMMYFUNCTION("""COMPUTED_VALUE"""),0.408)</f>
        <v>0.408</v>
      </c>
      <c r="J674" s="23">
        <f>IFERROR(__xludf.DUMMYFUNCTION("""COMPUTED_VALUE"""),673.0)</f>
        <v>673</v>
      </c>
      <c r="K674" s="23" t="b">
        <f>IFERROR(__xludf.DUMMYFUNCTION("""COMPUTED_VALUE"""),FALSE)</f>
        <v>0</v>
      </c>
      <c r="L674" s="23" t="str">
        <f>IFERROR(__xludf.DUMMYFUNCTION("""COMPUTED_VALUE"""),"Array;Dynamic Programming;Binary Indexed Tree;Segment Tree;")</f>
        <v>Array;Dynamic Programming;Binary Indexed Tree;Segment Tree;</v>
      </c>
      <c r="M674" s="23" t="b">
        <f>IFERROR(__xludf.DUMMYFUNCTION("""COMPUTED_VALUE"""),FALSE)</f>
        <v>0</v>
      </c>
      <c r="N674" s="23" t="b">
        <f>IFERROR(__xludf.DUMMYFUNCTION("""COMPUTED_VALUE"""),FALSE)</f>
        <v>0</v>
      </c>
      <c r="O674" s="23">
        <f>IFERROR(__xludf.DUMMYFUNCTION("""COMPUTED_VALUE"""),40.8395586116762)</f>
        <v>40.83955861</v>
      </c>
      <c r="P674" s="23">
        <f>IFERROR(__xludf.DUMMYFUNCTION("""COMPUTED_VALUE"""),109994.0)</f>
        <v>109994</v>
      </c>
      <c r="Q674" s="23">
        <f>IFERROR(__xludf.DUMMYFUNCTION("""COMPUTED_VALUE"""),269332.0)</f>
        <v>269332</v>
      </c>
    </row>
    <row r="675">
      <c r="A675" s="23">
        <f>IFERROR(__xludf.DUMMYFUNCTION("""COMPUTED_VALUE"""),674.0)</f>
        <v>674</v>
      </c>
      <c r="B675" s="23" t="str">
        <f>IFERROR(__xludf.DUMMYFUNCTION("""COMPUTED_VALUE"""),"Longest Continuous Increasing Subsequence")</f>
        <v>Longest Continuous Increasing Subsequence</v>
      </c>
      <c r="C675" s="23" t="str">
        <f>IFERROR(__xludf.DUMMYFUNCTION("""COMPUTED_VALUE"""),"longest-continuous-increasing-subsequence")</f>
        <v>longest-continuous-increasing-subsequence</v>
      </c>
      <c r="D675" s="23" t="b">
        <f>IFERROR(__xludf.DUMMYFUNCTION("""COMPUTED_VALUE"""),FALSE)</f>
        <v>0</v>
      </c>
      <c r="E675" s="23" t="str">
        <f>IFERROR(__xludf.DUMMYFUNCTION("""COMPUTED_VALUE"""),"Easy")</f>
        <v>Easy</v>
      </c>
      <c r="F675" s="23">
        <f>IFERROR(__xludf.DUMMYFUNCTION("""COMPUTED_VALUE"""),1671.0)</f>
        <v>1671</v>
      </c>
      <c r="G675" s="23">
        <f>IFERROR(__xludf.DUMMYFUNCTION("""COMPUTED_VALUE"""),164.0)</f>
        <v>164</v>
      </c>
      <c r="H675" s="23" t="str">
        <f>IFERROR(__xludf.DUMMYFUNCTION("""COMPUTED_VALUE"""),"Algorithms")</f>
        <v>Algorithms</v>
      </c>
      <c r="I675" s="23">
        <f>IFERROR(__xludf.DUMMYFUNCTION("""COMPUTED_VALUE"""),0.484)</f>
        <v>0.484</v>
      </c>
      <c r="J675" s="23">
        <f>IFERROR(__xludf.DUMMYFUNCTION("""COMPUTED_VALUE"""),674.0)</f>
        <v>674</v>
      </c>
      <c r="K675" s="23" t="b">
        <f>IFERROR(__xludf.DUMMYFUNCTION("""COMPUTED_VALUE"""),FALSE)</f>
        <v>0</v>
      </c>
      <c r="L675" s="23" t="str">
        <f>IFERROR(__xludf.DUMMYFUNCTION("""COMPUTED_VALUE"""),"Array;")</f>
        <v>Array;</v>
      </c>
      <c r="M675" s="23" t="b">
        <f>IFERROR(__xludf.DUMMYFUNCTION("""COMPUTED_VALUE"""),TRUE)</f>
        <v>1</v>
      </c>
      <c r="N675" s="23" t="b">
        <f>IFERROR(__xludf.DUMMYFUNCTION("""COMPUTED_VALUE"""),FALSE)</f>
        <v>0</v>
      </c>
      <c r="O675" s="23">
        <f>IFERROR(__xludf.DUMMYFUNCTION("""COMPUTED_VALUE"""),48.3932381421303)</f>
        <v>48.39323814</v>
      </c>
      <c r="P675" s="23">
        <f>IFERROR(__xludf.DUMMYFUNCTION("""COMPUTED_VALUE"""),191659.0)</f>
        <v>191659</v>
      </c>
      <c r="Q675" s="23">
        <f>IFERROR(__xludf.DUMMYFUNCTION("""COMPUTED_VALUE"""),396045.0)</f>
        <v>396045</v>
      </c>
    </row>
    <row r="676">
      <c r="A676" s="23">
        <f>IFERROR(__xludf.DUMMYFUNCTION("""COMPUTED_VALUE"""),675.0)</f>
        <v>675</v>
      </c>
      <c r="B676" s="23" t="str">
        <f>IFERROR(__xludf.DUMMYFUNCTION("""COMPUTED_VALUE"""),"Cut Off Trees for Golf Event")</f>
        <v>Cut Off Trees for Golf Event</v>
      </c>
      <c r="C676" s="23" t="str">
        <f>IFERROR(__xludf.DUMMYFUNCTION("""COMPUTED_VALUE"""),"cut-off-trees-for-golf-event")</f>
        <v>cut-off-trees-for-golf-event</v>
      </c>
      <c r="D676" s="23" t="b">
        <f>IFERROR(__xludf.DUMMYFUNCTION("""COMPUTED_VALUE"""),FALSE)</f>
        <v>0</v>
      </c>
      <c r="E676" s="23" t="str">
        <f>IFERROR(__xludf.DUMMYFUNCTION("""COMPUTED_VALUE"""),"Hard")</f>
        <v>Hard</v>
      </c>
      <c r="F676" s="23">
        <f>IFERROR(__xludf.DUMMYFUNCTION("""COMPUTED_VALUE"""),895.0)</f>
        <v>895</v>
      </c>
      <c r="G676" s="23">
        <f>IFERROR(__xludf.DUMMYFUNCTION("""COMPUTED_VALUE"""),519.0)</f>
        <v>519</v>
      </c>
      <c r="H676" s="23" t="str">
        <f>IFERROR(__xludf.DUMMYFUNCTION("""COMPUTED_VALUE"""),"Algorithms")</f>
        <v>Algorithms</v>
      </c>
      <c r="I676" s="23">
        <f>IFERROR(__xludf.DUMMYFUNCTION("""COMPUTED_VALUE"""),0.354)</f>
        <v>0.354</v>
      </c>
      <c r="J676" s="23">
        <f>IFERROR(__xludf.DUMMYFUNCTION("""COMPUTED_VALUE"""),675.0)</f>
        <v>675</v>
      </c>
      <c r="K676" s="23" t="b">
        <f>IFERROR(__xludf.DUMMYFUNCTION("""COMPUTED_VALUE"""),FALSE)</f>
        <v>0</v>
      </c>
      <c r="L676" s="23" t="str">
        <f>IFERROR(__xludf.DUMMYFUNCTION("""COMPUTED_VALUE"""),"Array;Breadth-First Search;Heap (Priority Queue);Matrix;")</f>
        <v>Array;Breadth-First Search;Heap (Priority Queue);Matrix;</v>
      </c>
      <c r="M676" s="23" t="b">
        <f>IFERROR(__xludf.DUMMYFUNCTION("""COMPUTED_VALUE"""),FALSE)</f>
        <v>0</v>
      </c>
      <c r="N676" s="23" t="b">
        <f>IFERROR(__xludf.DUMMYFUNCTION("""COMPUTED_VALUE"""),FALSE)</f>
        <v>0</v>
      </c>
      <c r="O676" s="23">
        <f>IFERROR(__xludf.DUMMYFUNCTION("""COMPUTED_VALUE"""),35.3642923649906)</f>
        <v>35.36429236</v>
      </c>
      <c r="P676" s="23">
        <f>IFERROR(__xludf.DUMMYFUNCTION("""COMPUTED_VALUE"""),54692.0)</f>
        <v>54692</v>
      </c>
      <c r="Q676" s="23">
        <f>IFERROR(__xludf.DUMMYFUNCTION("""COMPUTED_VALUE"""),154653.0)</f>
        <v>154653</v>
      </c>
    </row>
    <row r="677">
      <c r="A677" s="23">
        <f>IFERROR(__xludf.DUMMYFUNCTION("""COMPUTED_VALUE"""),676.0)</f>
        <v>676</v>
      </c>
      <c r="B677" s="23" t="str">
        <f>IFERROR(__xludf.DUMMYFUNCTION("""COMPUTED_VALUE"""),"Implement Magic Dictionary")</f>
        <v>Implement Magic Dictionary</v>
      </c>
      <c r="C677" s="23" t="str">
        <f>IFERROR(__xludf.DUMMYFUNCTION("""COMPUTED_VALUE"""),"implement-magic-dictionary")</f>
        <v>implement-magic-dictionary</v>
      </c>
      <c r="D677" s="23" t="b">
        <f>IFERROR(__xludf.DUMMYFUNCTION("""COMPUTED_VALUE"""),FALSE)</f>
        <v>0</v>
      </c>
      <c r="E677" s="23" t="str">
        <f>IFERROR(__xludf.DUMMYFUNCTION("""COMPUTED_VALUE"""),"Medium")</f>
        <v>Medium</v>
      </c>
      <c r="F677" s="23">
        <f>IFERROR(__xludf.DUMMYFUNCTION("""COMPUTED_VALUE"""),1006.0)</f>
        <v>1006</v>
      </c>
      <c r="G677" s="23">
        <f>IFERROR(__xludf.DUMMYFUNCTION("""COMPUTED_VALUE"""),179.0)</f>
        <v>179</v>
      </c>
      <c r="H677" s="23" t="str">
        <f>IFERROR(__xludf.DUMMYFUNCTION("""COMPUTED_VALUE"""),"Algorithms")</f>
        <v>Algorithms</v>
      </c>
      <c r="I677" s="23">
        <f>IFERROR(__xludf.DUMMYFUNCTION("""COMPUTED_VALUE"""),0.566)</f>
        <v>0.566</v>
      </c>
      <c r="J677" s="23">
        <f>IFERROR(__xludf.DUMMYFUNCTION("""COMPUTED_VALUE"""),676.0)</f>
        <v>676</v>
      </c>
      <c r="K677" s="23" t="b">
        <f>IFERROR(__xludf.DUMMYFUNCTION("""COMPUTED_VALUE"""),FALSE)</f>
        <v>0</v>
      </c>
      <c r="L677" s="23" t="str">
        <f>IFERROR(__xludf.DUMMYFUNCTION("""COMPUTED_VALUE"""),"Hash Table;String;Design;Trie;")</f>
        <v>Hash Table;String;Design;Trie;</v>
      </c>
      <c r="M677" s="23" t="b">
        <f>IFERROR(__xludf.DUMMYFUNCTION("""COMPUTED_VALUE"""),FALSE)</f>
        <v>0</v>
      </c>
      <c r="N677" s="23" t="b">
        <f>IFERROR(__xludf.DUMMYFUNCTION("""COMPUTED_VALUE"""),FALSE)</f>
        <v>0</v>
      </c>
      <c r="O677" s="23">
        <f>IFERROR(__xludf.DUMMYFUNCTION("""COMPUTED_VALUE"""),56.5556215467127)</f>
        <v>56.55562155</v>
      </c>
      <c r="P677" s="23">
        <f>IFERROR(__xludf.DUMMYFUNCTION("""COMPUTED_VALUE"""),62848.0)</f>
        <v>62848</v>
      </c>
      <c r="Q677" s="23">
        <f>IFERROR(__xludf.DUMMYFUNCTION("""COMPUTED_VALUE"""),111123.0)</f>
        <v>111123</v>
      </c>
    </row>
    <row r="678">
      <c r="A678" s="23">
        <f>IFERROR(__xludf.DUMMYFUNCTION("""COMPUTED_VALUE"""),677.0)</f>
        <v>677</v>
      </c>
      <c r="B678" s="23" t="str">
        <f>IFERROR(__xludf.DUMMYFUNCTION("""COMPUTED_VALUE"""),"Map Sum Pairs")</f>
        <v>Map Sum Pairs</v>
      </c>
      <c r="C678" s="23" t="str">
        <f>IFERROR(__xludf.DUMMYFUNCTION("""COMPUTED_VALUE"""),"map-sum-pairs")</f>
        <v>map-sum-pairs</v>
      </c>
      <c r="D678" s="23" t="b">
        <f>IFERROR(__xludf.DUMMYFUNCTION("""COMPUTED_VALUE"""),FALSE)</f>
        <v>0</v>
      </c>
      <c r="E678" s="23" t="str">
        <f>IFERROR(__xludf.DUMMYFUNCTION("""COMPUTED_VALUE"""),"Medium")</f>
        <v>Medium</v>
      </c>
      <c r="F678" s="23">
        <f>IFERROR(__xludf.DUMMYFUNCTION("""COMPUTED_VALUE"""),1211.0)</f>
        <v>1211</v>
      </c>
      <c r="G678" s="23">
        <f>IFERROR(__xludf.DUMMYFUNCTION("""COMPUTED_VALUE"""),123.0)</f>
        <v>123</v>
      </c>
      <c r="H678" s="23" t="str">
        <f>IFERROR(__xludf.DUMMYFUNCTION("""COMPUTED_VALUE"""),"Algorithms")</f>
        <v>Algorithms</v>
      </c>
      <c r="I678" s="23">
        <f>IFERROR(__xludf.DUMMYFUNCTION("""COMPUTED_VALUE"""),0.57)</f>
        <v>0.57</v>
      </c>
      <c r="J678" s="23">
        <f>IFERROR(__xludf.DUMMYFUNCTION("""COMPUTED_VALUE"""),677.0)</f>
        <v>677</v>
      </c>
      <c r="K678" s="23" t="b">
        <f>IFERROR(__xludf.DUMMYFUNCTION("""COMPUTED_VALUE"""),FALSE)</f>
        <v>0</v>
      </c>
      <c r="L678" s="23" t="str">
        <f>IFERROR(__xludf.DUMMYFUNCTION("""COMPUTED_VALUE"""),"Hash Table;String;Design;Trie;")</f>
        <v>Hash Table;String;Design;Trie;</v>
      </c>
      <c r="M678" s="23" t="b">
        <f>IFERROR(__xludf.DUMMYFUNCTION("""COMPUTED_VALUE"""),TRUE)</f>
        <v>1</v>
      </c>
      <c r="N678" s="23" t="b">
        <f>IFERROR(__xludf.DUMMYFUNCTION("""COMPUTED_VALUE"""),FALSE)</f>
        <v>0</v>
      </c>
      <c r="O678" s="23">
        <f>IFERROR(__xludf.DUMMYFUNCTION("""COMPUTED_VALUE"""),56.9788566851814)</f>
        <v>56.97885669</v>
      </c>
      <c r="P678" s="23">
        <f>IFERROR(__xludf.DUMMYFUNCTION("""COMPUTED_VALUE"""),87503.0)</f>
        <v>87503</v>
      </c>
      <c r="Q678" s="23">
        <f>IFERROR(__xludf.DUMMYFUNCTION("""COMPUTED_VALUE"""),153571.0)</f>
        <v>153571</v>
      </c>
    </row>
    <row r="679">
      <c r="A679" s="23">
        <f>IFERROR(__xludf.DUMMYFUNCTION("""COMPUTED_VALUE"""),678.0)</f>
        <v>678</v>
      </c>
      <c r="B679" s="23" t="str">
        <f>IFERROR(__xludf.DUMMYFUNCTION("""COMPUTED_VALUE"""),"Valid Parenthesis String")</f>
        <v>Valid Parenthesis String</v>
      </c>
      <c r="C679" s="23" t="str">
        <f>IFERROR(__xludf.DUMMYFUNCTION("""COMPUTED_VALUE"""),"valid-parenthesis-string")</f>
        <v>valid-parenthesis-string</v>
      </c>
      <c r="D679" s="23" t="b">
        <f>IFERROR(__xludf.DUMMYFUNCTION("""COMPUTED_VALUE"""),FALSE)</f>
        <v>0</v>
      </c>
      <c r="E679" s="23" t="str">
        <f>IFERROR(__xludf.DUMMYFUNCTION("""COMPUTED_VALUE"""),"Medium")</f>
        <v>Medium</v>
      </c>
      <c r="F679" s="23">
        <f>IFERROR(__xludf.DUMMYFUNCTION("""COMPUTED_VALUE"""),3349.0)</f>
        <v>3349</v>
      </c>
      <c r="G679" s="23">
        <f>IFERROR(__xludf.DUMMYFUNCTION("""COMPUTED_VALUE"""),81.0)</f>
        <v>81</v>
      </c>
      <c r="H679" s="23" t="str">
        <f>IFERROR(__xludf.DUMMYFUNCTION("""COMPUTED_VALUE"""),"Algorithms")</f>
        <v>Algorithms</v>
      </c>
      <c r="I679" s="23">
        <f>IFERROR(__xludf.DUMMYFUNCTION("""COMPUTED_VALUE"""),0.332)</f>
        <v>0.332</v>
      </c>
      <c r="J679" s="23">
        <f>IFERROR(__xludf.DUMMYFUNCTION("""COMPUTED_VALUE"""),678.0)</f>
        <v>678</v>
      </c>
      <c r="K679" s="23" t="b">
        <f>IFERROR(__xludf.DUMMYFUNCTION("""COMPUTED_VALUE"""),FALSE)</f>
        <v>0</v>
      </c>
      <c r="L679" s="23" t="str">
        <f>IFERROR(__xludf.DUMMYFUNCTION("""COMPUTED_VALUE"""),"String;Dynamic Programming;Stack;Greedy;")</f>
        <v>String;Dynamic Programming;Stack;Greedy;</v>
      </c>
      <c r="M679" s="23" t="b">
        <f>IFERROR(__xludf.DUMMYFUNCTION("""COMPUTED_VALUE"""),TRUE)</f>
        <v>1</v>
      </c>
      <c r="N679" s="23" t="b">
        <f>IFERROR(__xludf.DUMMYFUNCTION("""COMPUTED_VALUE"""),FALSE)</f>
        <v>0</v>
      </c>
      <c r="O679" s="23">
        <f>IFERROR(__xludf.DUMMYFUNCTION("""COMPUTED_VALUE"""),33.2275892933169)</f>
        <v>33.22758929</v>
      </c>
      <c r="P679" s="23">
        <f>IFERROR(__xludf.DUMMYFUNCTION("""COMPUTED_VALUE"""),167797.0)</f>
        <v>167797</v>
      </c>
      <c r="Q679" s="23">
        <f>IFERROR(__xludf.DUMMYFUNCTION("""COMPUTED_VALUE"""),504993.0)</f>
        <v>504993</v>
      </c>
    </row>
    <row r="680">
      <c r="A680" s="23">
        <f>IFERROR(__xludf.DUMMYFUNCTION("""COMPUTED_VALUE"""),679.0)</f>
        <v>679</v>
      </c>
      <c r="B680" s="23" t="str">
        <f>IFERROR(__xludf.DUMMYFUNCTION("""COMPUTED_VALUE"""),"24 Game")</f>
        <v>24 Game</v>
      </c>
      <c r="C680" s="23" t="str">
        <f>IFERROR(__xludf.DUMMYFUNCTION("""COMPUTED_VALUE"""),"24-game")</f>
        <v>24-game</v>
      </c>
      <c r="D680" s="23" t="b">
        <f>IFERROR(__xludf.DUMMYFUNCTION("""COMPUTED_VALUE"""),FALSE)</f>
        <v>0</v>
      </c>
      <c r="E680" s="23" t="str">
        <f>IFERROR(__xludf.DUMMYFUNCTION("""COMPUTED_VALUE"""),"Hard")</f>
        <v>Hard</v>
      </c>
      <c r="F680" s="23">
        <f>IFERROR(__xludf.DUMMYFUNCTION("""COMPUTED_VALUE"""),1174.0)</f>
        <v>1174</v>
      </c>
      <c r="G680" s="23">
        <f>IFERROR(__xludf.DUMMYFUNCTION("""COMPUTED_VALUE"""),219.0)</f>
        <v>219</v>
      </c>
      <c r="H680" s="23" t="str">
        <f>IFERROR(__xludf.DUMMYFUNCTION("""COMPUTED_VALUE"""),"Algorithms")</f>
        <v>Algorithms</v>
      </c>
      <c r="I680" s="23">
        <f>IFERROR(__xludf.DUMMYFUNCTION("""COMPUTED_VALUE"""),0.488)</f>
        <v>0.488</v>
      </c>
      <c r="J680" s="23">
        <f>IFERROR(__xludf.DUMMYFUNCTION("""COMPUTED_VALUE"""),679.0)</f>
        <v>679</v>
      </c>
      <c r="K680" s="23" t="b">
        <f>IFERROR(__xludf.DUMMYFUNCTION("""COMPUTED_VALUE"""),FALSE)</f>
        <v>0</v>
      </c>
      <c r="L680" s="23" t="str">
        <f>IFERROR(__xludf.DUMMYFUNCTION("""COMPUTED_VALUE"""),"Array;Math;Backtracking;")</f>
        <v>Array;Math;Backtracking;</v>
      </c>
      <c r="M680" s="23" t="b">
        <f>IFERROR(__xludf.DUMMYFUNCTION("""COMPUTED_VALUE"""),FALSE)</f>
        <v>0</v>
      </c>
      <c r="N680" s="23" t="b">
        <f>IFERROR(__xludf.DUMMYFUNCTION("""COMPUTED_VALUE"""),FALSE)</f>
        <v>0</v>
      </c>
      <c r="O680" s="23">
        <f>IFERROR(__xludf.DUMMYFUNCTION("""COMPUTED_VALUE"""),48.7785846724351)</f>
        <v>48.77858467</v>
      </c>
      <c r="P680" s="23">
        <f>IFERROR(__xludf.DUMMYFUNCTION("""COMPUTED_VALUE"""),63139.0)</f>
        <v>63139</v>
      </c>
      <c r="Q680" s="23">
        <f>IFERROR(__xludf.DUMMYFUNCTION("""COMPUTED_VALUE"""),129440.0)</f>
        <v>129440</v>
      </c>
    </row>
    <row r="681">
      <c r="A681" s="23">
        <f>IFERROR(__xludf.DUMMYFUNCTION("""COMPUTED_VALUE"""),680.0)</f>
        <v>680</v>
      </c>
      <c r="B681" s="23" t="str">
        <f>IFERROR(__xludf.DUMMYFUNCTION("""COMPUTED_VALUE"""),"Valid Palindrome II")</f>
        <v>Valid Palindrome II</v>
      </c>
      <c r="C681" s="23" t="str">
        <f>IFERROR(__xludf.DUMMYFUNCTION("""COMPUTED_VALUE"""),"valid-palindrome-ii")</f>
        <v>valid-palindrome-ii</v>
      </c>
      <c r="D681" s="23" t="b">
        <f>IFERROR(__xludf.DUMMYFUNCTION("""COMPUTED_VALUE"""),FALSE)</f>
        <v>0</v>
      </c>
      <c r="E681" s="23" t="str">
        <f>IFERROR(__xludf.DUMMYFUNCTION("""COMPUTED_VALUE"""),"Easy")</f>
        <v>Easy</v>
      </c>
      <c r="F681" s="23">
        <f>IFERROR(__xludf.DUMMYFUNCTION("""COMPUTED_VALUE"""),5543.0)</f>
        <v>5543</v>
      </c>
      <c r="G681" s="23">
        <f>IFERROR(__xludf.DUMMYFUNCTION("""COMPUTED_VALUE"""),300.0)</f>
        <v>300</v>
      </c>
      <c r="H681" s="23" t="str">
        <f>IFERROR(__xludf.DUMMYFUNCTION("""COMPUTED_VALUE"""),"Algorithms")</f>
        <v>Algorithms</v>
      </c>
      <c r="I681" s="23">
        <f>IFERROR(__xludf.DUMMYFUNCTION("""COMPUTED_VALUE"""),0.394)</f>
        <v>0.394</v>
      </c>
      <c r="J681" s="23">
        <f>IFERROR(__xludf.DUMMYFUNCTION("""COMPUTED_VALUE"""),680.0)</f>
        <v>680</v>
      </c>
      <c r="K681" s="23" t="b">
        <f>IFERROR(__xludf.DUMMYFUNCTION("""COMPUTED_VALUE"""),FALSE)</f>
        <v>0</v>
      </c>
      <c r="L681" s="23" t="str">
        <f>IFERROR(__xludf.DUMMYFUNCTION("""COMPUTED_VALUE"""),"Two Pointers;String;Greedy;")</f>
        <v>Two Pointers;String;Greedy;</v>
      </c>
      <c r="M681" s="23" t="b">
        <f>IFERROR(__xludf.DUMMYFUNCTION("""COMPUTED_VALUE"""),TRUE)</f>
        <v>1</v>
      </c>
      <c r="N681" s="23" t="b">
        <f>IFERROR(__xludf.DUMMYFUNCTION("""COMPUTED_VALUE"""),FALSE)</f>
        <v>0</v>
      </c>
      <c r="O681" s="23">
        <f>IFERROR(__xludf.DUMMYFUNCTION("""COMPUTED_VALUE"""),39.3980147242757)</f>
        <v>39.39801472</v>
      </c>
      <c r="P681" s="23">
        <f>IFERROR(__xludf.DUMMYFUNCTION("""COMPUTED_VALUE"""),489814.0)</f>
        <v>489814</v>
      </c>
      <c r="Q681" s="23">
        <f>IFERROR(__xludf.DUMMYFUNCTION("""COMPUTED_VALUE"""),1243247.0)</f>
        <v>1243247</v>
      </c>
    </row>
    <row r="682">
      <c r="A682" s="23">
        <f>IFERROR(__xludf.DUMMYFUNCTION("""COMPUTED_VALUE"""),681.0)</f>
        <v>681</v>
      </c>
      <c r="B682" s="23" t="str">
        <f>IFERROR(__xludf.DUMMYFUNCTION("""COMPUTED_VALUE"""),"Next Closest Time")</f>
        <v>Next Closest Time</v>
      </c>
      <c r="C682" s="23" t="str">
        <f>IFERROR(__xludf.DUMMYFUNCTION("""COMPUTED_VALUE"""),"next-closest-time")</f>
        <v>next-closest-time</v>
      </c>
      <c r="D682" s="23" t="b">
        <f>IFERROR(__xludf.DUMMYFUNCTION("""COMPUTED_VALUE"""),TRUE)</f>
        <v>1</v>
      </c>
      <c r="E682" s="23" t="str">
        <f>IFERROR(__xludf.DUMMYFUNCTION("""COMPUTED_VALUE"""),"Medium")</f>
        <v>Medium</v>
      </c>
      <c r="F682" s="23">
        <f>IFERROR(__xludf.DUMMYFUNCTION("""COMPUTED_VALUE"""),664.0)</f>
        <v>664</v>
      </c>
      <c r="G682" s="23">
        <f>IFERROR(__xludf.DUMMYFUNCTION("""COMPUTED_VALUE"""),962.0)</f>
        <v>962</v>
      </c>
      <c r="H682" s="23" t="str">
        <f>IFERROR(__xludf.DUMMYFUNCTION("""COMPUTED_VALUE"""),"Algorithms")</f>
        <v>Algorithms</v>
      </c>
      <c r="I682" s="23">
        <f>IFERROR(__xludf.DUMMYFUNCTION("""COMPUTED_VALUE"""),0.465)</f>
        <v>0.465</v>
      </c>
      <c r="J682" s="23">
        <f>IFERROR(__xludf.DUMMYFUNCTION("""COMPUTED_VALUE"""),681.0)</f>
        <v>681</v>
      </c>
      <c r="K682" s="23" t="b">
        <f>IFERROR(__xludf.DUMMYFUNCTION("""COMPUTED_VALUE"""),TRUE)</f>
        <v>1</v>
      </c>
      <c r="L682" s="23" t="str">
        <f>IFERROR(__xludf.DUMMYFUNCTION("""COMPUTED_VALUE"""),"String;Enumeration;")</f>
        <v>String;Enumeration;</v>
      </c>
      <c r="M682" s="23" t="b">
        <f>IFERROR(__xludf.DUMMYFUNCTION("""COMPUTED_VALUE"""),FALSE)</f>
        <v>0</v>
      </c>
      <c r="N682" s="23" t="b">
        <f>IFERROR(__xludf.DUMMYFUNCTION("""COMPUTED_VALUE"""),FALSE)</f>
        <v>0</v>
      </c>
      <c r="O682" s="23">
        <f>IFERROR(__xludf.DUMMYFUNCTION("""COMPUTED_VALUE"""),46.4539496378061)</f>
        <v>46.45394964</v>
      </c>
      <c r="P682" s="23">
        <f>IFERROR(__xludf.DUMMYFUNCTION("""COMPUTED_VALUE"""),94269.0)</f>
        <v>94269</v>
      </c>
      <c r="Q682" s="23">
        <f>IFERROR(__xludf.DUMMYFUNCTION("""COMPUTED_VALUE"""),202930.0)</f>
        <v>202930</v>
      </c>
    </row>
    <row r="683">
      <c r="A683" s="23">
        <f>IFERROR(__xludf.DUMMYFUNCTION("""COMPUTED_VALUE"""),682.0)</f>
        <v>682</v>
      </c>
      <c r="B683" s="23" t="str">
        <f>IFERROR(__xludf.DUMMYFUNCTION("""COMPUTED_VALUE"""),"Baseball Game")</f>
        <v>Baseball Game</v>
      </c>
      <c r="C683" s="23" t="str">
        <f>IFERROR(__xludf.DUMMYFUNCTION("""COMPUTED_VALUE"""),"baseball-game")</f>
        <v>baseball-game</v>
      </c>
      <c r="D683" s="23" t="b">
        <f>IFERROR(__xludf.DUMMYFUNCTION("""COMPUTED_VALUE"""),FALSE)</f>
        <v>0</v>
      </c>
      <c r="E683" s="23" t="str">
        <f>IFERROR(__xludf.DUMMYFUNCTION("""COMPUTED_VALUE"""),"Easy")</f>
        <v>Easy</v>
      </c>
      <c r="F683" s="23">
        <f>IFERROR(__xludf.DUMMYFUNCTION("""COMPUTED_VALUE"""),1690.0)</f>
        <v>1690</v>
      </c>
      <c r="G683" s="23">
        <f>IFERROR(__xludf.DUMMYFUNCTION("""COMPUTED_VALUE"""),1645.0)</f>
        <v>1645</v>
      </c>
      <c r="H683" s="23" t="str">
        <f>IFERROR(__xludf.DUMMYFUNCTION("""COMPUTED_VALUE"""),"Algorithms")</f>
        <v>Algorithms</v>
      </c>
      <c r="I683" s="23">
        <f>IFERROR(__xludf.DUMMYFUNCTION("""COMPUTED_VALUE"""),0.731)</f>
        <v>0.731</v>
      </c>
      <c r="J683" s="23">
        <f>IFERROR(__xludf.DUMMYFUNCTION("""COMPUTED_VALUE"""),682.0)</f>
        <v>682</v>
      </c>
      <c r="K683" s="23" t="b">
        <f>IFERROR(__xludf.DUMMYFUNCTION("""COMPUTED_VALUE"""),FALSE)</f>
        <v>0</v>
      </c>
      <c r="L683" s="23" t="str">
        <f>IFERROR(__xludf.DUMMYFUNCTION("""COMPUTED_VALUE"""),"Array;Stack;Simulation;")</f>
        <v>Array;Stack;Simulation;</v>
      </c>
      <c r="M683" s="23" t="b">
        <f>IFERROR(__xludf.DUMMYFUNCTION("""COMPUTED_VALUE"""),TRUE)</f>
        <v>1</v>
      </c>
      <c r="N683" s="23" t="b">
        <f>IFERROR(__xludf.DUMMYFUNCTION("""COMPUTED_VALUE"""),FALSE)</f>
        <v>0</v>
      </c>
      <c r="O683" s="23">
        <f>IFERROR(__xludf.DUMMYFUNCTION("""COMPUTED_VALUE"""),73.1158901736281)</f>
        <v>73.11589017</v>
      </c>
      <c r="P683" s="23">
        <f>IFERROR(__xludf.DUMMYFUNCTION("""COMPUTED_VALUE"""),194130.0)</f>
        <v>194130</v>
      </c>
      <c r="Q683" s="23">
        <f>IFERROR(__xludf.DUMMYFUNCTION("""COMPUTED_VALUE"""),265510.0)</f>
        <v>265510</v>
      </c>
    </row>
    <row r="684">
      <c r="A684" s="23">
        <f>IFERROR(__xludf.DUMMYFUNCTION("""COMPUTED_VALUE"""),683.0)</f>
        <v>683</v>
      </c>
      <c r="B684" s="23" t="str">
        <f>IFERROR(__xludf.DUMMYFUNCTION("""COMPUTED_VALUE"""),"K Empty Slots")</f>
        <v>K Empty Slots</v>
      </c>
      <c r="C684" s="23" t="str">
        <f>IFERROR(__xludf.DUMMYFUNCTION("""COMPUTED_VALUE"""),"k-empty-slots")</f>
        <v>k-empty-slots</v>
      </c>
      <c r="D684" s="23" t="b">
        <f>IFERROR(__xludf.DUMMYFUNCTION("""COMPUTED_VALUE"""),TRUE)</f>
        <v>1</v>
      </c>
      <c r="E684" s="23" t="str">
        <f>IFERROR(__xludf.DUMMYFUNCTION("""COMPUTED_VALUE"""),"Hard")</f>
        <v>Hard</v>
      </c>
      <c r="F684" s="23">
        <f>IFERROR(__xludf.DUMMYFUNCTION("""COMPUTED_VALUE"""),727.0)</f>
        <v>727</v>
      </c>
      <c r="G684" s="23">
        <f>IFERROR(__xludf.DUMMYFUNCTION("""COMPUTED_VALUE"""),654.0)</f>
        <v>654</v>
      </c>
      <c r="H684" s="23" t="str">
        <f>IFERROR(__xludf.DUMMYFUNCTION("""COMPUTED_VALUE"""),"Algorithms")</f>
        <v>Algorithms</v>
      </c>
      <c r="I684" s="23">
        <f>IFERROR(__xludf.DUMMYFUNCTION("""COMPUTED_VALUE"""),0.367)</f>
        <v>0.367</v>
      </c>
      <c r="J684" s="23">
        <f>IFERROR(__xludf.DUMMYFUNCTION("""COMPUTED_VALUE"""),683.0)</f>
        <v>683</v>
      </c>
      <c r="K684" s="23" t="b">
        <f>IFERROR(__xludf.DUMMYFUNCTION("""COMPUTED_VALUE"""),TRUE)</f>
        <v>1</v>
      </c>
      <c r="L684" s="23" t="str">
        <f>IFERROR(__xludf.DUMMYFUNCTION("""COMPUTED_VALUE"""),"Array;Binary Indexed Tree;Sliding Window;Ordered Set;")</f>
        <v>Array;Binary Indexed Tree;Sliding Window;Ordered Set;</v>
      </c>
      <c r="M684" s="23" t="b">
        <f>IFERROR(__xludf.DUMMYFUNCTION("""COMPUTED_VALUE"""),FALSE)</f>
        <v>0</v>
      </c>
      <c r="N684" s="23" t="b">
        <f>IFERROR(__xludf.DUMMYFUNCTION("""COMPUTED_VALUE"""),FALSE)</f>
        <v>0</v>
      </c>
      <c r="O684" s="23">
        <f>IFERROR(__xludf.DUMMYFUNCTION("""COMPUTED_VALUE"""),36.7412495911023)</f>
        <v>36.74124959</v>
      </c>
      <c r="P684" s="23">
        <f>IFERROR(__xludf.DUMMYFUNCTION("""COMPUTED_VALUE"""),56159.0)</f>
        <v>56159</v>
      </c>
      <c r="Q684" s="23">
        <f>IFERROR(__xludf.DUMMYFUNCTION("""COMPUTED_VALUE"""),152850.0)</f>
        <v>152850</v>
      </c>
    </row>
    <row r="685">
      <c r="A685" s="23">
        <f>IFERROR(__xludf.DUMMYFUNCTION("""COMPUTED_VALUE"""),684.0)</f>
        <v>684</v>
      </c>
      <c r="B685" s="23" t="str">
        <f>IFERROR(__xludf.DUMMYFUNCTION("""COMPUTED_VALUE"""),"Redundant Connection")</f>
        <v>Redundant Connection</v>
      </c>
      <c r="C685" s="23" t="str">
        <f>IFERROR(__xludf.DUMMYFUNCTION("""COMPUTED_VALUE"""),"redundant-connection")</f>
        <v>redundant-connection</v>
      </c>
      <c r="D685" s="23" t="b">
        <f>IFERROR(__xludf.DUMMYFUNCTION("""COMPUTED_VALUE"""),FALSE)</f>
        <v>0</v>
      </c>
      <c r="E685" s="23" t="str">
        <f>IFERROR(__xludf.DUMMYFUNCTION("""COMPUTED_VALUE"""),"Medium")</f>
        <v>Medium</v>
      </c>
      <c r="F685" s="23">
        <f>IFERROR(__xludf.DUMMYFUNCTION("""COMPUTED_VALUE"""),3618.0)</f>
        <v>3618</v>
      </c>
      <c r="G685" s="23">
        <f>IFERROR(__xludf.DUMMYFUNCTION("""COMPUTED_VALUE"""),287.0)</f>
        <v>287</v>
      </c>
      <c r="H685" s="23" t="str">
        <f>IFERROR(__xludf.DUMMYFUNCTION("""COMPUTED_VALUE"""),"Algorithms")</f>
        <v>Algorithms</v>
      </c>
      <c r="I685" s="23">
        <f>IFERROR(__xludf.DUMMYFUNCTION("""COMPUTED_VALUE"""),0.611)</f>
        <v>0.611</v>
      </c>
      <c r="J685" s="23">
        <f>IFERROR(__xludf.DUMMYFUNCTION("""COMPUTED_VALUE"""),684.0)</f>
        <v>684</v>
      </c>
      <c r="K685" s="23" t="b">
        <f>IFERROR(__xludf.DUMMYFUNCTION("""COMPUTED_VALUE"""),FALSE)</f>
        <v>0</v>
      </c>
      <c r="L685" s="23" t="str">
        <f>IFERROR(__xludf.DUMMYFUNCTION("""COMPUTED_VALUE"""),"Depth-First Search;Breadth-First Search;Union Find;Graph;")</f>
        <v>Depth-First Search;Breadth-First Search;Union Find;Graph;</v>
      </c>
      <c r="M685" s="23" t="b">
        <f>IFERROR(__xludf.DUMMYFUNCTION("""COMPUTED_VALUE"""),TRUE)</f>
        <v>1</v>
      </c>
      <c r="N685" s="23" t="b">
        <f>IFERROR(__xludf.DUMMYFUNCTION("""COMPUTED_VALUE"""),FALSE)</f>
        <v>0</v>
      </c>
      <c r="O685" s="23">
        <f>IFERROR(__xludf.DUMMYFUNCTION("""COMPUTED_VALUE"""),61.1299653151834)</f>
        <v>61.12996532</v>
      </c>
      <c r="P685" s="23">
        <f>IFERROR(__xludf.DUMMYFUNCTION("""COMPUTED_VALUE"""),196336.0)</f>
        <v>196336</v>
      </c>
      <c r="Q685" s="23">
        <f>IFERROR(__xludf.DUMMYFUNCTION("""COMPUTED_VALUE"""),321177.0)</f>
        <v>321177</v>
      </c>
    </row>
    <row r="686">
      <c r="A686" s="23">
        <f>IFERROR(__xludf.DUMMYFUNCTION("""COMPUTED_VALUE"""),685.0)</f>
        <v>685</v>
      </c>
      <c r="B686" s="23" t="str">
        <f>IFERROR(__xludf.DUMMYFUNCTION("""COMPUTED_VALUE"""),"Redundant Connection II")</f>
        <v>Redundant Connection II</v>
      </c>
      <c r="C686" s="23" t="str">
        <f>IFERROR(__xludf.DUMMYFUNCTION("""COMPUTED_VALUE"""),"redundant-connection-ii")</f>
        <v>redundant-connection-ii</v>
      </c>
      <c r="D686" s="23" t="b">
        <f>IFERROR(__xludf.DUMMYFUNCTION("""COMPUTED_VALUE"""),FALSE)</f>
        <v>0</v>
      </c>
      <c r="E686" s="23" t="str">
        <f>IFERROR(__xludf.DUMMYFUNCTION("""COMPUTED_VALUE"""),"Hard")</f>
        <v>Hard</v>
      </c>
      <c r="F686" s="23">
        <f>IFERROR(__xludf.DUMMYFUNCTION("""COMPUTED_VALUE"""),1554.0)</f>
        <v>1554</v>
      </c>
      <c r="G686" s="23">
        <f>IFERROR(__xludf.DUMMYFUNCTION("""COMPUTED_VALUE"""),265.0)</f>
        <v>265</v>
      </c>
      <c r="H686" s="23" t="str">
        <f>IFERROR(__xludf.DUMMYFUNCTION("""COMPUTED_VALUE"""),"Algorithms")</f>
        <v>Algorithms</v>
      </c>
      <c r="I686" s="23">
        <f>IFERROR(__xludf.DUMMYFUNCTION("""COMPUTED_VALUE"""),0.338)</f>
        <v>0.338</v>
      </c>
      <c r="J686" s="23">
        <f>IFERROR(__xludf.DUMMYFUNCTION("""COMPUTED_VALUE"""),685.0)</f>
        <v>685</v>
      </c>
      <c r="K686" s="23" t="b">
        <f>IFERROR(__xludf.DUMMYFUNCTION("""COMPUTED_VALUE"""),FALSE)</f>
        <v>0</v>
      </c>
      <c r="L686" s="23" t="str">
        <f>IFERROR(__xludf.DUMMYFUNCTION("""COMPUTED_VALUE"""),"Depth-First Search;Breadth-First Search;Union Find;Graph;")</f>
        <v>Depth-First Search;Breadth-First Search;Union Find;Graph;</v>
      </c>
      <c r="M686" s="23" t="b">
        <f>IFERROR(__xludf.DUMMYFUNCTION("""COMPUTED_VALUE"""),FALSE)</f>
        <v>0</v>
      </c>
      <c r="N686" s="23" t="b">
        <f>IFERROR(__xludf.DUMMYFUNCTION("""COMPUTED_VALUE"""),FALSE)</f>
        <v>0</v>
      </c>
      <c r="O686" s="23">
        <f>IFERROR(__xludf.DUMMYFUNCTION("""COMPUTED_VALUE"""),33.7521703372018)</f>
        <v>33.75217034</v>
      </c>
      <c r="P686" s="23">
        <f>IFERROR(__xludf.DUMMYFUNCTION("""COMPUTED_VALUE"""),51709.0)</f>
        <v>51709</v>
      </c>
      <c r="Q686" s="23">
        <f>IFERROR(__xludf.DUMMYFUNCTION("""COMPUTED_VALUE"""),153202.0)</f>
        <v>153202</v>
      </c>
    </row>
    <row r="687">
      <c r="A687" s="23">
        <f>IFERROR(__xludf.DUMMYFUNCTION("""COMPUTED_VALUE"""),686.0)</f>
        <v>686</v>
      </c>
      <c r="B687" s="23" t="str">
        <f>IFERROR(__xludf.DUMMYFUNCTION("""COMPUTED_VALUE"""),"Repeated String Match")</f>
        <v>Repeated String Match</v>
      </c>
      <c r="C687" s="23" t="str">
        <f>IFERROR(__xludf.DUMMYFUNCTION("""COMPUTED_VALUE"""),"repeated-string-match")</f>
        <v>repeated-string-match</v>
      </c>
      <c r="D687" s="23" t="b">
        <f>IFERROR(__xludf.DUMMYFUNCTION("""COMPUTED_VALUE"""),FALSE)</f>
        <v>0</v>
      </c>
      <c r="E687" s="23" t="str">
        <f>IFERROR(__xludf.DUMMYFUNCTION("""COMPUTED_VALUE"""),"Medium")</f>
        <v>Medium</v>
      </c>
      <c r="F687" s="23">
        <f>IFERROR(__xludf.DUMMYFUNCTION("""COMPUTED_VALUE"""),1399.0)</f>
        <v>1399</v>
      </c>
      <c r="G687" s="23">
        <f>IFERROR(__xludf.DUMMYFUNCTION("""COMPUTED_VALUE"""),899.0)</f>
        <v>899</v>
      </c>
      <c r="H687" s="23" t="str">
        <f>IFERROR(__xludf.DUMMYFUNCTION("""COMPUTED_VALUE"""),"Algorithms")</f>
        <v>Algorithms</v>
      </c>
      <c r="I687" s="23">
        <f>IFERROR(__xludf.DUMMYFUNCTION("""COMPUTED_VALUE"""),0.336)</f>
        <v>0.336</v>
      </c>
      <c r="J687" s="23">
        <f>IFERROR(__xludf.DUMMYFUNCTION("""COMPUTED_VALUE"""),686.0)</f>
        <v>686</v>
      </c>
      <c r="K687" s="23" t="b">
        <f>IFERROR(__xludf.DUMMYFUNCTION("""COMPUTED_VALUE"""),FALSE)</f>
        <v>0</v>
      </c>
      <c r="L687" s="23" t="str">
        <f>IFERROR(__xludf.DUMMYFUNCTION("""COMPUTED_VALUE"""),"String;String Matching;")</f>
        <v>String;String Matching;</v>
      </c>
      <c r="M687" s="23" t="b">
        <f>IFERROR(__xludf.DUMMYFUNCTION("""COMPUTED_VALUE"""),FALSE)</f>
        <v>0</v>
      </c>
      <c r="N687" s="23" t="b">
        <f>IFERROR(__xludf.DUMMYFUNCTION("""COMPUTED_VALUE"""),FALSE)</f>
        <v>0</v>
      </c>
      <c r="O687" s="23">
        <f>IFERROR(__xludf.DUMMYFUNCTION("""COMPUTED_VALUE"""),33.5516796153246)</f>
        <v>33.55167962</v>
      </c>
      <c r="P687" s="23">
        <f>IFERROR(__xludf.DUMMYFUNCTION("""COMPUTED_VALUE"""),120574.0)</f>
        <v>120574</v>
      </c>
      <c r="Q687" s="23">
        <f>IFERROR(__xludf.DUMMYFUNCTION("""COMPUTED_VALUE"""),359368.0)</f>
        <v>359368</v>
      </c>
    </row>
    <row r="688">
      <c r="A688" s="23">
        <f>IFERROR(__xludf.DUMMYFUNCTION("""COMPUTED_VALUE"""),687.0)</f>
        <v>687</v>
      </c>
      <c r="B688" s="23" t="str">
        <f>IFERROR(__xludf.DUMMYFUNCTION("""COMPUTED_VALUE"""),"Longest Univalue Path")</f>
        <v>Longest Univalue Path</v>
      </c>
      <c r="C688" s="23" t="str">
        <f>IFERROR(__xludf.DUMMYFUNCTION("""COMPUTED_VALUE"""),"longest-univalue-path")</f>
        <v>longest-univalue-path</v>
      </c>
      <c r="D688" s="23" t="b">
        <f>IFERROR(__xludf.DUMMYFUNCTION("""COMPUTED_VALUE"""),FALSE)</f>
        <v>0</v>
      </c>
      <c r="E688" s="23" t="str">
        <f>IFERROR(__xludf.DUMMYFUNCTION("""COMPUTED_VALUE"""),"Medium")</f>
        <v>Medium</v>
      </c>
      <c r="F688" s="23">
        <f>IFERROR(__xludf.DUMMYFUNCTION("""COMPUTED_VALUE"""),3077.0)</f>
        <v>3077</v>
      </c>
      <c r="G688" s="23">
        <f>IFERROR(__xludf.DUMMYFUNCTION("""COMPUTED_VALUE"""),608.0)</f>
        <v>608</v>
      </c>
      <c r="H688" s="23" t="str">
        <f>IFERROR(__xludf.DUMMYFUNCTION("""COMPUTED_VALUE"""),"Algorithms")</f>
        <v>Algorithms</v>
      </c>
      <c r="I688" s="23">
        <f>IFERROR(__xludf.DUMMYFUNCTION("""COMPUTED_VALUE"""),0.394)</f>
        <v>0.394</v>
      </c>
      <c r="J688" s="23">
        <f>IFERROR(__xludf.DUMMYFUNCTION("""COMPUTED_VALUE"""),687.0)</f>
        <v>687</v>
      </c>
      <c r="K688" s="23" t="b">
        <f>IFERROR(__xludf.DUMMYFUNCTION("""COMPUTED_VALUE"""),FALSE)</f>
        <v>0</v>
      </c>
      <c r="L688" s="23" t="str">
        <f>IFERROR(__xludf.DUMMYFUNCTION("""COMPUTED_VALUE"""),"Tree;Depth-First Search;Binary Tree;")</f>
        <v>Tree;Depth-First Search;Binary Tree;</v>
      </c>
      <c r="M688" s="23" t="b">
        <f>IFERROR(__xludf.DUMMYFUNCTION("""COMPUTED_VALUE"""),TRUE)</f>
        <v>1</v>
      </c>
      <c r="N688" s="23" t="b">
        <f>IFERROR(__xludf.DUMMYFUNCTION("""COMPUTED_VALUE"""),FALSE)</f>
        <v>0</v>
      </c>
      <c r="O688" s="23">
        <f>IFERROR(__xludf.DUMMYFUNCTION("""COMPUTED_VALUE"""),39.3639599685699)</f>
        <v>39.36395997</v>
      </c>
      <c r="P688" s="23">
        <f>IFERROR(__xludf.DUMMYFUNCTION("""COMPUTED_VALUE"""),140773.0)</f>
        <v>140773</v>
      </c>
      <c r="Q688" s="23">
        <f>IFERROR(__xludf.DUMMYFUNCTION("""COMPUTED_VALUE"""),357619.0)</f>
        <v>357619</v>
      </c>
    </row>
    <row r="689">
      <c r="A689" s="23">
        <f>IFERROR(__xludf.DUMMYFUNCTION("""COMPUTED_VALUE"""),688.0)</f>
        <v>688</v>
      </c>
      <c r="B689" s="23" t="str">
        <f>IFERROR(__xludf.DUMMYFUNCTION("""COMPUTED_VALUE"""),"Knight Probability in Chessboard")</f>
        <v>Knight Probability in Chessboard</v>
      </c>
      <c r="C689" s="23" t="str">
        <f>IFERROR(__xludf.DUMMYFUNCTION("""COMPUTED_VALUE"""),"knight-probability-in-chessboard")</f>
        <v>knight-probability-in-chessboard</v>
      </c>
      <c r="D689" s="23" t="b">
        <f>IFERROR(__xludf.DUMMYFUNCTION("""COMPUTED_VALUE"""),FALSE)</f>
        <v>0</v>
      </c>
      <c r="E689" s="23" t="str">
        <f>IFERROR(__xludf.DUMMYFUNCTION("""COMPUTED_VALUE"""),"Medium")</f>
        <v>Medium</v>
      </c>
      <c r="F689" s="23">
        <f>IFERROR(__xludf.DUMMYFUNCTION("""COMPUTED_VALUE"""),1917.0)</f>
        <v>1917</v>
      </c>
      <c r="G689" s="23">
        <f>IFERROR(__xludf.DUMMYFUNCTION("""COMPUTED_VALUE"""),287.0)</f>
        <v>287</v>
      </c>
      <c r="H689" s="23" t="str">
        <f>IFERROR(__xludf.DUMMYFUNCTION("""COMPUTED_VALUE"""),"Algorithms")</f>
        <v>Algorithms</v>
      </c>
      <c r="I689" s="23">
        <f>IFERROR(__xludf.DUMMYFUNCTION("""COMPUTED_VALUE"""),0.515)</f>
        <v>0.515</v>
      </c>
      <c r="J689" s="23">
        <f>IFERROR(__xludf.DUMMYFUNCTION("""COMPUTED_VALUE"""),688.0)</f>
        <v>688</v>
      </c>
      <c r="K689" s="23" t="b">
        <f>IFERROR(__xludf.DUMMYFUNCTION("""COMPUTED_VALUE"""),FALSE)</f>
        <v>0</v>
      </c>
      <c r="L689" s="23" t="str">
        <f>IFERROR(__xludf.DUMMYFUNCTION("""COMPUTED_VALUE"""),"Dynamic Programming;")</f>
        <v>Dynamic Programming;</v>
      </c>
      <c r="M689" s="23" t="b">
        <f>IFERROR(__xludf.DUMMYFUNCTION("""COMPUTED_VALUE"""),TRUE)</f>
        <v>1</v>
      </c>
      <c r="N689" s="23" t="b">
        <f>IFERROR(__xludf.DUMMYFUNCTION("""COMPUTED_VALUE"""),FALSE)</f>
        <v>0</v>
      </c>
      <c r="O689" s="23">
        <f>IFERROR(__xludf.DUMMYFUNCTION("""COMPUTED_VALUE"""),51.493977464059)</f>
        <v>51.49397746</v>
      </c>
      <c r="P689" s="23">
        <f>IFERROR(__xludf.DUMMYFUNCTION("""COMPUTED_VALUE"""),79515.0)</f>
        <v>79515</v>
      </c>
      <c r="Q689" s="23">
        <f>IFERROR(__xludf.DUMMYFUNCTION("""COMPUTED_VALUE"""),154417.0)</f>
        <v>154417</v>
      </c>
    </row>
    <row r="690">
      <c r="A690" s="23">
        <f>IFERROR(__xludf.DUMMYFUNCTION("""COMPUTED_VALUE"""),689.0)</f>
        <v>689</v>
      </c>
      <c r="B690" s="23" t="str">
        <f>IFERROR(__xludf.DUMMYFUNCTION("""COMPUTED_VALUE"""),"Maximum Sum of 3 Non-Overlapping Subarrays")</f>
        <v>Maximum Sum of 3 Non-Overlapping Subarrays</v>
      </c>
      <c r="C690" s="23" t="str">
        <f>IFERROR(__xludf.DUMMYFUNCTION("""COMPUTED_VALUE"""),"maximum-sum-of-3-non-overlapping-subarrays")</f>
        <v>maximum-sum-of-3-non-overlapping-subarrays</v>
      </c>
      <c r="D690" s="23" t="b">
        <f>IFERROR(__xludf.DUMMYFUNCTION("""COMPUTED_VALUE"""),FALSE)</f>
        <v>0</v>
      </c>
      <c r="E690" s="23" t="str">
        <f>IFERROR(__xludf.DUMMYFUNCTION("""COMPUTED_VALUE"""),"Hard")</f>
        <v>Hard</v>
      </c>
      <c r="F690" s="23">
        <f>IFERROR(__xludf.DUMMYFUNCTION("""COMPUTED_VALUE"""),1597.0)</f>
        <v>1597</v>
      </c>
      <c r="G690" s="23">
        <f>IFERROR(__xludf.DUMMYFUNCTION("""COMPUTED_VALUE"""),97.0)</f>
        <v>97</v>
      </c>
      <c r="H690" s="23" t="str">
        <f>IFERROR(__xludf.DUMMYFUNCTION("""COMPUTED_VALUE"""),"Algorithms")</f>
        <v>Algorithms</v>
      </c>
      <c r="I690" s="23">
        <f>IFERROR(__xludf.DUMMYFUNCTION("""COMPUTED_VALUE"""),0.485)</f>
        <v>0.485</v>
      </c>
      <c r="J690" s="23">
        <f>IFERROR(__xludf.DUMMYFUNCTION("""COMPUTED_VALUE"""),689.0)</f>
        <v>689</v>
      </c>
      <c r="K690" s="23" t="b">
        <f>IFERROR(__xludf.DUMMYFUNCTION("""COMPUTED_VALUE"""),FALSE)</f>
        <v>0</v>
      </c>
      <c r="L690" s="23" t="str">
        <f>IFERROR(__xludf.DUMMYFUNCTION("""COMPUTED_VALUE"""),"Array;Dynamic Programming;")</f>
        <v>Array;Dynamic Programming;</v>
      </c>
      <c r="M690" s="23" t="b">
        <f>IFERROR(__xludf.DUMMYFUNCTION("""COMPUTED_VALUE"""),TRUE)</f>
        <v>1</v>
      </c>
      <c r="N690" s="23" t="b">
        <f>IFERROR(__xludf.DUMMYFUNCTION("""COMPUTED_VALUE"""),FALSE)</f>
        <v>0</v>
      </c>
      <c r="O690" s="23">
        <f>IFERROR(__xludf.DUMMYFUNCTION("""COMPUTED_VALUE"""),48.5138738794772)</f>
        <v>48.51387388</v>
      </c>
      <c r="P690" s="23">
        <f>IFERROR(__xludf.DUMMYFUNCTION("""COMPUTED_VALUE"""),62400.0)</f>
        <v>62400</v>
      </c>
      <c r="Q690" s="23">
        <f>IFERROR(__xludf.DUMMYFUNCTION("""COMPUTED_VALUE"""),128623.0)</f>
        <v>128623</v>
      </c>
    </row>
    <row r="691">
      <c r="A691" s="23">
        <f>IFERROR(__xludf.DUMMYFUNCTION("""COMPUTED_VALUE"""),690.0)</f>
        <v>690</v>
      </c>
      <c r="B691" s="23" t="str">
        <f>IFERROR(__xludf.DUMMYFUNCTION("""COMPUTED_VALUE"""),"Employee Importance")</f>
        <v>Employee Importance</v>
      </c>
      <c r="C691" s="23" t="str">
        <f>IFERROR(__xludf.DUMMYFUNCTION("""COMPUTED_VALUE"""),"employee-importance")</f>
        <v>employee-importance</v>
      </c>
      <c r="D691" s="23" t="b">
        <f>IFERROR(__xludf.DUMMYFUNCTION("""COMPUTED_VALUE"""),FALSE)</f>
        <v>0</v>
      </c>
      <c r="E691" s="23" t="str">
        <f>IFERROR(__xludf.DUMMYFUNCTION("""COMPUTED_VALUE"""),"Medium")</f>
        <v>Medium</v>
      </c>
      <c r="F691" s="23">
        <f>IFERROR(__xludf.DUMMYFUNCTION("""COMPUTED_VALUE"""),1574.0)</f>
        <v>1574</v>
      </c>
      <c r="G691" s="23">
        <f>IFERROR(__xludf.DUMMYFUNCTION("""COMPUTED_VALUE"""),1231.0)</f>
        <v>1231</v>
      </c>
      <c r="H691" s="23" t="str">
        <f>IFERROR(__xludf.DUMMYFUNCTION("""COMPUTED_VALUE"""),"Algorithms")</f>
        <v>Algorithms</v>
      </c>
      <c r="I691" s="23">
        <f>IFERROR(__xludf.DUMMYFUNCTION("""COMPUTED_VALUE"""),0.64)</f>
        <v>0.64</v>
      </c>
      <c r="J691" s="23">
        <f>IFERROR(__xludf.DUMMYFUNCTION("""COMPUTED_VALUE"""),690.0)</f>
        <v>690</v>
      </c>
      <c r="K691" s="23" t="b">
        <f>IFERROR(__xludf.DUMMYFUNCTION("""COMPUTED_VALUE"""),FALSE)</f>
        <v>0</v>
      </c>
      <c r="L691" s="23" t="str">
        <f>IFERROR(__xludf.DUMMYFUNCTION("""COMPUTED_VALUE"""),"Hash Table;Depth-First Search;Breadth-First Search;")</f>
        <v>Hash Table;Depth-First Search;Breadth-First Search;</v>
      </c>
      <c r="M691" s="23" t="b">
        <f>IFERROR(__xludf.DUMMYFUNCTION("""COMPUTED_VALUE"""),TRUE)</f>
        <v>1</v>
      </c>
      <c r="N691" s="23" t="b">
        <f>IFERROR(__xludf.DUMMYFUNCTION("""COMPUTED_VALUE"""),FALSE)</f>
        <v>0</v>
      </c>
      <c r="O691" s="23">
        <f>IFERROR(__xludf.DUMMYFUNCTION("""COMPUTED_VALUE"""),64.0001483321899)</f>
        <v>64.00014833</v>
      </c>
      <c r="P691" s="23">
        <f>IFERROR(__xludf.DUMMYFUNCTION("""COMPUTED_VALUE"""),172585.0)</f>
        <v>172585</v>
      </c>
      <c r="Q691" s="23">
        <f>IFERROR(__xludf.DUMMYFUNCTION("""COMPUTED_VALUE"""),269664.0)</f>
        <v>269664</v>
      </c>
    </row>
    <row r="692">
      <c r="A692" s="23">
        <f>IFERROR(__xludf.DUMMYFUNCTION("""COMPUTED_VALUE"""),691.0)</f>
        <v>691</v>
      </c>
      <c r="B692" s="23" t="str">
        <f>IFERROR(__xludf.DUMMYFUNCTION("""COMPUTED_VALUE"""),"Stickers to Spell Word")</f>
        <v>Stickers to Spell Word</v>
      </c>
      <c r="C692" s="23" t="str">
        <f>IFERROR(__xludf.DUMMYFUNCTION("""COMPUTED_VALUE"""),"stickers-to-spell-word")</f>
        <v>stickers-to-spell-word</v>
      </c>
      <c r="D692" s="23" t="b">
        <f>IFERROR(__xludf.DUMMYFUNCTION("""COMPUTED_VALUE"""),FALSE)</f>
        <v>0</v>
      </c>
      <c r="E692" s="23" t="str">
        <f>IFERROR(__xludf.DUMMYFUNCTION("""COMPUTED_VALUE"""),"Hard")</f>
        <v>Hard</v>
      </c>
      <c r="F692" s="23">
        <f>IFERROR(__xludf.DUMMYFUNCTION("""COMPUTED_VALUE"""),713.0)</f>
        <v>713</v>
      </c>
      <c r="G692" s="23">
        <f>IFERROR(__xludf.DUMMYFUNCTION("""COMPUTED_VALUE"""),69.0)</f>
        <v>69</v>
      </c>
      <c r="H692" s="23" t="str">
        <f>IFERROR(__xludf.DUMMYFUNCTION("""COMPUTED_VALUE"""),"Algorithms")</f>
        <v>Algorithms</v>
      </c>
      <c r="I692" s="23">
        <f>IFERROR(__xludf.DUMMYFUNCTION("""COMPUTED_VALUE"""),0.467)</f>
        <v>0.467</v>
      </c>
      <c r="J692" s="23">
        <f>IFERROR(__xludf.DUMMYFUNCTION("""COMPUTED_VALUE"""),691.0)</f>
        <v>691</v>
      </c>
      <c r="K692" s="23" t="b">
        <f>IFERROR(__xludf.DUMMYFUNCTION("""COMPUTED_VALUE"""),FALSE)</f>
        <v>0</v>
      </c>
      <c r="L692" s="23" t="str">
        <f>IFERROR(__xludf.DUMMYFUNCTION("""COMPUTED_VALUE"""),"Dynamic Programming;Backtracking;Bit Manipulation;Bitmask;")</f>
        <v>Dynamic Programming;Backtracking;Bit Manipulation;Bitmask;</v>
      </c>
      <c r="M692" s="23" t="b">
        <f>IFERROR(__xludf.DUMMYFUNCTION("""COMPUTED_VALUE"""),FALSE)</f>
        <v>0</v>
      </c>
      <c r="N692" s="23" t="b">
        <f>IFERROR(__xludf.DUMMYFUNCTION("""COMPUTED_VALUE"""),FALSE)</f>
        <v>0</v>
      </c>
      <c r="O692" s="23">
        <f>IFERROR(__xludf.DUMMYFUNCTION("""COMPUTED_VALUE"""),46.6801863863646)</f>
        <v>46.68018639</v>
      </c>
      <c r="P692" s="23">
        <f>IFERROR(__xludf.DUMMYFUNCTION("""COMPUTED_VALUE"""),30154.0)</f>
        <v>30154</v>
      </c>
      <c r="Q692" s="23">
        <f>IFERROR(__xludf.DUMMYFUNCTION("""COMPUTED_VALUE"""),64597.0)</f>
        <v>64597</v>
      </c>
    </row>
    <row r="693">
      <c r="A693" s="23">
        <f>IFERROR(__xludf.DUMMYFUNCTION("""COMPUTED_VALUE"""),692.0)</f>
        <v>692</v>
      </c>
      <c r="B693" s="23" t="str">
        <f>IFERROR(__xludf.DUMMYFUNCTION("""COMPUTED_VALUE"""),"Top K Frequent Words")</f>
        <v>Top K Frequent Words</v>
      </c>
      <c r="C693" s="23" t="str">
        <f>IFERROR(__xludf.DUMMYFUNCTION("""COMPUTED_VALUE"""),"top-k-frequent-words")</f>
        <v>top-k-frequent-words</v>
      </c>
      <c r="D693" s="23" t="b">
        <f>IFERROR(__xludf.DUMMYFUNCTION("""COMPUTED_VALUE"""),FALSE)</f>
        <v>0</v>
      </c>
      <c r="E693" s="23" t="str">
        <f>IFERROR(__xludf.DUMMYFUNCTION("""COMPUTED_VALUE"""),"Medium")</f>
        <v>Medium</v>
      </c>
      <c r="F693" s="23">
        <f>IFERROR(__xludf.DUMMYFUNCTION("""COMPUTED_VALUE"""),4389.0)</f>
        <v>4389</v>
      </c>
      <c r="G693" s="23">
        <f>IFERROR(__xludf.DUMMYFUNCTION("""COMPUTED_VALUE"""),248.0)</f>
        <v>248</v>
      </c>
      <c r="H693" s="23" t="str">
        <f>IFERROR(__xludf.DUMMYFUNCTION("""COMPUTED_VALUE"""),"Algorithms")</f>
        <v>Algorithms</v>
      </c>
      <c r="I693" s="23">
        <f>IFERROR(__xludf.DUMMYFUNCTION("""COMPUTED_VALUE"""),0.544)</f>
        <v>0.544</v>
      </c>
      <c r="J693" s="23">
        <f>IFERROR(__xludf.DUMMYFUNCTION("""COMPUTED_VALUE"""),692.0)</f>
        <v>692</v>
      </c>
      <c r="K693" s="23" t="b">
        <f>IFERROR(__xludf.DUMMYFUNCTION("""COMPUTED_VALUE"""),FALSE)</f>
        <v>0</v>
      </c>
      <c r="L693" s="23" t="str">
        <f>IFERROR(__xludf.DUMMYFUNCTION("""COMPUTED_VALUE"""),"Hash Table;String;Trie;Sorting;Heap (Priority Queue);Bucket Sort;Counting;")</f>
        <v>Hash Table;String;Trie;Sorting;Heap (Priority Queue);Bucket Sort;Counting;</v>
      </c>
      <c r="M693" s="23" t="b">
        <f>IFERROR(__xludf.DUMMYFUNCTION("""COMPUTED_VALUE"""),FALSE)</f>
        <v>0</v>
      </c>
      <c r="N693" s="23" t="b">
        <f>IFERROR(__xludf.DUMMYFUNCTION("""COMPUTED_VALUE"""),FALSE)</f>
        <v>0</v>
      </c>
      <c r="O693" s="23">
        <f>IFERROR(__xludf.DUMMYFUNCTION("""COMPUTED_VALUE"""),54.3508337475185)</f>
        <v>54.35083375</v>
      </c>
      <c r="P693" s="23">
        <f>IFERROR(__xludf.DUMMYFUNCTION("""COMPUTED_VALUE"""),373987.0)</f>
        <v>373987</v>
      </c>
      <c r="Q693" s="23">
        <f>IFERROR(__xludf.DUMMYFUNCTION("""COMPUTED_VALUE"""),688098.0)</f>
        <v>688098</v>
      </c>
    </row>
    <row r="694">
      <c r="A694" s="23">
        <f>IFERROR(__xludf.DUMMYFUNCTION("""COMPUTED_VALUE"""),693.0)</f>
        <v>693</v>
      </c>
      <c r="B694" s="23" t="str">
        <f>IFERROR(__xludf.DUMMYFUNCTION("""COMPUTED_VALUE"""),"Binary Number with Alternating Bits")</f>
        <v>Binary Number with Alternating Bits</v>
      </c>
      <c r="C694" s="23" t="str">
        <f>IFERROR(__xludf.DUMMYFUNCTION("""COMPUTED_VALUE"""),"binary-number-with-alternating-bits")</f>
        <v>binary-number-with-alternating-bits</v>
      </c>
      <c r="D694" s="23" t="b">
        <f>IFERROR(__xludf.DUMMYFUNCTION("""COMPUTED_VALUE"""),FALSE)</f>
        <v>0</v>
      </c>
      <c r="E694" s="23" t="str">
        <f>IFERROR(__xludf.DUMMYFUNCTION("""COMPUTED_VALUE"""),"Easy")</f>
        <v>Easy</v>
      </c>
      <c r="F694" s="23">
        <f>IFERROR(__xludf.DUMMYFUNCTION("""COMPUTED_VALUE"""),912.0)</f>
        <v>912</v>
      </c>
      <c r="G694" s="23">
        <f>IFERROR(__xludf.DUMMYFUNCTION("""COMPUTED_VALUE"""),103.0)</f>
        <v>103</v>
      </c>
      <c r="H694" s="23" t="str">
        <f>IFERROR(__xludf.DUMMYFUNCTION("""COMPUTED_VALUE"""),"Algorithms")</f>
        <v>Algorithms</v>
      </c>
      <c r="I694" s="23">
        <f>IFERROR(__xludf.DUMMYFUNCTION("""COMPUTED_VALUE"""),0.609)</f>
        <v>0.609</v>
      </c>
      <c r="J694" s="23">
        <f>IFERROR(__xludf.DUMMYFUNCTION("""COMPUTED_VALUE"""),693.0)</f>
        <v>693</v>
      </c>
      <c r="K694" s="23" t="b">
        <f>IFERROR(__xludf.DUMMYFUNCTION("""COMPUTED_VALUE"""),FALSE)</f>
        <v>0</v>
      </c>
      <c r="L694" s="23" t="str">
        <f>IFERROR(__xludf.DUMMYFUNCTION("""COMPUTED_VALUE"""),"Bit Manipulation;")</f>
        <v>Bit Manipulation;</v>
      </c>
      <c r="M694" s="23" t="b">
        <f>IFERROR(__xludf.DUMMYFUNCTION("""COMPUTED_VALUE"""),TRUE)</f>
        <v>1</v>
      </c>
      <c r="N694" s="23" t="b">
        <f>IFERROR(__xludf.DUMMYFUNCTION("""COMPUTED_VALUE"""),FALSE)</f>
        <v>0</v>
      </c>
      <c r="O694" s="23">
        <f>IFERROR(__xludf.DUMMYFUNCTION("""COMPUTED_VALUE"""),60.8500244906604)</f>
        <v>60.85002449</v>
      </c>
      <c r="P694" s="23">
        <f>IFERROR(__xludf.DUMMYFUNCTION("""COMPUTED_VALUE"""),91931.0)</f>
        <v>91931</v>
      </c>
      <c r="Q694" s="23">
        <f>IFERROR(__xludf.DUMMYFUNCTION("""COMPUTED_VALUE"""),151078.0)</f>
        <v>151078</v>
      </c>
    </row>
    <row r="695">
      <c r="A695" s="23">
        <f>IFERROR(__xludf.DUMMYFUNCTION("""COMPUTED_VALUE"""),694.0)</f>
        <v>694</v>
      </c>
      <c r="B695" s="23" t="str">
        <f>IFERROR(__xludf.DUMMYFUNCTION("""COMPUTED_VALUE"""),"Number of Distinct Islands")</f>
        <v>Number of Distinct Islands</v>
      </c>
      <c r="C695" s="23" t="str">
        <f>IFERROR(__xludf.DUMMYFUNCTION("""COMPUTED_VALUE"""),"number-of-distinct-islands")</f>
        <v>number-of-distinct-islands</v>
      </c>
      <c r="D695" s="23" t="b">
        <f>IFERROR(__xludf.DUMMYFUNCTION("""COMPUTED_VALUE"""),TRUE)</f>
        <v>1</v>
      </c>
      <c r="E695" s="23" t="str">
        <f>IFERROR(__xludf.DUMMYFUNCTION("""COMPUTED_VALUE"""),"Medium")</f>
        <v>Medium</v>
      </c>
      <c r="F695" s="23">
        <f>IFERROR(__xludf.DUMMYFUNCTION("""COMPUTED_VALUE"""),1723.0)</f>
        <v>1723</v>
      </c>
      <c r="G695" s="23">
        <f>IFERROR(__xludf.DUMMYFUNCTION("""COMPUTED_VALUE"""),98.0)</f>
        <v>98</v>
      </c>
      <c r="H695" s="23" t="str">
        <f>IFERROR(__xludf.DUMMYFUNCTION("""COMPUTED_VALUE"""),"Algorithms")</f>
        <v>Algorithms</v>
      </c>
      <c r="I695" s="23">
        <f>IFERROR(__xludf.DUMMYFUNCTION("""COMPUTED_VALUE"""),0.597)</f>
        <v>0.597</v>
      </c>
      <c r="J695" s="23">
        <f>IFERROR(__xludf.DUMMYFUNCTION("""COMPUTED_VALUE"""),694.0)</f>
        <v>694</v>
      </c>
      <c r="K695" s="23" t="b">
        <f>IFERROR(__xludf.DUMMYFUNCTION("""COMPUTED_VALUE"""),TRUE)</f>
        <v>1</v>
      </c>
      <c r="L695" s="23" t="str">
        <f>IFERROR(__xludf.DUMMYFUNCTION("""COMPUTED_VALUE"""),"Hash Table;Depth-First Search;Breadth-First Search;Union Find;Hash Function;")</f>
        <v>Hash Table;Depth-First Search;Breadth-First Search;Union Find;Hash Function;</v>
      </c>
      <c r="M695" s="23" t="b">
        <f>IFERROR(__xludf.DUMMYFUNCTION("""COMPUTED_VALUE"""),TRUE)</f>
        <v>1</v>
      </c>
      <c r="N695" s="23" t="b">
        <f>IFERROR(__xludf.DUMMYFUNCTION("""COMPUTED_VALUE"""),TRUE)</f>
        <v>1</v>
      </c>
      <c r="O695" s="23">
        <f>IFERROR(__xludf.DUMMYFUNCTION("""COMPUTED_VALUE"""),59.6679349705984)</f>
        <v>59.66793497</v>
      </c>
      <c r="P695" s="23">
        <f>IFERROR(__xludf.DUMMYFUNCTION("""COMPUTED_VALUE"""),120750.0)</f>
        <v>120750</v>
      </c>
      <c r="Q695" s="23">
        <f>IFERROR(__xludf.DUMMYFUNCTION("""COMPUTED_VALUE"""),202370.0)</f>
        <v>202370</v>
      </c>
    </row>
    <row r="696">
      <c r="A696" s="23">
        <f>IFERROR(__xludf.DUMMYFUNCTION("""COMPUTED_VALUE"""),695.0)</f>
        <v>695</v>
      </c>
      <c r="B696" s="23" t="str">
        <f>IFERROR(__xludf.DUMMYFUNCTION("""COMPUTED_VALUE"""),"Max Area of Island")</f>
        <v>Max Area of Island</v>
      </c>
      <c r="C696" s="23" t="str">
        <f>IFERROR(__xludf.DUMMYFUNCTION("""COMPUTED_VALUE"""),"max-area-of-island")</f>
        <v>max-area-of-island</v>
      </c>
      <c r="D696" s="23" t="b">
        <f>IFERROR(__xludf.DUMMYFUNCTION("""COMPUTED_VALUE"""),FALSE)</f>
        <v>0</v>
      </c>
      <c r="E696" s="23" t="str">
        <f>IFERROR(__xludf.DUMMYFUNCTION("""COMPUTED_VALUE"""),"Medium")</f>
        <v>Medium</v>
      </c>
      <c r="F696" s="23">
        <f>IFERROR(__xludf.DUMMYFUNCTION("""COMPUTED_VALUE"""),5847.0)</f>
        <v>5847</v>
      </c>
      <c r="G696" s="23">
        <f>IFERROR(__xludf.DUMMYFUNCTION("""COMPUTED_VALUE"""),146.0)</f>
        <v>146</v>
      </c>
      <c r="H696" s="23" t="str">
        <f>IFERROR(__xludf.DUMMYFUNCTION("""COMPUTED_VALUE"""),"Algorithms")</f>
        <v>Algorithms</v>
      </c>
      <c r="I696" s="23">
        <f>IFERROR(__xludf.DUMMYFUNCTION("""COMPUTED_VALUE"""),0.697)</f>
        <v>0.697</v>
      </c>
      <c r="J696" s="23">
        <f>IFERROR(__xludf.DUMMYFUNCTION("""COMPUTED_VALUE"""),695.0)</f>
        <v>695</v>
      </c>
      <c r="K696" s="23" t="b">
        <f>IFERROR(__xludf.DUMMYFUNCTION("""COMPUTED_VALUE"""),FALSE)</f>
        <v>0</v>
      </c>
      <c r="L696" s="23" t="str">
        <f>IFERROR(__xludf.DUMMYFUNCTION("""COMPUTED_VALUE"""),"Array;Depth-First Search;Breadth-First Search;Union Find;Matrix;")</f>
        <v>Array;Depth-First Search;Breadth-First Search;Union Find;Matrix;</v>
      </c>
      <c r="M696" s="23" t="b">
        <f>IFERROR(__xludf.DUMMYFUNCTION("""COMPUTED_VALUE"""),TRUE)</f>
        <v>1</v>
      </c>
      <c r="N696" s="23" t="b">
        <f>IFERROR(__xludf.DUMMYFUNCTION("""COMPUTED_VALUE"""),FALSE)</f>
        <v>0</v>
      </c>
      <c r="O696" s="23">
        <f>IFERROR(__xludf.DUMMYFUNCTION("""COMPUTED_VALUE"""),69.6586772259883)</f>
        <v>69.65867723</v>
      </c>
      <c r="P696" s="23">
        <f>IFERROR(__xludf.DUMMYFUNCTION("""COMPUTED_VALUE"""),458083.0)</f>
        <v>458083</v>
      </c>
      <c r="Q696" s="23">
        <f>IFERROR(__xludf.DUMMYFUNCTION("""COMPUTED_VALUE"""),657613.0)</f>
        <v>657613</v>
      </c>
    </row>
    <row r="697">
      <c r="A697" s="23">
        <f>IFERROR(__xludf.DUMMYFUNCTION("""COMPUTED_VALUE"""),696.0)</f>
        <v>696</v>
      </c>
      <c r="B697" s="23" t="str">
        <f>IFERROR(__xludf.DUMMYFUNCTION("""COMPUTED_VALUE"""),"Count Binary Substrings")</f>
        <v>Count Binary Substrings</v>
      </c>
      <c r="C697" s="23" t="str">
        <f>IFERROR(__xludf.DUMMYFUNCTION("""COMPUTED_VALUE"""),"count-binary-substrings")</f>
        <v>count-binary-substrings</v>
      </c>
      <c r="D697" s="23" t="b">
        <f>IFERROR(__xludf.DUMMYFUNCTION("""COMPUTED_VALUE"""),FALSE)</f>
        <v>0</v>
      </c>
      <c r="E697" s="23" t="str">
        <f>IFERROR(__xludf.DUMMYFUNCTION("""COMPUTED_VALUE"""),"Easy")</f>
        <v>Easy</v>
      </c>
      <c r="F697" s="23">
        <f>IFERROR(__xludf.DUMMYFUNCTION("""COMPUTED_VALUE"""),2839.0)</f>
        <v>2839</v>
      </c>
      <c r="G697" s="23">
        <f>IFERROR(__xludf.DUMMYFUNCTION("""COMPUTED_VALUE"""),602.0)</f>
        <v>602</v>
      </c>
      <c r="H697" s="23" t="str">
        <f>IFERROR(__xludf.DUMMYFUNCTION("""COMPUTED_VALUE"""),"Algorithms")</f>
        <v>Algorithms</v>
      </c>
      <c r="I697" s="23">
        <f>IFERROR(__xludf.DUMMYFUNCTION("""COMPUTED_VALUE"""),0.649)</f>
        <v>0.649</v>
      </c>
      <c r="J697" s="23">
        <f>IFERROR(__xludf.DUMMYFUNCTION("""COMPUTED_VALUE"""),696.0)</f>
        <v>696</v>
      </c>
      <c r="K697" s="23" t="b">
        <f>IFERROR(__xludf.DUMMYFUNCTION("""COMPUTED_VALUE"""),FALSE)</f>
        <v>0</v>
      </c>
      <c r="L697" s="23" t="str">
        <f>IFERROR(__xludf.DUMMYFUNCTION("""COMPUTED_VALUE"""),"Two Pointers;String;")</f>
        <v>Two Pointers;String;</v>
      </c>
      <c r="M697" s="23" t="b">
        <f>IFERROR(__xludf.DUMMYFUNCTION("""COMPUTED_VALUE"""),TRUE)</f>
        <v>1</v>
      </c>
      <c r="N697" s="23" t="b">
        <f>IFERROR(__xludf.DUMMYFUNCTION("""COMPUTED_VALUE"""),FALSE)</f>
        <v>0</v>
      </c>
      <c r="O697" s="23">
        <f>IFERROR(__xludf.DUMMYFUNCTION("""COMPUTED_VALUE"""),64.8616293396482)</f>
        <v>64.86162934</v>
      </c>
      <c r="P697" s="23">
        <f>IFERROR(__xludf.DUMMYFUNCTION("""COMPUTED_VALUE"""),148454.0)</f>
        <v>148454</v>
      </c>
      <c r="Q697" s="23">
        <f>IFERROR(__xludf.DUMMYFUNCTION("""COMPUTED_VALUE"""),228878.0)</f>
        <v>228878</v>
      </c>
    </row>
    <row r="698">
      <c r="A698" s="23">
        <f>IFERROR(__xludf.DUMMYFUNCTION("""COMPUTED_VALUE"""),697.0)</f>
        <v>697</v>
      </c>
      <c r="B698" s="23" t="str">
        <f>IFERROR(__xludf.DUMMYFUNCTION("""COMPUTED_VALUE"""),"Degree of an Array")</f>
        <v>Degree of an Array</v>
      </c>
      <c r="C698" s="23" t="str">
        <f>IFERROR(__xludf.DUMMYFUNCTION("""COMPUTED_VALUE"""),"degree-of-an-array")</f>
        <v>degree-of-an-array</v>
      </c>
      <c r="D698" s="23" t="b">
        <f>IFERROR(__xludf.DUMMYFUNCTION("""COMPUTED_VALUE"""),FALSE)</f>
        <v>0</v>
      </c>
      <c r="E698" s="23" t="str">
        <f>IFERROR(__xludf.DUMMYFUNCTION("""COMPUTED_VALUE"""),"Easy")</f>
        <v>Easy</v>
      </c>
      <c r="F698" s="23">
        <f>IFERROR(__xludf.DUMMYFUNCTION("""COMPUTED_VALUE"""),1967.0)</f>
        <v>1967</v>
      </c>
      <c r="G698" s="23">
        <f>IFERROR(__xludf.DUMMYFUNCTION("""COMPUTED_VALUE"""),1298.0)</f>
        <v>1298</v>
      </c>
      <c r="H698" s="23" t="str">
        <f>IFERROR(__xludf.DUMMYFUNCTION("""COMPUTED_VALUE"""),"Algorithms")</f>
        <v>Algorithms</v>
      </c>
      <c r="I698" s="23">
        <f>IFERROR(__xludf.DUMMYFUNCTION("""COMPUTED_VALUE"""),0.556)</f>
        <v>0.556</v>
      </c>
      <c r="J698" s="23">
        <f>IFERROR(__xludf.DUMMYFUNCTION("""COMPUTED_VALUE"""),697.0)</f>
        <v>697</v>
      </c>
      <c r="K698" s="23" t="b">
        <f>IFERROR(__xludf.DUMMYFUNCTION("""COMPUTED_VALUE"""),FALSE)</f>
        <v>0</v>
      </c>
      <c r="L698" s="23" t="str">
        <f>IFERROR(__xludf.DUMMYFUNCTION("""COMPUTED_VALUE"""),"Array;Hash Table;")</f>
        <v>Array;Hash Table;</v>
      </c>
      <c r="M698" s="23" t="b">
        <f>IFERROR(__xludf.DUMMYFUNCTION("""COMPUTED_VALUE"""),TRUE)</f>
        <v>1</v>
      </c>
      <c r="N698" s="23" t="b">
        <f>IFERROR(__xludf.DUMMYFUNCTION("""COMPUTED_VALUE"""),FALSE)</f>
        <v>0</v>
      </c>
      <c r="O698" s="23">
        <f>IFERROR(__xludf.DUMMYFUNCTION("""COMPUTED_VALUE"""),55.6207771218209)</f>
        <v>55.62077712</v>
      </c>
      <c r="P698" s="23">
        <f>IFERROR(__xludf.DUMMYFUNCTION("""COMPUTED_VALUE"""),148670.0)</f>
        <v>148670</v>
      </c>
      <c r="Q698" s="23">
        <f>IFERROR(__xludf.DUMMYFUNCTION("""COMPUTED_VALUE"""),267292.0)</f>
        <v>267292</v>
      </c>
    </row>
    <row r="699">
      <c r="A699" s="23">
        <f>IFERROR(__xludf.DUMMYFUNCTION("""COMPUTED_VALUE"""),698.0)</f>
        <v>698</v>
      </c>
      <c r="B699" s="23" t="str">
        <f>IFERROR(__xludf.DUMMYFUNCTION("""COMPUTED_VALUE"""),"Partition to K Equal Sum Subsets")</f>
        <v>Partition to K Equal Sum Subsets</v>
      </c>
      <c r="C699" s="23" t="str">
        <f>IFERROR(__xludf.DUMMYFUNCTION("""COMPUTED_VALUE"""),"partition-to-k-equal-sum-subsets")</f>
        <v>partition-to-k-equal-sum-subsets</v>
      </c>
      <c r="D699" s="23" t="b">
        <f>IFERROR(__xludf.DUMMYFUNCTION("""COMPUTED_VALUE"""),FALSE)</f>
        <v>0</v>
      </c>
      <c r="E699" s="23" t="str">
        <f>IFERROR(__xludf.DUMMYFUNCTION("""COMPUTED_VALUE"""),"Medium")</f>
        <v>Medium</v>
      </c>
      <c r="F699" s="23">
        <f>IFERROR(__xludf.DUMMYFUNCTION("""COMPUTED_VALUE"""),4720.0)</f>
        <v>4720</v>
      </c>
      <c r="G699" s="23">
        <f>IFERROR(__xludf.DUMMYFUNCTION("""COMPUTED_VALUE"""),302.0)</f>
        <v>302</v>
      </c>
      <c r="H699" s="23" t="str">
        <f>IFERROR(__xludf.DUMMYFUNCTION("""COMPUTED_VALUE"""),"Algorithms")</f>
        <v>Algorithms</v>
      </c>
      <c r="I699" s="23">
        <f>IFERROR(__xludf.DUMMYFUNCTION("""COMPUTED_VALUE"""),0.44)</f>
        <v>0.44</v>
      </c>
      <c r="J699" s="23">
        <f>IFERROR(__xludf.DUMMYFUNCTION("""COMPUTED_VALUE"""),698.0)</f>
        <v>698</v>
      </c>
      <c r="K699" s="23" t="b">
        <f>IFERROR(__xludf.DUMMYFUNCTION("""COMPUTED_VALUE"""),FALSE)</f>
        <v>0</v>
      </c>
      <c r="L699" s="23" t="str">
        <f>IFERROR(__xludf.DUMMYFUNCTION("""COMPUTED_VALUE"""),"Array;Dynamic Programming;Backtracking;Bit Manipulation;Memoization;Bitmask;")</f>
        <v>Array;Dynamic Programming;Backtracking;Bit Manipulation;Memoization;Bitmask;</v>
      </c>
      <c r="M699" s="23" t="b">
        <f>IFERROR(__xludf.DUMMYFUNCTION("""COMPUTED_VALUE"""),TRUE)</f>
        <v>1</v>
      </c>
      <c r="N699" s="23" t="b">
        <f>IFERROR(__xludf.DUMMYFUNCTION("""COMPUTED_VALUE"""),FALSE)</f>
        <v>0</v>
      </c>
      <c r="O699" s="23">
        <f>IFERROR(__xludf.DUMMYFUNCTION("""COMPUTED_VALUE"""),44.0025826901065)</f>
        <v>44.00258269</v>
      </c>
      <c r="P699" s="23">
        <f>IFERROR(__xludf.DUMMYFUNCTION("""COMPUTED_VALUE"""),194909.0)</f>
        <v>194909</v>
      </c>
      <c r="Q699" s="23">
        <f>IFERROR(__xludf.DUMMYFUNCTION("""COMPUTED_VALUE"""),442949.0)</f>
        <v>442949</v>
      </c>
    </row>
    <row r="700">
      <c r="A700" s="23">
        <f>IFERROR(__xludf.DUMMYFUNCTION("""COMPUTED_VALUE"""),699.0)</f>
        <v>699</v>
      </c>
      <c r="B700" s="23" t="str">
        <f>IFERROR(__xludf.DUMMYFUNCTION("""COMPUTED_VALUE"""),"Falling Squares")</f>
        <v>Falling Squares</v>
      </c>
      <c r="C700" s="23" t="str">
        <f>IFERROR(__xludf.DUMMYFUNCTION("""COMPUTED_VALUE"""),"falling-squares")</f>
        <v>falling-squares</v>
      </c>
      <c r="D700" s="23" t="b">
        <f>IFERROR(__xludf.DUMMYFUNCTION("""COMPUTED_VALUE"""),FALSE)</f>
        <v>0</v>
      </c>
      <c r="E700" s="23" t="str">
        <f>IFERROR(__xludf.DUMMYFUNCTION("""COMPUTED_VALUE"""),"Hard")</f>
        <v>Hard</v>
      </c>
      <c r="F700" s="23">
        <f>IFERROR(__xludf.DUMMYFUNCTION("""COMPUTED_VALUE"""),449.0)</f>
        <v>449</v>
      </c>
      <c r="G700" s="23">
        <f>IFERROR(__xludf.DUMMYFUNCTION("""COMPUTED_VALUE"""),70.0)</f>
        <v>70</v>
      </c>
      <c r="H700" s="23" t="str">
        <f>IFERROR(__xludf.DUMMYFUNCTION("""COMPUTED_VALUE"""),"Algorithms")</f>
        <v>Algorithms</v>
      </c>
      <c r="I700" s="23">
        <f>IFERROR(__xludf.DUMMYFUNCTION("""COMPUTED_VALUE"""),0.438)</f>
        <v>0.438</v>
      </c>
      <c r="J700" s="23">
        <f>IFERROR(__xludf.DUMMYFUNCTION("""COMPUTED_VALUE"""),699.0)</f>
        <v>699</v>
      </c>
      <c r="K700" s="23" t="b">
        <f>IFERROR(__xludf.DUMMYFUNCTION("""COMPUTED_VALUE"""),FALSE)</f>
        <v>0</v>
      </c>
      <c r="L700" s="23" t="str">
        <f>IFERROR(__xludf.DUMMYFUNCTION("""COMPUTED_VALUE"""),"Array;Segment Tree;Ordered Set;")</f>
        <v>Array;Segment Tree;Ordered Set;</v>
      </c>
      <c r="M700" s="23" t="b">
        <f>IFERROR(__xludf.DUMMYFUNCTION("""COMPUTED_VALUE"""),TRUE)</f>
        <v>1</v>
      </c>
      <c r="N700" s="23" t="b">
        <f>IFERROR(__xludf.DUMMYFUNCTION("""COMPUTED_VALUE"""),FALSE)</f>
        <v>0</v>
      </c>
      <c r="O700" s="23">
        <f>IFERROR(__xludf.DUMMYFUNCTION("""COMPUTED_VALUE"""),43.8134375280697)</f>
        <v>43.81343753</v>
      </c>
      <c r="P700" s="23">
        <f>IFERROR(__xludf.DUMMYFUNCTION("""COMPUTED_VALUE"""),19511.0)</f>
        <v>19511</v>
      </c>
      <c r="Q700" s="23">
        <f>IFERROR(__xludf.DUMMYFUNCTION("""COMPUTED_VALUE"""),44532.0)</f>
        <v>44532</v>
      </c>
    </row>
    <row r="701">
      <c r="A701" s="23">
        <f>IFERROR(__xludf.DUMMYFUNCTION("""COMPUTED_VALUE"""),783.0)</f>
        <v>783</v>
      </c>
      <c r="B701" s="23" t="str">
        <f>IFERROR(__xludf.DUMMYFUNCTION("""COMPUTED_VALUE"""),"Search in a Binary Search Tree")</f>
        <v>Search in a Binary Search Tree</v>
      </c>
      <c r="C701" s="23" t="str">
        <f>IFERROR(__xludf.DUMMYFUNCTION("""COMPUTED_VALUE"""),"search-in-a-binary-search-tree")</f>
        <v>search-in-a-binary-search-tree</v>
      </c>
      <c r="D701" s="23" t="b">
        <f>IFERROR(__xludf.DUMMYFUNCTION("""COMPUTED_VALUE"""),FALSE)</f>
        <v>0</v>
      </c>
      <c r="E701" s="23" t="str">
        <f>IFERROR(__xludf.DUMMYFUNCTION("""COMPUTED_VALUE"""),"Easy")</f>
        <v>Easy</v>
      </c>
      <c r="F701" s="23">
        <f>IFERROR(__xludf.DUMMYFUNCTION("""COMPUTED_VALUE"""),3280.0)</f>
        <v>3280</v>
      </c>
      <c r="G701" s="23">
        <f>IFERROR(__xludf.DUMMYFUNCTION("""COMPUTED_VALUE"""),151.0)</f>
        <v>151</v>
      </c>
      <c r="H701" s="23" t="str">
        <f>IFERROR(__xludf.DUMMYFUNCTION("""COMPUTED_VALUE"""),"Algorithms")</f>
        <v>Algorithms</v>
      </c>
      <c r="I701" s="23">
        <f>IFERROR(__xludf.DUMMYFUNCTION("""COMPUTED_VALUE"""),0.764)</f>
        <v>0.764</v>
      </c>
      <c r="J701" s="23">
        <f>IFERROR(__xludf.DUMMYFUNCTION("""COMPUTED_VALUE"""),700.0)</f>
        <v>700</v>
      </c>
      <c r="K701" s="23" t="b">
        <f>IFERROR(__xludf.DUMMYFUNCTION("""COMPUTED_VALUE"""),FALSE)</f>
        <v>0</v>
      </c>
      <c r="L701" s="23" t="str">
        <f>IFERROR(__xludf.DUMMYFUNCTION("""COMPUTED_VALUE"""),"Tree;Binary Search Tree;Binary Tree;")</f>
        <v>Tree;Binary Search Tree;Binary Tree;</v>
      </c>
      <c r="M701" s="23" t="b">
        <f>IFERROR(__xludf.DUMMYFUNCTION("""COMPUTED_VALUE"""),TRUE)</f>
        <v>1</v>
      </c>
      <c r="N701" s="23" t="b">
        <f>IFERROR(__xludf.DUMMYFUNCTION("""COMPUTED_VALUE"""),FALSE)</f>
        <v>0</v>
      </c>
      <c r="O701" s="23">
        <f>IFERROR(__xludf.DUMMYFUNCTION("""COMPUTED_VALUE"""),76.3735081040271)</f>
        <v>76.3735081</v>
      </c>
      <c r="P701" s="23">
        <f>IFERROR(__xludf.DUMMYFUNCTION("""COMPUTED_VALUE"""),475442.0)</f>
        <v>475442</v>
      </c>
      <c r="Q701" s="23">
        <f>IFERROR(__xludf.DUMMYFUNCTION("""COMPUTED_VALUE"""),622522.0)</f>
        <v>622522</v>
      </c>
    </row>
    <row r="702">
      <c r="A702" s="23">
        <f>IFERROR(__xludf.DUMMYFUNCTION("""COMPUTED_VALUE"""),784.0)</f>
        <v>784</v>
      </c>
      <c r="B702" s="23" t="str">
        <f>IFERROR(__xludf.DUMMYFUNCTION("""COMPUTED_VALUE"""),"Insert into a Binary Search Tree")</f>
        <v>Insert into a Binary Search Tree</v>
      </c>
      <c r="C702" s="23" t="str">
        <f>IFERROR(__xludf.DUMMYFUNCTION("""COMPUTED_VALUE"""),"insert-into-a-binary-search-tree")</f>
        <v>insert-into-a-binary-search-tree</v>
      </c>
      <c r="D702" s="23" t="b">
        <f>IFERROR(__xludf.DUMMYFUNCTION("""COMPUTED_VALUE"""),FALSE)</f>
        <v>0</v>
      </c>
      <c r="E702" s="23" t="str">
        <f>IFERROR(__xludf.DUMMYFUNCTION("""COMPUTED_VALUE"""),"Medium")</f>
        <v>Medium</v>
      </c>
      <c r="F702" s="23">
        <f>IFERROR(__xludf.DUMMYFUNCTION("""COMPUTED_VALUE"""),3290.0)</f>
        <v>3290</v>
      </c>
      <c r="G702" s="23">
        <f>IFERROR(__xludf.DUMMYFUNCTION("""COMPUTED_VALUE"""),142.0)</f>
        <v>142</v>
      </c>
      <c r="H702" s="23" t="str">
        <f>IFERROR(__xludf.DUMMYFUNCTION("""COMPUTED_VALUE"""),"Algorithms")</f>
        <v>Algorithms</v>
      </c>
      <c r="I702" s="23">
        <f>IFERROR(__xludf.DUMMYFUNCTION("""COMPUTED_VALUE"""),0.749)</f>
        <v>0.749</v>
      </c>
      <c r="J702" s="23">
        <f>IFERROR(__xludf.DUMMYFUNCTION("""COMPUTED_VALUE"""),701.0)</f>
        <v>701</v>
      </c>
      <c r="K702" s="23" t="b">
        <f>IFERROR(__xludf.DUMMYFUNCTION("""COMPUTED_VALUE"""),FALSE)</f>
        <v>0</v>
      </c>
      <c r="L702" s="23" t="str">
        <f>IFERROR(__xludf.DUMMYFUNCTION("""COMPUTED_VALUE"""),"Tree;Binary Search Tree;Binary Tree;")</f>
        <v>Tree;Binary Search Tree;Binary Tree;</v>
      </c>
      <c r="M702" s="23" t="b">
        <f>IFERROR(__xludf.DUMMYFUNCTION("""COMPUTED_VALUE"""),TRUE)</f>
        <v>1</v>
      </c>
      <c r="N702" s="23" t="b">
        <f>IFERROR(__xludf.DUMMYFUNCTION("""COMPUTED_VALUE"""),FALSE)</f>
        <v>0</v>
      </c>
      <c r="O702" s="23">
        <f>IFERROR(__xludf.DUMMYFUNCTION("""COMPUTED_VALUE"""),74.9355508943629)</f>
        <v>74.93555089</v>
      </c>
      <c r="P702" s="23">
        <f>IFERROR(__xludf.DUMMYFUNCTION("""COMPUTED_VALUE"""),302592.0)</f>
        <v>302592</v>
      </c>
      <c r="Q702" s="23">
        <f>IFERROR(__xludf.DUMMYFUNCTION("""COMPUTED_VALUE"""),403803.0)</f>
        <v>403803</v>
      </c>
    </row>
    <row r="703">
      <c r="A703" s="23">
        <f>IFERROR(__xludf.DUMMYFUNCTION("""COMPUTED_VALUE"""),786.0)</f>
        <v>786</v>
      </c>
      <c r="B703" s="23" t="str">
        <f>IFERROR(__xludf.DUMMYFUNCTION("""COMPUTED_VALUE"""),"Search in a Sorted Array of Unknown Size")</f>
        <v>Search in a Sorted Array of Unknown Size</v>
      </c>
      <c r="C703" s="23" t="str">
        <f>IFERROR(__xludf.DUMMYFUNCTION("""COMPUTED_VALUE"""),"search-in-a-sorted-array-of-unknown-size")</f>
        <v>search-in-a-sorted-array-of-unknown-size</v>
      </c>
      <c r="D703" s="23" t="b">
        <f>IFERROR(__xludf.DUMMYFUNCTION("""COMPUTED_VALUE"""),TRUE)</f>
        <v>1</v>
      </c>
      <c r="E703" s="23" t="str">
        <f>IFERROR(__xludf.DUMMYFUNCTION("""COMPUTED_VALUE"""),"Medium")</f>
        <v>Medium</v>
      </c>
      <c r="F703" s="23">
        <f>IFERROR(__xludf.DUMMYFUNCTION("""COMPUTED_VALUE"""),703.0)</f>
        <v>703</v>
      </c>
      <c r="G703" s="23">
        <f>IFERROR(__xludf.DUMMYFUNCTION("""COMPUTED_VALUE"""),34.0)</f>
        <v>34</v>
      </c>
      <c r="H703" s="23" t="str">
        <f>IFERROR(__xludf.DUMMYFUNCTION("""COMPUTED_VALUE"""),"Algorithms")</f>
        <v>Algorithms</v>
      </c>
      <c r="I703" s="23">
        <f>IFERROR(__xludf.DUMMYFUNCTION("""COMPUTED_VALUE"""),0.709)</f>
        <v>0.709</v>
      </c>
      <c r="J703" s="23">
        <f>IFERROR(__xludf.DUMMYFUNCTION("""COMPUTED_VALUE"""),702.0)</f>
        <v>702</v>
      </c>
      <c r="K703" s="23" t="b">
        <f>IFERROR(__xludf.DUMMYFUNCTION("""COMPUTED_VALUE"""),TRUE)</f>
        <v>1</v>
      </c>
      <c r="L703" s="23" t="str">
        <f>IFERROR(__xludf.DUMMYFUNCTION("""COMPUTED_VALUE"""),"Array;Binary Search;Interactive;")</f>
        <v>Array;Binary Search;Interactive;</v>
      </c>
      <c r="M703" s="23" t="b">
        <f>IFERROR(__xludf.DUMMYFUNCTION("""COMPUTED_VALUE"""),TRUE)</f>
        <v>1</v>
      </c>
      <c r="N703" s="23" t="b">
        <f>IFERROR(__xludf.DUMMYFUNCTION("""COMPUTED_VALUE"""),FALSE)</f>
        <v>0</v>
      </c>
      <c r="O703" s="23">
        <f>IFERROR(__xludf.DUMMYFUNCTION("""COMPUTED_VALUE"""),70.8693436608234)</f>
        <v>70.86934366</v>
      </c>
      <c r="P703" s="23">
        <f>IFERROR(__xludf.DUMMYFUNCTION("""COMPUTED_VALUE"""),69537.0)</f>
        <v>69537</v>
      </c>
      <c r="Q703" s="23">
        <f>IFERROR(__xludf.DUMMYFUNCTION("""COMPUTED_VALUE"""),98120.0)</f>
        <v>98120</v>
      </c>
    </row>
    <row r="704">
      <c r="A704" s="23">
        <f>IFERROR(__xludf.DUMMYFUNCTION("""COMPUTED_VALUE"""),789.0)</f>
        <v>789</v>
      </c>
      <c r="B704" s="23" t="str">
        <f>IFERROR(__xludf.DUMMYFUNCTION("""COMPUTED_VALUE"""),"Kth Largest Element in a Stream")</f>
        <v>Kth Largest Element in a Stream</v>
      </c>
      <c r="C704" s="23" t="str">
        <f>IFERROR(__xludf.DUMMYFUNCTION("""COMPUTED_VALUE"""),"kth-largest-element-in-a-stream")</f>
        <v>kth-largest-element-in-a-stream</v>
      </c>
      <c r="D704" s="23" t="b">
        <f>IFERROR(__xludf.DUMMYFUNCTION("""COMPUTED_VALUE"""),FALSE)</f>
        <v>0</v>
      </c>
      <c r="E704" s="23" t="str">
        <f>IFERROR(__xludf.DUMMYFUNCTION("""COMPUTED_VALUE"""),"Easy")</f>
        <v>Easy</v>
      </c>
      <c r="F704" s="23">
        <f>IFERROR(__xludf.DUMMYFUNCTION("""COMPUTED_VALUE"""),2846.0)</f>
        <v>2846</v>
      </c>
      <c r="G704" s="23">
        <f>IFERROR(__xludf.DUMMYFUNCTION("""COMPUTED_VALUE"""),1699.0)</f>
        <v>1699</v>
      </c>
      <c r="H704" s="23" t="str">
        <f>IFERROR(__xludf.DUMMYFUNCTION("""COMPUTED_VALUE"""),"Algorithms")</f>
        <v>Algorithms</v>
      </c>
      <c r="I704" s="23">
        <f>IFERROR(__xludf.DUMMYFUNCTION("""COMPUTED_VALUE"""),0.548)</f>
        <v>0.548</v>
      </c>
      <c r="J704" s="23">
        <f>IFERROR(__xludf.DUMMYFUNCTION("""COMPUTED_VALUE"""),703.0)</f>
        <v>703</v>
      </c>
      <c r="K704" s="23" t="b">
        <f>IFERROR(__xludf.DUMMYFUNCTION("""COMPUTED_VALUE"""),FALSE)</f>
        <v>0</v>
      </c>
      <c r="L704" s="23" t="str">
        <f>IFERROR(__xludf.DUMMYFUNCTION("""COMPUTED_VALUE"""),"Tree;Design;Binary Search Tree;Heap (Priority Queue);Binary Tree;Data Stream;")</f>
        <v>Tree;Design;Binary Search Tree;Heap (Priority Queue);Binary Tree;Data Stream;</v>
      </c>
      <c r="M704" s="23" t="b">
        <f>IFERROR(__xludf.DUMMYFUNCTION("""COMPUTED_VALUE"""),TRUE)</f>
        <v>1</v>
      </c>
      <c r="N704" s="23" t="b">
        <f>IFERROR(__xludf.DUMMYFUNCTION("""COMPUTED_VALUE"""),FALSE)</f>
        <v>0</v>
      </c>
      <c r="O704" s="23">
        <f>IFERROR(__xludf.DUMMYFUNCTION("""COMPUTED_VALUE"""),54.7766464152274)</f>
        <v>54.77664642</v>
      </c>
      <c r="P704" s="23">
        <f>IFERROR(__xludf.DUMMYFUNCTION("""COMPUTED_VALUE"""),245418.0)</f>
        <v>245418</v>
      </c>
      <c r="Q704" s="23">
        <f>IFERROR(__xludf.DUMMYFUNCTION("""COMPUTED_VALUE"""),448033.0)</f>
        <v>448033</v>
      </c>
    </row>
    <row r="705">
      <c r="A705" s="23">
        <f>IFERROR(__xludf.DUMMYFUNCTION("""COMPUTED_VALUE"""),792.0)</f>
        <v>792</v>
      </c>
      <c r="B705" s="23" t="str">
        <f>IFERROR(__xludf.DUMMYFUNCTION("""COMPUTED_VALUE"""),"Binary Search")</f>
        <v>Binary Search</v>
      </c>
      <c r="C705" s="23" t="str">
        <f>IFERROR(__xludf.DUMMYFUNCTION("""COMPUTED_VALUE"""),"binary-search")</f>
        <v>binary-search</v>
      </c>
      <c r="D705" s="23" t="b">
        <f>IFERROR(__xludf.DUMMYFUNCTION("""COMPUTED_VALUE"""),FALSE)</f>
        <v>0</v>
      </c>
      <c r="E705" s="23" t="str">
        <f>IFERROR(__xludf.DUMMYFUNCTION("""COMPUTED_VALUE"""),"Easy")</f>
        <v>Easy</v>
      </c>
      <c r="F705" s="23">
        <f>IFERROR(__xludf.DUMMYFUNCTION("""COMPUTED_VALUE"""),4655.0)</f>
        <v>4655</v>
      </c>
      <c r="G705" s="23">
        <f>IFERROR(__xludf.DUMMYFUNCTION("""COMPUTED_VALUE"""),109.0)</f>
        <v>109</v>
      </c>
      <c r="H705" s="23" t="str">
        <f>IFERROR(__xludf.DUMMYFUNCTION("""COMPUTED_VALUE"""),"Algorithms")</f>
        <v>Algorithms</v>
      </c>
      <c r="I705" s="23">
        <f>IFERROR(__xludf.DUMMYFUNCTION("""COMPUTED_VALUE"""),0.553)</f>
        <v>0.553</v>
      </c>
      <c r="J705" s="23">
        <f>IFERROR(__xludf.DUMMYFUNCTION("""COMPUTED_VALUE"""),704.0)</f>
        <v>704</v>
      </c>
      <c r="K705" s="23" t="b">
        <f>IFERROR(__xludf.DUMMYFUNCTION("""COMPUTED_VALUE"""),FALSE)</f>
        <v>0</v>
      </c>
      <c r="L705" s="23" t="str">
        <f>IFERROR(__xludf.DUMMYFUNCTION("""COMPUTED_VALUE"""),"Array;Binary Search;")</f>
        <v>Array;Binary Search;</v>
      </c>
      <c r="M705" s="23" t="b">
        <f>IFERROR(__xludf.DUMMYFUNCTION("""COMPUTED_VALUE"""),TRUE)</f>
        <v>1</v>
      </c>
      <c r="N705" s="23" t="b">
        <f>IFERROR(__xludf.DUMMYFUNCTION("""COMPUTED_VALUE"""),FALSE)</f>
        <v>0</v>
      </c>
      <c r="O705" s="23">
        <f>IFERROR(__xludf.DUMMYFUNCTION("""COMPUTED_VALUE"""),55.2864086073399)</f>
        <v>55.28640861</v>
      </c>
      <c r="P705" s="23">
        <f>IFERROR(__xludf.DUMMYFUNCTION("""COMPUTED_VALUE"""),843121.0)</f>
        <v>843121</v>
      </c>
      <c r="Q705" s="23">
        <f>IFERROR(__xludf.DUMMYFUNCTION("""COMPUTED_VALUE"""),1524993.0)</f>
        <v>1524993</v>
      </c>
    </row>
    <row r="706">
      <c r="A706" s="23">
        <f>IFERROR(__xludf.DUMMYFUNCTION("""COMPUTED_VALUE"""),816.0)</f>
        <v>816</v>
      </c>
      <c r="B706" s="23" t="str">
        <f>IFERROR(__xludf.DUMMYFUNCTION("""COMPUTED_VALUE"""),"Design HashSet")</f>
        <v>Design HashSet</v>
      </c>
      <c r="C706" s="23" t="str">
        <f>IFERROR(__xludf.DUMMYFUNCTION("""COMPUTED_VALUE"""),"design-hashset")</f>
        <v>design-hashset</v>
      </c>
      <c r="D706" s="23" t="b">
        <f>IFERROR(__xludf.DUMMYFUNCTION("""COMPUTED_VALUE"""),FALSE)</f>
        <v>0</v>
      </c>
      <c r="E706" s="23" t="str">
        <f>IFERROR(__xludf.DUMMYFUNCTION("""COMPUTED_VALUE"""),"Easy")</f>
        <v>Easy</v>
      </c>
      <c r="F706" s="23">
        <f>IFERROR(__xludf.DUMMYFUNCTION("""COMPUTED_VALUE"""),2014.0)</f>
        <v>2014</v>
      </c>
      <c r="G706" s="23">
        <f>IFERROR(__xludf.DUMMYFUNCTION("""COMPUTED_VALUE"""),203.0)</f>
        <v>203</v>
      </c>
      <c r="H706" s="23" t="str">
        <f>IFERROR(__xludf.DUMMYFUNCTION("""COMPUTED_VALUE"""),"Algorithms")</f>
        <v>Algorithms</v>
      </c>
      <c r="I706" s="23">
        <f>IFERROR(__xludf.DUMMYFUNCTION("""COMPUTED_VALUE"""),0.665)</f>
        <v>0.665</v>
      </c>
      <c r="J706" s="23">
        <f>IFERROR(__xludf.DUMMYFUNCTION("""COMPUTED_VALUE"""),705.0)</f>
        <v>705</v>
      </c>
      <c r="K706" s="23" t="b">
        <f>IFERROR(__xludf.DUMMYFUNCTION("""COMPUTED_VALUE"""),FALSE)</f>
        <v>0</v>
      </c>
      <c r="L706" s="23" t="str">
        <f>IFERROR(__xludf.DUMMYFUNCTION("""COMPUTED_VALUE"""),"Array;Hash Table;Linked List;Design;Hash Function;")</f>
        <v>Array;Hash Table;Linked List;Design;Hash Function;</v>
      </c>
      <c r="M706" s="23" t="b">
        <f>IFERROR(__xludf.DUMMYFUNCTION("""COMPUTED_VALUE"""),TRUE)</f>
        <v>1</v>
      </c>
      <c r="N706" s="23" t="b">
        <f>IFERROR(__xludf.DUMMYFUNCTION("""COMPUTED_VALUE"""),FALSE)</f>
        <v>0</v>
      </c>
      <c r="O706" s="23">
        <f>IFERROR(__xludf.DUMMYFUNCTION("""COMPUTED_VALUE"""),66.4847542408457)</f>
        <v>66.48475424</v>
      </c>
      <c r="P706" s="23">
        <f>IFERROR(__xludf.DUMMYFUNCTION("""COMPUTED_VALUE"""),224886.0)</f>
        <v>224886</v>
      </c>
      <c r="Q706" s="23">
        <f>IFERROR(__xludf.DUMMYFUNCTION("""COMPUTED_VALUE"""),338254.0)</f>
        <v>338254</v>
      </c>
    </row>
    <row r="707">
      <c r="A707" s="23">
        <f>IFERROR(__xludf.DUMMYFUNCTION("""COMPUTED_VALUE"""),817.0)</f>
        <v>817</v>
      </c>
      <c r="B707" s="23" t="str">
        <f>IFERROR(__xludf.DUMMYFUNCTION("""COMPUTED_VALUE"""),"Design HashMap")</f>
        <v>Design HashMap</v>
      </c>
      <c r="C707" s="23" t="str">
        <f>IFERROR(__xludf.DUMMYFUNCTION("""COMPUTED_VALUE"""),"design-hashmap")</f>
        <v>design-hashmap</v>
      </c>
      <c r="D707" s="23" t="b">
        <f>IFERROR(__xludf.DUMMYFUNCTION("""COMPUTED_VALUE"""),FALSE)</f>
        <v>0</v>
      </c>
      <c r="E707" s="23" t="str">
        <f>IFERROR(__xludf.DUMMYFUNCTION("""COMPUTED_VALUE"""),"Easy")</f>
        <v>Easy</v>
      </c>
      <c r="F707" s="23">
        <f>IFERROR(__xludf.DUMMYFUNCTION("""COMPUTED_VALUE"""),3149.0)</f>
        <v>3149</v>
      </c>
      <c r="G707" s="23">
        <f>IFERROR(__xludf.DUMMYFUNCTION("""COMPUTED_VALUE"""),308.0)</f>
        <v>308</v>
      </c>
      <c r="H707" s="23" t="str">
        <f>IFERROR(__xludf.DUMMYFUNCTION("""COMPUTED_VALUE"""),"Algorithms")</f>
        <v>Algorithms</v>
      </c>
      <c r="I707" s="23">
        <f>IFERROR(__xludf.DUMMYFUNCTION("""COMPUTED_VALUE"""),0.653)</f>
        <v>0.653</v>
      </c>
      <c r="J707" s="23">
        <f>IFERROR(__xludf.DUMMYFUNCTION("""COMPUTED_VALUE"""),706.0)</f>
        <v>706</v>
      </c>
      <c r="K707" s="23" t="b">
        <f>IFERROR(__xludf.DUMMYFUNCTION("""COMPUTED_VALUE"""),FALSE)</f>
        <v>0</v>
      </c>
      <c r="L707" s="23" t="str">
        <f>IFERROR(__xludf.DUMMYFUNCTION("""COMPUTED_VALUE"""),"Array;Hash Table;Linked List;Design;Hash Function;")</f>
        <v>Array;Hash Table;Linked List;Design;Hash Function;</v>
      </c>
      <c r="M707" s="23" t="b">
        <f>IFERROR(__xludf.DUMMYFUNCTION("""COMPUTED_VALUE"""),TRUE)</f>
        <v>1</v>
      </c>
      <c r="N707" s="23" t="b">
        <f>IFERROR(__xludf.DUMMYFUNCTION("""COMPUTED_VALUE"""),FALSE)</f>
        <v>0</v>
      </c>
      <c r="O707" s="23">
        <f>IFERROR(__xludf.DUMMYFUNCTION("""COMPUTED_VALUE"""),65.2686699815041)</f>
        <v>65.26866998</v>
      </c>
      <c r="P707" s="23">
        <f>IFERROR(__xludf.DUMMYFUNCTION("""COMPUTED_VALUE"""),326061.0)</f>
        <v>326061</v>
      </c>
      <c r="Q707" s="23">
        <f>IFERROR(__xludf.DUMMYFUNCTION("""COMPUTED_VALUE"""),499569.0)</f>
        <v>499569</v>
      </c>
    </row>
    <row r="708">
      <c r="A708" s="23">
        <f>IFERROR(__xludf.DUMMYFUNCTION("""COMPUTED_VALUE"""),838.0)</f>
        <v>838</v>
      </c>
      <c r="B708" s="23" t="str">
        <f>IFERROR(__xludf.DUMMYFUNCTION("""COMPUTED_VALUE"""),"Design Linked List")</f>
        <v>Design Linked List</v>
      </c>
      <c r="C708" s="23" t="str">
        <f>IFERROR(__xludf.DUMMYFUNCTION("""COMPUTED_VALUE"""),"design-linked-list")</f>
        <v>design-linked-list</v>
      </c>
      <c r="D708" s="23" t="b">
        <f>IFERROR(__xludf.DUMMYFUNCTION("""COMPUTED_VALUE"""),FALSE)</f>
        <v>0</v>
      </c>
      <c r="E708" s="23" t="str">
        <f>IFERROR(__xludf.DUMMYFUNCTION("""COMPUTED_VALUE"""),"Medium")</f>
        <v>Medium</v>
      </c>
      <c r="F708" s="23">
        <f>IFERROR(__xludf.DUMMYFUNCTION("""COMPUTED_VALUE"""),1456.0)</f>
        <v>1456</v>
      </c>
      <c r="G708" s="23">
        <f>IFERROR(__xludf.DUMMYFUNCTION("""COMPUTED_VALUE"""),1177.0)</f>
        <v>1177</v>
      </c>
      <c r="H708" s="23" t="str">
        <f>IFERROR(__xludf.DUMMYFUNCTION("""COMPUTED_VALUE"""),"Algorithms")</f>
        <v>Algorithms</v>
      </c>
      <c r="I708" s="23">
        <f>IFERROR(__xludf.DUMMYFUNCTION("""COMPUTED_VALUE"""),0.27)</f>
        <v>0.27</v>
      </c>
      <c r="J708" s="23">
        <f>IFERROR(__xludf.DUMMYFUNCTION("""COMPUTED_VALUE"""),707.0)</f>
        <v>707</v>
      </c>
      <c r="K708" s="23" t="b">
        <f>IFERROR(__xludf.DUMMYFUNCTION("""COMPUTED_VALUE"""),FALSE)</f>
        <v>0</v>
      </c>
      <c r="L708" s="23" t="str">
        <f>IFERROR(__xludf.DUMMYFUNCTION("""COMPUTED_VALUE"""),"Linked List;Design;")</f>
        <v>Linked List;Design;</v>
      </c>
      <c r="M708" s="23" t="b">
        <f>IFERROR(__xludf.DUMMYFUNCTION("""COMPUTED_VALUE"""),TRUE)</f>
        <v>1</v>
      </c>
      <c r="N708" s="23" t="b">
        <f>IFERROR(__xludf.DUMMYFUNCTION("""COMPUTED_VALUE"""),FALSE)</f>
        <v>0</v>
      </c>
      <c r="O708" s="23">
        <f>IFERROR(__xludf.DUMMYFUNCTION("""COMPUTED_VALUE"""),27.0023803303434)</f>
        <v>27.00238033</v>
      </c>
      <c r="P708" s="23">
        <f>IFERROR(__xludf.DUMMYFUNCTION("""COMPUTED_VALUE"""),186041.0)</f>
        <v>186041</v>
      </c>
      <c r="Q708" s="23">
        <f>IFERROR(__xludf.DUMMYFUNCTION("""COMPUTED_VALUE"""),688978.0)</f>
        <v>688978</v>
      </c>
    </row>
    <row r="709">
      <c r="A709" s="23">
        <f>IFERROR(__xludf.DUMMYFUNCTION("""COMPUTED_VALUE"""),850.0)</f>
        <v>850</v>
      </c>
      <c r="B709" s="23" t="str">
        <f>IFERROR(__xludf.DUMMYFUNCTION("""COMPUTED_VALUE"""),"Insert into a Sorted Circular Linked List")</f>
        <v>Insert into a Sorted Circular Linked List</v>
      </c>
      <c r="C709" s="23" t="str">
        <f>IFERROR(__xludf.DUMMYFUNCTION("""COMPUTED_VALUE"""),"insert-into-a-sorted-circular-linked-list")</f>
        <v>insert-into-a-sorted-circular-linked-list</v>
      </c>
      <c r="D709" s="23" t="b">
        <f>IFERROR(__xludf.DUMMYFUNCTION("""COMPUTED_VALUE"""),TRUE)</f>
        <v>1</v>
      </c>
      <c r="E709" s="23" t="str">
        <f>IFERROR(__xludf.DUMMYFUNCTION("""COMPUTED_VALUE"""),"Medium")</f>
        <v>Medium</v>
      </c>
      <c r="F709" s="23">
        <f>IFERROR(__xludf.DUMMYFUNCTION("""COMPUTED_VALUE"""),917.0)</f>
        <v>917</v>
      </c>
      <c r="G709" s="23">
        <f>IFERROR(__xludf.DUMMYFUNCTION("""COMPUTED_VALUE"""),603.0)</f>
        <v>603</v>
      </c>
      <c r="H709" s="23" t="str">
        <f>IFERROR(__xludf.DUMMYFUNCTION("""COMPUTED_VALUE"""),"Algorithms")</f>
        <v>Algorithms</v>
      </c>
      <c r="I709" s="23">
        <f>IFERROR(__xludf.DUMMYFUNCTION("""COMPUTED_VALUE"""),0.344)</f>
        <v>0.344</v>
      </c>
      <c r="J709" s="23">
        <f>IFERROR(__xludf.DUMMYFUNCTION("""COMPUTED_VALUE"""),708.0)</f>
        <v>708</v>
      </c>
      <c r="K709" s="23" t="b">
        <f>IFERROR(__xludf.DUMMYFUNCTION("""COMPUTED_VALUE"""),TRUE)</f>
        <v>1</v>
      </c>
      <c r="L709" s="23" t="str">
        <f>IFERROR(__xludf.DUMMYFUNCTION("""COMPUTED_VALUE"""),"Linked List;")</f>
        <v>Linked List;</v>
      </c>
      <c r="M709" s="23" t="b">
        <f>IFERROR(__xludf.DUMMYFUNCTION("""COMPUTED_VALUE"""),TRUE)</f>
        <v>1</v>
      </c>
      <c r="N709" s="23" t="b">
        <f>IFERROR(__xludf.DUMMYFUNCTION("""COMPUTED_VALUE"""),FALSE)</f>
        <v>0</v>
      </c>
      <c r="O709" s="23">
        <f>IFERROR(__xludf.DUMMYFUNCTION("""COMPUTED_VALUE"""),34.4144621517626)</f>
        <v>34.41446215</v>
      </c>
      <c r="P709" s="23">
        <f>IFERROR(__xludf.DUMMYFUNCTION("""COMPUTED_VALUE"""),111709.0)</f>
        <v>111709</v>
      </c>
      <c r="Q709" s="23">
        <f>IFERROR(__xludf.DUMMYFUNCTION("""COMPUTED_VALUE"""),324599.0)</f>
        <v>324599</v>
      </c>
    </row>
    <row r="710">
      <c r="A710" s="23">
        <f>IFERROR(__xludf.DUMMYFUNCTION("""COMPUTED_VALUE"""),742.0)</f>
        <v>742</v>
      </c>
      <c r="B710" s="23" t="str">
        <f>IFERROR(__xludf.DUMMYFUNCTION("""COMPUTED_VALUE"""),"To Lower Case")</f>
        <v>To Lower Case</v>
      </c>
      <c r="C710" s="23" t="str">
        <f>IFERROR(__xludf.DUMMYFUNCTION("""COMPUTED_VALUE"""),"to-lower-case")</f>
        <v>to-lower-case</v>
      </c>
      <c r="D710" s="23" t="b">
        <f>IFERROR(__xludf.DUMMYFUNCTION("""COMPUTED_VALUE"""),FALSE)</f>
        <v>0</v>
      </c>
      <c r="E710" s="23" t="str">
        <f>IFERROR(__xludf.DUMMYFUNCTION("""COMPUTED_VALUE"""),"Easy")</f>
        <v>Easy</v>
      </c>
      <c r="F710" s="23">
        <f>IFERROR(__xludf.DUMMYFUNCTION("""COMPUTED_VALUE"""),1070.0)</f>
        <v>1070</v>
      </c>
      <c r="G710" s="23">
        <f>IFERROR(__xludf.DUMMYFUNCTION("""COMPUTED_VALUE"""),2307.0)</f>
        <v>2307</v>
      </c>
      <c r="H710" s="23" t="str">
        <f>IFERROR(__xludf.DUMMYFUNCTION("""COMPUTED_VALUE"""),"Algorithms")</f>
        <v>Algorithms</v>
      </c>
      <c r="I710" s="23">
        <f>IFERROR(__xludf.DUMMYFUNCTION("""COMPUTED_VALUE"""),0.813)</f>
        <v>0.813</v>
      </c>
      <c r="J710" s="23">
        <f>IFERROR(__xludf.DUMMYFUNCTION("""COMPUTED_VALUE"""),709.0)</f>
        <v>709</v>
      </c>
      <c r="K710" s="23" t="b">
        <f>IFERROR(__xludf.DUMMYFUNCTION("""COMPUTED_VALUE"""),FALSE)</f>
        <v>0</v>
      </c>
      <c r="L710" s="23" t="str">
        <f>IFERROR(__xludf.DUMMYFUNCTION("""COMPUTED_VALUE"""),"String;")</f>
        <v>String;</v>
      </c>
      <c r="M710" s="23" t="b">
        <f>IFERROR(__xludf.DUMMYFUNCTION("""COMPUTED_VALUE"""),TRUE)</f>
        <v>1</v>
      </c>
      <c r="N710" s="23" t="b">
        <f>IFERROR(__xludf.DUMMYFUNCTION("""COMPUTED_VALUE"""),FALSE)</f>
        <v>0</v>
      </c>
      <c r="O710" s="23">
        <f>IFERROR(__xludf.DUMMYFUNCTION("""COMPUTED_VALUE"""),81.3463709968046)</f>
        <v>81.346371</v>
      </c>
      <c r="P710" s="23">
        <f>IFERROR(__xludf.DUMMYFUNCTION("""COMPUTED_VALUE"""),338585.0)</f>
        <v>338585</v>
      </c>
      <c r="Q710" s="23">
        <f>IFERROR(__xludf.DUMMYFUNCTION("""COMPUTED_VALUE"""),416227.0)</f>
        <v>416227</v>
      </c>
    </row>
    <row r="711">
      <c r="A711" s="23">
        <f>IFERROR(__xludf.DUMMYFUNCTION("""COMPUTED_VALUE"""),894.0)</f>
        <v>894</v>
      </c>
      <c r="B711" s="23" t="str">
        <f>IFERROR(__xludf.DUMMYFUNCTION("""COMPUTED_VALUE"""),"Random Pick with Blacklist")</f>
        <v>Random Pick with Blacklist</v>
      </c>
      <c r="C711" s="23" t="str">
        <f>IFERROR(__xludf.DUMMYFUNCTION("""COMPUTED_VALUE"""),"random-pick-with-blacklist")</f>
        <v>random-pick-with-blacklist</v>
      </c>
      <c r="D711" s="23" t="b">
        <f>IFERROR(__xludf.DUMMYFUNCTION("""COMPUTED_VALUE"""),FALSE)</f>
        <v>0</v>
      </c>
      <c r="E711" s="23" t="str">
        <f>IFERROR(__xludf.DUMMYFUNCTION("""COMPUTED_VALUE"""),"Hard")</f>
        <v>Hard</v>
      </c>
      <c r="F711" s="23">
        <f>IFERROR(__xludf.DUMMYFUNCTION("""COMPUTED_VALUE"""),610.0)</f>
        <v>610</v>
      </c>
      <c r="G711" s="23">
        <f>IFERROR(__xludf.DUMMYFUNCTION("""COMPUTED_VALUE"""),93.0)</f>
        <v>93</v>
      </c>
      <c r="H711" s="23" t="str">
        <f>IFERROR(__xludf.DUMMYFUNCTION("""COMPUTED_VALUE"""),"Algorithms")</f>
        <v>Algorithms</v>
      </c>
      <c r="I711" s="23">
        <f>IFERROR(__xludf.DUMMYFUNCTION("""COMPUTED_VALUE"""),0.332)</f>
        <v>0.332</v>
      </c>
      <c r="J711" s="23">
        <f>IFERROR(__xludf.DUMMYFUNCTION("""COMPUTED_VALUE"""),710.0)</f>
        <v>710</v>
      </c>
      <c r="K711" s="23" t="b">
        <f>IFERROR(__xludf.DUMMYFUNCTION("""COMPUTED_VALUE"""),FALSE)</f>
        <v>0</v>
      </c>
      <c r="L711" s="23" t="str">
        <f>IFERROR(__xludf.DUMMYFUNCTION("""COMPUTED_VALUE"""),"Hash Table;Math;Binary Search;Sorting;Randomized;")</f>
        <v>Hash Table;Math;Binary Search;Sorting;Randomized;</v>
      </c>
      <c r="M711" s="23" t="b">
        <f>IFERROR(__xludf.DUMMYFUNCTION("""COMPUTED_VALUE"""),TRUE)</f>
        <v>1</v>
      </c>
      <c r="N711" s="23" t="b">
        <f>IFERROR(__xludf.DUMMYFUNCTION("""COMPUTED_VALUE"""),FALSE)</f>
        <v>0</v>
      </c>
      <c r="O711" s="23">
        <f>IFERROR(__xludf.DUMMYFUNCTION("""COMPUTED_VALUE"""),33.2169111139954)</f>
        <v>33.21691111</v>
      </c>
      <c r="P711" s="23">
        <f>IFERROR(__xludf.DUMMYFUNCTION("""COMPUTED_VALUE"""),28150.0)</f>
        <v>28150</v>
      </c>
      <c r="Q711" s="23">
        <f>IFERROR(__xludf.DUMMYFUNCTION("""COMPUTED_VALUE"""),84747.0)</f>
        <v>84747</v>
      </c>
    </row>
    <row r="712">
      <c r="A712" s="23">
        <f>IFERROR(__xludf.DUMMYFUNCTION("""COMPUTED_VALUE"""),711.0)</f>
        <v>711</v>
      </c>
      <c r="B712" s="23" t="str">
        <f>IFERROR(__xludf.DUMMYFUNCTION("""COMPUTED_VALUE"""),"Number of Distinct Islands II")</f>
        <v>Number of Distinct Islands II</v>
      </c>
      <c r="C712" s="23" t="str">
        <f>IFERROR(__xludf.DUMMYFUNCTION("""COMPUTED_VALUE"""),"number-of-distinct-islands-ii")</f>
        <v>number-of-distinct-islands-ii</v>
      </c>
      <c r="D712" s="23" t="b">
        <f>IFERROR(__xludf.DUMMYFUNCTION("""COMPUTED_VALUE"""),TRUE)</f>
        <v>1</v>
      </c>
      <c r="E712" s="23" t="str">
        <f>IFERROR(__xludf.DUMMYFUNCTION("""COMPUTED_VALUE"""),"Hard")</f>
        <v>Hard</v>
      </c>
      <c r="F712" s="23">
        <f>IFERROR(__xludf.DUMMYFUNCTION("""COMPUTED_VALUE"""),213.0)</f>
        <v>213</v>
      </c>
      <c r="G712" s="23">
        <f>IFERROR(__xludf.DUMMYFUNCTION("""COMPUTED_VALUE"""),220.0)</f>
        <v>220</v>
      </c>
      <c r="H712" s="23" t="str">
        <f>IFERROR(__xludf.DUMMYFUNCTION("""COMPUTED_VALUE"""),"Algorithms")</f>
        <v>Algorithms</v>
      </c>
      <c r="I712" s="23">
        <f>IFERROR(__xludf.DUMMYFUNCTION("""COMPUTED_VALUE"""),0.51)</f>
        <v>0.51</v>
      </c>
      <c r="J712" s="23">
        <f>IFERROR(__xludf.DUMMYFUNCTION("""COMPUTED_VALUE"""),711.0)</f>
        <v>711</v>
      </c>
      <c r="K712" s="23" t="b">
        <f>IFERROR(__xludf.DUMMYFUNCTION("""COMPUTED_VALUE"""),TRUE)</f>
        <v>1</v>
      </c>
      <c r="L712" s="23" t="str">
        <f>IFERROR(__xludf.DUMMYFUNCTION("""COMPUTED_VALUE"""),"Hash Table;Depth-First Search;Breadth-First Search;Union Find;Hash Function;")</f>
        <v>Hash Table;Depth-First Search;Breadth-First Search;Union Find;Hash Function;</v>
      </c>
      <c r="M712" s="23" t="b">
        <f>IFERROR(__xludf.DUMMYFUNCTION("""COMPUTED_VALUE"""),FALSE)</f>
        <v>0</v>
      </c>
      <c r="N712" s="23" t="b">
        <f>IFERROR(__xludf.DUMMYFUNCTION("""COMPUTED_VALUE"""),FALSE)</f>
        <v>0</v>
      </c>
      <c r="O712" s="23">
        <f>IFERROR(__xludf.DUMMYFUNCTION("""COMPUTED_VALUE"""),51.0122718494985)</f>
        <v>51.01227185</v>
      </c>
      <c r="P712" s="23">
        <f>IFERROR(__xludf.DUMMYFUNCTION("""COMPUTED_VALUE"""),8189.0)</f>
        <v>8189</v>
      </c>
      <c r="Q712" s="23">
        <f>IFERROR(__xludf.DUMMYFUNCTION("""COMPUTED_VALUE"""),16053.0)</f>
        <v>16053</v>
      </c>
    </row>
    <row r="713">
      <c r="A713" s="23">
        <f>IFERROR(__xludf.DUMMYFUNCTION("""COMPUTED_VALUE"""),712.0)</f>
        <v>712</v>
      </c>
      <c r="B713" s="23" t="str">
        <f>IFERROR(__xludf.DUMMYFUNCTION("""COMPUTED_VALUE"""),"Minimum ASCII Delete Sum for Two Strings")</f>
        <v>Minimum ASCII Delete Sum for Two Strings</v>
      </c>
      <c r="C713" s="23" t="str">
        <f>IFERROR(__xludf.DUMMYFUNCTION("""COMPUTED_VALUE"""),"minimum-ascii-delete-sum-for-two-strings")</f>
        <v>minimum-ascii-delete-sum-for-two-strings</v>
      </c>
      <c r="D713" s="23" t="b">
        <f>IFERROR(__xludf.DUMMYFUNCTION("""COMPUTED_VALUE"""),FALSE)</f>
        <v>0</v>
      </c>
      <c r="E713" s="23" t="str">
        <f>IFERROR(__xludf.DUMMYFUNCTION("""COMPUTED_VALUE"""),"Medium")</f>
        <v>Medium</v>
      </c>
      <c r="F713" s="23">
        <f>IFERROR(__xludf.DUMMYFUNCTION("""COMPUTED_VALUE"""),1888.0)</f>
        <v>1888</v>
      </c>
      <c r="G713" s="23">
        <f>IFERROR(__xludf.DUMMYFUNCTION("""COMPUTED_VALUE"""),62.0)</f>
        <v>62</v>
      </c>
      <c r="H713" s="23" t="str">
        <f>IFERROR(__xludf.DUMMYFUNCTION("""COMPUTED_VALUE"""),"Algorithms")</f>
        <v>Algorithms</v>
      </c>
      <c r="I713" s="23">
        <f>IFERROR(__xludf.DUMMYFUNCTION("""COMPUTED_VALUE"""),0.615)</f>
        <v>0.615</v>
      </c>
      <c r="J713" s="23">
        <f>IFERROR(__xludf.DUMMYFUNCTION("""COMPUTED_VALUE"""),712.0)</f>
        <v>712</v>
      </c>
      <c r="K713" s="23" t="b">
        <f>IFERROR(__xludf.DUMMYFUNCTION("""COMPUTED_VALUE"""),FALSE)</f>
        <v>0</v>
      </c>
      <c r="L713" s="23" t="str">
        <f>IFERROR(__xludf.DUMMYFUNCTION("""COMPUTED_VALUE"""),"String;Dynamic Programming;")</f>
        <v>String;Dynamic Programming;</v>
      </c>
      <c r="M713" s="23" t="b">
        <f>IFERROR(__xludf.DUMMYFUNCTION("""COMPUTED_VALUE"""),TRUE)</f>
        <v>1</v>
      </c>
      <c r="N713" s="23" t="b">
        <f>IFERROR(__xludf.DUMMYFUNCTION("""COMPUTED_VALUE"""),FALSE)</f>
        <v>0</v>
      </c>
      <c r="O713" s="23">
        <f>IFERROR(__xludf.DUMMYFUNCTION("""COMPUTED_VALUE"""),61.5265014850399)</f>
        <v>61.52650149</v>
      </c>
      <c r="P713" s="23">
        <f>IFERROR(__xludf.DUMMYFUNCTION("""COMPUTED_VALUE"""),61730.0)</f>
        <v>61730</v>
      </c>
      <c r="Q713" s="23">
        <f>IFERROR(__xludf.DUMMYFUNCTION("""COMPUTED_VALUE"""),100331.0)</f>
        <v>100331</v>
      </c>
    </row>
    <row r="714">
      <c r="A714" s="23">
        <f>IFERROR(__xludf.DUMMYFUNCTION("""COMPUTED_VALUE"""),713.0)</f>
        <v>713</v>
      </c>
      <c r="B714" s="23" t="str">
        <f>IFERROR(__xludf.DUMMYFUNCTION("""COMPUTED_VALUE"""),"Subarray Product Less Than K")</f>
        <v>Subarray Product Less Than K</v>
      </c>
      <c r="C714" s="23" t="str">
        <f>IFERROR(__xludf.DUMMYFUNCTION("""COMPUTED_VALUE"""),"subarray-product-less-than-k")</f>
        <v>subarray-product-less-than-k</v>
      </c>
      <c r="D714" s="23" t="b">
        <f>IFERROR(__xludf.DUMMYFUNCTION("""COMPUTED_VALUE"""),FALSE)</f>
        <v>0</v>
      </c>
      <c r="E714" s="23" t="str">
        <f>IFERROR(__xludf.DUMMYFUNCTION("""COMPUTED_VALUE"""),"Medium")</f>
        <v>Medium</v>
      </c>
      <c r="F714" s="23">
        <f>IFERROR(__xludf.DUMMYFUNCTION("""COMPUTED_VALUE"""),3862.0)</f>
        <v>3862</v>
      </c>
      <c r="G714" s="23">
        <f>IFERROR(__xludf.DUMMYFUNCTION("""COMPUTED_VALUE"""),132.0)</f>
        <v>132</v>
      </c>
      <c r="H714" s="23" t="str">
        <f>IFERROR(__xludf.DUMMYFUNCTION("""COMPUTED_VALUE"""),"Algorithms")</f>
        <v>Algorithms</v>
      </c>
      <c r="I714" s="23">
        <f>IFERROR(__xludf.DUMMYFUNCTION("""COMPUTED_VALUE"""),0.437)</f>
        <v>0.437</v>
      </c>
      <c r="J714" s="23">
        <f>IFERROR(__xludf.DUMMYFUNCTION("""COMPUTED_VALUE"""),713.0)</f>
        <v>713</v>
      </c>
      <c r="K714" s="23" t="b">
        <f>IFERROR(__xludf.DUMMYFUNCTION("""COMPUTED_VALUE"""),FALSE)</f>
        <v>0</v>
      </c>
      <c r="L714" s="23" t="str">
        <f>IFERROR(__xludf.DUMMYFUNCTION("""COMPUTED_VALUE"""),"Array;Sliding Window;")</f>
        <v>Array;Sliding Window;</v>
      </c>
      <c r="M714" s="23" t="b">
        <f>IFERROR(__xludf.DUMMYFUNCTION("""COMPUTED_VALUE"""),TRUE)</f>
        <v>1</v>
      </c>
      <c r="N714" s="23" t="b">
        <f>IFERROR(__xludf.DUMMYFUNCTION("""COMPUTED_VALUE"""),FALSE)</f>
        <v>0</v>
      </c>
      <c r="O714" s="23">
        <f>IFERROR(__xludf.DUMMYFUNCTION("""COMPUTED_VALUE"""),43.7370513016373)</f>
        <v>43.7370513</v>
      </c>
      <c r="P714" s="23">
        <f>IFERROR(__xludf.DUMMYFUNCTION("""COMPUTED_VALUE"""),163185.0)</f>
        <v>163185</v>
      </c>
      <c r="Q714" s="23">
        <f>IFERROR(__xludf.DUMMYFUNCTION("""COMPUTED_VALUE"""),373106.0)</f>
        <v>373106</v>
      </c>
    </row>
    <row r="715">
      <c r="A715" s="23">
        <f>IFERROR(__xludf.DUMMYFUNCTION("""COMPUTED_VALUE"""),714.0)</f>
        <v>714</v>
      </c>
      <c r="B715" s="23" t="str">
        <f>IFERROR(__xludf.DUMMYFUNCTION("""COMPUTED_VALUE"""),"Best Time to Buy and Sell Stock with Transaction Fee")</f>
        <v>Best Time to Buy and Sell Stock with Transaction Fee</v>
      </c>
      <c r="C715" s="23" t="str">
        <f>IFERROR(__xludf.DUMMYFUNCTION("""COMPUTED_VALUE"""),"best-time-to-buy-and-sell-stock-with-transaction-fee")</f>
        <v>best-time-to-buy-and-sell-stock-with-transaction-fee</v>
      </c>
      <c r="D715" s="23" t="b">
        <f>IFERROR(__xludf.DUMMYFUNCTION("""COMPUTED_VALUE"""),FALSE)</f>
        <v>0</v>
      </c>
      <c r="E715" s="23" t="str">
        <f>IFERROR(__xludf.DUMMYFUNCTION("""COMPUTED_VALUE"""),"Medium")</f>
        <v>Medium</v>
      </c>
      <c r="F715" s="23">
        <f>IFERROR(__xludf.DUMMYFUNCTION("""COMPUTED_VALUE"""),3889.0)</f>
        <v>3889</v>
      </c>
      <c r="G715" s="23">
        <f>IFERROR(__xludf.DUMMYFUNCTION("""COMPUTED_VALUE"""),102.0)</f>
        <v>102</v>
      </c>
      <c r="H715" s="23" t="str">
        <f>IFERROR(__xludf.DUMMYFUNCTION("""COMPUTED_VALUE"""),"Algorithms")</f>
        <v>Algorithms</v>
      </c>
      <c r="I715" s="23">
        <f>IFERROR(__xludf.DUMMYFUNCTION("""COMPUTED_VALUE"""),0.622)</f>
        <v>0.622</v>
      </c>
      <c r="J715" s="23">
        <f>IFERROR(__xludf.DUMMYFUNCTION("""COMPUTED_VALUE"""),714.0)</f>
        <v>714</v>
      </c>
      <c r="K715" s="23" t="b">
        <f>IFERROR(__xludf.DUMMYFUNCTION("""COMPUTED_VALUE"""),FALSE)</f>
        <v>0</v>
      </c>
      <c r="L715" s="23" t="str">
        <f>IFERROR(__xludf.DUMMYFUNCTION("""COMPUTED_VALUE"""),"Array;Dynamic Programming;Greedy;")</f>
        <v>Array;Dynamic Programming;Greedy;</v>
      </c>
      <c r="M715" s="23" t="b">
        <f>IFERROR(__xludf.DUMMYFUNCTION("""COMPUTED_VALUE"""),TRUE)</f>
        <v>1</v>
      </c>
      <c r="N715" s="23" t="b">
        <f>IFERROR(__xludf.DUMMYFUNCTION("""COMPUTED_VALUE"""),FALSE)</f>
        <v>0</v>
      </c>
      <c r="O715" s="23">
        <f>IFERROR(__xludf.DUMMYFUNCTION("""COMPUTED_VALUE"""),62.1588862460198)</f>
        <v>62.15888625</v>
      </c>
      <c r="P715" s="23">
        <f>IFERROR(__xludf.DUMMYFUNCTION("""COMPUTED_VALUE"""),163589.0)</f>
        <v>163589</v>
      </c>
      <c r="Q715" s="23">
        <f>IFERROR(__xludf.DUMMYFUNCTION("""COMPUTED_VALUE"""),263180.0)</f>
        <v>263180</v>
      </c>
    </row>
    <row r="716">
      <c r="A716" s="23">
        <f>IFERROR(__xludf.DUMMYFUNCTION("""COMPUTED_VALUE"""),715.0)</f>
        <v>715</v>
      </c>
      <c r="B716" s="23" t="str">
        <f>IFERROR(__xludf.DUMMYFUNCTION("""COMPUTED_VALUE"""),"Range Module")</f>
        <v>Range Module</v>
      </c>
      <c r="C716" s="23" t="str">
        <f>IFERROR(__xludf.DUMMYFUNCTION("""COMPUTED_VALUE"""),"range-module")</f>
        <v>range-module</v>
      </c>
      <c r="D716" s="23" t="b">
        <f>IFERROR(__xludf.DUMMYFUNCTION("""COMPUTED_VALUE"""),FALSE)</f>
        <v>0</v>
      </c>
      <c r="E716" s="23" t="str">
        <f>IFERROR(__xludf.DUMMYFUNCTION("""COMPUTED_VALUE"""),"Hard")</f>
        <v>Hard</v>
      </c>
      <c r="F716" s="23">
        <f>IFERROR(__xludf.DUMMYFUNCTION("""COMPUTED_VALUE"""),927.0)</f>
        <v>927</v>
      </c>
      <c r="G716" s="23">
        <f>IFERROR(__xludf.DUMMYFUNCTION("""COMPUTED_VALUE"""),72.0)</f>
        <v>72</v>
      </c>
      <c r="H716" s="23" t="str">
        <f>IFERROR(__xludf.DUMMYFUNCTION("""COMPUTED_VALUE"""),"Algorithms")</f>
        <v>Algorithms</v>
      </c>
      <c r="I716" s="23">
        <f>IFERROR(__xludf.DUMMYFUNCTION("""COMPUTED_VALUE"""),0.436)</f>
        <v>0.436</v>
      </c>
      <c r="J716" s="23">
        <f>IFERROR(__xludf.DUMMYFUNCTION("""COMPUTED_VALUE"""),715.0)</f>
        <v>715</v>
      </c>
      <c r="K716" s="23" t="b">
        <f>IFERROR(__xludf.DUMMYFUNCTION("""COMPUTED_VALUE"""),FALSE)</f>
        <v>0</v>
      </c>
      <c r="L716" s="23" t="str">
        <f>IFERROR(__xludf.DUMMYFUNCTION("""COMPUTED_VALUE"""),"Design;Segment Tree;Ordered Set;")</f>
        <v>Design;Segment Tree;Ordered Set;</v>
      </c>
      <c r="M716" s="23" t="b">
        <f>IFERROR(__xludf.DUMMYFUNCTION("""COMPUTED_VALUE"""),FALSE)</f>
        <v>0</v>
      </c>
      <c r="N716" s="23" t="b">
        <f>IFERROR(__xludf.DUMMYFUNCTION("""COMPUTED_VALUE"""),FALSE)</f>
        <v>0</v>
      </c>
      <c r="O716" s="23">
        <f>IFERROR(__xludf.DUMMYFUNCTION("""COMPUTED_VALUE"""),43.57684646802)</f>
        <v>43.57684647</v>
      </c>
      <c r="P716" s="23">
        <f>IFERROR(__xludf.DUMMYFUNCTION("""COMPUTED_VALUE"""),43318.0)</f>
        <v>43318</v>
      </c>
      <c r="Q716" s="23">
        <f>IFERROR(__xludf.DUMMYFUNCTION("""COMPUTED_VALUE"""),99406.0)</f>
        <v>99406</v>
      </c>
    </row>
    <row r="717">
      <c r="A717" s="23">
        <f>IFERROR(__xludf.DUMMYFUNCTION("""COMPUTED_VALUE"""),716.0)</f>
        <v>716</v>
      </c>
      <c r="B717" s="23" t="str">
        <f>IFERROR(__xludf.DUMMYFUNCTION("""COMPUTED_VALUE"""),"Max Stack")</f>
        <v>Max Stack</v>
      </c>
      <c r="C717" s="23" t="str">
        <f>IFERROR(__xludf.DUMMYFUNCTION("""COMPUTED_VALUE"""),"max-stack")</f>
        <v>max-stack</v>
      </c>
      <c r="D717" s="23" t="b">
        <f>IFERROR(__xludf.DUMMYFUNCTION("""COMPUTED_VALUE"""),TRUE)</f>
        <v>1</v>
      </c>
      <c r="E717" s="23" t="str">
        <f>IFERROR(__xludf.DUMMYFUNCTION("""COMPUTED_VALUE"""),"Easy")</f>
        <v>Easy</v>
      </c>
      <c r="F717" s="23">
        <f>IFERROR(__xludf.DUMMYFUNCTION("""COMPUTED_VALUE"""),1477.0)</f>
        <v>1477</v>
      </c>
      <c r="G717" s="23">
        <f>IFERROR(__xludf.DUMMYFUNCTION("""COMPUTED_VALUE"""),442.0)</f>
        <v>442</v>
      </c>
      <c r="H717" s="23" t="str">
        <f>IFERROR(__xludf.DUMMYFUNCTION("""COMPUTED_VALUE"""),"Algorithms")</f>
        <v>Algorithms</v>
      </c>
      <c r="I717" s="23">
        <f>IFERROR(__xludf.DUMMYFUNCTION("""COMPUTED_VALUE"""),0.451)</f>
        <v>0.451</v>
      </c>
      <c r="J717" s="23">
        <f>IFERROR(__xludf.DUMMYFUNCTION("""COMPUTED_VALUE"""),716.0)</f>
        <v>716</v>
      </c>
      <c r="K717" s="23" t="b">
        <f>IFERROR(__xludf.DUMMYFUNCTION("""COMPUTED_VALUE"""),TRUE)</f>
        <v>1</v>
      </c>
      <c r="L717" s="23" t="str">
        <f>IFERROR(__xludf.DUMMYFUNCTION("""COMPUTED_VALUE"""),"Linked List;Stack;Design;Doubly-Linked List;Ordered Set;")</f>
        <v>Linked List;Stack;Design;Doubly-Linked List;Ordered Set;</v>
      </c>
      <c r="M717" s="23" t="b">
        <f>IFERROR(__xludf.DUMMYFUNCTION("""COMPUTED_VALUE"""),TRUE)</f>
        <v>1</v>
      </c>
      <c r="N717" s="23" t="b">
        <f>IFERROR(__xludf.DUMMYFUNCTION("""COMPUTED_VALUE"""),FALSE)</f>
        <v>0</v>
      </c>
      <c r="O717" s="23">
        <f>IFERROR(__xludf.DUMMYFUNCTION("""COMPUTED_VALUE"""),45.0925957273927)</f>
        <v>45.09259573</v>
      </c>
      <c r="P717" s="23">
        <f>IFERROR(__xludf.DUMMYFUNCTION("""COMPUTED_VALUE"""),119871.0)</f>
        <v>119871</v>
      </c>
      <c r="Q717" s="23">
        <f>IFERROR(__xludf.DUMMYFUNCTION("""COMPUTED_VALUE"""),265832.0)</f>
        <v>265832</v>
      </c>
    </row>
    <row r="718">
      <c r="A718" s="23">
        <f>IFERROR(__xludf.DUMMYFUNCTION("""COMPUTED_VALUE"""),717.0)</f>
        <v>717</v>
      </c>
      <c r="B718" s="23" t="str">
        <f>IFERROR(__xludf.DUMMYFUNCTION("""COMPUTED_VALUE"""),"1-bit and 2-bit Characters")</f>
        <v>1-bit and 2-bit Characters</v>
      </c>
      <c r="C718" s="23" t="str">
        <f>IFERROR(__xludf.DUMMYFUNCTION("""COMPUTED_VALUE"""),"1-bit-and-2-bit-characters")</f>
        <v>1-bit-and-2-bit-characters</v>
      </c>
      <c r="D718" s="23" t="b">
        <f>IFERROR(__xludf.DUMMYFUNCTION("""COMPUTED_VALUE"""),FALSE)</f>
        <v>0</v>
      </c>
      <c r="E718" s="23" t="str">
        <f>IFERROR(__xludf.DUMMYFUNCTION("""COMPUTED_VALUE"""),"Easy")</f>
        <v>Easy</v>
      </c>
      <c r="F718" s="23">
        <f>IFERROR(__xludf.DUMMYFUNCTION("""COMPUTED_VALUE"""),666.0)</f>
        <v>666</v>
      </c>
      <c r="G718" s="23">
        <f>IFERROR(__xludf.DUMMYFUNCTION("""COMPUTED_VALUE"""),1717.0)</f>
        <v>1717</v>
      </c>
      <c r="H718" s="23" t="str">
        <f>IFERROR(__xludf.DUMMYFUNCTION("""COMPUTED_VALUE"""),"Algorithms")</f>
        <v>Algorithms</v>
      </c>
      <c r="I718" s="23">
        <f>IFERROR(__xludf.DUMMYFUNCTION("""COMPUTED_VALUE"""),0.462)</f>
        <v>0.462</v>
      </c>
      <c r="J718" s="23">
        <f>IFERROR(__xludf.DUMMYFUNCTION("""COMPUTED_VALUE"""),717.0)</f>
        <v>717</v>
      </c>
      <c r="K718" s="23" t="b">
        <f>IFERROR(__xludf.DUMMYFUNCTION("""COMPUTED_VALUE"""),FALSE)</f>
        <v>0</v>
      </c>
      <c r="L718" s="23" t="str">
        <f>IFERROR(__xludf.DUMMYFUNCTION("""COMPUTED_VALUE"""),"Array;")</f>
        <v>Array;</v>
      </c>
      <c r="M718" s="23" t="b">
        <f>IFERROR(__xludf.DUMMYFUNCTION("""COMPUTED_VALUE"""),FALSE)</f>
        <v>0</v>
      </c>
      <c r="N718" s="23" t="b">
        <f>IFERROR(__xludf.DUMMYFUNCTION("""COMPUTED_VALUE"""),FALSE)</f>
        <v>0</v>
      </c>
      <c r="O718" s="23">
        <f>IFERROR(__xludf.DUMMYFUNCTION("""COMPUTED_VALUE"""),46.2071774489531)</f>
        <v>46.20717745</v>
      </c>
      <c r="P718" s="23">
        <f>IFERROR(__xludf.DUMMYFUNCTION("""COMPUTED_VALUE"""),103237.0)</f>
        <v>103237</v>
      </c>
      <c r="Q718" s="23">
        <f>IFERROR(__xludf.DUMMYFUNCTION("""COMPUTED_VALUE"""),223422.0)</f>
        <v>223422</v>
      </c>
    </row>
    <row r="719">
      <c r="A719" s="23">
        <f>IFERROR(__xludf.DUMMYFUNCTION("""COMPUTED_VALUE"""),718.0)</f>
        <v>718</v>
      </c>
      <c r="B719" s="23" t="str">
        <f>IFERROR(__xludf.DUMMYFUNCTION("""COMPUTED_VALUE"""),"Maximum Length of Repeated Subarray")</f>
        <v>Maximum Length of Repeated Subarray</v>
      </c>
      <c r="C719" s="23" t="str">
        <f>IFERROR(__xludf.DUMMYFUNCTION("""COMPUTED_VALUE"""),"maximum-length-of-repeated-subarray")</f>
        <v>maximum-length-of-repeated-subarray</v>
      </c>
      <c r="D719" s="23" t="b">
        <f>IFERROR(__xludf.DUMMYFUNCTION("""COMPUTED_VALUE"""),FALSE)</f>
        <v>0</v>
      </c>
      <c r="E719" s="23" t="str">
        <f>IFERROR(__xludf.DUMMYFUNCTION("""COMPUTED_VALUE"""),"Medium")</f>
        <v>Medium</v>
      </c>
      <c r="F719" s="23">
        <f>IFERROR(__xludf.DUMMYFUNCTION("""COMPUTED_VALUE"""),3758.0)</f>
        <v>3758</v>
      </c>
      <c r="G719" s="23">
        <f>IFERROR(__xludf.DUMMYFUNCTION("""COMPUTED_VALUE"""),89.0)</f>
        <v>89</v>
      </c>
      <c r="H719" s="23" t="str">
        <f>IFERROR(__xludf.DUMMYFUNCTION("""COMPUTED_VALUE"""),"Algorithms")</f>
        <v>Algorithms</v>
      </c>
      <c r="I719" s="23">
        <f>IFERROR(__xludf.DUMMYFUNCTION("""COMPUTED_VALUE"""),0.514)</f>
        <v>0.514</v>
      </c>
      <c r="J719" s="23">
        <f>IFERROR(__xludf.DUMMYFUNCTION("""COMPUTED_VALUE"""),718.0)</f>
        <v>718</v>
      </c>
      <c r="K719" s="23" t="b">
        <f>IFERROR(__xludf.DUMMYFUNCTION("""COMPUTED_VALUE"""),FALSE)</f>
        <v>0</v>
      </c>
      <c r="L719" s="23" t="str">
        <f>IFERROR(__xludf.DUMMYFUNCTION("""COMPUTED_VALUE"""),"Array;Binary Search;Dynamic Programming;Sliding Window;Rolling Hash;Hash Function;")</f>
        <v>Array;Binary Search;Dynamic Programming;Sliding Window;Rolling Hash;Hash Function;</v>
      </c>
      <c r="M719" s="23" t="b">
        <f>IFERROR(__xludf.DUMMYFUNCTION("""COMPUTED_VALUE"""),TRUE)</f>
        <v>1</v>
      </c>
      <c r="N719" s="23" t="b">
        <f>IFERROR(__xludf.DUMMYFUNCTION("""COMPUTED_VALUE"""),FALSE)</f>
        <v>0</v>
      </c>
      <c r="O719" s="23">
        <f>IFERROR(__xludf.DUMMYFUNCTION("""COMPUTED_VALUE"""),51.3579324813806)</f>
        <v>51.35793248</v>
      </c>
      <c r="P719" s="23">
        <f>IFERROR(__xludf.DUMMYFUNCTION("""COMPUTED_VALUE"""),169153.0)</f>
        <v>169153</v>
      </c>
      <c r="Q719" s="23">
        <f>IFERROR(__xludf.DUMMYFUNCTION("""COMPUTED_VALUE"""),329360.0)</f>
        <v>329360</v>
      </c>
    </row>
    <row r="720">
      <c r="A720" s="23">
        <f>IFERROR(__xludf.DUMMYFUNCTION("""COMPUTED_VALUE"""),719.0)</f>
        <v>719</v>
      </c>
      <c r="B720" s="23" t="str">
        <f>IFERROR(__xludf.DUMMYFUNCTION("""COMPUTED_VALUE"""),"Find K-th Smallest Pair Distance")</f>
        <v>Find K-th Smallest Pair Distance</v>
      </c>
      <c r="C720" s="23" t="str">
        <f>IFERROR(__xludf.DUMMYFUNCTION("""COMPUTED_VALUE"""),"find-k-th-smallest-pair-distance")</f>
        <v>find-k-th-smallest-pair-distance</v>
      </c>
      <c r="D720" s="23" t="b">
        <f>IFERROR(__xludf.DUMMYFUNCTION("""COMPUTED_VALUE"""),FALSE)</f>
        <v>0</v>
      </c>
      <c r="E720" s="23" t="str">
        <f>IFERROR(__xludf.DUMMYFUNCTION("""COMPUTED_VALUE"""),"Hard")</f>
        <v>Hard</v>
      </c>
      <c r="F720" s="23">
        <f>IFERROR(__xludf.DUMMYFUNCTION("""COMPUTED_VALUE"""),1932.0)</f>
        <v>1932</v>
      </c>
      <c r="G720" s="23">
        <f>IFERROR(__xludf.DUMMYFUNCTION("""COMPUTED_VALUE"""),63.0)</f>
        <v>63</v>
      </c>
      <c r="H720" s="23" t="str">
        <f>IFERROR(__xludf.DUMMYFUNCTION("""COMPUTED_VALUE"""),"Algorithms")</f>
        <v>Algorithms</v>
      </c>
      <c r="I720" s="23">
        <f>IFERROR(__xludf.DUMMYFUNCTION("""COMPUTED_VALUE"""),0.351)</f>
        <v>0.351</v>
      </c>
      <c r="J720" s="23">
        <f>IFERROR(__xludf.DUMMYFUNCTION("""COMPUTED_VALUE"""),719.0)</f>
        <v>719</v>
      </c>
      <c r="K720" s="23" t="b">
        <f>IFERROR(__xludf.DUMMYFUNCTION("""COMPUTED_VALUE"""),FALSE)</f>
        <v>0</v>
      </c>
      <c r="L720" s="23" t="str">
        <f>IFERROR(__xludf.DUMMYFUNCTION("""COMPUTED_VALUE"""),"Array;Two Pointers;Binary Search;Sorting;")</f>
        <v>Array;Two Pointers;Binary Search;Sorting;</v>
      </c>
      <c r="M720" s="23" t="b">
        <f>IFERROR(__xludf.DUMMYFUNCTION("""COMPUTED_VALUE"""),TRUE)</f>
        <v>1</v>
      </c>
      <c r="N720" s="23" t="b">
        <f>IFERROR(__xludf.DUMMYFUNCTION("""COMPUTED_VALUE"""),FALSE)</f>
        <v>0</v>
      </c>
      <c r="O720" s="23">
        <f>IFERROR(__xludf.DUMMYFUNCTION("""COMPUTED_VALUE"""),35.0585527814069)</f>
        <v>35.05855278</v>
      </c>
      <c r="P720" s="23">
        <f>IFERROR(__xludf.DUMMYFUNCTION("""COMPUTED_VALUE"""),58498.0)</f>
        <v>58498</v>
      </c>
      <c r="Q720" s="23">
        <f>IFERROR(__xludf.DUMMYFUNCTION("""COMPUTED_VALUE"""),166858.0)</f>
        <v>166858</v>
      </c>
    </row>
    <row r="721">
      <c r="A721" s="23">
        <f>IFERROR(__xludf.DUMMYFUNCTION("""COMPUTED_VALUE"""),720.0)</f>
        <v>720</v>
      </c>
      <c r="B721" s="23" t="str">
        <f>IFERROR(__xludf.DUMMYFUNCTION("""COMPUTED_VALUE"""),"Longest Word in Dictionary")</f>
        <v>Longest Word in Dictionary</v>
      </c>
      <c r="C721" s="23" t="str">
        <f>IFERROR(__xludf.DUMMYFUNCTION("""COMPUTED_VALUE"""),"longest-word-in-dictionary")</f>
        <v>longest-word-in-dictionary</v>
      </c>
      <c r="D721" s="23" t="b">
        <f>IFERROR(__xludf.DUMMYFUNCTION("""COMPUTED_VALUE"""),FALSE)</f>
        <v>0</v>
      </c>
      <c r="E721" s="23" t="str">
        <f>IFERROR(__xludf.DUMMYFUNCTION("""COMPUTED_VALUE"""),"Medium")</f>
        <v>Medium</v>
      </c>
      <c r="F721" s="23">
        <f>IFERROR(__xludf.DUMMYFUNCTION("""COMPUTED_VALUE"""),1325.0)</f>
        <v>1325</v>
      </c>
      <c r="G721" s="23">
        <f>IFERROR(__xludf.DUMMYFUNCTION("""COMPUTED_VALUE"""),1293.0)</f>
        <v>1293</v>
      </c>
      <c r="H721" s="23" t="str">
        <f>IFERROR(__xludf.DUMMYFUNCTION("""COMPUTED_VALUE"""),"Algorithms")</f>
        <v>Algorithms</v>
      </c>
      <c r="I721" s="23">
        <f>IFERROR(__xludf.DUMMYFUNCTION("""COMPUTED_VALUE"""),0.51)</f>
        <v>0.51</v>
      </c>
      <c r="J721" s="23">
        <f>IFERROR(__xludf.DUMMYFUNCTION("""COMPUTED_VALUE"""),720.0)</f>
        <v>720</v>
      </c>
      <c r="K721" s="23" t="b">
        <f>IFERROR(__xludf.DUMMYFUNCTION("""COMPUTED_VALUE"""),FALSE)</f>
        <v>0</v>
      </c>
      <c r="L721" s="23" t="str">
        <f>IFERROR(__xludf.DUMMYFUNCTION("""COMPUTED_VALUE"""),"Array;Hash Table;String;Trie;Sorting;")</f>
        <v>Array;Hash Table;String;Trie;Sorting;</v>
      </c>
      <c r="M721" s="23" t="b">
        <f>IFERROR(__xludf.DUMMYFUNCTION("""COMPUTED_VALUE"""),TRUE)</f>
        <v>1</v>
      </c>
      <c r="N721" s="23" t="b">
        <f>IFERROR(__xludf.DUMMYFUNCTION("""COMPUTED_VALUE"""),FALSE)</f>
        <v>0</v>
      </c>
      <c r="O721" s="23">
        <f>IFERROR(__xludf.DUMMYFUNCTION("""COMPUTED_VALUE"""),50.9706260865638)</f>
        <v>50.97062609</v>
      </c>
      <c r="P721" s="23">
        <f>IFERROR(__xludf.DUMMYFUNCTION("""COMPUTED_VALUE"""),112877.0)</f>
        <v>112877</v>
      </c>
      <c r="Q721" s="23">
        <f>IFERROR(__xludf.DUMMYFUNCTION("""COMPUTED_VALUE"""),221455.0)</f>
        <v>221455</v>
      </c>
    </row>
    <row r="722">
      <c r="A722" s="23">
        <f>IFERROR(__xludf.DUMMYFUNCTION("""COMPUTED_VALUE"""),721.0)</f>
        <v>721</v>
      </c>
      <c r="B722" s="23" t="str">
        <f>IFERROR(__xludf.DUMMYFUNCTION("""COMPUTED_VALUE"""),"Accounts Merge")</f>
        <v>Accounts Merge</v>
      </c>
      <c r="C722" s="23" t="str">
        <f>IFERROR(__xludf.DUMMYFUNCTION("""COMPUTED_VALUE"""),"accounts-merge")</f>
        <v>accounts-merge</v>
      </c>
      <c r="D722" s="23" t="b">
        <f>IFERROR(__xludf.DUMMYFUNCTION("""COMPUTED_VALUE"""),FALSE)</f>
        <v>0</v>
      </c>
      <c r="E722" s="23" t="str">
        <f>IFERROR(__xludf.DUMMYFUNCTION("""COMPUTED_VALUE"""),"Medium")</f>
        <v>Medium</v>
      </c>
      <c r="F722" s="23">
        <f>IFERROR(__xludf.DUMMYFUNCTION("""COMPUTED_VALUE"""),4188.0)</f>
        <v>4188</v>
      </c>
      <c r="G722" s="23">
        <f>IFERROR(__xludf.DUMMYFUNCTION("""COMPUTED_VALUE"""),749.0)</f>
        <v>749</v>
      </c>
      <c r="H722" s="23" t="str">
        <f>IFERROR(__xludf.DUMMYFUNCTION("""COMPUTED_VALUE"""),"Algorithms")</f>
        <v>Algorithms</v>
      </c>
      <c r="I722" s="23">
        <f>IFERROR(__xludf.DUMMYFUNCTION("""COMPUTED_VALUE"""),0.559)</f>
        <v>0.559</v>
      </c>
      <c r="J722" s="23">
        <f>IFERROR(__xludf.DUMMYFUNCTION("""COMPUTED_VALUE"""),721.0)</f>
        <v>721</v>
      </c>
      <c r="K722" s="23" t="b">
        <f>IFERROR(__xludf.DUMMYFUNCTION("""COMPUTED_VALUE"""),FALSE)</f>
        <v>0</v>
      </c>
      <c r="L722" s="23" t="str">
        <f>IFERROR(__xludf.DUMMYFUNCTION("""COMPUTED_VALUE"""),"Array;String;Depth-First Search;Breadth-First Search;Union Find;")</f>
        <v>Array;String;Depth-First Search;Breadth-First Search;Union Find;</v>
      </c>
      <c r="M722" s="23" t="b">
        <f>IFERROR(__xludf.DUMMYFUNCTION("""COMPUTED_VALUE"""),TRUE)</f>
        <v>1</v>
      </c>
      <c r="N722" s="23" t="b">
        <f>IFERROR(__xludf.DUMMYFUNCTION("""COMPUTED_VALUE"""),FALSE)</f>
        <v>0</v>
      </c>
      <c r="O722" s="23">
        <f>IFERROR(__xludf.DUMMYFUNCTION("""COMPUTED_VALUE"""),55.8571071923015)</f>
        <v>55.85710719</v>
      </c>
      <c r="P722" s="23">
        <f>IFERROR(__xludf.DUMMYFUNCTION("""COMPUTED_VALUE"""),246111.0)</f>
        <v>246111</v>
      </c>
      <c r="Q722" s="23">
        <f>IFERROR(__xludf.DUMMYFUNCTION("""COMPUTED_VALUE"""),440609.0)</f>
        <v>440609</v>
      </c>
    </row>
    <row r="723">
      <c r="A723" s="23">
        <f>IFERROR(__xludf.DUMMYFUNCTION("""COMPUTED_VALUE"""),722.0)</f>
        <v>722</v>
      </c>
      <c r="B723" s="23" t="str">
        <f>IFERROR(__xludf.DUMMYFUNCTION("""COMPUTED_VALUE"""),"Remove Comments")</f>
        <v>Remove Comments</v>
      </c>
      <c r="C723" s="23" t="str">
        <f>IFERROR(__xludf.DUMMYFUNCTION("""COMPUTED_VALUE"""),"remove-comments")</f>
        <v>remove-comments</v>
      </c>
      <c r="D723" s="23" t="b">
        <f>IFERROR(__xludf.DUMMYFUNCTION("""COMPUTED_VALUE"""),FALSE)</f>
        <v>0</v>
      </c>
      <c r="E723" s="23" t="str">
        <f>IFERROR(__xludf.DUMMYFUNCTION("""COMPUTED_VALUE"""),"Medium")</f>
        <v>Medium</v>
      </c>
      <c r="F723" s="23">
        <f>IFERROR(__xludf.DUMMYFUNCTION("""COMPUTED_VALUE"""),559.0)</f>
        <v>559</v>
      </c>
      <c r="G723" s="23">
        <f>IFERROR(__xludf.DUMMYFUNCTION("""COMPUTED_VALUE"""),1488.0)</f>
        <v>1488</v>
      </c>
      <c r="H723" s="23" t="str">
        <f>IFERROR(__xludf.DUMMYFUNCTION("""COMPUTED_VALUE"""),"Algorithms")</f>
        <v>Algorithms</v>
      </c>
      <c r="I723" s="23">
        <f>IFERROR(__xludf.DUMMYFUNCTION("""COMPUTED_VALUE"""),0.374)</f>
        <v>0.374</v>
      </c>
      <c r="J723" s="23">
        <f>IFERROR(__xludf.DUMMYFUNCTION("""COMPUTED_VALUE"""),722.0)</f>
        <v>722</v>
      </c>
      <c r="K723" s="23" t="b">
        <f>IFERROR(__xludf.DUMMYFUNCTION("""COMPUTED_VALUE"""),FALSE)</f>
        <v>0</v>
      </c>
      <c r="L723" s="23" t="str">
        <f>IFERROR(__xludf.DUMMYFUNCTION("""COMPUTED_VALUE"""),"Array;String;")</f>
        <v>Array;String;</v>
      </c>
      <c r="M723" s="23" t="b">
        <f>IFERROR(__xludf.DUMMYFUNCTION("""COMPUTED_VALUE"""),FALSE)</f>
        <v>0</v>
      </c>
      <c r="N723" s="23" t="b">
        <f>IFERROR(__xludf.DUMMYFUNCTION("""COMPUTED_VALUE"""),FALSE)</f>
        <v>0</v>
      </c>
      <c r="O723" s="23">
        <f>IFERROR(__xludf.DUMMYFUNCTION("""COMPUTED_VALUE"""),37.3700551659135)</f>
        <v>37.37005517</v>
      </c>
      <c r="P723" s="23">
        <f>IFERROR(__xludf.DUMMYFUNCTION("""COMPUTED_VALUE"""),53921.0)</f>
        <v>53921</v>
      </c>
      <c r="Q723" s="23">
        <f>IFERROR(__xludf.DUMMYFUNCTION("""COMPUTED_VALUE"""),144291.0)</f>
        <v>144291</v>
      </c>
    </row>
    <row r="724">
      <c r="A724" s="23">
        <f>IFERROR(__xludf.DUMMYFUNCTION("""COMPUTED_VALUE"""),723.0)</f>
        <v>723</v>
      </c>
      <c r="B724" s="23" t="str">
        <f>IFERROR(__xludf.DUMMYFUNCTION("""COMPUTED_VALUE"""),"Candy Crush")</f>
        <v>Candy Crush</v>
      </c>
      <c r="C724" s="23" t="str">
        <f>IFERROR(__xludf.DUMMYFUNCTION("""COMPUTED_VALUE"""),"candy-crush")</f>
        <v>candy-crush</v>
      </c>
      <c r="D724" s="23" t="b">
        <f>IFERROR(__xludf.DUMMYFUNCTION("""COMPUTED_VALUE"""),TRUE)</f>
        <v>1</v>
      </c>
      <c r="E724" s="23" t="str">
        <f>IFERROR(__xludf.DUMMYFUNCTION("""COMPUTED_VALUE"""),"Medium")</f>
        <v>Medium</v>
      </c>
      <c r="F724" s="23">
        <f>IFERROR(__xludf.DUMMYFUNCTION("""COMPUTED_VALUE"""),763.0)</f>
        <v>763</v>
      </c>
      <c r="G724" s="23">
        <f>IFERROR(__xludf.DUMMYFUNCTION("""COMPUTED_VALUE"""),344.0)</f>
        <v>344</v>
      </c>
      <c r="H724" s="23" t="str">
        <f>IFERROR(__xludf.DUMMYFUNCTION("""COMPUTED_VALUE"""),"Algorithms")</f>
        <v>Algorithms</v>
      </c>
      <c r="I724" s="23">
        <f>IFERROR(__xludf.DUMMYFUNCTION("""COMPUTED_VALUE"""),0.752)</f>
        <v>0.752</v>
      </c>
      <c r="J724" s="23">
        <f>IFERROR(__xludf.DUMMYFUNCTION("""COMPUTED_VALUE"""),723.0)</f>
        <v>723</v>
      </c>
      <c r="K724" s="23" t="b">
        <f>IFERROR(__xludf.DUMMYFUNCTION("""COMPUTED_VALUE"""),TRUE)</f>
        <v>1</v>
      </c>
      <c r="L724" s="23" t="str">
        <f>IFERROR(__xludf.DUMMYFUNCTION("""COMPUTED_VALUE"""),"Array;Two Pointers;Matrix;Simulation;")</f>
        <v>Array;Two Pointers;Matrix;Simulation;</v>
      </c>
      <c r="M724" s="23" t="b">
        <f>IFERROR(__xludf.DUMMYFUNCTION("""COMPUTED_VALUE"""),TRUE)</f>
        <v>1</v>
      </c>
      <c r="N724" s="23" t="b">
        <f>IFERROR(__xludf.DUMMYFUNCTION("""COMPUTED_VALUE"""),FALSE)</f>
        <v>0</v>
      </c>
      <c r="O724" s="23">
        <f>IFERROR(__xludf.DUMMYFUNCTION("""COMPUTED_VALUE"""),75.1727349194905)</f>
        <v>75.17273492</v>
      </c>
      <c r="P724" s="23">
        <f>IFERROR(__xludf.DUMMYFUNCTION("""COMPUTED_VALUE"""),50046.0)</f>
        <v>50046</v>
      </c>
      <c r="Q724" s="23">
        <f>IFERROR(__xludf.DUMMYFUNCTION("""COMPUTED_VALUE"""),66575.0)</f>
        <v>66575</v>
      </c>
    </row>
    <row r="725">
      <c r="A725" s="23">
        <f>IFERROR(__xludf.DUMMYFUNCTION("""COMPUTED_VALUE"""),724.0)</f>
        <v>724</v>
      </c>
      <c r="B725" s="23" t="str">
        <f>IFERROR(__xludf.DUMMYFUNCTION("""COMPUTED_VALUE"""),"Find Pivot Index")</f>
        <v>Find Pivot Index</v>
      </c>
      <c r="C725" s="23" t="str">
        <f>IFERROR(__xludf.DUMMYFUNCTION("""COMPUTED_VALUE"""),"find-pivot-index")</f>
        <v>find-pivot-index</v>
      </c>
      <c r="D725" s="23" t="b">
        <f>IFERROR(__xludf.DUMMYFUNCTION("""COMPUTED_VALUE"""),FALSE)</f>
        <v>0</v>
      </c>
      <c r="E725" s="23" t="str">
        <f>IFERROR(__xludf.DUMMYFUNCTION("""COMPUTED_VALUE"""),"Easy")</f>
        <v>Easy</v>
      </c>
      <c r="F725" s="23">
        <f>IFERROR(__xludf.DUMMYFUNCTION("""COMPUTED_VALUE"""),3110.0)</f>
        <v>3110</v>
      </c>
      <c r="G725" s="23">
        <f>IFERROR(__xludf.DUMMYFUNCTION("""COMPUTED_VALUE"""),368.0)</f>
        <v>368</v>
      </c>
      <c r="H725" s="23" t="str">
        <f>IFERROR(__xludf.DUMMYFUNCTION("""COMPUTED_VALUE"""),"Algorithms")</f>
        <v>Algorithms</v>
      </c>
      <c r="I725" s="23">
        <f>IFERROR(__xludf.DUMMYFUNCTION("""COMPUTED_VALUE"""),0.516)</f>
        <v>0.516</v>
      </c>
      <c r="J725" s="23">
        <f>IFERROR(__xludf.DUMMYFUNCTION("""COMPUTED_VALUE"""),724.0)</f>
        <v>724</v>
      </c>
      <c r="K725" s="23" t="b">
        <f>IFERROR(__xludf.DUMMYFUNCTION("""COMPUTED_VALUE"""),FALSE)</f>
        <v>0</v>
      </c>
      <c r="L725" s="23" t="str">
        <f>IFERROR(__xludf.DUMMYFUNCTION("""COMPUTED_VALUE"""),"Array;Prefix Sum;")</f>
        <v>Array;Prefix Sum;</v>
      </c>
      <c r="M725" s="23" t="b">
        <f>IFERROR(__xludf.DUMMYFUNCTION("""COMPUTED_VALUE"""),TRUE)</f>
        <v>1</v>
      </c>
      <c r="N725" s="23" t="b">
        <f>IFERROR(__xludf.DUMMYFUNCTION("""COMPUTED_VALUE"""),FALSE)</f>
        <v>0</v>
      </c>
      <c r="O725" s="23">
        <f>IFERROR(__xludf.DUMMYFUNCTION("""COMPUTED_VALUE"""),51.5695842228321)</f>
        <v>51.56958422</v>
      </c>
      <c r="P725" s="23">
        <f>IFERROR(__xludf.DUMMYFUNCTION("""COMPUTED_VALUE"""),304370.0)</f>
        <v>304370</v>
      </c>
      <c r="Q725" s="23">
        <f>IFERROR(__xludf.DUMMYFUNCTION("""COMPUTED_VALUE"""),590216.0)</f>
        <v>590216</v>
      </c>
    </row>
    <row r="726">
      <c r="A726" s="23">
        <f>IFERROR(__xludf.DUMMYFUNCTION("""COMPUTED_VALUE"""),725.0)</f>
        <v>725</v>
      </c>
      <c r="B726" s="23" t="str">
        <f>IFERROR(__xludf.DUMMYFUNCTION("""COMPUTED_VALUE"""),"Split Linked List in Parts")</f>
        <v>Split Linked List in Parts</v>
      </c>
      <c r="C726" s="23" t="str">
        <f>IFERROR(__xludf.DUMMYFUNCTION("""COMPUTED_VALUE"""),"split-linked-list-in-parts")</f>
        <v>split-linked-list-in-parts</v>
      </c>
      <c r="D726" s="23" t="b">
        <f>IFERROR(__xludf.DUMMYFUNCTION("""COMPUTED_VALUE"""),FALSE)</f>
        <v>0</v>
      </c>
      <c r="E726" s="23" t="str">
        <f>IFERROR(__xludf.DUMMYFUNCTION("""COMPUTED_VALUE"""),"Medium")</f>
        <v>Medium</v>
      </c>
      <c r="F726" s="23">
        <f>IFERROR(__xludf.DUMMYFUNCTION("""COMPUTED_VALUE"""),1790.0)</f>
        <v>1790</v>
      </c>
      <c r="G726" s="23">
        <f>IFERROR(__xludf.DUMMYFUNCTION("""COMPUTED_VALUE"""),197.0)</f>
        <v>197</v>
      </c>
      <c r="H726" s="23" t="str">
        <f>IFERROR(__xludf.DUMMYFUNCTION("""COMPUTED_VALUE"""),"Algorithms")</f>
        <v>Algorithms</v>
      </c>
      <c r="I726" s="23">
        <f>IFERROR(__xludf.DUMMYFUNCTION("""COMPUTED_VALUE"""),0.569)</f>
        <v>0.569</v>
      </c>
      <c r="J726" s="23">
        <f>IFERROR(__xludf.DUMMYFUNCTION("""COMPUTED_VALUE"""),725.0)</f>
        <v>725</v>
      </c>
      <c r="K726" s="23" t="b">
        <f>IFERROR(__xludf.DUMMYFUNCTION("""COMPUTED_VALUE"""),FALSE)</f>
        <v>0</v>
      </c>
      <c r="L726" s="23" t="str">
        <f>IFERROR(__xludf.DUMMYFUNCTION("""COMPUTED_VALUE"""),"Linked List;")</f>
        <v>Linked List;</v>
      </c>
      <c r="M726" s="23" t="b">
        <f>IFERROR(__xludf.DUMMYFUNCTION("""COMPUTED_VALUE"""),TRUE)</f>
        <v>1</v>
      </c>
      <c r="N726" s="23" t="b">
        <f>IFERROR(__xludf.DUMMYFUNCTION("""COMPUTED_VALUE"""),FALSE)</f>
        <v>0</v>
      </c>
      <c r="O726" s="23">
        <f>IFERROR(__xludf.DUMMYFUNCTION("""COMPUTED_VALUE"""),56.8564597854271)</f>
        <v>56.85645979</v>
      </c>
      <c r="P726" s="23">
        <f>IFERROR(__xludf.DUMMYFUNCTION("""COMPUTED_VALUE"""),95603.0)</f>
        <v>95603</v>
      </c>
      <c r="Q726" s="23">
        <f>IFERROR(__xludf.DUMMYFUNCTION("""COMPUTED_VALUE"""),168148.0)</f>
        <v>168148</v>
      </c>
    </row>
    <row r="727">
      <c r="A727" s="23">
        <f>IFERROR(__xludf.DUMMYFUNCTION("""COMPUTED_VALUE"""),726.0)</f>
        <v>726</v>
      </c>
      <c r="B727" s="23" t="str">
        <f>IFERROR(__xludf.DUMMYFUNCTION("""COMPUTED_VALUE"""),"Number of Atoms")</f>
        <v>Number of Atoms</v>
      </c>
      <c r="C727" s="23" t="str">
        <f>IFERROR(__xludf.DUMMYFUNCTION("""COMPUTED_VALUE"""),"number-of-atoms")</f>
        <v>number-of-atoms</v>
      </c>
      <c r="D727" s="23" t="b">
        <f>IFERROR(__xludf.DUMMYFUNCTION("""COMPUTED_VALUE"""),FALSE)</f>
        <v>0</v>
      </c>
      <c r="E727" s="23" t="str">
        <f>IFERROR(__xludf.DUMMYFUNCTION("""COMPUTED_VALUE"""),"Hard")</f>
        <v>Hard</v>
      </c>
      <c r="F727" s="23">
        <f>IFERROR(__xludf.DUMMYFUNCTION("""COMPUTED_VALUE"""),922.0)</f>
        <v>922</v>
      </c>
      <c r="G727" s="23">
        <f>IFERROR(__xludf.DUMMYFUNCTION("""COMPUTED_VALUE"""),233.0)</f>
        <v>233</v>
      </c>
      <c r="H727" s="23" t="str">
        <f>IFERROR(__xludf.DUMMYFUNCTION("""COMPUTED_VALUE"""),"Algorithms")</f>
        <v>Algorithms</v>
      </c>
      <c r="I727" s="23">
        <f>IFERROR(__xludf.DUMMYFUNCTION("""COMPUTED_VALUE"""),0.517)</f>
        <v>0.517</v>
      </c>
      <c r="J727" s="23">
        <f>IFERROR(__xludf.DUMMYFUNCTION("""COMPUTED_VALUE"""),726.0)</f>
        <v>726</v>
      </c>
      <c r="K727" s="23" t="b">
        <f>IFERROR(__xludf.DUMMYFUNCTION("""COMPUTED_VALUE"""),FALSE)</f>
        <v>0</v>
      </c>
      <c r="L727" s="23" t="str">
        <f>IFERROR(__xludf.DUMMYFUNCTION("""COMPUTED_VALUE"""),"Hash Table;String;Stack;Sorting;")</f>
        <v>Hash Table;String;Stack;Sorting;</v>
      </c>
      <c r="M727" s="23" t="b">
        <f>IFERROR(__xludf.DUMMYFUNCTION("""COMPUTED_VALUE"""),TRUE)</f>
        <v>1</v>
      </c>
      <c r="N727" s="23" t="b">
        <f>IFERROR(__xludf.DUMMYFUNCTION("""COMPUTED_VALUE"""),FALSE)</f>
        <v>0</v>
      </c>
      <c r="O727" s="23">
        <f>IFERROR(__xludf.DUMMYFUNCTION("""COMPUTED_VALUE"""),51.7177247943812)</f>
        <v>51.71772479</v>
      </c>
      <c r="P727" s="23">
        <f>IFERROR(__xludf.DUMMYFUNCTION("""COMPUTED_VALUE"""),44771.0)</f>
        <v>44771</v>
      </c>
      <c r="Q727" s="23">
        <f>IFERROR(__xludf.DUMMYFUNCTION("""COMPUTED_VALUE"""),86568.0)</f>
        <v>86568</v>
      </c>
    </row>
    <row r="728">
      <c r="A728" s="23">
        <f>IFERROR(__xludf.DUMMYFUNCTION("""COMPUTED_VALUE"""),727.0)</f>
        <v>727</v>
      </c>
      <c r="B728" s="23" t="str">
        <f>IFERROR(__xludf.DUMMYFUNCTION("""COMPUTED_VALUE"""),"Minimum Window Subsequence")</f>
        <v>Minimum Window Subsequence</v>
      </c>
      <c r="C728" s="23" t="str">
        <f>IFERROR(__xludf.DUMMYFUNCTION("""COMPUTED_VALUE"""),"minimum-window-subsequence")</f>
        <v>minimum-window-subsequence</v>
      </c>
      <c r="D728" s="23" t="b">
        <f>IFERROR(__xludf.DUMMYFUNCTION("""COMPUTED_VALUE"""),TRUE)</f>
        <v>1</v>
      </c>
      <c r="E728" s="23" t="str">
        <f>IFERROR(__xludf.DUMMYFUNCTION("""COMPUTED_VALUE"""),"Hard")</f>
        <v>Hard</v>
      </c>
      <c r="F728" s="23">
        <f>IFERROR(__xludf.DUMMYFUNCTION("""COMPUTED_VALUE"""),1230.0)</f>
        <v>1230</v>
      </c>
      <c r="G728" s="23">
        <f>IFERROR(__xludf.DUMMYFUNCTION("""COMPUTED_VALUE"""),74.0)</f>
        <v>74</v>
      </c>
      <c r="H728" s="23" t="str">
        <f>IFERROR(__xludf.DUMMYFUNCTION("""COMPUTED_VALUE"""),"Algorithms")</f>
        <v>Algorithms</v>
      </c>
      <c r="I728" s="23">
        <f>IFERROR(__xludf.DUMMYFUNCTION("""COMPUTED_VALUE"""),0.429)</f>
        <v>0.429</v>
      </c>
      <c r="J728" s="23">
        <f>IFERROR(__xludf.DUMMYFUNCTION("""COMPUTED_VALUE"""),727.0)</f>
        <v>727</v>
      </c>
      <c r="K728" s="23" t="b">
        <f>IFERROR(__xludf.DUMMYFUNCTION("""COMPUTED_VALUE"""),TRUE)</f>
        <v>1</v>
      </c>
      <c r="L728" s="23" t="str">
        <f>IFERROR(__xludf.DUMMYFUNCTION("""COMPUTED_VALUE"""),"String;Dynamic Programming;Sliding Window;")</f>
        <v>String;Dynamic Programming;Sliding Window;</v>
      </c>
      <c r="M728" s="23" t="b">
        <f>IFERROR(__xludf.DUMMYFUNCTION("""COMPUTED_VALUE"""),FALSE)</f>
        <v>0</v>
      </c>
      <c r="N728" s="23" t="b">
        <f>IFERROR(__xludf.DUMMYFUNCTION("""COMPUTED_VALUE"""),FALSE)</f>
        <v>0</v>
      </c>
      <c r="O728" s="23">
        <f>IFERROR(__xludf.DUMMYFUNCTION("""COMPUTED_VALUE"""),42.8559440089961)</f>
        <v>42.85594401</v>
      </c>
      <c r="P728" s="23">
        <f>IFERROR(__xludf.DUMMYFUNCTION("""COMPUTED_VALUE"""),76602.0)</f>
        <v>76602</v>
      </c>
      <c r="Q728" s="23">
        <f>IFERROR(__xludf.DUMMYFUNCTION("""COMPUTED_VALUE"""),178743.0)</f>
        <v>178743</v>
      </c>
    </row>
    <row r="729">
      <c r="A729" s="23">
        <f>IFERROR(__xludf.DUMMYFUNCTION("""COMPUTED_VALUE"""),728.0)</f>
        <v>728</v>
      </c>
      <c r="B729" s="23" t="str">
        <f>IFERROR(__xludf.DUMMYFUNCTION("""COMPUTED_VALUE"""),"Self Dividing Numbers")</f>
        <v>Self Dividing Numbers</v>
      </c>
      <c r="C729" s="23" t="str">
        <f>IFERROR(__xludf.DUMMYFUNCTION("""COMPUTED_VALUE"""),"self-dividing-numbers")</f>
        <v>self-dividing-numbers</v>
      </c>
      <c r="D729" s="23" t="b">
        <f>IFERROR(__xludf.DUMMYFUNCTION("""COMPUTED_VALUE"""),FALSE)</f>
        <v>0</v>
      </c>
      <c r="E729" s="23" t="str">
        <f>IFERROR(__xludf.DUMMYFUNCTION("""COMPUTED_VALUE"""),"Easy")</f>
        <v>Easy</v>
      </c>
      <c r="F729" s="23">
        <f>IFERROR(__xludf.DUMMYFUNCTION("""COMPUTED_VALUE"""),1139.0)</f>
        <v>1139</v>
      </c>
      <c r="G729" s="23">
        <f>IFERROR(__xludf.DUMMYFUNCTION("""COMPUTED_VALUE"""),347.0)</f>
        <v>347</v>
      </c>
      <c r="H729" s="23" t="str">
        <f>IFERROR(__xludf.DUMMYFUNCTION("""COMPUTED_VALUE"""),"Algorithms")</f>
        <v>Algorithms</v>
      </c>
      <c r="I729" s="23">
        <f>IFERROR(__xludf.DUMMYFUNCTION("""COMPUTED_VALUE"""),0.769)</f>
        <v>0.769</v>
      </c>
      <c r="J729" s="23">
        <f>IFERROR(__xludf.DUMMYFUNCTION("""COMPUTED_VALUE"""),728.0)</f>
        <v>728</v>
      </c>
      <c r="K729" s="23" t="b">
        <f>IFERROR(__xludf.DUMMYFUNCTION("""COMPUTED_VALUE"""),FALSE)</f>
        <v>0</v>
      </c>
      <c r="L729" s="23" t="str">
        <f>IFERROR(__xludf.DUMMYFUNCTION("""COMPUTED_VALUE"""),"Math;")</f>
        <v>Math;</v>
      </c>
      <c r="M729" s="23" t="b">
        <f>IFERROR(__xludf.DUMMYFUNCTION("""COMPUTED_VALUE"""),TRUE)</f>
        <v>1</v>
      </c>
      <c r="N729" s="23" t="b">
        <f>IFERROR(__xludf.DUMMYFUNCTION("""COMPUTED_VALUE"""),FALSE)</f>
        <v>0</v>
      </c>
      <c r="O729" s="23">
        <f>IFERROR(__xludf.DUMMYFUNCTION("""COMPUTED_VALUE"""),76.9435677424459)</f>
        <v>76.94356774</v>
      </c>
      <c r="P729" s="23">
        <f>IFERROR(__xludf.DUMMYFUNCTION("""COMPUTED_VALUE"""),175042.0)</f>
        <v>175042</v>
      </c>
      <c r="Q729" s="23">
        <f>IFERROR(__xludf.DUMMYFUNCTION("""COMPUTED_VALUE"""),227494.0)</f>
        <v>227494</v>
      </c>
    </row>
    <row r="730">
      <c r="A730" s="23">
        <f>IFERROR(__xludf.DUMMYFUNCTION("""COMPUTED_VALUE"""),729.0)</f>
        <v>729</v>
      </c>
      <c r="B730" s="23" t="str">
        <f>IFERROR(__xludf.DUMMYFUNCTION("""COMPUTED_VALUE"""),"My Calendar I")</f>
        <v>My Calendar I</v>
      </c>
      <c r="C730" s="23" t="str">
        <f>IFERROR(__xludf.DUMMYFUNCTION("""COMPUTED_VALUE"""),"my-calendar-i")</f>
        <v>my-calendar-i</v>
      </c>
      <c r="D730" s="23" t="b">
        <f>IFERROR(__xludf.DUMMYFUNCTION("""COMPUTED_VALUE"""),FALSE)</f>
        <v>0</v>
      </c>
      <c r="E730" s="23" t="str">
        <f>IFERROR(__xludf.DUMMYFUNCTION("""COMPUTED_VALUE"""),"Medium")</f>
        <v>Medium</v>
      </c>
      <c r="F730" s="23">
        <f>IFERROR(__xludf.DUMMYFUNCTION("""COMPUTED_VALUE"""),1912.0)</f>
        <v>1912</v>
      </c>
      <c r="G730" s="23">
        <f>IFERROR(__xludf.DUMMYFUNCTION("""COMPUTED_VALUE"""),58.0)</f>
        <v>58</v>
      </c>
      <c r="H730" s="23" t="str">
        <f>IFERROR(__xludf.DUMMYFUNCTION("""COMPUTED_VALUE"""),"Algorithms")</f>
        <v>Algorithms</v>
      </c>
      <c r="I730" s="23">
        <f>IFERROR(__xludf.DUMMYFUNCTION("""COMPUTED_VALUE"""),0.551)</f>
        <v>0.551</v>
      </c>
      <c r="J730" s="23">
        <f>IFERROR(__xludf.DUMMYFUNCTION("""COMPUTED_VALUE"""),729.0)</f>
        <v>729</v>
      </c>
      <c r="K730" s="23" t="b">
        <f>IFERROR(__xludf.DUMMYFUNCTION("""COMPUTED_VALUE"""),FALSE)</f>
        <v>0</v>
      </c>
      <c r="L730" s="23" t="str">
        <f>IFERROR(__xludf.DUMMYFUNCTION("""COMPUTED_VALUE"""),"Design;Segment Tree;Ordered Set;")</f>
        <v>Design;Segment Tree;Ordered Set;</v>
      </c>
      <c r="M730" s="23" t="b">
        <f>IFERROR(__xludf.DUMMYFUNCTION("""COMPUTED_VALUE"""),TRUE)</f>
        <v>1</v>
      </c>
      <c r="N730" s="23" t="b">
        <f>IFERROR(__xludf.DUMMYFUNCTION("""COMPUTED_VALUE"""),FALSE)</f>
        <v>0</v>
      </c>
      <c r="O730" s="23">
        <f>IFERROR(__xludf.DUMMYFUNCTION("""COMPUTED_VALUE"""),55.1386709719474)</f>
        <v>55.13867097</v>
      </c>
      <c r="P730" s="23">
        <f>IFERROR(__xludf.DUMMYFUNCTION("""COMPUTED_VALUE"""),145490.0)</f>
        <v>145490</v>
      </c>
      <c r="Q730" s="23">
        <f>IFERROR(__xludf.DUMMYFUNCTION("""COMPUTED_VALUE"""),263862.0)</f>
        <v>263862</v>
      </c>
    </row>
    <row r="731">
      <c r="A731" s="23">
        <f>IFERROR(__xludf.DUMMYFUNCTION("""COMPUTED_VALUE"""),730.0)</f>
        <v>730</v>
      </c>
      <c r="B731" s="23" t="str">
        <f>IFERROR(__xludf.DUMMYFUNCTION("""COMPUTED_VALUE"""),"Count Different Palindromic Subsequences")</f>
        <v>Count Different Palindromic Subsequences</v>
      </c>
      <c r="C731" s="23" t="str">
        <f>IFERROR(__xludf.DUMMYFUNCTION("""COMPUTED_VALUE"""),"count-different-palindromic-subsequences")</f>
        <v>count-different-palindromic-subsequences</v>
      </c>
      <c r="D731" s="23" t="b">
        <f>IFERROR(__xludf.DUMMYFUNCTION("""COMPUTED_VALUE"""),FALSE)</f>
        <v>0</v>
      </c>
      <c r="E731" s="23" t="str">
        <f>IFERROR(__xludf.DUMMYFUNCTION("""COMPUTED_VALUE"""),"Hard")</f>
        <v>Hard</v>
      </c>
      <c r="F731" s="23">
        <f>IFERROR(__xludf.DUMMYFUNCTION("""COMPUTED_VALUE"""),1280.0)</f>
        <v>1280</v>
      </c>
      <c r="G731" s="23">
        <f>IFERROR(__xludf.DUMMYFUNCTION("""COMPUTED_VALUE"""),69.0)</f>
        <v>69</v>
      </c>
      <c r="H731" s="23" t="str">
        <f>IFERROR(__xludf.DUMMYFUNCTION("""COMPUTED_VALUE"""),"Algorithms")</f>
        <v>Algorithms</v>
      </c>
      <c r="I731" s="23">
        <f>IFERROR(__xludf.DUMMYFUNCTION("""COMPUTED_VALUE"""),0.443)</f>
        <v>0.443</v>
      </c>
      <c r="J731" s="23">
        <f>IFERROR(__xludf.DUMMYFUNCTION("""COMPUTED_VALUE"""),730.0)</f>
        <v>730</v>
      </c>
      <c r="K731" s="23" t="b">
        <f>IFERROR(__xludf.DUMMYFUNCTION("""COMPUTED_VALUE"""),FALSE)</f>
        <v>0</v>
      </c>
      <c r="L731" s="23" t="str">
        <f>IFERROR(__xludf.DUMMYFUNCTION("""COMPUTED_VALUE"""),"String;Dynamic Programming;")</f>
        <v>String;Dynamic Programming;</v>
      </c>
      <c r="M731" s="23" t="b">
        <f>IFERROR(__xludf.DUMMYFUNCTION("""COMPUTED_VALUE"""),FALSE)</f>
        <v>0</v>
      </c>
      <c r="N731" s="23" t="b">
        <f>IFERROR(__xludf.DUMMYFUNCTION("""COMPUTED_VALUE"""),FALSE)</f>
        <v>0</v>
      </c>
      <c r="O731" s="23">
        <f>IFERROR(__xludf.DUMMYFUNCTION("""COMPUTED_VALUE"""),44.3174804410562)</f>
        <v>44.31748044</v>
      </c>
      <c r="P731" s="23">
        <f>IFERROR(__xludf.DUMMYFUNCTION("""COMPUTED_VALUE"""),26567.0)</f>
        <v>26567</v>
      </c>
      <c r="Q731" s="23">
        <f>IFERROR(__xludf.DUMMYFUNCTION("""COMPUTED_VALUE"""),59947.0)</f>
        <v>59947</v>
      </c>
    </row>
    <row r="732">
      <c r="A732" s="23">
        <f>IFERROR(__xludf.DUMMYFUNCTION("""COMPUTED_VALUE"""),731.0)</f>
        <v>731</v>
      </c>
      <c r="B732" s="23" t="str">
        <f>IFERROR(__xludf.DUMMYFUNCTION("""COMPUTED_VALUE"""),"My Calendar II")</f>
        <v>My Calendar II</v>
      </c>
      <c r="C732" s="23" t="str">
        <f>IFERROR(__xludf.DUMMYFUNCTION("""COMPUTED_VALUE"""),"my-calendar-ii")</f>
        <v>my-calendar-ii</v>
      </c>
      <c r="D732" s="23" t="b">
        <f>IFERROR(__xludf.DUMMYFUNCTION("""COMPUTED_VALUE"""),FALSE)</f>
        <v>0</v>
      </c>
      <c r="E732" s="23" t="str">
        <f>IFERROR(__xludf.DUMMYFUNCTION("""COMPUTED_VALUE"""),"Medium")</f>
        <v>Medium</v>
      </c>
      <c r="F732" s="23">
        <f>IFERROR(__xludf.DUMMYFUNCTION("""COMPUTED_VALUE"""),1141.0)</f>
        <v>1141</v>
      </c>
      <c r="G732" s="23">
        <f>IFERROR(__xludf.DUMMYFUNCTION("""COMPUTED_VALUE"""),123.0)</f>
        <v>123</v>
      </c>
      <c r="H732" s="23" t="str">
        <f>IFERROR(__xludf.DUMMYFUNCTION("""COMPUTED_VALUE"""),"Algorithms")</f>
        <v>Algorithms</v>
      </c>
      <c r="I732" s="23">
        <f>IFERROR(__xludf.DUMMYFUNCTION("""COMPUTED_VALUE"""),0.534)</f>
        <v>0.534</v>
      </c>
      <c r="J732" s="23">
        <f>IFERROR(__xludf.DUMMYFUNCTION("""COMPUTED_VALUE"""),731.0)</f>
        <v>731</v>
      </c>
      <c r="K732" s="23" t="b">
        <f>IFERROR(__xludf.DUMMYFUNCTION("""COMPUTED_VALUE"""),FALSE)</f>
        <v>0</v>
      </c>
      <c r="L732" s="23" t="str">
        <f>IFERROR(__xludf.DUMMYFUNCTION("""COMPUTED_VALUE"""),"Design;Segment Tree;Ordered Set;")</f>
        <v>Design;Segment Tree;Ordered Set;</v>
      </c>
      <c r="M732" s="23" t="b">
        <f>IFERROR(__xludf.DUMMYFUNCTION("""COMPUTED_VALUE"""),TRUE)</f>
        <v>1</v>
      </c>
      <c r="N732" s="23" t="b">
        <f>IFERROR(__xludf.DUMMYFUNCTION("""COMPUTED_VALUE"""),FALSE)</f>
        <v>0</v>
      </c>
      <c r="O732" s="23">
        <f>IFERROR(__xludf.DUMMYFUNCTION("""COMPUTED_VALUE"""),53.3805952659948)</f>
        <v>53.38059527</v>
      </c>
      <c r="P732" s="23">
        <f>IFERROR(__xludf.DUMMYFUNCTION("""COMPUTED_VALUE"""),72888.0)</f>
        <v>72888</v>
      </c>
      <c r="Q732" s="23">
        <f>IFERROR(__xludf.DUMMYFUNCTION("""COMPUTED_VALUE"""),136544.0)</f>
        <v>136544</v>
      </c>
    </row>
    <row r="733">
      <c r="A733" s="23">
        <f>IFERROR(__xludf.DUMMYFUNCTION("""COMPUTED_VALUE"""),732.0)</f>
        <v>732</v>
      </c>
      <c r="B733" s="23" t="str">
        <f>IFERROR(__xludf.DUMMYFUNCTION("""COMPUTED_VALUE"""),"My Calendar III")</f>
        <v>My Calendar III</v>
      </c>
      <c r="C733" s="23" t="str">
        <f>IFERROR(__xludf.DUMMYFUNCTION("""COMPUTED_VALUE"""),"my-calendar-iii")</f>
        <v>my-calendar-iii</v>
      </c>
      <c r="D733" s="23" t="b">
        <f>IFERROR(__xludf.DUMMYFUNCTION("""COMPUTED_VALUE"""),FALSE)</f>
        <v>0</v>
      </c>
      <c r="E733" s="23" t="str">
        <f>IFERROR(__xludf.DUMMYFUNCTION("""COMPUTED_VALUE"""),"Hard")</f>
        <v>Hard</v>
      </c>
      <c r="F733" s="23">
        <f>IFERROR(__xludf.DUMMYFUNCTION("""COMPUTED_VALUE"""),716.0)</f>
        <v>716</v>
      </c>
      <c r="G733" s="23">
        <f>IFERROR(__xludf.DUMMYFUNCTION("""COMPUTED_VALUE"""),146.0)</f>
        <v>146</v>
      </c>
      <c r="H733" s="23" t="str">
        <f>IFERROR(__xludf.DUMMYFUNCTION("""COMPUTED_VALUE"""),"Algorithms")</f>
        <v>Algorithms</v>
      </c>
      <c r="I733" s="23">
        <f>IFERROR(__xludf.DUMMYFUNCTION("""COMPUTED_VALUE"""),0.665)</f>
        <v>0.665</v>
      </c>
      <c r="J733" s="23">
        <f>IFERROR(__xludf.DUMMYFUNCTION("""COMPUTED_VALUE"""),732.0)</f>
        <v>732</v>
      </c>
      <c r="K733" s="23" t="b">
        <f>IFERROR(__xludf.DUMMYFUNCTION("""COMPUTED_VALUE"""),FALSE)</f>
        <v>0</v>
      </c>
      <c r="L733" s="23" t="str">
        <f>IFERROR(__xludf.DUMMYFUNCTION("""COMPUTED_VALUE"""),"Design;Segment Tree;Ordered Set;")</f>
        <v>Design;Segment Tree;Ordered Set;</v>
      </c>
      <c r="M733" s="23" t="b">
        <f>IFERROR(__xludf.DUMMYFUNCTION("""COMPUTED_VALUE"""),TRUE)</f>
        <v>1</v>
      </c>
      <c r="N733" s="23" t="b">
        <f>IFERROR(__xludf.DUMMYFUNCTION("""COMPUTED_VALUE"""),FALSE)</f>
        <v>0</v>
      </c>
      <c r="O733" s="23">
        <f>IFERROR(__xludf.DUMMYFUNCTION("""COMPUTED_VALUE"""),66.4872497715757)</f>
        <v>66.48724977</v>
      </c>
      <c r="P733" s="23">
        <f>IFERROR(__xludf.DUMMYFUNCTION("""COMPUTED_VALUE"""),40022.0)</f>
        <v>40022</v>
      </c>
      <c r="Q733" s="23">
        <f>IFERROR(__xludf.DUMMYFUNCTION("""COMPUTED_VALUE"""),60195.0)</f>
        <v>60195</v>
      </c>
    </row>
    <row r="734">
      <c r="A734" s="23">
        <f>IFERROR(__xludf.DUMMYFUNCTION("""COMPUTED_VALUE"""),733.0)</f>
        <v>733</v>
      </c>
      <c r="B734" s="23" t="str">
        <f>IFERROR(__xludf.DUMMYFUNCTION("""COMPUTED_VALUE"""),"Flood Fill")</f>
        <v>Flood Fill</v>
      </c>
      <c r="C734" s="23" t="str">
        <f>IFERROR(__xludf.DUMMYFUNCTION("""COMPUTED_VALUE"""),"flood-fill")</f>
        <v>flood-fill</v>
      </c>
      <c r="D734" s="23" t="b">
        <f>IFERROR(__xludf.DUMMYFUNCTION("""COMPUTED_VALUE"""),FALSE)</f>
        <v>0</v>
      </c>
      <c r="E734" s="23" t="str">
        <f>IFERROR(__xludf.DUMMYFUNCTION("""COMPUTED_VALUE"""),"Easy")</f>
        <v>Easy</v>
      </c>
      <c r="F734" s="23">
        <f>IFERROR(__xludf.DUMMYFUNCTION("""COMPUTED_VALUE"""),3987.0)</f>
        <v>3987</v>
      </c>
      <c r="G734" s="23">
        <f>IFERROR(__xludf.DUMMYFUNCTION("""COMPUTED_VALUE"""),379.0)</f>
        <v>379</v>
      </c>
      <c r="H734" s="23" t="str">
        <f>IFERROR(__xludf.DUMMYFUNCTION("""COMPUTED_VALUE"""),"Algorithms")</f>
        <v>Algorithms</v>
      </c>
      <c r="I734" s="23">
        <f>IFERROR(__xludf.DUMMYFUNCTION("""COMPUTED_VALUE"""),0.582)</f>
        <v>0.582</v>
      </c>
      <c r="J734" s="23">
        <f>IFERROR(__xludf.DUMMYFUNCTION("""COMPUTED_VALUE"""),733.0)</f>
        <v>733</v>
      </c>
      <c r="K734" s="23" t="b">
        <f>IFERROR(__xludf.DUMMYFUNCTION("""COMPUTED_VALUE"""),FALSE)</f>
        <v>0</v>
      </c>
      <c r="L734" s="23" t="str">
        <f>IFERROR(__xludf.DUMMYFUNCTION("""COMPUTED_VALUE"""),"Array;Depth-First Search;Breadth-First Search;Matrix;")</f>
        <v>Array;Depth-First Search;Breadth-First Search;Matrix;</v>
      </c>
      <c r="M734" s="23" t="b">
        <f>IFERROR(__xludf.DUMMYFUNCTION("""COMPUTED_VALUE"""),TRUE)</f>
        <v>1</v>
      </c>
      <c r="N734" s="23" t="b">
        <f>IFERROR(__xludf.DUMMYFUNCTION("""COMPUTED_VALUE"""),FALSE)</f>
        <v>0</v>
      </c>
      <c r="O734" s="23">
        <f>IFERROR(__xludf.DUMMYFUNCTION("""COMPUTED_VALUE"""),58.2129766518243)</f>
        <v>58.21297665</v>
      </c>
      <c r="P734" s="23">
        <f>IFERROR(__xludf.DUMMYFUNCTION("""COMPUTED_VALUE"""),399263.0)</f>
        <v>399263</v>
      </c>
      <c r="Q734" s="23">
        <f>IFERROR(__xludf.DUMMYFUNCTION("""COMPUTED_VALUE"""),685865.0)</f>
        <v>685865</v>
      </c>
    </row>
    <row r="735">
      <c r="A735" s="23">
        <f>IFERROR(__xludf.DUMMYFUNCTION("""COMPUTED_VALUE"""),734.0)</f>
        <v>734</v>
      </c>
      <c r="B735" s="23" t="str">
        <f>IFERROR(__xludf.DUMMYFUNCTION("""COMPUTED_VALUE"""),"Sentence Similarity")</f>
        <v>Sentence Similarity</v>
      </c>
      <c r="C735" s="23" t="str">
        <f>IFERROR(__xludf.DUMMYFUNCTION("""COMPUTED_VALUE"""),"sentence-similarity")</f>
        <v>sentence-similarity</v>
      </c>
      <c r="D735" s="23" t="b">
        <f>IFERROR(__xludf.DUMMYFUNCTION("""COMPUTED_VALUE"""),TRUE)</f>
        <v>1</v>
      </c>
      <c r="E735" s="23" t="str">
        <f>IFERROR(__xludf.DUMMYFUNCTION("""COMPUTED_VALUE"""),"Easy")</f>
        <v>Easy</v>
      </c>
      <c r="F735" s="23">
        <f>IFERROR(__xludf.DUMMYFUNCTION("""COMPUTED_VALUE"""),281.0)</f>
        <v>281</v>
      </c>
      <c r="G735" s="23">
        <f>IFERROR(__xludf.DUMMYFUNCTION("""COMPUTED_VALUE"""),446.0)</f>
        <v>446</v>
      </c>
      <c r="H735" s="23" t="str">
        <f>IFERROR(__xludf.DUMMYFUNCTION("""COMPUTED_VALUE"""),"Algorithms")</f>
        <v>Algorithms</v>
      </c>
      <c r="I735" s="23">
        <f>IFERROR(__xludf.DUMMYFUNCTION("""COMPUTED_VALUE"""),0.43)</f>
        <v>0.43</v>
      </c>
      <c r="J735" s="23">
        <f>IFERROR(__xludf.DUMMYFUNCTION("""COMPUTED_VALUE"""),734.0)</f>
        <v>734</v>
      </c>
      <c r="K735" s="23" t="b">
        <f>IFERROR(__xludf.DUMMYFUNCTION("""COMPUTED_VALUE"""),TRUE)</f>
        <v>1</v>
      </c>
      <c r="L735" s="23" t="str">
        <f>IFERROR(__xludf.DUMMYFUNCTION("""COMPUTED_VALUE"""),"Array;Hash Table;String;")</f>
        <v>Array;Hash Table;String;</v>
      </c>
      <c r="M735" s="23" t="b">
        <f>IFERROR(__xludf.DUMMYFUNCTION("""COMPUTED_VALUE"""),FALSE)</f>
        <v>0</v>
      </c>
      <c r="N735" s="23" t="b">
        <f>IFERROR(__xludf.DUMMYFUNCTION("""COMPUTED_VALUE"""),FALSE)</f>
        <v>0</v>
      </c>
      <c r="O735" s="23">
        <f>IFERROR(__xludf.DUMMYFUNCTION("""COMPUTED_VALUE"""),42.9851687154454)</f>
        <v>42.98516872</v>
      </c>
      <c r="P735" s="23">
        <f>IFERROR(__xludf.DUMMYFUNCTION("""COMPUTED_VALUE"""),50459.0)</f>
        <v>50459</v>
      </c>
      <c r="Q735" s="23">
        <f>IFERROR(__xludf.DUMMYFUNCTION("""COMPUTED_VALUE"""),117387.0)</f>
        <v>117387</v>
      </c>
    </row>
    <row r="736">
      <c r="A736" s="23">
        <f>IFERROR(__xludf.DUMMYFUNCTION("""COMPUTED_VALUE"""),735.0)</f>
        <v>735</v>
      </c>
      <c r="B736" s="23" t="str">
        <f>IFERROR(__xludf.DUMMYFUNCTION("""COMPUTED_VALUE"""),"Asteroid Collision")</f>
        <v>Asteroid Collision</v>
      </c>
      <c r="C736" s="23" t="str">
        <f>IFERROR(__xludf.DUMMYFUNCTION("""COMPUTED_VALUE"""),"asteroid-collision")</f>
        <v>asteroid-collision</v>
      </c>
      <c r="D736" s="23" t="b">
        <f>IFERROR(__xludf.DUMMYFUNCTION("""COMPUTED_VALUE"""),FALSE)</f>
        <v>0</v>
      </c>
      <c r="E736" s="23" t="str">
        <f>IFERROR(__xludf.DUMMYFUNCTION("""COMPUTED_VALUE"""),"Medium")</f>
        <v>Medium</v>
      </c>
      <c r="F736" s="23">
        <f>IFERROR(__xludf.DUMMYFUNCTION("""COMPUTED_VALUE"""),3435.0)</f>
        <v>3435</v>
      </c>
      <c r="G736" s="23">
        <f>IFERROR(__xludf.DUMMYFUNCTION("""COMPUTED_VALUE"""),269.0)</f>
        <v>269</v>
      </c>
      <c r="H736" s="23" t="str">
        <f>IFERROR(__xludf.DUMMYFUNCTION("""COMPUTED_VALUE"""),"Algorithms")</f>
        <v>Algorithms</v>
      </c>
      <c r="I736" s="23">
        <f>IFERROR(__xludf.DUMMYFUNCTION("""COMPUTED_VALUE"""),0.444)</f>
        <v>0.444</v>
      </c>
      <c r="J736" s="23">
        <f>IFERROR(__xludf.DUMMYFUNCTION("""COMPUTED_VALUE"""),735.0)</f>
        <v>735</v>
      </c>
      <c r="K736" s="23" t="b">
        <f>IFERROR(__xludf.DUMMYFUNCTION("""COMPUTED_VALUE"""),FALSE)</f>
        <v>0</v>
      </c>
      <c r="L736" s="23" t="str">
        <f>IFERROR(__xludf.DUMMYFUNCTION("""COMPUTED_VALUE"""),"Array;Stack;")</f>
        <v>Array;Stack;</v>
      </c>
      <c r="M736" s="23" t="b">
        <f>IFERROR(__xludf.DUMMYFUNCTION("""COMPUTED_VALUE"""),TRUE)</f>
        <v>1</v>
      </c>
      <c r="N736" s="23" t="b">
        <f>IFERROR(__xludf.DUMMYFUNCTION("""COMPUTED_VALUE"""),FALSE)</f>
        <v>0</v>
      </c>
      <c r="O736" s="23">
        <f>IFERROR(__xludf.DUMMYFUNCTION("""COMPUTED_VALUE"""),44.3812499287351)</f>
        <v>44.38124993</v>
      </c>
      <c r="P736" s="23">
        <f>IFERROR(__xludf.DUMMYFUNCTION("""COMPUTED_VALUE"""),194613.0)</f>
        <v>194613</v>
      </c>
      <c r="Q736" s="23">
        <f>IFERROR(__xludf.DUMMYFUNCTION("""COMPUTED_VALUE"""),438503.0)</f>
        <v>438503</v>
      </c>
    </row>
    <row r="737">
      <c r="A737" s="23">
        <f>IFERROR(__xludf.DUMMYFUNCTION("""COMPUTED_VALUE"""),736.0)</f>
        <v>736</v>
      </c>
      <c r="B737" s="23" t="str">
        <f>IFERROR(__xludf.DUMMYFUNCTION("""COMPUTED_VALUE"""),"Parse Lisp Expression")</f>
        <v>Parse Lisp Expression</v>
      </c>
      <c r="C737" s="23" t="str">
        <f>IFERROR(__xludf.DUMMYFUNCTION("""COMPUTED_VALUE"""),"parse-lisp-expression")</f>
        <v>parse-lisp-expression</v>
      </c>
      <c r="D737" s="23" t="b">
        <f>IFERROR(__xludf.DUMMYFUNCTION("""COMPUTED_VALUE"""),FALSE)</f>
        <v>0</v>
      </c>
      <c r="E737" s="23" t="str">
        <f>IFERROR(__xludf.DUMMYFUNCTION("""COMPUTED_VALUE"""),"Hard")</f>
        <v>Hard</v>
      </c>
      <c r="F737" s="23">
        <f>IFERROR(__xludf.DUMMYFUNCTION("""COMPUTED_VALUE"""),386.0)</f>
        <v>386</v>
      </c>
      <c r="G737" s="23">
        <f>IFERROR(__xludf.DUMMYFUNCTION("""COMPUTED_VALUE"""),306.0)</f>
        <v>306</v>
      </c>
      <c r="H737" s="23" t="str">
        <f>IFERROR(__xludf.DUMMYFUNCTION("""COMPUTED_VALUE"""),"Algorithms")</f>
        <v>Algorithms</v>
      </c>
      <c r="I737" s="23">
        <f>IFERROR(__xludf.DUMMYFUNCTION("""COMPUTED_VALUE"""),0.512)</f>
        <v>0.512</v>
      </c>
      <c r="J737" s="23">
        <f>IFERROR(__xludf.DUMMYFUNCTION("""COMPUTED_VALUE"""),736.0)</f>
        <v>736</v>
      </c>
      <c r="K737" s="23" t="b">
        <f>IFERROR(__xludf.DUMMYFUNCTION("""COMPUTED_VALUE"""),FALSE)</f>
        <v>0</v>
      </c>
      <c r="L737" s="23" t="str">
        <f>IFERROR(__xludf.DUMMYFUNCTION("""COMPUTED_VALUE"""),"Hash Table;String;Stack;Recursion;")</f>
        <v>Hash Table;String;Stack;Recursion;</v>
      </c>
      <c r="M737" s="23" t="b">
        <f>IFERROR(__xludf.DUMMYFUNCTION("""COMPUTED_VALUE"""),FALSE)</f>
        <v>0</v>
      </c>
      <c r="N737" s="23" t="b">
        <f>IFERROR(__xludf.DUMMYFUNCTION("""COMPUTED_VALUE"""),FALSE)</f>
        <v>0</v>
      </c>
      <c r="O737" s="23">
        <f>IFERROR(__xludf.DUMMYFUNCTION("""COMPUTED_VALUE"""),51.1529933481152)</f>
        <v>51.15299335</v>
      </c>
      <c r="P737" s="23">
        <f>IFERROR(__xludf.DUMMYFUNCTION("""COMPUTED_VALUE"""),18456.0)</f>
        <v>18456</v>
      </c>
      <c r="Q737" s="23">
        <f>IFERROR(__xludf.DUMMYFUNCTION("""COMPUTED_VALUE"""),36080.0)</f>
        <v>36080</v>
      </c>
    </row>
    <row r="738">
      <c r="A738" s="23">
        <f>IFERROR(__xludf.DUMMYFUNCTION("""COMPUTED_VALUE"""),737.0)</f>
        <v>737</v>
      </c>
      <c r="B738" s="23" t="str">
        <f>IFERROR(__xludf.DUMMYFUNCTION("""COMPUTED_VALUE"""),"Sentence Similarity II")</f>
        <v>Sentence Similarity II</v>
      </c>
      <c r="C738" s="23" t="str">
        <f>IFERROR(__xludf.DUMMYFUNCTION("""COMPUTED_VALUE"""),"sentence-similarity-ii")</f>
        <v>sentence-similarity-ii</v>
      </c>
      <c r="D738" s="23" t="b">
        <f>IFERROR(__xludf.DUMMYFUNCTION("""COMPUTED_VALUE"""),TRUE)</f>
        <v>1</v>
      </c>
      <c r="E738" s="23" t="str">
        <f>IFERROR(__xludf.DUMMYFUNCTION("""COMPUTED_VALUE"""),"Medium")</f>
        <v>Medium</v>
      </c>
      <c r="F738" s="23">
        <f>IFERROR(__xludf.DUMMYFUNCTION("""COMPUTED_VALUE"""),707.0)</f>
        <v>707</v>
      </c>
      <c r="G738" s="23">
        <f>IFERROR(__xludf.DUMMYFUNCTION("""COMPUTED_VALUE"""),42.0)</f>
        <v>42</v>
      </c>
      <c r="H738" s="23" t="str">
        <f>IFERROR(__xludf.DUMMYFUNCTION("""COMPUTED_VALUE"""),"Algorithms")</f>
        <v>Algorithms</v>
      </c>
      <c r="I738" s="23">
        <f>IFERROR(__xludf.DUMMYFUNCTION("""COMPUTED_VALUE"""),0.481)</f>
        <v>0.481</v>
      </c>
      <c r="J738" s="23">
        <f>IFERROR(__xludf.DUMMYFUNCTION("""COMPUTED_VALUE"""),737.0)</f>
        <v>737</v>
      </c>
      <c r="K738" s="23" t="b">
        <f>IFERROR(__xludf.DUMMYFUNCTION("""COMPUTED_VALUE"""),TRUE)</f>
        <v>1</v>
      </c>
      <c r="L738" s="23" t="str">
        <f>IFERROR(__xludf.DUMMYFUNCTION("""COMPUTED_VALUE"""),"Array;Hash Table;String;Depth-First Search;Breadth-First Search;Union Find;")</f>
        <v>Array;Hash Table;String;Depth-First Search;Breadth-First Search;Union Find;</v>
      </c>
      <c r="M738" s="23" t="b">
        <f>IFERROR(__xludf.DUMMYFUNCTION("""COMPUTED_VALUE"""),TRUE)</f>
        <v>1</v>
      </c>
      <c r="N738" s="23" t="b">
        <f>IFERROR(__xludf.DUMMYFUNCTION("""COMPUTED_VALUE"""),FALSE)</f>
        <v>0</v>
      </c>
      <c r="O738" s="23">
        <f>IFERROR(__xludf.DUMMYFUNCTION("""COMPUTED_VALUE"""),48.1354850846986)</f>
        <v>48.13548508</v>
      </c>
      <c r="P738" s="23">
        <f>IFERROR(__xludf.DUMMYFUNCTION("""COMPUTED_VALUE"""),58849.0)</f>
        <v>58849</v>
      </c>
      <c r="Q738" s="23">
        <f>IFERROR(__xludf.DUMMYFUNCTION("""COMPUTED_VALUE"""),122257.0)</f>
        <v>122257</v>
      </c>
    </row>
    <row r="739">
      <c r="A739" s="23">
        <f>IFERROR(__xludf.DUMMYFUNCTION("""COMPUTED_VALUE"""),738.0)</f>
        <v>738</v>
      </c>
      <c r="B739" s="23" t="str">
        <f>IFERROR(__xludf.DUMMYFUNCTION("""COMPUTED_VALUE"""),"Monotone Increasing Digits")</f>
        <v>Monotone Increasing Digits</v>
      </c>
      <c r="C739" s="23" t="str">
        <f>IFERROR(__xludf.DUMMYFUNCTION("""COMPUTED_VALUE"""),"monotone-increasing-digits")</f>
        <v>monotone-increasing-digits</v>
      </c>
      <c r="D739" s="23" t="b">
        <f>IFERROR(__xludf.DUMMYFUNCTION("""COMPUTED_VALUE"""),FALSE)</f>
        <v>0</v>
      </c>
      <c r="E739" s="23" t="str">
        <f>IFERROR(__xludf.DUMMYFUNCTION("""COMPUTED_VALUE"""),"Medium")</f>
        <v>Medium</v>
      </c>
      <c r="F739" s="23">
        <f>IFERROR(__xludf.DUMMYFUNCTION("""COMPUTED_VALUE"""),909.0)</f>
        <v>909</v>
      </c>
      <c r="G739" s="23">
        <f>IFERROR(__xludf.DUMMYFUNCTION("""COMPUTED_VALUE"""),87.0)</f>
        <v>87</v>
      </c>
      <c r="H739" s="23" t="str">
        <f>IFERROR(__xludf.DUMMYFUNCTION("""COMPUTED_VALUE"""),"Algorithms")</f>
        <v>Algorithms</v>
      </c>
      <c r="I739" s="23">
        <f>IFERROR(__xludf.DUMMYFUNCTION("""COMPUTED_VALUE"""),0.468)</f>
        <v>0.468</v>
      </c>
      <c r="J739" s="23">
        <f>IFERROR(__xludf.DUMMYFUNCTION("""COMPUTED_VALUE"""),738.0)</f>
        <v>738</v>
      </c>
      <c r="K739" s="23" t="b">
        <f>IFERROR(__xludf.DUMMYFUNCTION("""COMPUTED_VALUE"""),FALSE)</f>
        <v>0</v>
      </c>
      <c r="L739" s="23" t="str">
        <f>IFERROR(__xludf.DUMMYFUNCTION("""COMPUTED_VALUE"""),"Math;Greedy;")</f>
        <v>Math;Greedy;</v>
      </c>
      <c r="M739" s="23" t="b">
        <f>IFERROR(__xludf.DUMMYFUNCTION("""COMPUTED_VALUE"""),FALSE)</f>
        <v>0</v>
      </c>
      <c r="N739" s="23" t="b">
        <f>IFERROR(__xludf.DUMMYFUNCTION("""COMPUTED_VALUE"""),FALSE)</f>
        <v>0</v>
      </c>
      <c r="O739" s="23">
        <f>IFERROR(__xludf.DUMMYFUNCTION("""COMPUTED_VALUE"""),46.7626346828576)</f>
        <v>46.76263468</v>
      </c>
      <c r="P739" s="23">
        <f>IFERROR(__xludf.DUMMYFUNCTION("""COMPUTED_VALUE"""),37585.0)</f>
        <v>37585</v>
      </c>
      <c r="Q739" s="23">
        <f>IFERROR(__xludf.DUMMYFUNCTION("""COMPUTED_VALUE"""),80374.0)</f>
        <v>80374</v>
      </c>
    </row>
    <row r="740">
      <c r="A740" s="23">
        <f>IFERROR(__xludf.DUMMYFUNCTION("""COMPUTED_VALUE"""),739.0)</f>
        <v>739</v>
      </c>
      <c r="B740" s="23" t="str">
        <f>IFERROR(__xludf.DUMMYFUNCTION("""COMPUTED_VALUE"""),"Daily Temperatures")</f>
        <v>Daily Temperatures</v>
      </c>
      <c r="C740" s="23" t="str">
        <f>IFERROR(__xludf.DUMMYFUNCTION("""COMPUTED_VALUE"""),"daily-temperatures")</f>
        <v>daily-temperatures</v>
      </c>
      <c r="D740" s="23" t="b">
        <f>IFERROR(__xludf.DUMMYFUNCTION("""COMPUTED_VALUE"""),FALSE)</f>
        <v>0</v>
      </c>
      <c r="E740" s="23" t="str">
        <f>IFERROR(__xludf.DUMMYFUNCTION("""COMPUTED_VALUE"""),"Medium")</f>
        <v>Medium</v>
      </c>
      <c r="F740" s="23">
        <f>IFERROR(__xludf.DUMMYFUNCTION("""COMPUTED_VALUE"""),6834.0)</f>
        <v>6834</v>
      </c>
      <c r="G740" s="23">
        <f>IFERROR(__xludf.DUMMYFUNCTION("""COMPUTED_VALUE"""),158.0)</f>
        <v>158</v>
      </c>
      <c r="H740" s="23" t="str">
        <f>IFERROR(__xludf.DUMMYFUNCTION("""COMPUTED_VALUE"""),"Algorithms")</f>
        <v>Algorithms</v>
      </c>
      <c r="I740" s="23">
        <f>IFERROR(__xludf.DUMMYFUNCTION("""COMPUTED_VALUE"""),0.671)</f>
        <v>0.671</v>
      </c>
      <c r="J740" s="23">
        <f>IFERROR(__xludf.DUMMYFUNCTION("""COMPUTED_VALUE"""),739.0)</f>
        <v>739</v>
      </c>
      <c r="K740" s="23" t="b">
        <f>IFERROR(__xludf.DUMMYFUNCTION("""COMPUTED_VALUE"""),FALSE)</f>
        <v>0</v>
      </c>
      <c r="L740" s="23" t="str">
        <f>IFERROR(__xludf.DUMMYFUNCTION("""COMPUTED_VALUE"""),"Array;Stack;Monotonic Stack;")</f>
        <v>Array;Stack;Monotonic Stack;</v>
      </c>
      <c r="M740" s="23" t="b">
        <f>IFERROR(__xludf.DUMMYFUNCTION("""COMPUTED_VALUE"""),TRUE)</f>
        <v>1</v>
      </c>
      <c r="N740" s="23" t="b">
        <f>IFERROR(__xludf.DUMMYFUNCTION("""COMPUTED_VALUE"""),FALSE)</f>
        <v>0</v>
      </c>
      <c r="O740" s="23">
        <f>IFERROR(__xludf.DUMMYFUNCTION("""COMPUTED_VALUE"""),67.1043060038278)</f>
        <v>67.104306</v>
      </c>
      <c r="P740" s="23">
        <f>IFERROR(__xludf.DUMMYFUNCTION("""COMPUTED_VALUE"""),380052.0)</f>
        <v>380052</v>
      </c>
      <c r="Q740" s="23">
        <f>IFERROR(__xludf.DUMMYFUNCTION("""COMPUTED_VALUE"""),566360.0)</f>
        <v>566360</v>
      </c>
    </row>
    <row r="741">
      <c r="A741" s="23">
        <f>IFERROR(__xludf.DUMMYFUNCTION("""COMPUTED_VALUE"""),740.0)</f>
        <v>740</v>
      </c>
      <c r="B741" s="23" t="str">
        <f>IFERROR(__xludf.DUMMYFUNCTION("""COMPUTED_VALUE"""),"Delete and Earn")</f>
        <v>Delete and Earn</v>
      </c>
      <c r="C741" s="23" t="str">
        <f>IFERROR(__xludf.DUMMYFUNCTION("""COMPUTED_VALUE"""),"delete-and-earn")</f>
        <v>delete-and-earn</v>
      </c>
      <c r="D741" s="23" t="b">
        <f>IFERROR(__xludf.DUMMYFUNCTION("""COMPUTED_VALUE"""),FALSE)</f>
        <v>0</v>
      </c>
      <c r="E741" s="23" t="str">
        <f>IFERROR(__xludf.DUMMYFUNCTION("""COMPUTED_VALUE"""),"Medium")</f>
        <v>Medium</v>
      </c>
      <c r="F741" s="23">
        <f>IFERROR(__xludf.DUMMYFUNCTION("""COMPUTED_VALUE"""),4674.0)</f>
        <v>4674</v>
      </c>
      <c r="G741" s="23">
        <f>IFERROR(__xludf.DUMMYFUNCTION("""COMPUTED_VALUE"""),265.0)</f>
        <v>265</v>
      </c>
      <c r="H741" s="23" t="str">
        <f>IFERROR(__xludf.DUMMYFUNCTION("""COMPUTED_VALUE"""),"Algorithms")</f>
        <v>Algorithms</v>
      </c>
      <c r="I741" s="23">
        <f>IFERROR(__xludf.DUMMYFUNCTION("""COMPUTED_VALUE"""),0.573)</f>
        <v>0.573</v>
      </c>
      <c r="J741" s="23">
        <f>IFERROR(__xludf.DUMMYFUNCTION("""COMPUTED_VALUE"""),740.0)</f>
        <v>740</v>
      </c>
      <c r="K741" s="23" t="b">
        <f>IFERROR(__xludf.DUMMYFUNCTION("""COMPUTED_VALUE"""),FALSE)</f>
        <v>0</v>
      </c>
      <c r="L741" s="23" t="str">
        <f>IFERROR(__xludf.DUMMYFUNCTION("""COMPUTED_VALUE"""),"Array;Hash Table;Dynamic Programming;")</f>
        <v>Array;Hash Table;Dynamic Programming;</v>
      </c>
      <c r="M741" s="23" t="b">
        <f>IFERROR(__xludf.DUMMYFUNCTION("""COMPUTED_VALUE"""),TRUE)</f>
        <v>1</v>
      </c>
      <c r="N741" s="23" t="b">
        <f>IFERROR(__xludf.DUMMYFUNCTION("""COMPUTED_VALUE"""),FALSE)</f>
        <v>0</v>
      </c>
      <c r="O741" s="23">
        <f>IFERROR(__xludf.DUMMYFUNCTION("""COMPUTED_VALUE"""),57.3426242986885)</f>
        <v>57.3426243</v>
      </c>
      <c r="P741" s="23">
        <f>IFERROR(__xludf.DUMMYFUNCTION("""COMPUTED_VALUE"""),182028.0)</f>
        <v>182028</v>
      </c>
      <c r="Q741" s="23">
        <f>IFERROR(__xludf.DUMMYFUNCTION("""COMPUTED_VALUE"""),317436.0)</f>
        <v>317436</v>
      </c>
    </row>
    <row r="742">
      <c r="A742" s="23">
        <f>IFERROR(__xludf.DUMMYFUNCTION("""COMPUTED_VALUE"""),741.0)</f>
        <v>741</v>
      </c>
      <c r="B742" s="23" t="str">
        <f>IFERROR(__xludf.DUMMYFUNCTION("""COMPUTED_VALUE"""),"Cherry Pickup")</f>
        <v>Cherry Pickup</v>
      </c>
      <c r="C742" s="23" t="str">
        <f>IFERROR(__xludf.DUMMYFUNCTION("""COMPUTED_VALUE"""),"cherry-pickup")</f>
        <v>cherry-pickup</v>
      </c>
      <c r="D742" s="23" t="b">
        <f>IFERROR(__xludf.DUMMYFUNCTION("""COMPUTED_VALUE"""),FALSE)</f>
        <v>0</v>
      </c>
      <c r="E742" s="23" t="str">
        <f>IFERROR(__xludf.DUMMYFUNCTION("""COMPUTED_VALUE"""),"Hard")</f>
        <v>Hard</v>
      </c>
      <c r="F742" s="23">
        <f>IFERROR(__xludf.DUMMYFUNCTION("""COMPUTED_VALUE"""),2576.0)</f>
        <v>2576</v>
      </c>
      <c r="G742" s="23">
        <f>IFERROR(__xludf.DUMMYFUNCTION("""COMPUTED_VALUE"""),120.0)</f>
        <v>120</v>
      </c>
      <c r="H742" s="23" t="str">
        <f>IFERROR(__xludf.DUMMYFUNCTION("""COMPUTED_VALUE"""),"Algorithms")</f>
        <v>Algorithms</v>
      </c>
      <c r="I742" s="23">
        <f>IFERROR(__xludf.DUMMYFUNCTION("""COMPUTED_VALUE"""),0.362)</f>
        <v>0.362</v>
      </c>
      <c r="J742" s="23">
        <f>IFERROR(__xludf.DUMMYFUNCTION("""COMPUTED_VALUE"""),741.0)</f>
        <v>741</v>
      </c>
      <c r="K742" s="23" t="b">
        <f>IFERROR(__xludf.DUMMYFUNCTION("""COMPUTED_VALUE"""),FALSE)</f>
        <v>0</v>
      </c>
      <c r="L742" s="23" t="str">
        <f>IFERROR(__xludf.DUMMYFUNCTION("""COMPUTED_VALUE"""),"Array;Dynamic Programming;Matrix;")</f>
        <v>Array;Dynamic Programming;Matrix;</v>
      </c>
      <c r="M742" s="23" t="b">
        <f>IFERROR(__xludf.DUMMYFUNCTION("""COMPUTED_VALUE"""),TRUE)</f>
        <v>1</v>
      </c>
      <c r="N742" s="23" t="b">
        <f>IFERROR(__xludf.DUMMYFUNCTION("""COMPUTED_VALUE"""),FALSE)</f>
        <v>0</v>
      </c>
      <c r="O742" s="23">
        <f>IFERROR(__xludf.DUMMYFUNCTION("""COMPUTED_VALUE"""),36.2134435662736)</f>
        <v>36.21344357</v>
      </c>
      <c r="P742" s="23">
        <f>IFERROR(__xludf.DUMMYFUNCTION("""COMPUTED_VALUE"""),52738.0)</f>
        <v>52738</v>
      </c>
      <c r="Q742" s="23">
        <f>IFERROR(__xludf.DUMMYFUNCTION("""COMPUTED_VALUE"""),145629.0)</f>
        <v>145629</v>
      </c>
    </row>
    <row r="743">
      <c r="A743" s="23">
        <f>IFERROR(__xludf.DUMMYFUNCTION("""COMPUTED_VALUE"""),743.0)</f>
        <v>743</v>
      </c>
      <c r="B743" s="23" t="str">
        <f>IFERROR(__xludf.DUMMYFUNCTION("""COMPUTED_VALUE"""),"Closest Leaf in a Binary Tree")</f>
        <v>Closest Leaf in a Binary Tree</v>
      </c>
      <c r="C743" s="23" t="str">
        <f>IFERROR(__xludf.DUMMYFUNCTION("""COMPUTED_VALUE"""),"closest-leaf-in-a-binary-tree")</f>
        <v>closest-leaf-in-a-binary-tree</v>
      </c>
      <c r="D743" s="23" t="b">
        <f>IFERROR(__xludf.DUMMYFUNCTION("""COMPUTED_VALUE"""),TRUE)</f>
        <v>1</v>
      </c>
      <c r="E743" s="23" t="str">
        <f>IFERROR(__xludf.DUMMYFUNCTION("""COMPUTED_VALUE"""),"Medium")</f>
        <v>Medium</v>
      </c>
      <c r="F743" s="23">
        <f>IFERROR(__xludf.DUMMYFUNCTION("""COMPUTED_VALUE"""),757.0)</f>
        <v>757</v>
      </c>
      <c r="G743" s="23">
        <f>IFERROR(__xludf.DUMMYFUNCTION("""COMPUTED_VALUE"""),147.0)</f>
        <v>147</v>
      </c>
      <c r="H743" s="23" t="str">
        <f>IFERROR(__xludf.DUMMYFUNCTION("""COMPUTED_VALUE"""),"Algorithms")</f>
        <v>Algorithms</v>
      </c>
      <c r="I743" s="23">
        <f>IFERROR(__xludf.DUMMYFUNCTION("""COMPUTED_VALUE"""),0.457)</f>
        <v>0.457</v>
      </c>
      <c r="J743" s="23">
        <f>IFERROR(__xludf.DUMMYFUNCTION("""COMPUTED_VALUE"""),742.0)</f>
        <v>742</v>
      </c>
      <c r="K743" s="23" t="b">
        <f>IFERROR(__xludf.DUMMYFUNCTION("""COMPUTED_VALUE"""),TRUE)</f>
        <v>1</v>
      </c>
      <c r="L743" s="23" t="str">
        <f>IFERROR(__xludf.DUMMYFUNCTION("""COMPUTED_VALUE"""),"Tree;Depth-First Search;Breadth-First Search;Binary Tree;")</f>
        <v>Tree;Depth-First Search;Breadth-First Search;Binary Tree;</v>
      </c>
      <c r="M743" s="23" t="b">
        <f>IFERROR(__xludf.DUMMYFUNCTION("""COMPUTED_VALUE"""),TRUE)</f>
        <v>1</v>
      </c>
      <c r="N743" s="23" t="b">
        <f>IFERROR(__xludf.DUMMYFUNCTION("""COMPUTED_VALUE"""),FALSE)</f>
        <v>0</v>
      </c>
      <c r="O743" s="23">
        <f>IFERROR(__xludf.DUMMYFUNCTION("""COMPUTED_VALUE"""),45.6696968608146)</f>
        <v>45.66969686</v>
      </c>
      <c r="P743" s="23">
        <f>IFERROR(__xludf.DUMMYFUNCTION("""COMPUTED_VALUE"""),38131.0)</f>
        <v>38131</v>
      </c>
      <c r="Q743" s="23">
        <f>IFERROR(__xludf.DUMMYFUNCTION("""COMPUTED_VALUE"""),83493.0)</f>
        <v>83493</v>
      </c>
    </row>
    <row r="744">
      <c r="A744" s="23">
        <f>IFERROR(__xludf.DUMMYFUNCTION("""COMPUTED_VALUE"""),744.0)</f>
        <v>744</v>
      </c>
      <c r="B744" s="23" t="str">
        <f>IFERROR(__xludf.DUMMYFUNCTION("""COMPUTED_VALUE"""),"Network Delay Time")</f>
        <v>Network Delay Time</v>
      </c>
      <c r="C744" s="23" t="str">
        <f>IFERROR(__xludf.DUMMYFUNCTION("""COMPUTED_VALUE"""),"network-delay-time")</f>
        <v>network-delay-time</v>
      </c>
      <c r="D744" s="23" t="b">
        <f>IFERROR(__xludf.DUMMYFUNCTION("""COMPUTED_VALUE"""),FALSE)</f>
        <v>0</v>
      </c>
      <c r="E744" s="23" t="str">
        <f>IFERROR(__xludf.DUMMYFUNCTION("""COMPUTED_VALUE"""),"Medium")</f>
        <v>Medium</v>
      </c>
      <c r="F744" s="23">
        <f>IFERROR(__xludf.DUMMYFUNCTION("""COMPUTED_VALUE"""),3959.0)</f>
        <v>3959</v>
      </c>
      <c r="G744" s="23">
        <f>IFERROR(__xludf.DUMMYFUNCTION("""COMPUTED_VALUE"""),275.0)</f>
        <v>275</v>
      </c>
      <c r="H744" s="23" t="str">
        <f>IFERROR(__xludf.DUMMYFUNCTION("""COMPUTED_VALUE"""),"Algorithms")</f>
        <v>Algorithms</v>
      </c>
      <c r="I744" s="23">
        <f>IFERROR(__xludf.DUMMYFUNCTION("""COMPUTED_VALUE"""),0.485)</f>
        <v>0.485</v>
      </c>
      <c r="J744" s="23">
        <f>IFERROR(__xludf.DUMMYFUNCTION("""COMPUTED_VALUE"""),743.0)</f>
        <v>743</v>
      </c>
      <c r="K744" s="23" t="b">
        <f>IFERROR(__xludf.DUMMYFUNCTION("""COMPUTED_VALUE"""),FALSE)</f>
        <v>0</v>
      </c>
      <c r="L744" s="23" t="str">
        <f>IFERROR(__xludf.DUMMYFUNCTION("""COMPUTED_VALUE"""),"Depth-First Search;Breadth-First Search;Graph;Heap (Priority Queue);Shortest Path;")</f>
        <v>Depth-First Search;Breadth-First Search;Graph;Heap (Priority Queue);Shortest Path;</v>
      </c>
      <c r="M744" s="23" t="b">
        <f>IFERROR(__xludf.DUMMYFUNCTION("""COMPUTED_VALUE"""),TRUE)</f>
        <v>1</v>
      </c>
      <c r="N744" s="23" t="b">
        <f>IFERROR(__xludf.DUMMYFUNCTION("""COMPUTED_VALUE"""),FALSE)</f>
        <v>0</v>
      </c>
      <c r="O744" s="23">
        <f>IFERROR(__xludf.DUMMYFUNCTION("""COMPUTED_VALUE"""),48.5267211235487)</f>
        <v>48.52672112</v>
      </c>
      <c r="P744" s="23">
        <f>IFERROR(__xludf.DUMMYFUNCTION("""COMPUTED_VALUE"""),235779.0)</f>
        <v>235779</v>
      </c>
      <c r="Q744" s="23">
        <f>IFERROR(__xludf.DUMMYFUNCTION("""COMPUTED_VALUE"""),485882.0)</f>
        <v>485882</v>
      </c>
    </row>
    <row r="745">
      <c r="A745" s="23">
        <f>IFERROR(__xludf.DUMMYFUNCTION("""COMPUTED_VALUE"""),745.0)</f>
        <v>745</v>
      </c>
      <c r="B745" s="23" t="str">
        <f>IFERROR(__xludf.DUMMYFUNCTION("""COMPUTED_VALUE"""),"Find Smallest Letter Greater Than Target")</f>
        <v>Find Smallest Letter Greater Than Target</v>
      </c>
      <c r="C745" s="23" t="str">
        <f>IFERROR(__xludf.DUMMYFUNCTION("""COMPUTED_VALUE"""),"find-smallest-letter-greater-than-target")</f>
        <v>find-smallest-letter-greater-than-target</v>
      </c>
      <c r="D745" s="23" t="b">
        <f>IFERROR(__xludf.DUMMYFUNCTION("""COMPUTED_VALUE"""),FALSE)</f>
        <v>0</v>
      </c>
      <c r="E745" s="23" t="str">
        <f>IFERROR(__xludf.DUMMYFUNCTION("""COMPUTED_VALUE"""),"Easy")</f>
        <v>Easy</v>
      </c>
      <c r="F745" s="23">
        <f>IFERROR(__xludf.DUMMYFUNCTION("""COMPUTED_VALUE"""),1577.0)</f>
        <v>1577</v>
      </c>
      <c r="G745" s="23">
        <f>IFERROR(__xludf.DUMMYFUNCTION("""COMPUTED_VALUE"""),1433.0)</f>
        <v>1433</v>
      </c>
      <c r="H745" s="23" t="str">
        <f>IFERROR(__xludf.DUMMYFUNCTION("""COMPUTED_VALUE"""),"Algorithms")</f>
        <v>Algorithms</v>
      </c>
      <c r="I745" s="23">
        <f>IFERROR(__xludf.DUMMYFUNCTION("""COMPUTED_VALUE"""),0.452)</f>
        <v>0.452</v>
      </c>
      <c r="J745" s="23">
        <f>IFERROR(__xludf.DUMMYFUNCTION("""COMPUTED_VALUE"""),744.0)</f>
        <v>744</v>
      </c>
      <c r="K745" s="23" t="b">
        <f>IFERROR(__xludf.DUMMYFUNCTION("""COMPUTED_VALUE"""),FALSE)</f>
        <v>0</v>
      </c>
      <c r="L745" s="23" t="str">
        <f>IFERROR(__xludf.DUMMYFUNCTION("""COMPUTED_VALUE"""),"Array;Binary Search;")</f>
        <v>Array;Binary Search;</v>
      </c>
      <c r="M745" s="23" t="b">
        <f>IFERROR(__xludf.DUMMYFUNCTION("""COMPUTED_VALUE"""),TRUE)</f>
        <v>1</v>
      </c>
      <c r="N745" s="23" t="b">
        <f>IFERROR(__xludf.DUMMYFUNCTION("""COMPUTED_VALUE"""),FALSE)</f>
        <v>0</v>
      </c>
      <c r="O745" s="23">
        <f>IFERROR(__xludf.DUMMYFUNCTION("""COMPUTED_VALUE"""),45.1731046292208)</f>
        <v>45.17310463</v>
      </c>
      <c r="P745" s="23">
        <f>IFERROR(__xludf.DUMMYFUNCTION("""COMPUTED_VALUE"""),186244.0)</f>
        <v>186244</v>
      </c>
      <c r="Q745" s="23">
        <f>IFERROR(__xludf.DUMMYFUNCTION("""COMPUTED_VALUE"""),412289.0)</f>
        <v>412289</v>
      </c>
    </row>
    <row r="746">
      <c r="A746" s="23">
        <f>IFERROR(__xludf.DUMMYFUNCTION("""COMPUTED_VALUE"""),746.0)</f>
        <v>746</v>
      </c>
      <c r="B746" s="23" t="str">
        <f>IFERROR(__xludf.DUMMYFUNCTION("""COMPUTED_VALUE"""),"Prefix and Suffix Search")</f>
        <v>Prefix and Suffix Search</v>
      </c>
      <c r="C746" s="23" t="str">
        <f>IFERROR(__xludf.DUMMYFUNCTION("""COMPUTED_VALUE"""),"prefix-and-suffix-search")</f>
        <v>prefix-and-suffix-search</v>
      </c>
      <c r="D746" s="23" t="b">
        <f>IFERROR(__xludf.DUMMYFUNCTION("""COMPUTED_VALUE"""),FALSE)</f>
        <v>0</v>
      </c>
      <c r="E746" s="23" t="str">
        <f>IFERROR(__xludf.DUMMYFUNCTION("""COMPUTED_VALUE"""),"Hard")</f>
        <v>Hard</v>
      </c>
      <c r="F746" s="23">
        <f>IFERROR(__xludf.DUMMYFUNCTION("""COMPUTED_VALUE"""),1046.0)</f>
        <v>1046</v>
      </c>
      <c r="G746" s="23">
        <f>IFERROR(__xludf.DUMMYFUNCTION("""COMPUTED_VALUE"""),330.0)</f>
        <v>330</v>
      </c>
      <c r="H746" s="23" t="str">
        <f>IFERROR(__xludf.DUMMYFUNCTION("""COMPUTED_VALUE"""),"Algorithms")</f>
        <v>Algorithms</v>
      </c>
      <c r="I746" s="23">
        <f>IFERROR(__xludf.DUMMYFUNCTION("""COMPUTED_VALUE"""),0.365)</f>
        <v>0.365</v>
      </c>
      <c r="J746" s="23">
        <f>IFERROR(__xludf.DUMMYFUNCTION("""COMPUTED_VALUE"""),745.0)</f>
        <v>745</v>
      </c>
      <c r="K746" s="23" t="b">
        <f>IFERROR(__xludf.DUMMYFUNCTION("""COMPUTED_VALUE"""),FALSE)</f>
        <v>0</v>
      </c>
      <c r="L746" s="23" t="str">
        <f>IFERROR(__xludf.DUMMYFUNCTION("""COMPUTED_VALUE"""),"String;Design;Trie;")</f>
        <v>String;Design;Trie;</v>
      </c>
      <c r="M746" s="23" t="b">
        <f>IFERROR(__xludf.DUMMYFUNCTION("""COMPUTED_VALUE"""),TRUE)</f>
        <v>1</v>
      </c>
      <c r="N746" s="23" t="b">
        <f>IFERROR(__xludf.DUMMYFUNCTION("""COMPUTED_VALUE"""),FALSE)</f>
        <v>0</v>
      </c>
      <c r="O746" s="23">
        <f>IFERROR(__xludf.DUMMYFUNCTION("""COMPUTED_VALUE"""),36.5136125309874)</f>
        <v>36.51361253</v>
      </c>
      <c r="P746" s="23">
        <f>IFERROR(__xludf.DUMMYFUNCTION("""COMPUTED_VALUE"""),49932.0)</f>
        <v>49932</v>
      </c>
      <c r="Q746" s="23">
        <f>IFERROR(__xludf.DUMMYFUNCTION("""COMPUTED_VALUE"""),136749.0)</f>
        <v>136749</v>
      </c>
    </row>
    <row r="747">
      <c r="A747" s="23">
        <f>IFERROR(__xludf.DUMMYFUNCTION("""COMPUTED_VALUE"""),747.0)</f>
        <v>747</v>
      </c>
      <c r="B747" s="23" t="str">
        <f>IFERROR(__xludf.DUMMYFUNCTION("""COMPUTED_VALUE"""),"Min Cost Climbing Stairs")</f>
        <v>Min Cost Climbing Stairs</v>
      </c>
      <c r="C747" s="23" t="str">
        <f>IFERROR(__xludf.DUMMYFUNCTION("""COMPUTED_VALUE"""),"min-cost-climbing-stairs")</f>
        <v>min-cost-climbing-stairs</v>
      </c>
      <c r="D747" s="23" t="b">
        <f>IFERROR(__xludf.DUMMYFUNCTION("""COMPUTED_VALUE"""),FALSE)</f>
        <v>0</v>
      </c>
      <c r="E747" s="23" t="str">
        <f>IFERROR(__xludf.DUMMYFUNCTION("""COMPUTED_VALUE"""),"Easy")</f>
        <v>Easy</v>
      </c>
      <c r="F747" s="23">
        <f>IFERROR(__xludf.DUMMYFUNCTION("""COMPUTED_VALUE"""),5778.0)</f>
        <v>5778</v>
      </c>
      <c r="G747" s="23">
        <f>IFERROR(__xludf.DUMMYFUNCTION("""COMPUTED_VALUE"""),1003.0)</f>
        <v>1003</v>
      </c>
      <c r="H747" s="23" t="str">
        <f>IFERROR(__xludf.DUMMYFUNCTION("""COMPUTED_VALUE"""),"Algorithms")</f>
        <v>Algorithms</v>
      </c>
      <c r="I747" s="23">
        <f>IFERROR(__xludf.DUMMYFUNCTION("""COMPUTED_VALUE"""),0.587)</f>
        <v>0.587</v>
      </c>
      <c r="J747" s="23">
        <f>IFERROR(__xludf.DUMMYFUNCTION("""COMPUTED_VALUE"""),746.0)</f>
        <v>746</v>
      </c>
      <c r="K747" s="23" t="b">
        <f>IFERROR(__xludf.DUMMYFUNCTION("""COMPUTED_VALUE"""),FALSE)</f>
        <v>0</v>
      </c>
      <c r="L747" s="23" t="str">
        <f>IFERROR(__xludf.DUMMYFUNCTION("""COMPUTED_VALUE"""),"Array;Dynamic Programming;")</f>
        <v>Array;Dynamic Programming;</v>
      </c>
      <c r="M747" s="23" t="b">
        <f>IFERROR(__xludf.DUMMYFUNCTION("""COMPUTED_VALUE"""),TRUE)</f>
        <v>1</v>
      </c>
      <c r="N747" s="23" t="b">
        <f>IFERROR(__xludf.DUMMYFUNCTION("""COMPUTED_VALUE"""),FALSE)</f>
        <v>0</v>
      </c>
      <c r="O747" s="23">
        <f>IFERROR(__xludf.DUMMYFUNCTION("""COMPUTED_VALUE"""),58.7175802666003)</f>
        <v>58.71758027</v>
      </c>
      <c r="P747" s="23">
        <f>IFERROR(__xludf.DUMMYFUNCTION("""COMPUTED_VALUE"""),458064.0)</f>
        <v>458064</v>
      </c>
      <c r="Q747" s="23">
        <f>IFERROR(__xludf.DUMMYFUNCTION("""COMPUTED_VALUE"""),780110.0)</f>
        <v>780110</v>
      </c>
    </row>
    <row r="748">
      <c r="A748" s="23">
        <f>IFERROR(__xludf.DUMMYFUNCTION("""COMPUTED_VALUE"""),748.0)</f>
        <v>748</v>
      </c>
      <c r="B748" s="23" t="str">
        <f>IFERROR(__xludf.DUMMYFUNCTION("""COMPUTED_VALUE"""),"Largest Number At Least Twice of Others")</f>
        <v>Largest Number At Least Twice of Others</v>
      </c>
      <c r="C748" s="23" t="str">
        <f>IFERROR(__xludf.DUMMYFUNCTION("""COMPUTED_VALUE"""),"largest-number-at-least-twice-of-others")</f>
        <v>largest-number-at-least-twice-of-others</v>
      </c>
      <c r="D748" s="23" t="b">
        <f>IFERROR(__xludf.DUMMYFUNCTION("""COMPUTED_VALUE"""),FALSE)</f>
        <v>0</v>
      </c>
      <c r="E748" s="23" t="str">
        <f>IFERROR(__xludf.DUMMYFUNCTION("""COMPUTED_VALUE"""),"Easy")</f>
        <v>Easy</v>
      </c>
      <c r="F748" s="23">
        <f>IFERROR(__xludf.DUMMYFUNCTION("""COMPUTED_VALUE"""),670.0)</f>
        <v>670</v>
      </c>
      <c r="G748" s="23">
        <f>IFERROR(__xludf.DUMMYFUNCTION("""COMPUTED_VALUE"""),753.0)</f>
        <v>753</v>
      </c>
      <c r="H748" s="23" t="str">
        <f>IFERROR(__xludf.DUMMYFUNCTION("""COMPUTED_VALUE"""),"Algorithms")</f>
        <v>Algorithms</v>
      </c>
      <c r="I748" s="23">
        <f>IFERROR(__xludf.DUMMYFUNCTION("""COMPUTED_VALUE"""),0.452)</f>
        <v>0.452</v>
      </c>
      <c r="J748" s="23">
        <f>IFERROR(__xludf.DUMMYFUNCTION("""COMPUTED_VALUE"""),747.0)</f>
        <v>747</v>
      </c>
      <c r="K748" s="23" t="b">
        <f>IFERROR(__xludf.DUMMYFUNCTION("""COMPUTED_VALUE"""),FALSE)</f>
        <v>0</v>
      </c>
      <c r="L748" s="23" t="str">
        <f>IFERROR(__xludf.DUMMYFUNCTION("""COMPUTED_VALUE"""),"Array;Sorting;")</f>
        <v>Array;Sorting;</v>
      </c>
      <c r="M748" s="23" t="b">
        <f>IFERROR(__xludf.DUMMYFUNCTION("""COMPUTED_VALUE"""),FALSE)</f>
        <v>0</v>
      </c>
      <c r="N748" s="23" t="b">
        <f>IFERROR(__xludf.DUMMYFUNCTION("""COMPUTED_VALUE"""),FALSE)</f>
        <v>0</v>
      </c>
      <c r="O748" s="23">
        <f>IFERROR(__xludf.DUMMYFUNCTION("""COMPUTED_VALUE"""),45.2218281952342)</f>
        <v>45.2218282</v>
      </c>
      <c r="P748" s="23">
        <f>IFERROR(__xludf.DUMMYFUNCTION("""COMPUTED_VALUE"""),156338.0)</f>
        <v>156338</v>
      </c>
      <c r="Q748" s="23">
        <f>IFERROR(__xludf.DUMMYFUNCTION("""COMPUTED_VALUE"""),345711.0)</f>
        <v>345711</v>
      </c>
    </row>
    <row r="749">
      <c r="A749" s="23">
        <f>IFERROR(__xludf.DUMMYFUNCTION("""COMPUTED_VALUE"""),749.0)</f>
        <v>749</v>
      </c>
      <c r="B749" s="23" t="str">
        <f>IFERROR(__xludf.DUMMYFUNCTION("""COMPUTED_VALUE"""),"Shortest Completing Word")</f>
        <v>Shortest Completing Word</v>
      </c>
      <c r="C749" s="23" t="str">
        <f>IFERROR(__xludf.DUMMYFUNCTION("""COMPUTED_VALUE"""),"shortest-completing-word")</f>
        <v>shortest-completing-word</v>
      </c>
      <c r="D749" s="23" t="b">
        <f>IFERROR(__xludf.DUMMYFUNCTION("""COMPUTED_VALUE"""),FALSE)</f>
        <v>0</v>
      </c>
      <c r="E749" s="23" t="str">
        <f>IFERROR(__xludf.DUMMYFUNCTION("""COMPUTED_VALUE"""),"Easy")</f>
        <v>Easy</v>
      </c>
      <c r="F749" s="23">
        <f>IFERROR(__xludf.DUMMYFUNCTION("""COMPUTED_VALUE"""),316.0)</f>
        <v>316</v>
      </c>
      <c r="G749" s="23">
        <f>IFERROR(__xludf.DUMMYFUNCTION("""COMPUTED_VALUE"""),857.0)</f>
        <v>857</v>
      </c>
      <c r="H749" s="23" t="str">
        <f>IFERROR(__xludf.DUMMYFUNCTION("""COMPUTED_VALUE"""),"Algorithms")</f>
        <v>Algorithms</v>
      </c>
      <c r="I749" s="23">
        <f>IFERROR(__xludf.DUMMYFUNCTION("""COMPUTED_VALUE"""),0.589)</f>
        <v>0.589</v>
      </c>
      <c r="J749" s="23">
        <f>IFERROR(__xludf.DUMMYFUNCTION("""COMPUTED_VALUE"""),748.0)</f>
        <v>748</v>
      </c>
      <c r="K749" s="23" t="b">
        <f>IFERROR(__xludf.DUMMYFUNCTION("""COMPUTED_VALUE"""),FALSE)</f>
        <v>0</v>
      </c>
      <c r="L749" s="23" t="str">
        <f>IFERROR(__xludf.DUMMYFUNCTION("""COMPUTED_VALUE"""),"Array;Hash Table;String;")</f>
        <v>Array;Hash Table;String;</v>
      </c>
      <c r="M749" s="23" t="b">
        <f>IFERROR(__xludf.DUMMYFUNCTION("""COMPUTED_VALUE"""),FALSE)</f>
        <v>0</v>
      </c>
      <c r="N749" s="23" t="b">
        <f>IFERROR(__xludf.DUMMYFUNCTION("""COMPUTED_VALUE"""),FALSE)</f>
        <v>0</v>
      </c>
      <c r="O749" s="23">
        <f>IFERROR(__xludf.DUMMYFUNCTION("""COMPUTED_VALUE"""),58.9035751442353)</f>
        <v>58.90357514</v>
      </c>
      <c r="P749" s="23">
        <f>IFERROR(__xludf.DUMMYFUNCTION("""COMPUTED_VALUE"""),49823.0)</f>
        <v>49823</v>
      </c>
      <c r="Q749" s="23">
        <f>IFERROR(__xludf.DUMMYFUNCTION("""COMPUTED_VALUE"""),84584.0)</f>
        <v>84584</v>
      </c>
    </row>
    <row r="750">
      <c r="A750" s="23">
        <f>IFERROR(__xludf.DUMMYFUNCTION("""COMPUTED_VALUE"""),750.0)</f>
        <v>750</v>
      </c>
      <c r="B750" s="23" t="str">
        <f>IFERROR(__xludf.DUMMYFUNCTION("""COMPUTED_VALUE"""),"Contain Virus")</f>
        <v>Contain Virus</v>
      </c>
      <c r="C750" s="23" t="str">
        <f>IFERROR(__xludf.DUMMYFUNCTION("""COMPUTED_VALUE"""),"contain-virus")</f>
        <v>contain-virus</v>
      </c>
      <c r="D750" s="23" t="b">
        <f>IFERROR(__xludf.DUMMYFUNCTION("""COMPUTED_VALUE"""),FALSE)</f>
        <v>0</v>
      </c>
      <c r="E750" s="23" t="str">
        <f>IFERROR(__xludf.DUMMYFUNCTION("""COMPUTED_VALUE"""),"Hard")</f>
        <v>Hard</v>
      </c>
      <c r="F750" s="23">
        <f>IFERROR(__xludf.DUMMYFUNCTION("""COMPUTED_VALUE"""),234.0)</f>
        <v>234</v>
      </c>
      <c r="G750" s="23">
        <f>IFERROR(__xludf.DUMMYFUNCTION("""COMPUTED_VALUE"""),368.0)</f>
        <v>368</v>
      </c>
      <c r="H750" s="23" t="str">
        <f>IFERROR(__xludf.DUMMYFUNCTION("""COMPUTED_VALUE"""),"Algorithms")</f>
        <v>Algorithms</v>
      </c>
      <c r="I750" s="23">
        <f>IFERROR(__xludf.DUMMYFUNCTION("""COMPUTED_VALUE"""),0.5)</f>
        <v>0.5</v>
      </c>
      <c r="J750" s="23">
        <f>IFERROR(__xludf.DUMMYFUNCTION("""COMPUTED_VALUE"""),749.0)</f>
        <v>749</v>
      </c>
      <c r="K750" s="23" t="b">
        <f>IFERROR(__xludf.DUMMYFUNCTION("""COMPUTED_VALUE"""),FALSE)</f>
        <v>0</v>
      </c>
      <c r="L750" s="23" t="str">
        <f>IFERROR(__xludf.DUMMYFUNCTION("""COMPUTED_VALUE"""),"Array;Depth-First Search;Breadth-First Search;Matrix;Simulation;")</f>
        <v>Array;Depth-First Search;Breadth-First Search;Matrix;Simulation;</v>
      </c>
      <c r="M750" s="23" t="b">
        <f>IFERROR(__xludf.DUMMYFUNCTION("""COMPUTED_VALUE"""),FALSE)</f>
        <v>0</v>
      </c>
      <c r="N750" s="23" t="b">
        <f>IFERROR(__xludf.DUMMYFUNCTION("""COMPUTED_VALUE"""),FALSE)</f>
        <v>0</v>
      </c>
      <c r="O750" s="23">
        <f>IFERROR(__xludf.DUMMYFUNCTION("""COMPUTED_VALUE"""),50.0091357573542)</f>
        <v>50.00913576</v>
      </c>
      <c r="P750" s="23">
        <f>IFERROR(__xludf.DUMMYFUNCTION("""COMPUTED_VALUE"""),8211.0)</f>
        <v>8211</v>
      </c>
      <c r="Q750" s="23">
        <f>IFERROR(__xludf.DUMMYFUNCTION("""COMPUTED_VALUE"""),16419.0)</f>
        <v>16419</v>
      </c>
    </row>
    <row r="751">
      <c r="A751" s="23">
        <f>IFERROR(__xludf.DUMMYFUNCTION("""COMPUTED_VALUE"""),751.0)</f>
        <v>751</v>
      </c>
      <c r="B751" s="23" t="str">
        <f>IFERROR(__xludf.DUMMYFUNCTION("""COMPUTED_VALUE"""),"Number Of Corner Rectangles")</f>
        <v>Number Of Corner Rectangles</v>
      </c>
      <c r="C751" s="23" t="str">
        <f>IFERROR(__xludf.DUMMYFUNCTION("""COMPUTED_VALUE"""),"number-of-corner-rectangles")</f>
        <v>number-of-corner-rectangles</v>
      </c>
      <c r="D751" s="23" t="b">
        <f>IFERROR(__xludf.DUMMYFUNCTION("""COMPUTED_VALUE"""),TRUE)</f>
        <v>1</v>
      </c>
      <c r="E751" s="23" t="str">
        <f>IFERROR(__xludf.DUMMYFUNCTION("""COMPUTED_VALUE"""),"Medium")</f>
        <v>Medium</v>
      </c>
      <c r="F751" s="23">
        <f>IFERROR(__xludf.DUMMYFUNCTION("""COMPUTED_VALUE"""),578.0)</f>
        <v>578</v>
      </c>
      <c r="G751" s="23">
        <f>IFERROR(__xludf.DUMMYFUNCTION("""COMPUTED_VALUE"""),85.0)</f>
        <v>85</v>
      </c>
      <c r="H751" s="23" t="str">
        <f>IFERROR(__xludf.DUMMYFUNCTION("""COMPUTED_VALUE"""),"Algorithms")</f>
        <v>Algorithms</v>
      </c>
      <c r="I751" s="23">
        <f>IFERROR(__xludf.DUMMYFUNCTION("""COMPUTED_VALUE"""),0.675)</f>
        <v>0.675</v>
      </c>
      <c r="J751" s="23">
        <f>IFERROR(__xludf.DUMMYFUNCTION("""COMPUTED_VALUE"""),750.0)</f>
        <v>750</v>
      </c>
      <c r="K751" s="23" t="b">
        <f>IFERROR(__xludf.DUMMYFUNCTION("""COMPUTED_VALUE"""),TRUE)</f>
        <v>1</v>
      </c>
      <c r="L751" s="23" t="str">
        <f>IFERROR(__xludf.DUMMYFUNCTION("""COMPUTED_VALUE"""),"Array;Math;Dynamic Programming;Matrix;")</f>
        <v>Array;Math;Dynamic Programming;Matrix;</v>
      </c>
      <c r="M751" s="23" t="b">
        <f>IFERROR(__xludf.DUMMYFUNCTION("""COMPUTED_VALUE"""),TRUE)</f>
        <v>1</v>
      </c>
      <c r="N751" s="23" t="b">
        <f>IFERROR(__xludf.DUMMYFUNCTION("""COMPUTED_VALUE"""),FALSE)</f>
        <v>0</v>
      </c>
      <c r="O751" s="23">
        <f>IFERROR(__xludf.DUMMYFUNCTION("""COMPUTED_VALUE"""),67.536209903693)</f>
        <v>67.5362099</v>
      </c>
      <c r="P751" s="23">
        <f>IFERROR(__xludf.DUMMYFUNCTION("""COMPUTED_VALUE"""),35624.0)</f>
        <v>35624</v>
      </c>
      <c r="Q751" s="23">
        <f>IFERROR(__xludf.DUMMYFUNCTION("""COMPUTED_VALUE"""),52748.0)</f>
        <v>52748</v>
      </c>
    </row>
    <row r="752">
      <c r="A752" s="23">
        <f>IFERROR(__xludf.DUMMYFUNCTION("""COMPUTED_VALUE"""),752.0)</f>
        <v>752</v>
      </c>
      <c r="B752" s="23" t="str">
        <f>IFERROR(__xludf.DUMMYFUNCTION("""COMPUTED_VALUE"""),"IP to CIDR")</f>
        <v>IP to CIDR</v>
      </c>
      <c r="C752" s="23" t="str">
        <f>IFERROR(__xludf.DUMMYFUNCTION("""COMPUTED_VALUE"""),"ip-to-cidr")</f>
        <v>ip-to-cidr</v>
      </c>
      <c r="D752" s="23" t="b">
        <f>IFERROR(__xludf.DUMMYFUNCTION("""COMPUTED_VALUE"""),TRUE)</f>
        <v>1</v>
      </c>
      <c r="E752" s="23" t="str">
        <f>IFERROR(__xludf.DUMMYFUNCTION("""COMPUTED_VALUE"""),"Medium")</f>
        <v>Medium</v>
      </c>
      <c r="F752" s="23">
        <f>IFERROR(__xludf.DUMMYFUNCTION("""COMPUTED_VALUE"""),30.0)</f>
        <v>30</v>
      </c>
      <c r="G752" s="23">
        <f>IFERROR(__xludf.DUMMYFUNCTION("""COMPUTED_VALUE"""),83.0)</f>
        <v>83</v>
      </c>
      <c r="H752" s="23" t="str">
        <f>IFERROR(__xludf.DUMMYFUNCTION("""COMPUTED_VALUE"""),"Algorithms")</f>
        <v>Algorithms</v>
      </c>
      <c r="I752" s="23">
        <f>IFERROR(__xludf.DUMMYFUNCTION("""COMPUTED_VALUE"""),0.549)</f>
        <v>0.549</v>
      </c>
      <c r="J752" s="23">
        <f>IFERROR(__xludf.DUMMYFUNCTION("""COMPUTED_VALUE"""),751.0)</f>
        <v>751</v>
      </c>
      <c r="K752" s="23" t="b">
        <f>IFERROR(__xludf.DUMMYFUNCTION("""COMPUTED_VALUE"""),TRUE)</f>
        <v>1</v>
      </c>
      <c r="L752" s="23" t="str">
        <f>IFERROR(__xludf.DUMMYFUNCTION("""COMPUTED_VALUE"""),"String;Bit Manipulation;")</f>
        <v>String;Bit Manipulation;</v>
      </c>
      <c r="M752" s="23" t="b">
        <f>IFERROR(__xludf.DUMMYFUNCTION("""COMPUTED_VALUE"""),FALSE)</f>
        <v>0</v>
      </c>
      <c r="N752" s="23" t="b">
        <f>IFERROR(__xludf.DUMMYFUNCTION("""COMPUTED_VALUE"""),FALSE)</f>
        <v>0</v>
      </c>
      <c r="O752" s="23">
        <f>IFERROR(__xludf.DUMMYFUNCTION("""COMPUTED_VALUE"""),54.8795346460716)</f>
        <v>54.87953465</v>
      </c>
      <c r="P752" s="23">
        <f>IFERROR(__xludf.DUMMYFUNCTION("""COMPUTED_VALUE"""),13963.0)</f>
        <v>13963</v>
      </c>
      <c r="Q752" s="23">
        <f>IFERROR(__xludf.DUMMYFUNCTION("""COMPUTED_VALUE"""),25443.0)</f>
        <v>25443</v>
      </c>
    </row>
    <row r="753">
      <c r="A753" s="23">
        <f>IFERROR(__xludf.DUMMYFUNCTION("""COMPUTED_VALUE"""),753.0)</f>
        <v>753</v>
      </c>
      <c r="B753" s="23" t="str">
        <f>IFERROR(__xludf.DUMMYFUNCTION("""COMPUTED_VALUE"""),"Open the Lock")</f>
        <v>Open the Lock</v>
      </c>
      <c r="C753" s="23" t="str">
        <f>IFERROR(__xludf.DUMMYFUNCTION("""COMPUTED_VALUE"""),"open-the-lock")</f>
        <v>open-the-lock</v>
      </c>
      <c r="D753" s="23" t="b">
        <f>IFERROR(__xludf.DUMMYFUNCTION("""COMPUTED_VALUE"""),FALSE)</f>
        <v>0</v>
      </c>
      <c r="E753" s="23" t="str">
        <f>IFERROR(__xludf.DUMMYFUNCTION("""COMPUTED_VALUE"""),"Medium")</f>
        <v>Medium</v>
      </c>
      <c r="F753" s="23">
        <f>IFERROR(__xludf.DUMMYFUNCTION("""COMPUTED_VALUE"""),2781.0)</f>
        <v>2781</v>
      </c>
      <c r="G753" s="23">
        <f>IFERROR(__xludf.DUMMYFUNCTION("""COMPUTED_VALUE"""),94.0)</f>
        <v>94</v>
      </c>
      <c r="H753" s="23" t="str">
        <f>IFERROR(__xludf.DUMMYFUNCTION("""COMPUTED_VALUE"""),"Algorithms")</f>
        <v>Algorithms</v>
      </c>
      <c r="I753" s="23">
        <f>IFERROR(__xludf.DUMMYFUNCTION("""COMPUTED_VALUE"""),0.553)</f>
        <v>0.553</v>
      </c>
      <c r="J753" s="23">
        <f>IFERROR(__xludf.DUMMYFUNCTION("""COMPUTED_VALUE"""),752.0)</f>
        <v>752</v>
      </c>
      <c r="K753" s="23" t="b">
        <f>IFERROR(__xludf.DUMMYFUNCTION("""COMPUTED_VALUE"""),FALSE)</f>
        <v>0</v>
      </c>
      <c r="L753" s="23" t="str">
        <f>IFERROR(__xludf.DUMMYFUNCTION("""COMPUTED_VALUE"""),"Array;Hash Table;String;Breadth-First Search;")</f>
        <v>Array;Hash Table;String;Breadth-First Search;</v>
      </c>
      <c r="M753" s="23" t="b">
        <f>IFERROR(__xludf.DUMMYFUNCTION("""COMPUTED_VALUE"""),TRUE)</f>
        <v>1</v>
      </c>
      <c r="N753" s="23" t="b">
        <f>IFERROR(__xludf.DUMMYFUNCTION("""COMPUTED_VALUE"""),FALSE)</f>
        <v>0</v>
      </c>
      <c r="O753" s="23">
        <f>IFERROR(__xludf.DUMMYFUNCTION("""COMPUTED_VALUE"""),55.3442464261637)</f>
        <v>55.34424643</v>
      </c>
      <c r="P753" s="23">
        <f>IFERROR(__xludf.DUMMYFUNCTION("""COMPUTED_VALUE"""),160086.0)</f>
        <v>160086</v>
      </c>
      <c r="Q753" s="23">
        <f>IFERROR(__xludf.DUMMYFUNCTION("""COMPUTED_VALUE"""),289255.0)</f>
        <v>289255</v>
      </c>
    </row>
    <row r="754">
      <c r="A754" s="23">
        <f>IFERROR(__xludf.DUMMYFUNCTION("""COMPUTED_VALUE"""),754.0)</f>
        <v>754</v>
      </c>
      <c r="B754" s="23" t="str">
        <f>IFERROR(__xludf.DUMMYFUNCTION("""COMPUTED_VALUE"""),"Cracking the Safe")</f>
        <v>Cracking the Safe</v>
      </c>
      <c r="C754" s="23" t="str">
        <f>IFERROR(__xludf.DUMMYFUNCTION("""COMPUTED_VALUE"""),"cracking-the-safe")</f>
        <v>cracking-the-safe</v>
      </c>
      <c r="D754" s="23" t="b">
        <f>IFERROR(__xludf.DUMMYFUNCTION("""COMPUTED_VALUE"""),FALSE)</f>
        <v>0</v>
      </c>
      <c r="E754" s="23" t="str">
        <f>IFERROR(__xludf.DUMMYFUNCTION("""COMPUTED_VALUE"""),"Hard")</f>
        <v>Hard</v>
      </c>
      <c r="F754" s="23">
        <f>IFERROR(__xludf.DUMMYFUNCTION("""COMPUTED_VALUE"""),203.0)</f>
        <v>203</v>
      </c>
      <c r="G754" s="23">
        <f>IFERROR(__xludf.DUMMYFUNCTION("""COMPUTED_VALUE"""),36.0)</f>
        <v>36</v>
      </c>
      <c r="H754" s="23" t="str">
        <f>IFERROR(__xludf.DUMMYFUNCTION("""COMPUTED_VALUE"""),"Algorithms")</f>
        <v>Algorithms</v>
      </c>
      <c r="I754" s="23">
        <f>IFERROR(__xludf.DUMMYFUNCTION("""COMPUTED_VALUE"""),0.546)</f>
        <v>0.546</v>
      </c>
      <c r="J754" s="23">
        <f>IFERROR(__xludf.DUMMYFUNCTION("""COMPUTED_VALUE"""),753.0)</f>
        <v>753</v>
      </c>
      <c r="K754" s="23" t="b">
        <f>IFERROR(__xludf.DUMMYFUNCTION("""COMPUTED_VALUE"""),FALSE)</f>
        <v>0</v>
      </c>
      <c r="L754" s="23" t="str">
        <f>IFERROR(__xludf.DUMMYFUNCTION("""COMPUTED_VALUE"""),"Depth-First Search;Graph;Eulerian Circuit;")</f>
        <v>Depth-First Search;Graph;Eulerian Circuit;</v>
      </c>
      <c r="M754" s="23" t="b">
        <f>IFERROR(__xludf.DUMMYFUNCTION("""COMPUTED_VALUE"""),FALSE)</f>
        <v>0</v>
      </c>
      <c r="N754" s="23" t="b">
        <f>IFERROR(__xludf.DUMMYFUNCTION("""COMPUTED_VALUE"""),FALSE)</f>
        <v>0</v>
      </c>
      <c r="O754" s="23">
        <f>IFERROR(__xludf.DUMMYFUNCTION("""COMPUTED_VALUE"""),54.5705448489174)</f>
        <v>54.57054485</v>
      </c>
      <c r="P754" s="23">
        <f>IFERROR(__xludf.DUMMYFUNCTION("""COMPUTED_VALUE"""),45872.0)</f>
        <v>45872</v>
      </c>
      <c r="Q754" s="23">
        <f>IFERROR(__xludf.DUMMYFUNCTION("""COMPUTED_VALUE"""),84060.0)</f>
        <v>84060</v>
      </c>
    </row>
    <row r="755">
      <c r="A755" s="23">
        <f>IFERROR(__xludf.DUMMYFUNCTION("""COMPUTED_VALUE"""),755.0)</f>
        <v>755</v>
      </c>
      <c r="B755" s="23" t="str">
        <f>IFERROR(__xludf.DUMMYFUNCTION("""COMPUTED_VALUE"""),"Reach a Number")</f>
        <v>Reach a Number</v>
      </c>
      <c r="C755" s="23" t="str">
        <f>IFERROR(__xludf.DUMMYFUNCTION("""COMPUTED_VALUE"""),"reach-a-number")</f>
        <v>reach-a-number</v>
      </c>
      <c r="D755" s="23" t="b">
        <f>IFERROR(__xludf.DUMMYFUNCTION("""COMPUTED_VALUE"""),FALSE)</f>
        <v>0</v>
      </c>
      <c r="E755" s="23" t="str">
        <f>IFERROR(__xludf.DUMMYFUNCTION("""COMPUTED_VALUE"""),"Medium")</f>
        <v>Medium</v>
      </c>
      <c r="F755" s="23">
        <f>IFERROR(__xludf.DUMMYFUNCTION("""COMPUTED_VALUE"""),1114.0)</f>
        <v>1114</v>
      </c>
      <c r="G755" s="23">
        <f>IFERROR(__xludf.DUMMYFUNCTION("""COMPUTED_VALUE"""),661.0)</f>
        <v>661</v>
      </c>
      <c r="H755" s="23" t="str">
        <f>IFERROR(__xludf.DUMMYFUNCTION("""COMPUTED_VALUE"""),"Algorithms")</f>
        <v>Algorithms</v>
      </c>
      <c r="I755" s="23">
        <f>IFERROR(__xludf.DUMMYFUNCTION("""COMPUTED_VALUE"""),0.418)</f>
        <v>0.418</v>
      </c>
      <c r="J755" s="23">
        <f>IFERROR(__xludf.DUMMYFUNCTION("""COMPUTED_VALUE"""),754.0)</f>
        <v>754</v>
      </c>
      <c r="K755" s="23" t="b">
        <f>IFERROR(__xludf.DUMMYFUNCTION("""COMPUTED_VALUE"""),FALSE)</f>
        <v>0</v>
      </c>
      <c r="L755" s="23" t="str">
        <f>IFERROR(__xludf.DUMMYFUNCTION("""COMPUTED_VALUE"""),"Math;Binary Search;")</f>
        <v>Math;Binary Search;</v>
      </c>
      <c r="M755" s="23" t="b">
        <f>IFERROR(__xludf.DUMMYFUNCTION("""COMPUTED_VALUE"""),TRUE)</f>
        <v>1</v>
      </c>
      <c r="N755" s="23" t="b">
        <f>IFERROR(__xludf.DUMMYFUNCTION("""COMPUTED_VALUE"""),FALSE)</f>
        <v>0</v>
      </c>
      <c r="O755" s="23">
        <f>IFERROR(__xludf.DUMMYFUNCTION("""COMPUTED_VALUE"""),41.8018410588812)</f>
        <v>41.80184106</v>
      </c>
      <c r="P755" s="23">
        <f>IFERROR(__xludf.DUMMYFUNCTION("""COMPUTED_VALUE"""),38372.0)</f>
        <v>38372</v>
      </c>
      <c r="Q755" s="23">
        <f>IFERROR(__xludf.DUMMYFUNCTION("""COMPUTED_VALUE"""),91795.0)</f>
        <v>91795</v>
      </c>
    </row>
    <row r="756">
      <c r="A756" s="23">
        <f>IFERROR(__xludf.DUMMYFUNCTION("""COMPUTED_VALUE"""),756.0)</f>
        <v>756</v>
      </c>
      <c r="B756" s="23" t="str">
        <f>IFERROR(__xludf.DUMMYFUNCTION("""COMPUTED_VALUE"""),"Pour Water")</f>
        <v>Pour Water</v>
      </c>
      <c r="C756" s="23" t="str">
        <f>IFERROR(__xludf.DUMMYFUNCTION("""COMPUTED_VALUE"""),"pour-water")</f>
        <v>pour-water</v>
      </c>
      <c r="D756" s="23" t="b">
        <f>IFERROR(__xludf.DUMMYFUNCTION("""COMPUTED_VALUE"""),TRUE)</f>
        <v>1</v>
      </c>
      <c r="E756" s="23" t="str">
        <f>IFERROR(__xludf.DUMMYFUNCTION("""COMPUTED_VALUE"""),"Medium")</f>
        <v>Medium</v>
      </c>
      <c r="F756" s="23">
        <f>IFERROR(__xludf.DUMMYFUNCTION("""COMPUTED_VALUE"""),258.0)</f>
        <v>258</v>
      </c>
      <c r="G756" s="23">
        <f>IFERROR(__xludf.DUMMYFUNCTION("""COMPUTED_VALUE"""),610.0)</f>
        <v>610</v>
      </c>
      <c r="H756" s="23" t="str">
        <f>IFERROR(__xludf.DUMMYFUNCTION("""COMPUTED_VALUE"""),"Algorithms")</f>
        <v>Algorithms</v>
      </c>
      <c r="I756" s="23">
        <f>IFERROR(__xludf.DUMMYFUNCTION("""COMPUTED_VALUE"""),0.455)</f>
        <v>0.455</v>
      </c>
      <c r="J756" s="23">
        <f>IFERROR(__xludf.DUMMYFUNCTION("""COMPUTED_VALUE"""),755.0)</f>
        <v>755</v>
      </c>
      <c r="K756" s="23" t="b">
        <f>IFERROR(__xludf.DUMMYFUNCTION("""COMPUTED_VALUE"""),TRUE)</f>
        <v>1</v>
      </c>
      <c r="L756" s="23" t="str">
        <f>IFERROR(__xludf.DUMMYFUNCTION("""COMPUTED_VALUE"""),"Array;Simulation;")</f>
        <v>Array;Simulation;</v>
      </c>
      <c r="M756" s="23" t="b">
        <f>IFERROR(__xludf.DUMMYFUNCTION("""COMPUTED_VALUE"""),FALSE)</f>
        <v>0</v>
      </c>
      <c r="N756" s="23" t="b">
        <f>IFERROR(__xludf.DUMMYFUNCTION("""COMPUTED_VALUE"""),FALSE)</f>
        <v>0</v>
      </c>
      <c r="O756" s="23">
        <f>IFERROR(__xludf.DUMMYFUNCTION("""COMPUTED_VALUE"""),45.5287749115432)</f>
        <v>45.52877491</v>
      </c>
      <c r="P756" s="23">
        <f>IFERROR(__xludf.DUMMYFUNCTION("""COMPUTED_VALUE"""),30110.0)</f>
        <v>30110</v>
      </c>
      <c r="Q756" s="23">
        <f>IFERROR(__xludf.DUMMYFUNCTION("""COMPUTED_VALUE"""),66134.0)</f>
        <v>66134</v>
      </c>
    </row>
    <row r="757">
      <c r="A757" s="23">
        <f>IFERROR(__xludf.DUMMYFUNCTION("""COMPUTED_VALUE"""),757.0)</f>
        <v>757</v>
      </c>
      <c r="B757" s="23" t="str">
        <f>IFERROR(__xludf.DUMMYFUNCTION("""COMPUTED_VALUE"""),"Pyramid Transition Matrix")</f>
        <v>Pyramid Transition Matrix</v>
      </c>
      <c r="C757" s="23" t="str">
        <f>IFERROR(__xludf.DUMMYFUNCTION("""COMPUTED_VALUE"""),"pyramid-transition-matrix")</f>
        <v>pyramid-transition-matrix</v>
      </c>
      <c r="D757" s="23" t="b">
        <f>IFERROR(__xludf.DUMMYFUNCTION("""COMPUTED_VALUE"""),FALSE)</f>
        <v>0</v>
      </c>
      <c r="E757" s="23" t="str">
        <f>IFERROR(__xludf.DUMMYFUNCTION("""COMPUTED_VALUE"""),"Medium")</f>
        <v>Medium</v>
      </c>
      <c r="F757" s="23">
        <f>IFERROR(__xludf.DUMMYFUNCTION("""COMPUTED_VALUE"""),450.0)</f>
        <v>450</v>
      </c>
      <c r="G757" s="23">
        <f>IFERROR(__xludf.DUMMYFUNCTION("""COMPUTED_VALUE"""),429.0)</f>
        <v>429</v>
      </c>
      <c r="H757" s="23" t="str">
        <f>IFERROR(__xludf.DUMMYFUNCTION("""COMPUTED_VALUE"""),"Algorithms")</f>
        <v>Algorithms</v>
      </c>
      <c r="I757" s="23">
        <f>IFERROR(__xludf.DUMMYFUNCTION("""COMPUTED_VALUE"""),0.546)</f>
        <v>0.546</v>
      </c>
      <c r="J757" s="23">
        <f>IFERROR(__xludf.DUMMYFUNCTION("""COMPUTED_VALUE"""),756.0)</f>
        <v>756</v>
      </c>
      <c r="K757" s="23" t="b">
        <f>IFERROR(__xludf.DUMMYFUNCTION("""COMPUTED_VALUE"""),FALSE)</f>
        <v>0</v>
      </c>
      <c r="L757" s="23" t="str">
        <f>IFERROR(__xludf.DUMMYFUNCTION("""COMPUTED_VALUE"""),"Bit Manipulation;Depth-First Search;Breadth-First Search;")</f>
        <v>Bit Manipulation;Depth-First Search;Breadth-First Search;</v>
      </c>
      <c r="M757" s="23" t="b">
        <f>IFERROR(__xludf.DUMMYFUNCTION("""COMPUTED_VALUE"""),FALSE)</f>
        <v>0</v>
      </c>
      <c r="N757" s="23" t="b">
        <f>IFERROR(__xludf.DUMMYFUNCTION("""COMPUTED_VALUE"""),FALSE)</f>
        <v>0</v>
      </c>
      <c r="O757" s="23">
        <f>IFERROR(__xludf.DUMMYFUNCTION("""COMPUTED_VALUE"""),54.5939525707613)</f>
        <v>54.59395257</v>
      </c>
      <c r="P757" s="23">
        <f>IFERROR(__xludf.DUMMYFUNCTION("""COMPUTED_VALUE"""),27119.0)</f>
        <v>27119</v>
      </c>
      <c r="Q757" s="23">
        <f>IFERROR(__xludf.DUMMYFUNCTION("""COMPUTED_VALUE"""),49674.0)</f>
        <v>49674</v>
      </c>
    </row>
    <row r="758">
      <c r="A758" s="23">
        <f>IFERROR(__xludf.DUMMYFUNCTION("""COMPUTED_VALUE"""),759.0)</f>
        <v>759</v>
      </c>
      <c r="B758" s="23" t="str">
        <f>IFERROR(__xludf.DUMMYFUNCTION("""COMPUTED_VALUE"""),"Set Intersection Size At Least Two")</f>
        <v>Set Intersection Size At Least Two</v>
      </c>
      <c r="C758" s="23" t="str">
        <f>IFERROR(__xludf.DUMMYFUNCTION("""COMPUTED_VALUE"""),"set-intersection-size-at-least-two")</f>
        <v>set-intersection-size-at-least-two</v>
      </c>
      <c r="D758" s="23" t="b">
        <f>IFERROR(__xludf.DUMMYFUNCTION("""COMPUTED_VALUE"""),FALSE)</f>
        <v>0</v>
      </c>
      <c r="E758" s="23" t="str">
        <f>IFERROR(__xludf.DUMMYFUNCTION("""COMPUTED_VALUE"""),"Hard")</f>
        <v>Hard</v>
      </c>
      <c r="F758" s="23">
        <f>IFERROR(__xludf.DUMMYFUNCTION("""COMPUTED_VALUE"""),448.0)</f>
        <v>448</v>
      </c>
      <c r="G758" s="23">
        <f>IFERROR(__xludf.DUMMYFUNCTION("""COMPUTED_VALUE"""),59.0)</f>
        <v>59</v>
      </c>
      <c r="H758" s="23" t="str">
        <f>IFERROR(__xludf.DUMMYFUNCTION("""COMPUTED_VALUE"""),"Algorithms")</f>
        <v>Algorithms</v>
      </c>
      <c r="I758" s="23">
        <f>IFERROR(__xludf.DUMMYFUNCTION("""COMPUTED_VALUE"""),0.431)</f>
        <v>0.431</v>
      </c>
      <c r="J758" s="23">
        <f>IFERROR(__xludf.DUMMYFUNCTION("""COMPUTED_VALUE"""),757.0)</f>
        <v>757</v>
      </c>
      <c r="K758" s="23" t="b">
        <f>IFERROR(__xludf.DUMMYFUNCTION("""COMPUTED_VALUE"""),FALSE)</f>
        <v>0</v>
      </c>
      <c r="L758" s="23" t="str">
        <f>IFERROR(__xludf.DUMMYFUNCTION("""COMPUTED_VALUE"""),"Array;Greedy;Sorting;")</f>
        <v>Array;Greedy;Sorting;</v>
      </c>
      <c r="M758" s="23" t="b">
        <f>IFERROR(__xludf.DUMMYFUNCTION("""COMPUTED_VALUE"""),FALSE)</f>
        <v>0</v>
      </c>
      <c r="N758" s="23" t="b">
        <f>IFERROR(__xludf.DUMMYFUNCTION("""COMPUTED_VALUE"""),FALSE)</f>
        <v>0</v>
      </c>
      <c r="O758" s="23">
        <f>IFERROR(__xludf.DUMMYFUNCTION("""COMPUTED_VALUE"""),43.0978396863791)</f>
        <v>43.09783969</v>
      </c>
      <c r="P758" s="23">
        <f>IFERROR(__xludf.DUMMYFUNCTION("""COMPUTED_VALUE"""),15501.0)</f>
        <v>15501</v>
      </c>
      <c r="Q758" s="23">
        <f>IFERROR(__xludf.DUMMYFUNCTION("""COMPUTED_VALUE"""),35967.0)</f>
        <v>35967</v>
      </c>
    </row>
    <row r="759">
      <c r="A759" s="23">
        <f>IFERROR(__xludf.DUMMYFUNCTION("""COMPUTED_VALUE"""),760.0)</f>
        <v>760</v>
      </c>
      <c r="B759" s="23" t="str">
        <f>IFERROR(__xludf.DUMMYFUNCTION("""COMPUTED_VALUE"""),"Bold Words in String")</f>
        <v>Bold Words in String</v>
      </c>
      <c r="C759" s="23" t="str">
        <f>IFERROR(__xludf.DUMMYFUNCTION("""COMPUTED_VALUE"""),"bold-words-in-string")</f>
        <v>bold-words-in-string</v>
      </c>
      <c r="D759" s="23" t="b">
        <f>IFERROR(__xludf.DUMMYFUNCTION("""COMPUTED_VALUE"""),TRUE)</f>
        <v>1</v>
      </c>
      <c r="E759" s="23" t="str">
        <f>IFERROR(__xludf.DUMMYFUNCTION("""COMPUTED_VALUE"""),"Medium")</f>
        <v>Medium</v>
      </c>
      <c r="F759" s="23">
        <f>IFERROR(__xludf.DUMMYFUNCTION("""COMPUTED_VALUE"""),237.0)</f>
        <v>237</v>
      </c>
      <c r="G759" s="23">
        <f>IFERROR(__xludf.DUMMYFUNCTION("""COMPUTED_VALUE"""),117.0)</f>
        <v>117</v>
      </c>
      <c r="H759" s="23" t="str">
        <f>IFERROR(__xludf.DUMMYFUNCTION("""COMPUTED_VALUE"""),"Algorithms")</f>
        <v>Algorithms</v>
      </c>
      <c r="I759" s="23">
        <f>IFERROR(__xludf.DUMMYFUNCTION("""COMPUTED_VALUE"""),0.502)</f>
        <v>0.502</v>
      </c>
      <c r="J759" s="23">
        <f>IFERROR(__xludf.DUMMYFUNCTION("""COMPUTED_VALUE"""),758.0)</f>
        <v>758</v>
      </c>
      <c r="K759" s="23" t="b">
        <f>IFERROR(__xludf.DUMMYFUNCTION("""COMPUTED_VALUE"""),TRUE)</f>
        <v>1</v>
      </c>
      <c r="L759" s="23" t="str">
        <f>IFERROR(__xludf.DUMMYFUNCTION("""COMPUTED_VALUE"""),"Array;Hash Table;String;Trie;String Matching;")</f>
        <v>Array;Hash Table;String;Trie;String Matching;</v>
      </c>
      <c r="M759" s="23" t="b">
        <f>IFERROR(__xludf.DUMMYFUNCTION("""COMPUTED_VALUE"""),FALSE)</f>
        <v>0</v>
      </c>
      <c r="N759" s="23" t="b">
        <f>IFERROR(__xludf.DUMMYFUNCTION("""COMPUTED_VALUE"""),FALSE)</f>
        <v>0</v>
      </c>
      <c r="O759" s="23">
        <f>IFERROR(__xludf.DUMMYFUNCTION("""COMPUTED_VALUE"""),50.2384061712272)</f>
        <v>50.23840617</v>
      </c>
      <c r="P759" s="23">
        <f>IFERROR(__xludf.DUMMYFUNCTION("""COMPUTED_VALUE"""),16542.0)</f>
        <v>16542</v>
      </c>
      <c r="Q759" s="23">
        <f>IFERROR(__xludf.DUMMYFUNCTION("""COMPUTED_VALUE"""),32927.0)</f>
        <v>32927</v>
      </c>
    </row>
    <row r="760">
      <c r="A760" s="23">
        <f>IFERROR(__xludf.DUMMYFUNCTION("""COMPUTED_VALUE"""),761.0)</f>
        <v>761</v>
      </c>
      <c r="B760" s="23" t="str">
        <f>IFERROR(__xludf.DUMMYFUNCTION("""COMPUTED_VALUE"""),"Employee Free Time")</f>
        <v>Employee Free Time</v>
      </c>
      <c r="C760" s="23" t="str">
        <f>IFERROR(__xludf.DUMMYFUNCTION("""COMPUTED_VALUE"""),"employee-free-time")</f>
        <v>employee-free-time</v>
      </c>
      <c r="D760" s="23" t="b">
        <f>IFERROR(__xludf.DUMMYFUNCTION("""COMPUTED_VALUE"""),TRUE)</f>
        <v>1</v>
      </c>
      <c r="E760" s="23" t="str">
        <f>IFERROR(__xludf.DUMMYFUNCTION("""COMPUTED_VALUE"""),"Hard")</f>
        <v>Hard</v>
      </c>
      <c r="F760" s="23">
        <f>IFERROR(__xludf.DUMMYFUNCTION("""COMPUTED_VALUE"""),1391.0)</f>
        <v>1391</v>
      </c>
      <c r="G760" s="23">
        <f>IFERROR(__xludf.DUMMYFUNCTION("""COMPUTED_VALUE"""),87.0)</f>
        <v>87</v>
      </c>
      <c r="H760" s="23" t="str">
        <f>IFERROR(__xludf.DUMMYFUNCTION("""COMPUTED_VALUE"""),"Algorithms")</f>
        <v>Algorithms</v>
      </c>
      <c r="I760" s="23">
        <f>IFERROR(__xludf.DUMMYFUNCTION("""COMPUTED_VALUE"""),0.71)</f>
        <v>0.71</v>
      </c>
      <c r="J760" s="23">
        <f>IFERROR(__xludf.DUMMYFUNCTION("""COMPUTED_VALUE"""),759.0)</f>
        <v>759</v>
      </c>
      <c r="K760" s="23" t="b">
        <f>IFERROR(__xludf.DUMMYFUNCTION("""COMPUTED_VALUE"""),TRUE)</f>
        <v>1</v>
      </c>
      <c r="L760" s="23" t="str">
        <f>IFERROR(__xludf.DUMMYFUNCTION("""COMPUTED_VALUE"""),"Array;Sorting;Heap (Priority Queue);")</f>
        <v>Array;Sorting;Heap (Priority Queue);</v>
      </c>
      <c r="M760" s="23" t="b">
        <f>IFERROR(__xludf.DUMMYFUNCTION("""COMPUTED_VALUE"""),FALSE)</f>
        <v>0</v>
      </c>
      <c r="N760" s="23" t="b">
        <f>IFERROR(__xludf.DUMMYFUNCTION("""COMPUTED_VALUE"""),FALSE)</f>
        <v>0</v>
      </c>
      <c r="O760" s="23">
        <f>IFERROR(__xludf.DUMMYFUNCTION("""COMPUTED_VALUE"""),71.0413419134791)</f>
        <v>71.04134191</v>
      </c>
      <c r="P760" s="23">
        <f>IFERROR(__xludf.DUMMYFUNCTION("""COMPUTED_VALUE"""),106642.0)</f>
        <v>106642</v>
      </c>
      <c r="Q760" s="23">
        <f>IFERROR(__xludf.DUMMYFUNCTION("""COMPUTED_VALUE"""),150113.0)</f>
        <v>150113</v>
      </c>
    </row>
    <row r="761">
      <c r="A761" s="23">
        <f>IFERROR(__xludf.DUMMYFUNCTION("""COMPUTED_VALUE"""),762.0)</f>
        <v>762</v>
      </c>
      <c r="B761" s="23" t="str">
        <f>IFERROR(__xludf.DUMMYFUNCTION("""COMPUTED_VALUE"""),"Find Anagram Mappings")</f>
        <v>Find Anagram Mappings</v>
      </c>
      <c r="C761" s="23" t="str">
        <f>IFERROR(__xludf.DUMMYFUNCTION("""COMPUTED_VALUE"""),"find-anagram-mappings")</f>
        <v>find-anagram-mappings</v>
      </c>
      <c r="D761" s="23" t="b">
        <f>IFERROR(__xludf.DUMMYFUNCTION("""COMPUTED_VALUE"""),TRUE)</f>
        <v>1</v>
      </c>
      <c r="E761" s="23" t="str">
        <f>IFERROR(__xludf.DUMMYFUNCTION("""COMPUTED_VALUE"""),"Easy")</f>
        <v>Easy</v>
      </c>
      <c r="F761" s="23">
        <f>IFERROR(__xludf.DUMMYFUNCTION("""COMPUTED_VALUE"""),485.0)</f>
        <v>485</v>
      </c>
      <c r="G761" s="23">
        <f>IFERROR(__xludf.DUMMYFUNCTION("""COMPUTED_VALUE"""),195.0)</f>
        <v>195</v>
      </c>
      <c r="H761" s="23" t="str">
        <f>IFERROR(__xludf.DUMMYFUNCTION("""COMPUTED_VALUE"""),"Algorithms")</f>
        <v>Algorithms</v>
      </c>
      <c r="I761" s="23">
        <f>IFERROR(__xludf.DUMMYFUNCTION("""COMPUTED_VALUE"""),0.827)</f>
        <v>0.827</v>
      </c>
      <c r="J761" s="23">
        <f>IFERROR(__xludf.DUMMYFUNCTION("""COMPUTED_VALUE"""),760.0)</f>
        <v>760</v>
      </c>
      <c r="K761" s="23" t="b">
        <f>IFERROR(__xludf.DUMMYFUNCTION("""COMPUTED_VALUE"""),TRUE)</f>
        <v>1</v>
      </c>
      <c r="L761" s="23" t="str">
        <f>IFERROR(__xludf.DUMMYFUNCTION("""COMPUTED_VALUE"""),"Array;Hash Table;")</f>
        <v>Array;Hash Table;</v>
      </c>
      <c r="M761" s="23" t="b">
        <f>IFERROR(__xludf.DUMMYFUNCTION("""COMPUTED_VALUE"""),TRUE)</f>
        <v>1</v>
      </c>
      <c r="N761" s="23" t="b">
        <f>IFERROR(__xludf.DUMMYFUNCTION("""COMPUTED_VALUE"""),FALSE)</f>
        <v>0</v>
      </c>
      <c r="O761" s="23">
        <f>IFERROR(__xludf.DUMMYFUNCTION("""COMPUTED_VALUE"""),82.6699113505996)</f>
        <v>82.66991135</v>
      </c>
      <c r="P761" s="23">
        <f>IFERROR(__xludf.DUMMYFUNCTION("""COMPUTED_VALUE"""),80852.0)</f>
        <v>80852</v>
      </c>
      <c r="Q761" s="23">
        <f>IFERROR(__xludf.DUMMYFUNCTION("""COMPUTED_VALUE"""),97801.0)</f>
        <v>97801</v>
      </c>
    </row>
    <row r="762">
      <c r="A762" s="23">
        <f>IFERROR(__xludf.DUMMYFUNCTION("""COMPUTED_VALUE"""),763.0)</f>
        <v>763</v>
      </c>
      <c r="B762" s="23" t="str">
        <f>IFERROR(__xludf.DUMMYFUNCTION("""COMPUTED_VALUE"""),"Special Binary String")</f>
        <v>Special Binary String</v>
      </c>
      <c r="C762" s="23" t="str">
        <f>IFERROR(__xludf.DUMMYFUNCTION("""COMPUTED_VALUE"""),"special-binary-string")</f>
        <v>special-binary-string</v>
      </c>
      <c r="D762" s="23" t="b">
        <f>IFERROR(__xludf.DUMMYFUNCTION("""COMPUTED_VALUE"""),FALSE)</f>
        <v>0</v>
      </c>
      <c r="E762" s="23" t="str">
        <f>IFERROR(__xludf.DUMMYFUNCTION("""COMPUTED_VALUE"""),"Hard")</f>
        <v>Hard</v>
      </c>
      <c r="F762" s="23">
        <f>IFERROR(__xludf.DUMMYFUNCTION("""COMPUTED_VALUE"""),531.0)</f>
        <v>531</v>
      </c>
      <c r="G762" s="23">
        <f>IFERROR(__xludf.DUMMYFUNCTION("""COMPUTED_VALUE"""),169.0)</f>
        <v>169</v>
      </c>
      <c r="H762" s="23" t="str">
        <f>IFERROR(__xludf.DUMMYFUNCTION("""COMPUTED_VALUE"""),"Algorithms")</f>
        <v>Algorithms</v>
      </c>
      <c r="I762" s="23">
        <f>IFERROR(__xludf.DUMMYFUNCTION("""COMPUTED_VALUE"""),0.598)</f>
        <v>0.598</v>
      </c>
      <c r="J762" s="23">
        <f>IFERROR(__xludf.DUMMYFUNCTION("""COMPUTED_VALUE"""),761.0)</f>
        <v>761</v>
      </c>
      <c r="K762" s="23" t="b">
        <f>IFERROR(__xludf.DUMMYFUNCTION("""COMPUTED_VALUE"""),FALSE)</f>
        <v>0</v>
      </c>
      <c r="L762" s="23" t="str">
        <f>IFERROR(__xludf.DUMMYFUNCTION("""COMPUTED_VALUE"""),"String;Recursion;")</f>
        <v>String;Recursion;</v>
      </c>
      <c r="M762" s="23" t="b">
        <f>IFERROR(__xludf.DUMMYFUNCTION("""COMPUTED_VALUE"""),TRUE)</f>
        <v>1</v>
      </c>
      <c r="N762" s="23" t="b">
        <f>IFERROR(__xludf.DUMMYFUNCTION("""COMPUTED_VALUE"""),FALSE)</f>
        <v>0</v>
      </c>
      <c r="O762" s="23">
        <f>IFERROR(__xludf.DUMMYFUNCTION("""COMPUTED_VALUE"""),59.818500381868)</f>
        <v>59.81850038</v>
      </c>
      <c r="P762" s="23">
        <f>IFERROR(__xludf.DUMMYFUNCTION("""COMPUTED_VALUE"""),13315.0)</f>
        <v>13315</v>
      </c>
      <c r="Q762" s="23">
        <f>IFERROR(__xludf.DUMMYFUNCTION("""COMPUTED_VALUE"""),22259.0)</f>
        <v>22259</v>
      </c>
    </row>
    <row r="763">
      <c r="A763" s="23">
        <f>IFERROR(__xludf.DUMMYFUNCTION("""COMPUTED_VALUE"""),767.0)</f>
        <v>767</v>
      </c>
      <c r="B763" s="23" t="str">
        <f>IFERROR(__xludf.DUMMYFUNCTION("""COMPUTED_VALUE"""),"Prime Number of Set Bits in Binary Representation")</f>
        <v>Prime Number of Set Bits in Binary Representation</v>
      </c>
      <c r="C763" s="23" t="str">
        <f>IFERROR(__xludf.DUMMYFUNCTION("""COMPUTED_VALUE"""),"prime-number-of-set-bits-in-binary-representation")</f>
        <v>prime-number-of-set-bits-in-binary-representation</v>
      </c>
      <c r="D763" s="23" t="b">
        <f>IFERROR(__xludf.DUMMYFUNCTION("""COMPUTED_VALUE"""),FALSE)</f>
        <v>0</v>
      </c>
      <c r="E763" s="23" t="str">
        <f>IFERROR(__xludf.DUMMYFUNCTION("""COMPUTED_VALUE"""),"Easy")</f>
        <v>Easy</v>
      </c>
      <c r="F763" s="23">
        <f>IFERROR(__xludf.DUMMYFUNCTION("""COMPUTED_VALUE"""),455.0)</f>
        <v>455</v>
      </c>
      <c r="G763" s="23">
        <f>IFERROR(__xludf.DUMMYFUNCTION("""COMPUTED_VALUE"""),462.0)</f>
        <v>462</v>
      </c>
      <c r="H763" s="23" t="str">
        <f>IFERROR(__xludf.DUMMYFUNCTION("""COMPUTED_VALUE"""),"Algorithms")</f>
        <v>Algorithms</v>
      </c>
      <c r="I763" s="23">
        <f>IFERROR(__xludf.DUMMYFUNCTION("""COMPUTED_VALUE"""),0.668)</f>
        <v>0.668</v>
      </c>
      <c r="J763" s="23">
        <f>IFERROR(__xludf.DUMMYFUNCTION("""COMPUTED_VALUE"""),762.0)</f>
        <v>762</v>
      </c>
      <c r="K763" s="23" t="b">
        <f>IFERROR(__xludf.DUMMYFUNCTION("""COMPUTED_VALUE"""),FALSE)</f>
        <v>0</v>
      </c>
      <c r="L763" s="23" t="str">
        <f>IFERROR(__xludf.DUMMYFUNCTION("""COMPUTED_VALUE"""),"Math;Bit Manipulation;")</f>
        <v>Math;Bit Manipulation;</v>
      </c>
      <c r="M763" s="23" t="b">
        <f>IFERROR(__xludf.DUMMYFUNCTION("""COMPUTED_VALUE"""),FALSE)</f>
        <v>0</v>
      </c>
      <c r="N763" s="23" t="b">
        <f>IFERROR(__xludf.DUMMYFUNCTION("""COMPUTED_VALUE"""),FALSE)</f>
        <v>0</v>
      </c>
      <c r="O763" s="23">
        <f>IFERROR(__xludf.DUMMYFUNCTION("""COMPUTED_VALUE"""),66.7524241095356)</f>
        <v>66.75242411</v>
      </c>
      <c r="P763" s="23">
        <f>IFERROR(__xludf.DUMMYFUNCTION("""COMPUTED_VALUE"""),68498.0)</f>
        <v>68498</v>
      </c>
      <c r="Q763" s="23">
        <f>IFERROR(__xludf.DUMMYFUNCTION("""COMPUTED_VALUE"""),102615.0)</f>
        <v>102615</v>
      </c>
    </row>
    <row r="764">
      <c r="A764" s="23">
        <f>IFERROR(__xludf.DUMMYFUNCTION("""COMPUTED_VALUE"""),768.0)</f>
        <v>768</v>
      </c>
      <c r="B764" s="23" t="str">
        <f>IFERROR(__xludf.DUMMYFUNCTION("""COMPUTED_VALUE"""),"Partition Labels")</f>
        <v>Partition Labels</v>
      </c>
      <c r="C764" s="23" t="str">
        <f>IFERROR(__xludf.DUMMYFUNCTION("""COMPUTED_VALUE"""),"partition-labels")</f>
        <v>partition-labels</v>
      </c>
      <c r="D764" s="23" t="b">
        <f>IFERROR(__xludf.DUMMYFUNCTION("""COMPUTED_VALUE"""),FALSE)</f>
        <v>0</v>
      </c>
      <c r="E764" s="23" t="str">
        <f>IFERROR(__xludf.DUMMYFUNCTION("""COMPUTED_VALUE"""),"Medium")</f>
        <v>Medium</v>
      </c>
      <c r="F764" s="23">
        <f>IFERROR(__xludf.DUMMYFUNCTION("""COMPUTED_VALUE"""),7593.0)</f>
        <v>7593</v>
      </c>
      <c r="G764" s="23">
        <f>IFERROR(__xludf.DUMMYFUNCTION("""COMPUTED_VALUE"""),289.0)</f>
        <v>289</v>
      </c>
      <c r="H764" s="23" t="str">
        <f>IFERROR(__xludf.DUMMYFUNCTION("""COMPUTED_VALUE"""),"Algorithms")</f>
        <v>Algorithms</v>
      </c>
      <c r="I764" s="23">
        <f>IFERROR(__xludf.DUMMYFUNCTION("""COMPUTED_VALUE"""),0.795)</f>
        <v>0.795</v>
      </c>
      <c r="J764" s="23">
        <f>IFERROR(__xludf.DUMMYFUNCTION("""COMPUTED_VALUE"""),763.0)</f>
        <v>763</v>
      </c>
      <c r="K764" s="23" t="b">
        <f>IFERROR(__xludf.DUMMYFUNCTION("""COMPUTED_VALUE"""),FALSE)</f>
        <v>0</v>
      </c>
      <c r="L764" s="23" t="str">
        <f>IFERROR(__xludf.DUMMYFUNCTION("""COMPUTED_VALUE"""),"Hash Table;Two Pointers;String;Greedy;")</f>
        <v>Hash Table;Two Pointers;String;Greedy;</v>
      </c>
      <c r="M764" s="23" t="b">
        <f>IFERROR(__xludf.DUMMYFUNCTION("""COMPUTED_VALUE"""),TRUE)</f>
        <v>1</v>
      </c>
      <c r="N764" s="23" t="b">
        <f>IFERROR(__xludf.DUMMYFUNCTION("""COMPUTED_VALUE"""),FALSE)</f>
        <v>0</v>
      </c>
      <c r="O764" s="23">
        <f>IFERROR(__xludf.DUMMYFUNCTION("""COMPUTED_VALUE"""),79.5481624144745)</f>
        <v>79.54816241</v>
      </c>
      <c r="P764" s="23">
        <f>IFERROR(__xludf.DUMMYFUNCTION("""COMPUTED_VALUE"""),381227.0)</f>
        <v>381227</v>
      </c>
      <c r="Q764" s="23">
        <f>IFERROR(__xludf.DUMMYFUNCTION("""COMPUTED_VALUE"""),479240.0)</f>
        <v>479240</v>
      </c>
    </row>
    <row r="765">
      <c r="A765" s="23">
        <f>IFERROR(__xludf.DUMMYFUNCTION("""COMPUTED_VALUE"""),769.0)</f>
        <v>769</v>
      </c>
      <c r="B765" s="23" t="str">
        <f>IFERROR(__xludf.DUMMYFUNCTION("""COMPUTED_VALUE"""),"Largest Plus Sign")</f>
        <v>Largest Plus Sign</v>
      </c>
      <c r="C765" s="23" t="str">
        <f>IFERROR(__xludf.DUMMYFUNCTION("""COMPUTED_VALUE"""),"largest-plus-sign")</f>
        <v>largest-plus-sign</v>
      </c>
      <c r="D765" s="23" t="b">
        <f>IFERROR(__xludf.DUMMYFUNCTION("""COMPUTED_VALUE"""),FALSE)</f>
        <v>0</v>
      </c>
      <c r="E765" s="23" t="str">
        <f>IFERROR(__xludf.DUMMYFUNCTION("""COMPUTED_VALUE"""),"Medium")</f>
        <v>Medium</v>
      </c>
      <c r="F765" s="23">
        <f>IFERROR(__xludf.DUMMYFUNCTION("""COMPUTED_VALUE"""),1107.0)</f>
        <v>1107</v>
      </c>
      <c r="G765" s="23">
        <f>IFERROR(__xludf.DUMMYFUNCTION("""COMPUTED_VALUE"""),190.0)</f>
        <v>190</v>
      </c>
      <c r="H765" s="23" t="str">
        <f>IFERROR(__xludf.DUMMYFUNCTION("""COMPUTED_VALUE"""),"Algorithms")</f>
        <v>Algorithms</v>
      </c>
      <c r="I765" s="23">
        <f>IFERROR(__xludf.DUMMYFUNCTION("""COMPUTED_VALUE"""),0.486)</f>
        <v>0.486</v>
      </c>
      <c r="J765" s="23">
        <f>IFERROR(__xludf.DUMMYFUNCTION("""COMPUTED_VALUE"""),764.0)</f>
        <v>764</v>
      </c>
      <c r="K765" s="23" t="b">
        <f>IFERROR(__xludf.DUMMYFUNCTION("""COMPUTED_VALUE"""),FALSE)</f>
        <v>0</v>
      </c>
      <c r="L765" s="23" t="str">
        <f>IFERROR(__xludf.DUMMYFUNCTION("""COMPUTED_VALUE"""),"Array;Dynamic Programming;")</f>
        <v>Array;Dynamic Programming;</v>
      </c>
      <c r="M765" s="23" t="b">
        <f>IFERROR(__xludf.DUMMYFUNCTION("""COMPUTED_VALUE"""),TRUE)</f>
        <v>1</v>
      </c>
      <c r="N765" s="23" t="b">
        <f>IFERROR(__xludf.DUMMYFUNCTION("""COMPUTED_VALUE"""),FALSE)</f>
        <v>0</v>
      </c>
      <c r="O765" s="23">
        <f>IFERROR(__xludf.DUMMYFUNCTION("""COMPUTED_VALUE"""),48.569413661092)</f>
        <v>48.56941366</v>
      </c>
      <c r="P765" s="23">
        <f>IFERROR(__xludf.DUMMYFUNCTION("""COMPUTED_VALUE"""),48210.0)</f>
        <v>48210</v>
      </c>
      <c r="Q765" s="23">
        <f>IFERROR(__xludf.DUMMYFUNCTION("""COMPUTED_VALUE"""),99260.0)</f>
        <v>99260</v>
      </c>
    </row>
    <row r="766">
      <c r="A766" s="23">
        <f>IFERROR(__xludf.DUMMYFUNCTION("""COMPUTED_VALUE"""),770.0)</f>
        <v>770</v>
      </c>
      <c r="B766" s="23" t="str">
        <f>IFERROR(__xludf.DUMMYFUNCTION("""COMPUTED_VALUE"""),"Couples Holding Hands")</f>
        <v>Couples Holding Hands</v>
      </c>
      <c r="C766" s="23" t="str">
        <f>IFERROR(__xludf.DUMMYFUNCTION("""COMPUTED_VALUE"""),"couples-holding-hands")</f>
        <v>couples-holding-hands</v>
      </c>
      <c r="D766" s="23" t="b">
        <f>IFERROR(__xludf.DUMMYFUNCTION("""COMPUTED_VALUE"""),FALSE)</f>
        <v>0</v>
      </c>
      <c r="E766" s="23" t="str">
        <f>IFERROR(__xludf.DUMMYFUNCTION("""COMPUTED_VALUE"""),"Hard")</f>
        <v>Hard</v>
      </c>
      <c r="F766" s="23">
        <f>IFERROR(__xludf.DUMMYFUNCTION("""COMPUTED_VALUE"""),1588.0)</f>
        <v>1588</v>
      </c>
      <c r="G766" s="23">
        <f>IFERROR(__xludf.DUMMYFUNCTION("""COMPUTED_VALUE"""),85.0)</f>
        <v>85</v>
      </c>
      <c r="H766" s="23" t="str">
        <f>IFERROR(__xludf.DUMMYFUNCTION("""COMPUTED_VALUE"""),"Algorithms")</f>
        <v>Algorithms</v>
      </c>
      <c r="I766" s="23">
        <f>IFERROR(__xludf.DUMMYFUNCTION("""COMPUTED_VALUE"""),0.565)</f>
        <v>0.565</v>
      </c>
      <c r="J766" s="23">
        <f>IFERROR(__xludf.DUMMYFUNCTION("""COMPUTED_VALUE"""),765.0)</f>
        <v>765</v>
      </c>
      <c r="K766" s="23" t="b">
        <f>IFERROR(__xludf.DUMMYFUNCTION("""COMPUTED_VALUE"""),FALSE)</f>
        <v>0</v>
      </c>
      <c r="L766" s="23" t="str">
        <f>IFERROR(__xludf.DUMMYFUNCTION("""COMPUTED_VALUE"""),"Greedy;Depth-First Search;Breadth-First Search;Union Find;Graph;")</f>
        <v>Greedy;Depth-First Search;Breadth-First Search;Union Find;Graph;</v>
      </c>
      <c r="M766" s="23" t="b">
        <f>IFERROR(__xludf.DUMMYFUNCTION("""COMPUTED_VALUE"""),TRUE)</f>
        <v>1</v>
      </c>
      <c r="N766" s="23" t="b">
        <f>IFERROR(__xludf.DUMMYFUNCTION("""COMPUTED_VALUE"""),FALSE)</f>
        <v>0</v>
      </c>
      <c r="O766" s="23">
        <f>IFERROR(__xludf.DUMMYFUNCTION("""COMPUTED_VALUE"""),56.494954997017)</f>
        <v>56.494955</v>
      </c>
      <c r="P766" s="23">
        <f>IFERROR(__xludf.DUMMYFUNCTION("""COMPUTED_VALUE"""),43561.0)</f>
        <v>43561</v>
      </c>
      <c r="Q766" s="23">
        <f>IFERROR(__xludf.DUMMYFUNCTION("""COMPUTED_VALUE"""),77106.0)</f>
        <v>77106</v>
      </c>
    </row>
    <row r="767">
      <c r="A767" s="23">
        <f>IFERROR(__xludf.DUMMYFUNCTION("""COMPUTED_VALUE"""),777.0)</f>
        <v>777</v>
      </c>
      <c r="B767" s="23" t="str">
        <f>IFERROR(__xludf.DUMMYFUNCTION("""COMPUTED_VALUE"""),"Toeplitz Matrix")</f>
        <v>Toeplitz Matrix</v>
      </c>
      <c r="C767" s="23" t="str">
        <f>IFERROR(__xludf.DUMMYFUNCTION("""COMPUTED_VALUE"""),"toeplitz-matrix")</f>
        <v>toeplitz-matrix</v>
      </c>
      <c r="D767" s="23" t="b">
        <f>IFERROR(__xludf.DUMMYFUNCTION("""COMPUTED_VALUE"""),FALSE)</f>
        <v>0</v>
      </c>
      <c r="E767" s="23" t="str">
        <f>IFERROR(__xludf.DUMMYFUNCTION("""COMPUTED_VALUE"""),"Easy")</f>
        <v>Easy</v>
      </c>
      <c r="F767" s="23">
        <f>IFERROR(__xludf.DUMMYFUNCTION("""COMPUTED_VALUE"""),1934.0)</f>
        <v>1934</v>
      </c>
      <c r="G767" s="23">
        <f>IFERROR(__xludf.DUMMYFUNCTION("""COMPUTED_VALUE"""),120.0)</f>
        <v>120</v>
      </c>
      <c r="H767" s="23" t="str">
        <f>IFERROR(__xludf.DUMMYFUNCTION("""COMPUTED_VALUE"""),"Algorithms")</f>
        <v>Algorithms</v>
      </c>
      <c r="I767" s="23">
        <f>IFERROR(__xludf.DUMMYFUNCTION("""COMPUTED_VALUE"""),0.68)</f>
        <v>0.68</v>
      </c>
      <c r="J767" s="23">
        <f>IFERROR(__xludf.DUMMYFUNCTION("""COMPUTED_VALUE"""),766.0)</f>
        <v>766</v>
      </c>
      <c r="K767" s="23" t="b">
        <f>IFERROR(__xludf.DUMMYFUNCTION("""COMPUTED_VALUE"""),FALSE)</f>
        <v>0</v>
      </c>
      <c r="L767" s="23" t="str">
        <f>IFERROR(__xludf.DUMMYFUNCTION("""COMPUTED_VALUE"""),"Array;Matrix;")</f>
        <v>Array;Matrix;</v>
      </c>
      <c r="M767" s="23" t="b">
        <f>IFERROR(__xludf.DUMMYFUNCTION("""COMPUTED_VALUE"""),TRUE)</f>
        <v>1</v>
      </c>
      <c r="N767" s="23" t="b">
        <f>IFERROR(__xludf.DUMMYFUNCTION("""COMPUTED_VALUE"""),FALSE)</f>
        <v>0</v>
      </c>
      <c r="O767" s="23">
        <f>IFERROR(__xludf.DUMMYFUNCTION("""COMPUTED_VALUE"""),67.9809481173789)</f>
        <v>67.98094812</v>
      </c>
      <c r="P767" s="23">
        <f>IFERROR(__xludf.DUMMYFUNCTION("""COMPUTED_VALUE"""),185259.0)</f>
        <v>185259</v>
      </c>
      <c r="Q767" s="23">
        <f>IFERROR(__xludf.DUMMYFUNCTION("""COMPUTED_VALUE"""),272516.0)</f>
        <v>272516</v>
      </c>
    </row>
    <row r="768">
      <c r="A768" s="23">
        <f>IFERROR(__xludf.DUMMYFUNCTION("""COMPUTED_VALUE"""),778.0)</f>
        <v>778</v>
      </c>
      <c r="B768" s="23" t="str">
        <f>IFERROR(__xludf.DUMMYFUNCTION("""COMPUTED_VALUE"""),"Reorganize String")</f>
        <v>Reorganize String</v>
      </c>
      <c r="C768" s="23" t="str">
        <f>IFERROR(__xludf.DUMMYFUNCTION("""COMPUTED_VALUE"""),"reorganize-string")</f>
        <v>reorganize-string</v>
      </c>
      <c r="D768" s="23" t="b">
        <f>IFERROR(__xludf.DUMMYFUNCTION("""COMPUTED_VALUE"""),FALSE)</f>
        <v>0</v>
      </c>
      <c r="E768" s="23" t="str">
        <f>IFERROR(__xludf.DUMMYFUNCTION("""COMPUTED_VALUE"""),"Medium")</f>
        <v>Medium</v>
      </c>
      <c r="F768" s="23">
        <f>IFERROR(__xludf.DUMMYFUNCTION("""COMPUTED_VALUE"""),4572.0)</f>
        <v>4572</v>
      </c>
      <c r="G768" s="23">
        <f>IFERROR(__xludf.DUMMYFUNCTION("""COMPUTED_VALUE"""),175.0)</f>
        <v>175</v>
      </c>
      <c r="H768" s="23" t="str">
        <f>IFERROR(__xludf.DUMMYFUNCTION("""COMPUTED_VALUE"""),"Algorithms")</f>
        <v>Algorithms</v>
      </c>
      <c r="I768" s="23">
        <f>IFERROR(__xludf.DUMMYFUNCTION("""COMPUTED_VALUE"""),0.52)</f>
        <v>0.52</v>
      </c>
      <c r="J768" s="23">
        <f>IFERROR(__xludf.DUMMYFUNCTION("""COMPUTED_VALUE"""),767.0)</f>
        <v>767</v>
      </c>
      <c r="K768" s="23" t="b">
        <f>IFERROR(__xludf.DUMMYFUNCTION("""COMPUTED_VALUE"""),FALSE)</f>
        <v>0</v>
      </c>
      <c r="L768" s="23" t="str">
        <f>IFERROR(__xludf.DUMMYFUNCTION("""COMPUTED_VALUE"""),"Hash Table;String;Greedy;Sorting;Heap (Priority Queue);Counting;")</f>
        <v>Hash Table;String;Greedy;Sorting;Heap (Priority Queue);Counting;</v>
      </c>
      <c r="M768" s="23" t="b">
        <f>IFERROR(__xludf.DUMMYFUNCTION("""COMPUTED_VALUE"""),FALSE)</f>
        <v>0</v>
      </c>
      <c r="N768" s="23" t="b">
        <f>IFERROR(__xludf.DUMMYFUNCTION("""COMPUTED_VALUE"""),FALSE)</f>
        <v>0</v>
      </c>
      <c r="O768" s="23">
        <f>IFERROR(__xludf.DUMMYFUNCTION("""COMPUTED_VALUE"""),52.0481801046805)</f>
        <v>52.0481801</v>
      </c>
      <c r="P768" s="23">
        <f>IFERROR(__xludf.DUMMYFUNCTION("""COMPUTED_VALUE"""),207932.0)</f>
        <v>207932</v>
      </c>
      <c r="Q768" s="23">
        <f>IFERROR(__xludf.DUMMYFUNCTION("""COMPUTED_VALUE"""),399498.0)</f>
        <v>399498</v>
      </c>
    </row>
    <row r="769">
      <c r="A769" s="23">
        <f>IFERROR(__xludf.DUMMYFUNCTION("""COMPUTED_VALUE"""),779.0)</f>
        <v>779</v>
      </c>
      <c r="B769" s="23" t="str">
        <f>IFERROR(__xludf.DUMMYFUNCTION("""COMPUTED_VALUE"""),"Max Chunks To Make Sorted II")</f>
        <v>Max Chunks To Make Sorted II</v>
      </c>
      <c r="C769" s="23" t="str">
        <f>IFERROR(__xludf.DUMMYFUNCTION("""COMPUTED_VALUE"""),"max-chunks-to-make-sorted-ii")</f>
        <v>max-chunks-to-make-sorted-ii</v>
      </c>
      <c r="D769" s="23" t="b">
        <f>IFERROR(__xludf.DUMMYFUNCTION("""COMPUTED_VALUE"""),FALSE)</f>
        <v>0</v>
      </c>
      <c r="E769" s="23" t="str">
        <f>IFERROR(__xludf.DUMMYFUNCTION("""COMPUTED_VALUE"""),"Hard")</f>
        <v>Hard</v>
      </c>
      <c r="F769" s="23">
        <f>IFERROR(__xludf.DUMMYFUNCTION("""COMPUTED_VALUE"""),1153.0)</f>
        <v>1153</v>
      </c>
      <c r="G769" s="23">
        <f>IFERROR(__xludf.DUMMYFUNCTION("""COMPUTED_VALUE"""),32.0)</f>
        <v>32</v>
      </c>
      <c r="H769" s="23" t="str">
        <f>IFERROR(__xludf.DUMMYFUNCTION("""COMPUTED_VALUE"""),"Algorithms")</f>
        <v>Algorithms</v>
      </c>
      <c r="I769" s="23">
        <f>IFERROR(__xludf.DUMMYFUNCTION("""COMPUTED_VALUE"""),0.519)</f>
        <v>0.519</v>
      </c>
      <c r="J769" s="23">
        <f>IFERROR(__xludf.DUMMYFUNCTION("""COMPUTED_VALUE"""),768.0)</f>
        <v>768</v>
      </c>
      <c r="K769" s="23" t="b">
        <f>IFERROR(__xludf.DUMMYFUNCTION("""COMPUTED_VALUE"""),FALSE)</f>
        <v>0</v>
      </c>
      <c r="L769" s="23" t="str">
        <f>IFERROR(__xludf.DUMMYFUNCTION("""COMPUTED_VALUE"""),"Array;Stack;Greedy;Sorting;Monotonic Stack;")</f>
        <v>Array;Stack;Greedy;Sorting;Monotonic Stack;</v>
      </c>
      <c r="M769" s="23" t="b">
        <f>IFERROR(__xludf.DUMMYFUNCTION("""COMPUTED_VALUE"""),FALSE)</f>
        <v>0</v>
      </c>
      <c r="N769" s="23" t="b">
        <f>IFERROR(__xludf.DUMMYFUNCTION("""COMPUTED_VALUE"""),FALSE)</f>
        <v>0</v>
      </c>
      <c r="O769" s="23">
        <f>IFERROR(__xludf.DUMMYFUNCTION("""COMPUTED_VALUE"""),51.9448522371864)</f>
        <v>51.94485224</v>
      </c>
      <c r="P769" s="23">
        <f>IFERROR(__xludf.DUMMYFUNCTION("""COMPUTED_VALUE"""),40691.0)</f>
        <v>40691</v>
      </c>
      <c r="Q769" s="23">
        <f>IFERROR(__xludf.DUMMYFUNCTION("""COMPUTED_VALUE"""),78335.0)</f>
        <v>78335</v>
      </c>
    </row>
    <row r="770">
      <c r="A770" s="23">
        <f>IFERROR(__xludf.DUMMYFUNCTION("""COMPUTED_VALUE"""),780.0)</f>
        <v>780</v>
      </c>
      <c r="B770" s="23" t="str">
        <f>IFERROR(__xludf.DUMMYFUNCTION("""COMPUTED_VALUE"""),"Max Chunks To Make Sorted")</f>
        <v>Max Chunks To Make Sorted</v>
      </c>
      <c r="C770" s="23" t="str">
        <f>IFERROR(__xludf.DUMMYFUNCTION("""COMPUTED_VALUE"""),"max-chunks-to-make-sorted")</f>
        <v>max-chunks-to-make-sorted</v>
      </c>
      <c r="D770" s="23" t="b">
        <f>IFERROR(__xludf.DUMMYFUNCTION("""COMPUTED_VALUE"""),FALSE)</f>
        <v>0</v>
      </c>
      <c r="E770" s="23" t="str">
        <f>IFERROR(__xludf.DUMMYFUNCTION("""COMPUTED_VALUE"""),"Medium")</f>
        <v>Medium</v>
      </c>
      <c r="F770" s="23">
        <f>IFERROR(__xludf.DUMMYFUNCTION("""COMPUTED_VALUE"""),1841.0)</f>
        <v>1841</v>
      </c>
      <c r="G770" s="23">
        <f>IFERROR(__xludf.DUMMYFUNCTION("""COMPUTED_VALUE"""),182.0)</f>
        <v>182</v>
      </c>
      <c r="H770" s="23" t="str">
        <f>IFERROR(__xludf.DUMMYFUNCTION("""COMPUTED_VALUE"""),"Algorithms")</f>
        <v>Algorithms</v>
      </c>
      <c r="I770" s="23">
        <f>IFERROR(__xludf.DUMMYFUNCTION("""COMPUTED_VALUE"""),0.577)</f>
        <v>0.577</v>
      </c>
      <c r="J770" s="23">
        <f>IFERROR(__xludf.DUMMYFUNCTION("""COMPUTED_VALUE"""),769.0)</f>
        <v>769</v>
      </c>
      <c r="K770" s="23" t="b">
        <f>IFERROR(__xludf.DUMMYFUNCTION("""COMPUTED_VALUE"""),FALSE)</f>
        <v>0</v>
      </c>
      <c r="L770" s="23" t="str">
        <f>IFERROR(__xludf.DUMMYFUNCTION("""COMPUTED_VALUE"""),"Array;Stack;Greedy;Sorting;Monotonic Stack;")</f>
        <v>Array;Stack;Greedy;Sorting;Monotonic Stack;</v>
      </c>
      <c r="M770" s="23" t="b">
        <f>IFERROR(__xludf.DUMMYFUNCTION("""COMPUTED_VALUE"""),FALSE)</f>
        <v>0</v>
      </c>
      <c r="N770" s="23" t="b">
        <f>IFERROR(__xludf.DUMMYFUNCTION("""COMPUTED_VALUE"""),FALSE)</f>
        <v>0</v>
      </c>
      <c r="O770" s="23">
        <f>IFERROR(__xludf.DUMMYFUNCTION("""COMPUTED_VALUE"""),57.6513815163757)</f>
        <v>57.65138152</v>
      </c>
      <c r="P770" s="23">
        <f>IFERROR(__xludf.DUMMYFUNCTION("""COMPUTED_VALUE"""),70920.0)</f>
        <v>70920</v>
      </c>
      <c r="Q770" s="23">
        <f>IFERROR(__xludf.DUMMYFUNCTION("""COMPUTED_VALUE"""),123016.0)</f>
        <v>123016</v>
      </c>
    </row>
    <row r="771">
      <c r="A771" s="23">
        <f>IFERROR(__xludf.DUMMYFUNCTION("""COMPUTED_VALUE"""),781.0)</f>
        <v>781</v>
      </c>
      <c r="B771" s="23" t="str">
        <f>IFERROR(__xludf.DUMMYFUNCTION("""COMPUTED_VALUE"""),"Basic Calculator IV")</f>
        <v>Basic Calculator IV</v>
      </c>
      <c r="C771" s="23" t="str">
        <f>IFERROR(__xludf.DUMMYFUNCTION("""COMPUTED_VALUE"""),"basic-calculator-iv")</f>
        <v>basic-calculator-iv</v>
      </c>
      <c r="D771" s="23" t="b">
        <f>IFERROR(__xludf.DUMMYFUNCTION("""COMPUTED_VALUE"""),FALSE)</f>
        <v>0</v>
      </c>
      <c r="E771" s="23" t="str">
        <f>IFERROR(__xludf.DUMMYFUNCTION("""COMPUTED_VALUE"""),"Hard")</f>
        <v>Hard</v>
      </c>
      <c r="F771" s="23">
        <f>IFERROR(__xludf.DUMMYFUNCTION("""COMPUTED_VALUE"""),116.0)</f>
        <v>116</v>
      </c>
      <c r="G771" s="23">
        <f>IFERROR(__xludf.DUMMYFUNCTION("""COMPUTED_VALUE"""),1193.0)</f>
        <v>1193</v>
      </c>
      <c r="H771" s="23" t="str">
        <f>IFERROR(__xludf.DUMMYFUNCTION("""COMPUTED_VALUE"""),"Algorithms")</f>
        <v>Algorithms</v>
      </c>
      <c r="I771" s="23">
        <f>IFERROR(__xludf.DUMMYFUNCTION("""COMPUTED_VALUE"""),0.557)</f>
        <v>0.557</v>
      </c>
      <c r="J771" s="23">
        <f>IFERROR(__xludf.DUMMYFUNCTION("""COMPUTED_VALUE"""),770.0)</f>
        <v>770</v>
      </c>
      <c r="K771" s="23" t="b">
        <f>IFERROR(__xludf.DUMMYFUNCTION("""COMPUTED_VALUE"""),FALSE)</f>
        <v>0</v>
      </c>
      <c r="L771" s="23" t="str">
        <f>IFERROR(__xludf.DUMMYFUNCTION("""COMPUTED_VALUE"""),"Hash Table;Math;String;Stack;Recursion;")</f>
        <v>Hash Table;Math;String;Stack;Recursion;</v>
      </c>
      <c r="M771" s="23" t="b">
        <f>IFERROR(__xludf.DUMMYFUNCTION("""COMPUTED_VALUE"""),FALSE)</f>
        <v>0</v>
      </c>
      <c r="N771" s="23" t="b">
        <f>IFERROR(__xludf.DUMMYFUNCTION("""COMPUTED_VALUE"""),FALSE)</f>
        <v>0</v>
      </c>
      <c r="O771" s="23">
        <f>IFERROR(__xludf.DUMMYFUNCTION("""COMPUTED_VALUE"""),55.7214615014105)</f>
        <v>55.7214615</v>
      </c>
      <c r="P771" s="23">
        <f>IFERROR(__xludf.DUMMYFUNCTION("""COMPUTED_VALUE"""),8098.0)</f>
        <v>8098</v>
      </c>
      <c r="Q771" s="23">
        <f>IFERROR(__xludf.DUMMYFUNCTION("""COMPUTED_VALUE"""),14533.0)</f>
        <v>14533</v>
      </c>
    </row>
    <row r="772">
      <c r="A772" s="23">
        <f>IFERROR(__xludf.DUMMYFUNCTION("""COMPUTED_VALUE"""),782.0)</f>
        <v>782</v>
      </c>
      <c r="B772" s="23" t="str">
        <f>IFERROR(__xludf.DUMMYFUNCTION("""COMPUTED_VALUE"""),"Jewels and Stones")</f>
        <v>Jewels and Stones</v>
      </c>
      <c r="C772" s="23" t="str">
        <f>IFERROR(__xludf.DUMMYFUNCTION("""COMPUTED_VALUE"""),"jewels-and-stones")</f>
        <v>jewels-and-stones</v>
      </c>
      <c r="D772" s="23" t="b">
        <f>IFERROR(__xludf.DUMMYFUNCTION("""COMPUTED_VALUE"""),FALSE)</f>
        <v>0</v>
      </c>
      <c r="E772" s="23" t="str">
        <f>IFERROR(__xludf.DUMMYFUNCTION("""COMPUTED_VALUE"""),"Easy")</f>
        <v>Easy</v>
      </c>
      <c r="F772" s="23">
        <f>IFERROR(__xludf.DUMMYFUNCTION("""COMPUTED_VALUE"""),3498.0)</f>
        <v>3498</v>
      </c>
      <c r="G772" s="23">
        <f>IFERROR(__xludf.DUMMYFUNCTION("""COMPUTED_VALUE"""),484.0)</f>
        <v>484</v>
      </c>
      <c r="H772" s="23" t="str">
        <f>IFERROR(__xludf.DUMMYFUNCTION("""COMPUTED_VALUE"""),"Algorithms")</f>
        <v>Algorithms</v>
      </c>
      <c r="I772" s="23">
        <f>IFERROR(__xludf.DUMMYFUNCTION("""COMPUTED_VALUE"""),0.877)</f>
        <v>0.877</v>
      </c>
      <c r="J772" s="23">
        <f>IFERROR(__xludf.DUMMYFUNCTION("""COMPUTED_VALUE"""),771.0)</f>
        <v>771</v>
      </c>
      <c r="K772" s="23" t="b">
        <f>IFERROR(__xludf.DUMMYFUNCTION("""COMPUTED_VALUE"""),FALSE)</f>
        <v>0</v>
      </c>
      <c r="L772" s="23" t="str">
        <f>IFERROR(__xludf.DUMMYFUNCTION("""COMPUTED_VALUE"""),"Hash Table;String;")</f>
        <v>Hash Table;String;</v>
      </c>
      <c r="M772" s="23" t="b">
        <f>IFERROR(__xludf.DUMMYFUNCTION("""COMPUTED_VALUE"""),TRUE)</f>
        <v>1</v>
      </c>
      <c r="N772" s="23" t="b">
        <f>IFERROR(__xludf.DUMMYFUNCTION("""COMPUTED_VALUE"""),FALSE)</f>
        <v>0</v>
      </c>
      <c r="O772" s="23">
        <f>IFERROR(__xludf.DUMMYFUNCTION("""COMPUTED_VALUE"""),87.7080785219565)</f>
        <v>87.70807852</v>
      </c>
      <c r="P772" s="23">
        <f>IFERROR(__xludf.DUMMYFUNCTION("""COMPUTED_VALUE"""),733591.0)</f>
        <v>733591</v>
      </c>
      <c r="Q772" s="23">
        <f>IFERROR(__xludf.DUMMYFUNCTION("""COMPUTED_VALUE"""),836401.0)</f>
        <v>836401</v>
      </c>
    </row>
    <row r="773">
      <c r="A773" s="23">
        <f>IFERROR(__xludf.DUMMYFUNCTION("""COMPUTED_VALUE"""),785.0)</f>
        <v>785</v>
      </c>
      <c r="B773" s="23" t="str">
        <f>IFERROR(__xludf.DUMMYFUNCTION("""COMPUTED_VALUE"""),"Basic Calculator III")</f>
        <v>Basic Calculator III</v>
      </c>
      <c r="C773" s="23" t="str">
        <f>IFERROR(__xludf.DUMMYFUNCTION("""COMPUTED_VALUE"""),"basic-calculator-iii")</f>
        <v>basic-calculator-iii</v>
      </c>
      <c r="D773" s="23" t="b">
        <f>IFERROR(__xludf.DUMMYFUNCTION("""COMPUTED_VALUE"""),TRUE)</f>
        <v>1</v>
      </c>
      <c r="E773" s="23" t="str">
        <f>IFERROR(__xludf.DUMMYFUNCTION("""COMPUTED_VALUE"""),"Hard")</f>
        <v>Hard</v>
      </c>
      <c r="F773" s="23">
        <f>IFERROR(__xludf.DUMMYFUNCTION("""COMPUTED_VALUE"""),860.0)</f>
        <v>860</v>
      </c>
      <c r="G773" s="23">
        <f>IFERROR(__xludf.DUMMYFUNCTION("""COMPUTED_VALUE"""),248.0)</f>
        <v>248</v>
      </c>
      <c r="H773" s="23" t="str">
        <f>IFERROR(__xludf.DUMMYFUNCTION("""COMPUTED_VALUE"""),"Algorithms")</f>
        <v>Algorithms</v>
      </c>
      <c r="I773" s="23">
        <f>IFERROR(__xludf.DUMMYFUNCTION("""COMPUTED_VALUE"""),0.475)</f>
        <v>0.475</v>
      </c>
      <c r="J773" s="23">
        <f>IFERROR(__xludf.DUMMYFUNCTION("""COMPUTED_VALUE"""),772.0)</f>
        <v>772</v>
      </c>
      <c r="K773" s="23" t="b">
        <f>IFERROR(__xludf.DUMMYFUNCTION("""COMPUTED_VALUE"""),TRUE)</f>
        <v>1</v>
      </c>
      <c r="L773" s="23" t="str">
        <f>IFERROR(__xludf.DUMMYFUNCTION("""COMPUTED_VALUE"""),"Math;String;Stack;Recursion;")</f>
        <v>Math;String;Stack;Recursion;</v>
      </c>
      <c r="M773" s="23" t="b">
        <f>IFERROR(__xludf.DUMMYFUNCTION("""COMPUTED_VALUE"""),FALSE)</f>
        <v>0</v>
      </c>
      <c r="N773" s="23" t="b">
        <f>IFERROR(__xludf.DUMMYFUNCTION("""COMPUTED_VALUE"""),FALSE)</f>
        <v>0</v>
      </c>
      <c r="O773" s="23">
        <f>IFERROR(__xludf.DUMMYFUNCTION("""COMPUTED_VALUE"""),47.5009577033147)</f>
        <v>47.5009577</v>
      </c>
      <c r="P773" s="23">
        <f>IFERROR(__xludf.DUMMYFUNCTION("""COMPUTED_VALUE"""),84318.0)</f>
        <v>84318</v>
      </c>
      <c r="Q773" s="23">
        <f>IFERROR(__xludf.DUMMYFUNCTION("""COMPUTED_VALUE"""),177508.0)</f>
        <v>177508</v>
      </c>
    </row>
    <row r="774">
      <c r="A774" s="23">
        <f>IFERROR(__xludf.DUMMYFUNCTION("""COMPUTED_VALUE"""),787.0)</f>
        <v>787</v>
      </c>
      <c r="B774" s="23" t="str">
        <f>IFERROR(__xludf.DUMMYFUNCTION("""COMPUTED_VALUE"""),"Sliding Puzzle")</f>
        <v>Sliding Puzzle</v>
      </c>
      <c r="C774" s="23" t="str">
        <f>IFERROR(__xludf.DUMMYFUNCTION("""COMPUTED_VALUE"""),"sliding-puzzle")</f>
        <v>sliding-puzzle</v>
      </c>
      <c r="D774" s="23" t="b">
        <f>IFERROR(__xludf.DUMMYFUNCTION("""COMPUTED_VALUE"""),FALSE)</f>
        <v>0</v>
      </c>
      <c r="E774" s="23" t="str">
        <f>IFERROR(__xludf.DUMMYFUNCTION("""COMPUTED_VALUE"""),"Hard")</f>
        <v>Hard</v>
      </c>
      <c r="F774" s="23">
        <f>IFERROR(__xludf.DUMMYFUNCTION("""COMPUTED_VALUE"""),1474.0)</f>
        <v>1474</v>
      </c>
      <c r="G774" s="23">
        <f>IFERROR(__xludf.DUMMYFUNCTION("""COMPUTED_VALUE"""),39.0)</f>
        <v>39</v>
      </c>
      <c r="H774" s="23" t="str">
        <f>IFERROR(__xludf.DUMMYFUNCTION("""COMPUTED_VALUE"""),"Algorithms")</f>
        <v>Algorithms</v>
      </c>
      <c r="I774" s="23">
        <f>IFERROR(__xludf.DUMMYFUNCTION("""COMPUTED_VALUE"""),0.631)</f>
        <v>0.631</v>
      </c>
      <c r="J774" s="23">
        <f>IFERROR(__xludf.DUMMYFUNCTION("""COMPUTED_VALUE"""),773.0)</f>
        <v>773</v>
      </c>
      <c r="K774" s="23" t="b">
        <f>IFERROR(__xludf.DUMMYFUNCTION("""COMPUTED_VALUE"""),FALSE)</f>
        <v>0</v>
      </c>
      <c r="L774" s="23" t="str">
        <f>IFERROR(__xludf.DUMMYFUNCTION("""COMPUTED_VALUE"""),"Array;Breadth-First Search;Matrix;")</f>
        <v>Array;Breadth-First Search;Matrix;</v>
      </c>
      <c r="M774" s="23" t="b">
        <f>IFERROR(__xludf.DUMMYFUNCTION("""COMPUTED_VALUE"""),FALSE)</f>
        <v>0</v>
      </c>
      <c r="N774" s="23" t="b">
        <f>IFERROR(__xludf.DUMMYFUNCTION("""COMPUTED_VALUE"""),FALSE)</f>
        <v>0</v>
      </c>
      <c r="O774" s="23">
        <f>IFERROR(__xludf.DUMMYFUNCTION("""COMPUTED_VALUE"""),63.1278945493409)</f>
        <v>63.12789455</v>
      </c>
      <c r="P774" s="23">
        <f>IFERROR(__xludf.DUMMYFUNCTION("""COMPUTED_VALUE"""),70880.0)</f>
        <v>70880</v>
      </c>
      <c r="Q774" s="23">
        <f>IFERROR(__xludf.DUMMYFUNCTION("""COMPUTED_VALUE"""),112280.0)</f>
        <v>112280</v>
      </c>
    </row>
    <row r="775">
      <c r="A775" s="23">
        <f>IFERROR(__xludf.DUMMYFUNCTION("""COMPUTED_VALUE"""),788.0)</f>
        <v>788</v>
      </c>
      <c r="B775" s="23" t="str">
        <f>IFERROR(__xludf.DUMMYFUNCTION("""COMPUTED_VALUE"""),"Minimize Max Distance to Gas Station")</f>
        <v>Minimize Max Distance to Gas Station</v>
      </c>
      <c r="C775" s="23" t="str">
        <f>IFERROR(__xludf.DUMMYFUNCTION("""COMPUTED_VALUE"""),"minimize-max-distance-to-gas-station")</f>
        <v>minimize-max-distance-to-gas-station</v>
      </c>
      <c r="D775" s="23" t="b">
        <f>IFERROR(__xludf.DUMMYFUNCTION("""COMPUTED_VALUE"""),TRUE)</f>
        <v>1</v>
      </c>
      <c r="E775" s="23" t="str">
        <f>IFERROR(__xludf.DUMMYFUNCTION("""COMPUTED_VALUE"""),"Hard")</f>
        <v>Hard</v>
      </c>
      <c r="F775" s="23">
        <f>IFERROR(__xludf.DUMMYFUNCTION("""COMPUTED_VALUE"""),580.0)</f>
        <v>580</v>
      </c>
      <c r="G775" s="23">
        <f>IFERROR(__xludf.DUMMYFUNCTION("""COMPUTED_VALUE"""),83.0)</f>
        <v>83</v>
      </c>
      <c r="H775" s="23" t="str">
        <f>IFERROR(__xludf.DUMMYFUNCTION("""COMPUTED_VALUE"""),"Algorithms")</f>
        <v>Algorithms</v>
      </c>
      <c r="I775" s="23">
        <f>IFERROR(__xludf.DUMMYFUNCTION("""COMPUTED_VALUE"""),0.504)</f>
        <v>0.504</v>
      </c>
      <c r="J775" s="23">
        <f>IFERROR(__xludf.DUMMYFUNCTION("""COMPUTED_VALUE"""),774.0)</f>
        <v>774</v>
      </c>
      <c r="K775" s="23" t="b">
        <f>IFERROR(__xludf.DUMMYFUNCTION("""COMPUTED_VALUE"""),TRUE)</f>
        <v>1</v>
      </c>
      <c r="L775" s="23" t="str">
        <f>IFERROR(__xludf.DUMMYFUNCTION("""COMPUTED_VALUE"""),"Array;Binary Search;")</f>
        <v>Array;Binary Search;</v>
      </c>
      <c r="M775" s="23" t="b">
        <f>IFERROR(__xludf.DUMMYFUNCTION("""COMPUTED_VALUE"""),TRUE)</f>
        <v>1</v>
      </c>
      <c r="N775" s="23" t="b">
        <f>IFERROR(__xludf.DUMMYFUNCTION("""COMPUTED_VALUE"""),FALSE)</f>
        <v>0</v>
      </c>
      <c r="O775" s="23">
        <f>IFERROR(__xludf.DUMMYFUNCTION("""COMPUTED_VALUE"""),50.4305651786598)</f>
        <v>50.43056518</v>
      </c>
      <c r="P775" s="23">
        <f>IFERROR(__xludf.DUMMYFUNCTION("""COMPUTED_VALUE"""),25475.0)</f>
        <v>25475</v>
      </c>
      <c r="Q775" s="23">
        <f>IFERROR(__xludf.DUMMYFUNCTION("""COMPUTED_VALUE"""),50515.0)</f>
        <v>50515</v>
      </c>
    </row>
    <row r="776">
      <c r="A776" s="23">
        <f>IFERROR(__xludf.DUMMYFUNCTION("""COMPUTED_VALUE"""),790.0)</f>
        <v>790</v>
      </c>
      <c r="B776" s="23" t="str">
        <f>IFERROR(__xludf.DUMMYFUNCTION("""COMPUTED_VALUE"""),"Global and Local Inversions")</f>
        <v>Global and Local Inversions</v>
      </c>
      <c r="C776" s="23" t="str">
        <f>IFERROR(__xludf.DUMMYFUNCTION("""COMPUTED_VALUE"""),"global-and-local-inversions")</f>
        <v>global-and-local-inversions</v>
      </c>
      <c r="D776" s="23" t="b">
        <f>IFERROR(__xludf.DUMMYFUNCTION("""COMPUTED_VALUE"""),FALSE)</f>
        <v>0</v>
      </c>
      <c r="E776" s="23" t="str">
        <f>IFERROR(__xludf.DUMMYFUNCTION("""COMPUTED_VALUE"""),"Medium")</f>
        <v>Medium</v>
      </c>
      <c r="F776" s="23">
        <f>IFERROR(__xludf.DUMMYFUNCTION("""COMPUTED_VALUE"""),1193.0)</f>
        <v>1193</v>
      </c>
      <c r="G776" s="23">
        <f>IFERROR(__xludf.DUMMYFUNCTION("""COMPUTED_VALUE"""),303.0)</f>
        <v>303</v>
      </c>
      <c r="H776" s="23" t="str">
        <f>IFERROR(__xludf.DUMMYFUNCTION("""COMPUTED_VALUE"""),"Algorithms")</f>
        <v>Algorithms</v>
      </c>
      <c r="I776" s="23">
        <f>IFERROR(__xludf.DUMMYFUNCTION("""COMPUTED_VALUE"""),0.452)</f>
        <v>0.452</v>
      </c>
      <c r="J776" s="23">
        <f>IFERROR(__xludf.DUMMYFUNCTION("""COMPUTED_VALUE"""),775.0)</f>
        <v>775</v>
      </c>
      <c r="K776" s="23" t="b">
        <f>IFERROR(__xludf.DUMMYFUNCTION("""COMPUTED_VALUE"""),FALSE)</f>
        <v>0</v>
      </c>
      <c r="L776" s="23" t="str">
        <f>IFERROR(__xludf.DUMMYFUNCTION("""COMPUTED_VALUE"""),"Array;Math;")</f>
        <v>Array;Math;</v>
      </c>
      <c r="M776" s="23" t="b">
        <f>IFERROR(__xludf.DUMMYFUNCTION("""COMPUTED_VALUE"""),TRUE)</f>
        <v>1</v>
      </c>
      <c r="N776" s="23" t="b">
        <f>IFERROR(__xludf.DUMMYFUNCTION("""COMPUTED_VALUE"""),FALSE)</f>
        <v>0</v>
      </c>
      <c r="O776" s="23">
        <f>IFERROR(__xludf.DUMMYFUNCTION("""COMPUTED_VALUE"""),45.1954455872144)</f>
        <v>45.19544559</v>
      </c>
      <c r="P776" s="23">
        <f>IFERROR(__xludf.DUMMYFUNCTION("""COMPUTED_VALUE"""),56643.0)</f>
        <v>56643</v>
      </c>
      <c r="Q776" s="23">
        <f>IFERROR(__xludf.DUMMYFUNCTION("""COMPUTED_VALUE"""),125329.0)</f>
        <v>125329</v>
      </c>
    </row>
    <row r="777">
      <c r="A777" s="23">
        <f>IFERROR(__xludf.DUMMYFUNCTION("""COMPUTED_VALUE"""),791.0)</f>
        <v>791</v>
      </c>
      <c r="B777" s="23" t="str">
        <f>IFERROR(__xludf.DUMMYFUNCTION("""COMPUTED_VALUE"""),"Split BST")</f>
        <v>Split BST</v>
      </c>
      <c r="C777" s="23" t="str">
        <f>IFERROR(__xludf.DUMMYFUNCTION("""COMPUTED_VALUE"""),"split-bst")</f>
        <v>split-bst</v>
      </c>
      <c r="D777" s="23" t="b">
        <f>IFERROR(__xludf.DUMMYFUNCTION("""COMPUTED_VALUE"""),TRUE)</f>
        <v>1</v>
      </c>
      <c r="E777" s="23" t="str">
        <f>IFERROR(__xludf.DUMMYFUNCTION("""COMPUTED_VALUE"""),"Medium")</f>
        <v>Medium</v>
      </c>
      <c r="F777" s="23">
        <f>IFERROR(__xludf.DUMMYFUNCTION("""COMPUTED_VALUE"""),893.0)</f>
        <v>893</v>
      </c>
      <c r="G777" s="23">
        <f>IFERROR(__xludf.DUMMYFUNCTION("""COMPUTED_VALUE"""),90.0)</f>
        <v>90</v>
      </c>
      <c r="H777" s="23" t="str">
        <f>IFERROR(__xludf.DUMMYFUNCTION("""COMPUTED_VALUE"""),"Algorithms")</f>
        <v>Algorithms</v>
      </c>
      <c r="I777" s="23">
        <f>IFERROR(__xludf.DUMMYFUNCTION("""COMPUTED_VALUE"""),0.583)</f>
        <v>0.583</v>
      </c>
      <c r="J777" s="23">
        <f>IFERROR(__xludf.DUMMYFUNCTION("""COMPUTED_VALUE"""),776.0)</f>
        <v>776</v>
      </c>
      <c r="K777" s="23" t="b">
        <f>IFERROR(__xludf.DUMMYFUNCTION("""COMPUTED_VALUE"""),TRUE)</f>
        <v>1</v>
      </c>
      <c r="L777" s="23" t="str">
        <f>IFERROR(__xludf.DUMMYFUNCTION("""COMPUTED_VALUE"""),"Tree;Binary Search Tree;Recursion;Binary Tree;")</f>
        <v>Tree;Binary Search Tree;Recursion;Binary Tree;</v>
      </c>
      <c r="M777" s="23" t="b">
        <f>IFERROR(__xludf.DUMMYFUNCTION("""COMPUTED_VALUE"""),TRUE)</f>
        <v>1</v>
      </c>
      <c r="N777" s="23" t="b">
        <f>IFERROR(__xludf.DUMMYFUNCTION("""COMPUTED_VALUE"""),FALSE)</f>
        <v>0</v>
      </c>
      <c r="O777" s="23">
        <f>IFERROR(__xludf.DUMMYFUNCTION("""COMPUTED_VALUE"""),58.3456201214223)</f>
        <v>58.34562012</v>
      </c>
      <c r="P777" s="23">
        <f>IFERROR(__xludf.DUMMYFUNCTION("""COMPUTED_VALUE"""),26909.0)</f>
        <v>26909</v>
      </c>
      <c r="Q777" s="23">
        <f>IFERROR(__xludf.DUMMYFUNCTION("""COMPUTED_VALUE"""),46120.0)</f>
        <v>46120</v>
      </c>
    </row>
    <row r="778">
      <c r="A778" s="23">
        <f>IFERROR(__xludf.DUMMYFUNCTION("""COMPUTED_VALUE"""),793.0)</f>
        <v>793</v>
      </c>
      <c r="B778" s="23" t="str">
        <f>IFERROR(__xludf.DUMMYFUNCTION("""COMPUTED_VALUE"""),"Swap Adjacent in LR String")</f>
        <v>Swap Adjacent in LR String</v>
      </c>
      <c r="C778" s="23" t="str">
        <f>IFERROR(__xludf.DUMMYFUNCTION("""COMPUTED_VALUE"""),"swap-adjacent-in-lr-string")</f>
        <v>swap-adjacent-in-lr-string</v>
      </c>
      <c r="D778" s="23" t="b">
        <f>IFERROR(__xludf.DUMMYFUNCTION("""COMPUTED_VALUE"""),FALSE)</f>
        <v>0</v>
      </c>
      <c r="E778" s="23" t="str">
        <f>IFERROR(__xludf.DUMMYFUNCTION("""COMPUTED_VALUE"""),"Medium")</f>
        <v>Medium</v>
      </c>
      <c r="F778" s="23">
        <f>IFERROR(__xludf.DUMMYFUNCTION("""COMPUTED_VALUE"""),793.0)</f>
        <v>793</v>
      </c>
      <c r="G778" s="23">
        <f>IFERROR(__xludf.DUMMYFUNCTION("""COMPUTED_VALUE"""),686.0)</f>
        <v>686</v>
      </c>
      <c r="H778" s="23" t="str">
        <f>IFERROR(__xludf.DUMMYFUNCTION("""COMPUTED_VALUE"""),"Algorithms")</f>
        <v>Algorithms</v>
      </c>
      <c r="I778" s="23">
        <f>IFERROR(__xludf.DUMMYFUNCTION("""COMPUTED_VALUE"""),0.364)</f>
        <v>0.364</v>
      </c>
      <c r="J778" s="23">
        <f>IFERROR(__xludf.DUMMYFUNCTION("""COMPUTED_VALUE"""),777.0)</f>
        <v>777</v>
      </c>
      <c r="K778" s="23" t="b">
        <f>IFERROR(__xludf.DUMMYFUNCTION("""COMPUTED_VALUE"""),FALSE)</f>
        <v>0</v>
      </c>
      <c r="L778" s="23" t="str">
        <f>IFERROR(__xludf.DUMMYFUNCTION("""COMPUTED_VALUE"""),"Two Pointers;String;")</f>
        <v>Two Pointers;String;</v>
      </c>
      <c r="M778" s="23" t="b">
        <f>IFERROR(__xludf.DUMMYFUNCTION("""COMPUTED_VALUE"""),FALSE)</f>
        <v>0</v>
      </c>
      <c r="N778" s="23" t="b">
        <f>IFERROR(__xludf.DUMMYFUNCTION("""COMPUTED_VALUE"""),FALSE)</f>
        <v>0</v>
      </c>
      <c r="O778" s="23">
        <f>IFERROR(__xludf.DUMMYFUNCTION("""COMPUTED_VALUE"""),36.3603603603603)</f>
        <v>36.36036036</v>
      </c>
      <c r="P778" s="23">
        <f>IFERROR(__xludf.DUMMYFUNCTION("""COMPUTED_VALUE"""),53477.0)</f>
        <v>53477</v>
      </c>
      <c r="Q778" s="23">
        <f>IFERROR(__xludf.DUMMYFUNCTION("""COMPUTED_VALUE"""),147073.0)</f>
        <v>147073</v>
      </c>
    </row>
    <row r="779">
      <c r="A779" s="23">
        <f>IFERROR(__xludf.DUMMYFUNCTION("""COMPUTED_VALUE"""),794.0)</f>
        <v>794</v>
      </c>
      <c r="B779" s="23" t="str">
        <f>IFERROR(__xludf.DUMMYFUNCTION("""COMPUTED_VALUE"""),"Swim in Rising Water")</f>
        <v>Swim in Rising Water</v>
      </c>
      <c r="C779" s="23" t="str">
        <f>IFERROR(__xludf.DUMMYFUNCTION("""COMPUTED_VALUE"""),"swim-in-rising-water")</f>
        <v>swim-in-rising-water</v>
      </c>
      <c r="D779" s="23" t="b">
        <f>IFERROR(__xludf.DUMMYFUNCTION("""COMPUTED_VALUE"""),FALSE)</f>
        <v>0</v>
      </c>
      <c r="E779" s="23" t="str">
        <f>IFERROR(__xludf.DUMMYFUNCTION("""COMPUTED_VALUE"""),"Hard")</f>
        <v>Hard</v>
      </c>
      <c r="F779" s="23">
        <f>IFERROR(__xludf.DUMMYFUNCTION("""COMPUTED_VALUE"""),1903.0)</f>
        <v>1903</v>
      </c>
      <c r="G779" s="23">
        <f>IFERROR(__xludf.DUMMYFUNCTION("""COMPUTED_VALUE"""),138.0)</f>
        <v>138</v>
      </c>
      <c r="H779" s="23" t="str">
        <f>IFERROR(__xludf.DUMMYFUNCTION("""COMPUTED_VALUE"""),"Algorithms")</f>
        <v>Algorithms</v>
      </c>
      <c r="I779" s="23">
        <f>IFERROR(__xludf.DUMMYFUNCTION("""COMPUTED_VALUE"""),0.587)</f>
        <v>0.587</v>
      </c>
      <c r="J779" s="23">
        <f>IFERROR(__xludf.DUMMYFUNCTION("""COMPUTED_VALUE"""),778.0)</f>
        <v>778</v>
      </c>
      <c r="K779" s="23" t="b">
        <f>IFERROR(__xludf.DUMMYFUNCTION("""COMPUTED_VALUE"""),FALSE)</f>
        <v>0</v>
      </c>
      <c r="L779" s="23" t="str">
        <f>IFERROR(__xludf.DUMMYFUNCTION("""COMPUTED_VALUE"""),"Array;Binary Search;Depth-First Search;Breadth-First Search;Union Find;Heap (Priority Queue);Matrix;")</f>
        <v>Array;Binary Search;Depth-First Search;Breadth-First Search;Union Find;Heap (Priority Queue);Matrix;</v>
      </c>
      <c r="M779" s="23" t="b">
        <f>IFERROR(__xludf.DUMMYFUNCTION("""COMPUTED_VALUE"""),TRUE)</f>
        <v>1</v>
      </c>
      <c r="N779" s="23" t="b">
        <f>IFERROR(__xludf.DUMMYFUNCTION("""COMPUTED_VALUE"""),FALSE)</f>
        <v>0</v>
      </c>
      <c r="O779" s="23">
        <f>IFERROR(__xludf.DUMMYFUNCTION("""COMPUTED_VALUE"""),58.7093628843162)</f>
        <v>58.70936288</v>
      </c>
      <c r="P779" s="23">
        <f>IFERROR(__xludf.DUMMYFUNCTION("""COMPUTED_VALUE"""),75865.0)</f>
        <v>75865</v>
      </c>
      <c r="Q779" s="23">
        <f>IFERROR(__xludf.DUMMYFUNCTION("""COMPUTED_VALUE"""),129222.0)</f>
        <v>129222</v>
      </c>
    </row>
    <row r="780">
      <c r="A780" s="23">
        <f>IFERROR(__xludf.DUMMYFUNCTION("""COMPUTED_VALUE"""),795.0)</f>
        <v>795</v>
      </c>
      <c r="B780" s="23" t="str">
        <f>IFERROR(__xludf.DUMMYFUNCTION("""COMPUTED_VALUE"""),"K-th Symbol in Grammar")</f>
        <v>K-th Symbol in Grammar</v>
      </c>
      <c r="C780" s="23" t="str">
        <f>IFERROR(__xludf.DUMMYFUNCTION("""COMPUTED_VALUE"""),"k-th-symbol-in-grammar")</f>
        <v>k-th-symbol-in-grammar</v>
      </c>
      <c r="D780" s="23" t="b">
        <f>IFERROR(__xludf.DUMMYFUNCTION("""COMPUTED_VALUE"""),FALSE)</f>
        <v>0</v>
      </c>
      <c r="E780" s="23" t="str">
        <f>IFERROR(__xludf.DUMMYFUNCTION("""COMPUTED_VALUE"""),"Medium")</f>
        <v>Medium</v>
      </c>
      <c r="F780" s="23">
        <f>IFERROR(__xludf.DUMMYFUNCTION("""COMPUTED_VALUE"""),1683.0)</f>
        <v>1683</v>
      </c>
      <c r="G780" s="23">
        <f>IFERROR(__xludf.DUMMYFUNCTION("""COMPUTED_VALUE"""),246.0)</f>
        <v>246</v>
      </c>
      <c r="H780" s="23" t="str">
        <f>IFERROR(__xludf.DUMMYFUNCTION("""COMPUTED_VALUE"""),"Algorithms")</f>
        <v>Algorithms</v>
      </c>
      <c r="I780" s="23">
        <f>IFERROR(__xludf.DUMMYFUNCTION("""COMPUTED_VALUE"""),0.399)</f>
        <v>0.399</v>
      </c>
      <c r="J780" s="23">
        <f>IFERROR(__xludf.DUMMYFUNCTION("""COMPUTED_VALUE"""),779.0)</f>
        <v>779</v>
      </c>
      <c r="K780" s="23" t="b">
        <f>IFERROR(__xludf.DUMMYFUNCTION("""COMPUTED_VALUE"""),FALSE)</f>
        <v>0</v>
      </c>
      <c r="L780" s="23" t="str">
        <f>IFERROR(__xludf.DUMMYFUNCTION("""COMPUTED_VALUE"""),"Math;Bit Manipulation;Recursion;")</f>
        <v>Math;Bit Manipulation;Recursion;</v>
      </c>
      <c r="M780" s="23" t="b">
        <f>IFERROR(__xludf.DUMMYFUNCTION("""COMPUTED_VALUE"""),FALSE)</f>
        <v>0</v>
      </c>
      <c r="N780" s="23" t="b">
        <f>IFERROR(__xludf.DUMMYFUNCTION("""COMPUTED_VALUE"""),FALSE)</f>
        <v>0</v>
      </c>
      <c r="O780" s="23">
        <f>IFERROR(__xludf.DUMMYFUNCTION("""COMPUTED_VALUE"""),39.9029015632563)</f>
        <v>39.90290156</v>
      </c>
      <c r="P780" s="23">
        <f>IFERROR(__xludf.DUMMYFUNCTION("""COMPUTED_VALUE"""),84081.0)</f>
        <v>84081</v>
      </c>
      <c r="Q780" s="23">
        <f>IFERROR(__xludf.DUMMYFUNCTION("""COMPUTED_VALUE"""),210714.0)</f>
        <v>210714</v>
      </c>
    </row>
    <row r="781">
      <c r="A781" s="23">
        <f>IFERROR(__xludf.DUMMYFUNCTION("""COMPUTED_VALUE"""),796.0)</f>
        <v>796</v>
      </c>
      <c r="B781" s="23" t="str">
        <f>IFERROR(__xludf.DUMMYFUNCTION("""COMPUTED_VALUE"""),"Reaching Points")</f>
        <v>Reaching Points</v>
      </c>
      <c r="C781" s="23" t="str">
        <f>IFERROR(__xludf.DUMMYFUNCTION("""COMPUTED_VALUE"""),"reaching-points")</f>
        <v>reaching-points</v>
      </c>
      <c r="D781" s="23" t="b">
        <f>IFERROR(__xludf.DUMMYFUNCTION("""COMPUTED_VALUE"""),FALSE)</f>
        <v>0</v>
      </c>
      <c r="E781" s="23" t="str">
        <f>IFERROR(__xludf.DUMMYFUNCTION("""COMPUTED_VALUE"""),"Hard")</f>
        <v>Hard</v>
      </c>
      <c r="F781" s="23">
        <f>IFERROR(__xludf.DUMMYFUNCTION("""COMPUTED_VALUE"""),942.0)</f>
        <v>942</v>
      </c>
      <c r="G781" s="23">
        <f>IFERROR(__xludf.DUMMYFUNCTION("""COMPUTED_VALUE"""),161.0)</f>
        <v>161</v>
      </c>
      <c r="H781" s="23" t="str">
        <f>IFERROR(__xludf.DUMMYFUNCTION("""COMPUTED_VALUE"""),"Algorithms")</f>
        <v>Algorithms</v>
      </c>
      <c r="I781" s="23">
        <f>IFERROR(__xludf.DUMMYFUNCTION("""COMPUTED_VALUE"""),0.316)</f>
        <v>0.316</v>
      </c>
      <c r="J781" s="23">
        <f>IFERROR(__xludf.DUMMYFUNCTION("""COMPUTED_VALUE"""),780.0)</f>
        <v>780</v>
      </c>
      <c r="K781" s="23" t="b">
        <f>IFERROR(__xludf.DUMMYFUNCTION("""COMPUTED_VALUE"""),FALSE)</f>
        <v>0</v>
      </c>
      <c r="L781" s="23" t="str">
        <f>IFERROR(__xludf.DUMMYFUNCTION("""COMPUTED_VALUE"""),"Math;")</f>
        <v>Math;</v>
      </c>
      <c r="M781" s="23" t="b">
        <f>IFERROR(__xludf.DUMMYFUNCTION("""COMPUTED_VALUE"""),TRUE)</f>
        <v>1</v>
      </c>
      <c r="N781" s="23" t="b">
        <f>IFERROR(__xludf.DUMMYFUNCTION("""COMPUTED_VALUE"""),FALSE)</f>
        <v>0</v>
      </c>
      <c r="O781" s="23">
        <f>IFERROR(__xludf.DUMMYFUNCTION("""COMPUTED_VALUE"""),31.6348645822282)</f>
        <v>31.63486458</v>
      </c>
      <c r="P781" s="23">
        <f>IFERROR(__xludf.DUMMYFUNCTION("""COMPUTED_VALUE"""),41746.0)</f>
        <v>41746</v>
      </c>
      <c r="Q781" s="23">
        <f>IFERROR(__xludf.DUMMYFUNCTION("""COMPUTED_VALUE"""),131962.0)</f>
        <v>131962</v>
      </c>
    </row>
    <row r="782">
      <c r="A782" s="23">
        <f>IFERROR(__xludf.DUMMYFUNCTION("""COMPUTED_VALUE"""),797.0)</f>
        <v>797</v>
      </c>
      <c r="B782" s="23" t="str">
        <f>IFERROR(__xludf.DUMMYFUNCTION("""COMPUTED_VALUE"""),"Rabbits in Forest")</f>
        <v>Rabbits in Forest</v>
      </c>
      <c r="C782" s="23" t="str">
        <f>IFERROR(__xludf.DUMMYFUNCTION("""COMPUTED_VALUE"""),"rabbits-in-forest")</f>
        <v>rabbits-in-forest</v>
      </c>
      <c r="D782" s="23" t="b">
        <f>IFERROR(__xludf.DUMMYFUNCTION("""COMPUTED_VALUE"""),FALSE)</f>
        <v>0</v>
      </c>
      <c r="E782" s="23" t="str">
        <f>IFERROR(__xludf.DUMMYFUNCTION("""COMPUTED_VALUE"""),"Medium")</f>
        <v>Medium</v>
      </c>
      <c r="F782" s="23">
        <f>IFERROR(__xludf.DUMMYFUNCTION("""COMPUTED_VALUE"""),718.0)</f>
        <v>718</v>
      </c>
      <c r="G782" s="23">
        <f>IFERROR(__xludf.DUMMYFUNCTION("""COMPUTED_VALUE"""),485.0)</f>
        <v>485</v>
      </c>
      <c r="H782" s="23" t="str">
        <f>IFERROR(__xludf.DUMMYFUNCTION("""COMPUTED_VALUE"""),"Algorithms")</f>
        <v>Algorithms</v>
      </c>
      <c r="I782" s="23">
        <f>IFERROR(__xludf.DUMMYFUNCTION("""COMPUTED_VALUE"""),0.557)</f>
        <v>0.557</v>
      </c>
      <c r="J782" s="23">
        <f>IFERROR(__xludf.DUMMYFUNCTION("""COMPUTED_VALUE"""),781.0)</f>
        <v>781</v>
      </c>
      <c r="K782" s="23" t="b">
        <f>IFERROR(__xludf.DUMMYFUNCTION("""COMPUTED_VALUE"""),FALSE)</f>
        <v>0</v>
      </c>
      <c r="L782" s="23" t="str">
        <f>IFERROR(__xludf.DUMMYFUNCTION("""COMPUTED_VALUE"""),"Array;Hash Table;Math;Greedy;")</f>
        <v>Array;Hash Table;Math;Greedy;</v>
      </c>
      <c r="M782" s="23" t="b">
        <f>IFERROR(__xludf.DUMMYFUNCTION("""COMPUTED_VALUE"""),TRUE)</f>
        <v>1</v>
      </c>
      <c r="N782" s="23" t="b">
        <f>IFERROR(__xludf.DUMMYFUNCTION("""COMPUTED_VALUE"""),FALSE)</f>
        <v>0</v>
      </c>
      <c r="O782" s="23">
        <f>IFERROR(__xludf.DUMMYFUNCTION("""COMPUTED_VALUE"""),55.702881262617)</f>
        <v>55.70288126</v>
      </c>
      <c r="P782" s="23">
        <f>IFERROR(__xludf.DUMMYFUNCTION("""COMPUTED_VALUE"""),36423.0)</f>
        <v>36423</v>
      </c>
      <c r="Q782" s="23">
        <f>IFERROR(__xludf.DUMMYFUNCTION("""COMPUTED_VALUE"""),65388.0)</f>
        <v>65388</v>
      </c>
    </row>
    <row r="783">
      <c r="A783" s="23">
        <f>IFERROR(__xludf.DUMMYFUNCTION("""COMPUTED_VALUE"""),798.0)</f>
        <v>798</v>
      </c>
      <c r="B783" s="23" t="str">
        <f>IFERROR(__xludf.DUMMYFUNCTION("""COMPUTED_VALUE"""),"Transform to Chessboard")</f>
        <v>Transform to Chessboard</v>
      </c>
      <c r="C783" s="23" t="str">
        <f>IFERROR(__xludf.DUMMYFUNCTION("""COMPUTED_VALUE"""),"transform-to-chessboard")</f>
        <v>transform-to-chessboard</v>
      </c>
      <c r="D783" s="23" t="b">
        <f>IFERROR(__xludf.DUMMYFUNCTION("""COMPUTED_VALUE"""),FALSE)</f>
        <v>0</v>
      </c>
      <c r="E783" s="23" t="str">
        <f>IFERROR(__xludf.DUMMYFUNCTION("""COMPUTED_VALUE"""),"Hard")</f>
        <v>Hard</v>
      </c>
      <c r="F783" s="23">
        <f>IFERROR(__xludf.DUMMYFUNCTION("""COMPUTED_VALUE"""),287.0)</f>
        <v>287</v>
      </c>
      <c r="G783" s="23">
        <f>IFERROR(__xludf.DUMMYFUNCTION("""COMPUTED_VALUE"""),284.0)</f>
        <v>284</v>
      </c>
      <c r="H783" s="23" t="str">
        <f>IFERROR(__xludf.DUMMYFUNCTION("""COMPUTED_VALUE"""),"Algorithms")</f>
        <v>Algorithms</v>
      </c>
      <c r="I783" s="23">
        <f>IFERROR(__xludf.DUMMYFUNCTION("""COMPUTED_VALUE"""),0.52)</f>
        <v>0.52</v>
      </c>
      <c r="J783" s="23">
        <f>IFERROR(__xludf.DUMMYFUNCTION("""COMPUTED_VALUE"""),782.0)</f>
        <v>782</v>
      </c>
      <c r="K783" s="23" t="b">
        <f>IFERROR(__xludf.DUMMYFUNCTION("""COMPUTED_VALUE"""),FALSE)</f>
        <v>0</v>
      </c>
      <c r="L783" s="23" t="str">
        <f>IFERROR(__xludf.DUMMYFUNCTION("""COMPUTED_VALUE"""),"Array;Math;Bit Manipulation;Matrix;")</f>
        <v>Array;Math;Bit Manipulation;Matrix;</v>
      </c>
      <c r="M783" s="23" t="b">
        <f>IFERROR(__xludf.DUMMYFUNCTION("""COMPUTED_VALUE"""),TRUE)</f>
        <v>1</v>
      </c>
      <c r="N783" s="23" t="b">
        <f>IFERROR(__xludf.DUMMYFUNCTION("""COMPUTED_VALUE"""),FALSE)</f>
        <v>0</v>
      </c>
      <c r="O783" s="23">
        <f>IFERROR(__xludf.DUMMYFUNCTION("""COMPUTED_VALUE"""),52.0044388958246)</f>
        <v>52.0044389</v>
      </c>
      <c r="P783" s="23">
        <f>IFERROR(__xludf.DUMMYFUNCTION("""COMPUTED_VALUE"""),14996.0)</f>
        <v>14996</v>
      </c>
      <c r="Q783" s="23">
        <f>IFERROR(__xludf.DUMMYFUNCTION("""COMPUTED_VALUE"""),28836.0)</f>
        <v>28836</v>
      </c>
    </row>
    <row r="784">
      <c r="A784" s="23">
        <f>IFERROR(__xludf.DUMMYFUNCTION("""COMPUTED_VALUE"""),799.0)</f>
        <v>799</v>
      </c>
      <c r="B784" s="23" t="str">
        <f>IFERROR(__xludf.DUMMYFUNCTION("""COMPUTED_VALUE"""),"Minimum Distance Between BST Nodes")</f>
        <v>Minimum Distance Between BST Nodes</v>
      </c>
      <c r="C784" s="23" t="str">
        <f>IFERROR(__xludf.DUMMYFUNCTION("""COMPUTED_VALUE"""),"minimum-distance-between-bst-nodes")</f>
        <v>minimum-distance-between-bst-nodes</v>
      </c>
      <c r="D784" s="23" t="b">
        <f>IFERROR(__xludf.DUMMYFUNCTION("""COMPUTED_VALUE"""),FALSE)</f>
        <v>0</v>
      </c>
      <c r="E784" s="23" t="str">
        <f>IFERROR(__xludf.DUMMYFUNCTION("""COMPUTED_VALUE"""),"Easy")</f>
        <v>Easy</v>
      </c>
      <c r="F784" s="23">
        <f>IFERROR(__xludf.DUMMYFUNCTION("""COMPUTED_VALUE"""),1610.0)</f>
        <v>1610</v>
      </c>
      <c r="G784" s="23">
        <f>IFERROR(__xludf.DUMMYFUNCTION("""COMPUTED_VALUE"""),312.0)</f>
        <v>312</v>
      </c>
      <c r="H784" s="23" t="str">
        <f>IFERROR(__xludf.DUMMYFUNCTION("""COMPUTED_VALUE"""),"Algorithms")</f>
        <v>Algorithms</v>
      </c>
      <c r="I784" s="23">
        <f>IFERROR(__xludf.DUMMYFUNCTION("""COMPUTED_VALUE"""),0.561)</f>
        <v>0.561</v>
      </c>
      <c r="J784" s="23">
        <f>IFERROR(__xludf.DUMMYFUNCTION("""COMPUTED_VALUE"""),783.0)</f>
        <v>783</v>
      </c>
      <c r="K784" s="23" t="b">
        <f>IFERROR(__xludf.DUMMYFUNCTION("""COMPUTED_VALUE"""),FALSE)</f>
        <v>0</v>
      </c>
      <c r="L784" s="23" t="str">
        <f>IFERROR(__xludf.DUMMYFUNCTION("""COMPUTED_VALUE"""),"Tree;Depth-First Search;Breadth-First Search;Binary Search Tree;Binary Tree;")</f>
        <v>Tree;Depth-First Search;Breadth-First Search;Binary Search Tree;Binary Tree;</v>
      </c>
      <c r="M784" s="23" t="b">
        <f>IFERROR(__xludf.DUMMYFUNCTION("""COMPUTED_VALUE"""),TRUE)</f>
        <v>1</v>
      </c>
      <c r="N784" s="23" t="b">
        <f>IFERROR(__xludf.DUMMYFUNCTION("""COMPUTED_VALUE"""),FALSE)</f>
        <v>0</v>
      </c>
      <c r="O784" s="23">
        <f>IFERROR(__xludf.DUMMYFUNCTION("""COMPUTED_VALUE"""),56.0848536908741)</f>
        <v>56.08485369</v>
      </c>
      <c r="P784" s="23">
        <f>IFERROR(__xludf.DUMMYFUNCTION("""COMPUTED_VALUE"""),120136.0)</f>
        <v>120136</v>
      </c>
      <c r="Q784" s="23">
        <f>IFERROR(__xludf.DUMMYFUNCTION("""COMPUTED_VALUE"""),214204.0)</f>
        <v>214204</v>
      </c>
    </row>
    <row r="785">
      <c r="A785" s="23">
        <f>IFERROR(__xludf.DUMMYFUNCTION("""COMPUTED_VALUE"""),800.0)</f>
        <v>800</v>
      </c>
      <c r="B785" s="23" t="str">
        <f>IFERROR(__xludf.DUMMYFUNCTION("""COMPUTED_VALUE"""),"Letter Case Permutation")</f>
        <v>Letter Case Permutation</v>
      </c>
      <c r="C785" s="23" t="str">
        <f>IFERROR(__xludf.DUMMYFUNCTION("""COMPUTED_VALUE"""),"letter-case-permutation")</f>
        <v>letter-case-permutation</v>
      </c>
      <c r="D785" s="23" t="b">
        <f>IFERROR(__xludf.DUMMYFUNCTION("""COMPUTED_VALUE"""),FALSE)</f>
        <v>0</v>
      </c>
      <c r="E785" s="23" t="str">
        <f>IFERROR(__xludf.DUMMYFUNCTION("""COMPUTED_VALUE"""),"Medium")</f>
        <v>Medium</v>
      </c>
      <c r="F785" s="23">
        <f>IFERROR(__xludf.DUMMYFUNCTION("""COMPUTED_VALUE"""),3242.0)</f>
        <v>3242</v>
      </c>
      <c r="G785" s="23">
        <f>IFERROR(__xludf.DUMMYFUNCTION("""COMPUTED_VALUE"""),142.0)</f>
        <v>142</v>
      </c>
      <c r="H785" s="23" t="str">
        <f>IFERROR(__xludf.DUMMYFUNCTION("""COMPUTED_VALUE"""),"Algorithms")</f>
        <v>Algorithms</v>
      </c>
      <c r="I785" s="23">
        <f>IFERROR(__xludf.DUMMYFUNCTION("""COMPUTED_VALUE"""),0.723)</f>
        <v>0.723</v>
      </c>
      <c r="J785" s="23">
        <f>IFERROR(__xludf.DUMMYFUNCTION("""COMPUTED_VALUE"""),784.0)</f>
        <v>784</v>
      </c>
      <c r="K785" s="23" t="b">
        <f>IFERROR(__xludf.DUMMYFUNCTION("""COMPUTED_VALUE"""),FALSE)</f>
        <v>0</v>
      </c>
      <c r="L785" s="23" t="str">
        <f>IFERROR(__xludf.DUMMYFUNCTION("""COMPUTED_VALUE"""),"String;Backtracking;Bit Manipulation;")</f>
        <v>String;Backtracking;Bit Manipulation;</v>
      </c>
      <c r="M785" s="23" t="b">
        <f>IFERROR(__xludf.DUMMYFUNCTION("""COMPUTED_VALUE"""),TRUE)</f>
        <v>1</v>
      </c>
      <c r="N785" s="23" t="b">
        <f>IFERROR(__xludf.DUMMYFUNCTION("""COMPUTED_VALUE"""),FALSE)</f>
        <v>0</v>
      </c>
      <c r="O785" s="23">
        <f>IFERROR(__xludf.DUMMYFUNCTION("""COMPUTED_VALUE"""),72.3416440893034)</f>
        <v>72.34164409</v>
      </c>
      <c r="P785" s="23">
        <f>IFERROR(__xludf.DUMMYFUNCTION("""COMPUTED_VALUE"""),210939.0)</f>
        <v>210939</v>
      </c>
      <c r="Q785" s="23">
        <f>IFERROR(__xludf.DUMMYFUNCTION("""COMPUTED_VALUE"""),291588.0)</f>
        <v>291588</v>
      </c>
    </row>
    <row r="786">
      <c r="A786" s="23">
        <f>IFERROR(__xludf.DUMMYFUNCTION("""COMPUTED_VALUE"""),801.0)</f>
        <v>801</v>
      </c>
      <c r="B786" s="23" t="str">
        <f>IFERROR(__xludf.DUMMYFUNCTION("""COMPUTED_VALUE"""),"Is Graph Bipartite?")</f>
        <v>Is Graph Bipartite?</v>
      </c>
      <c r="C786" s="23" t="str">
        <f>IFERROR(__xludf.DUMMYFUNCTION("""COMPUTED_VALUE"""),"is-graph-bipartite")</f>
        <v>is-graph-bipartite</v>
      </c>
      <c r="D786" s="23" t="b">
        <f>IFERROR(__xludf.DUMMYFUNCTION("""COMPUTED_VALUE"""),FALSE)</f>
        <v>0</v>
      </c>
      <c r="E786" s="23" t="str">
        <f>IFERROR(__xludf.DUMMYFUNCTION("""COMPUTED_VALUE"""),"Medium")</f>
        <v>Medium</v>
      </c>
      <c r="F786" s="23">
        <f>IFERROR(__xludf.DUMMYFUNCTION("""COMPUTED_VALUE"""),4101.0)</f>
        <v>4101</v>
      </c>
      <c r="G786" s="23">
        <f>IFERROR(__xludf.DUMMYFUNCTION("""COMPUTED_VALUE"""),262.0)</f>
        <v>262</v>
      </c>
      <c r="H786" s="23" t="str">
        <f>IFERROR(__xludf.DUMMYFUNCTION("""COMPUTED_VALUE"""),"Algorithms")</f>
        <v>Algorithms</v>
      </c>
      <c r="I786" s="23">
        <f>IFERROR(__xludf.DUMMYFUNCTION("""COMPUTED_VALUE"""),0.504)</f>
        <v>0.504</v>
      </c>
      <c r="J786" s="23">
        <f>IFERROR(__xludf.DUMMYFUNCTION("""COMPUTED_VALUE"""),785.0)</f>
        <v>785</v>
      </c>
      <c r="K786" s="23" t="b">
        <f>IFERROR(__xludf.DUMMYFUNCTION("""COMPUTED_VALUE"""),FALSE)</f>
        <v>0</v>
      </c>
      <c r="L786" s="23" t="str">
        <f>IFERROR(__xludf.DUMMYFUNCTION("""COMPUTED_VALUE"""),"Depth-First Search;Breadth-First Search;Union Find;Graph;")</f>
        <v>Depth-First Search;Breadth-First Search;Union Find;Graph;</v>
      </c>
      <c r="M786" s="23" t="b">
        <f>IFERROR(__xludf.DUMMYFUNCTION("""COMPUTED_VALUE"""),TRUE)</f>
        <v>1</v>
      </c>
      <c r="N786" s="23" t="b">
        <f>IFERROR(__xludf.DUMMYFUNCTION("""COMPUTED_VALUE"""),FALSE)</f>
        <v>0</v>
      </c>
      <c r="O786" s="23">
        <f>IFERROR(__xludf.DUMMYFUNCTION("""COMPUTED_VALUE"""),50.4498224789935)</f>
        <v>50.44982248</v>
      </c>
      <c r="P786" s="23">
        <f>IFERROR(__xludf.DUMMYFUNCTION("""COMPUTED_VALUE"""),278647.0)</f>
        <v>278647</v>
      </c>
      <c r="Q786" s="23">
        <f>IFERROR(__xludf.DUMMYFUNCTION("""COMPUTED_VALUE"""),552327.0)</f>
        <v>552327</v>
      </c>
    </row>
    <row r="787">
      <c r="A787" s="23">
        <f>IFERROR(__xludf.DUMMYFUNCTION("""COMPUTED_VALUE"""),802.0)</f>
        <v>802</v>
      </c>
      <c r="B787" s="23" t="str">
        <f>IFERROR(__xludf.DUMMYFUNCTION("""COMPUTED_VALUE"""),"K-th Smallest Prime Fraction")</f>
        <v>K-th Smallest Prime Fraction</v>
      </c>
      <c r="C787" s="23" t="str">
        <f>IFERROR(__xludf.DUMMYFUNCTION("""COMPUTED_VALUE"""),"k-th-smallest-prime-fraction")</f>
        <v>k-th-smallest-prime-fraction</v>
      </c>
      <c r="D787" s="23" t="b">
        <f>IFERROR(__xludf.DUMMYFUNCTION("""COMPUTED_VALUE"""),FALSE)</f>
        <v>0</v>
      </c>
      <c r="E787" s="23" t="str">
        <f>IFERROR(__xludf.DUMMYFUNCTION("""COMPUTED_VALUE"""),"Hard")</f>
        <v>Hard</v>
      </c>
      <c r="F787" s="23">
        <f>IFERROR(__xludf.DUMMYFUNCTION("""COMPUTED_VALUE"""),743.0)</f>
        <v>743</v>
      </c>
      <c r="G787" s="23">
        <f>IFERROR(__xludf.DUMMYFUNCTION("""COMPUTED_VALUE"""),37.0)</f>
        <v>37</v>
      </c>
      <c r="H787" s="23" t="str">
        <f>IFERROR(__xludf.DUMMYFUNCTION("""COMPUTED_VALUE"""),"Algorithms")</f>
        <v>Algorithms</v>
      </c>
      <c r="I787" s="23">
        <f>IFERROR(__xludf.DUMMYFUNCTION("""COMPUTED_VALUE"""),0.485)</f>
        <v>0.485</v>
      </c>
      <c r="J787" s="23">
        <f>IFERROR(__xludf.DUMMYFUNCTION("""COMPUTED_VALUE"""),786.0)</f>
        <v>786</v>
      </c>
      <c r="K787" s="23" t="b">
        <f>IFERROR(__xludf.DUMMYFUNCTION("""COMPUTED_VALUE"""),FALSE)</f>
        <v>0</v>
      </c>
      <c r="L787" s="23" t="str">
        <f>IFERROR(__xludf.DUMMYFUNCTION("""COMPUTED_VALUE"""),"Array;Binary Search;Heap (Priority Queue);")</f>
        <v>Array;Binary Search;Heap (Priority Queue);</v>
      </c>
      <c r="M787" s="23" t="b">
        <f>IFERROR(__xludf.DUMMYFUNCTION("""COMPUTED_VALUE"""),TRUE)</f>
        <v>1</v>
      </c>
      <c r="N787" s="23" t="b">
        <f>IFERROR(__xludf.DUMMYFUNCTION("""COMPUTED_VALUE"""),FALSE)</f>
        <v>0</v>
      </c>
      <c r="O787" s="23">
        <f>IFERROR(__xludf.DUMMYFUNCTION("""COMPUTED_VALUE"""),48.5207100591716)</f>
        <v>48.52071006</v>
      </c>
      <c r="P787" s="23">
        <f>IFERROR(__xludf.DUMMYFUNCTION("""COMPUTED_VALUE"""),25994.0)</f>
        <v>25994</v>
      </c>
      <c r="Q787" s="23">
        <f>IFERROR(__xludf.DUMMYFUNCTION("""COMPUTED_VALUE"""),53573.0)</f>
        <v>53573</v>
      </c>
    </row>
    <row r="788">
      <c r="A788" s="23">
        <f>IFERROR(__xludf.DUMMYFUNCTION("""COMPUTED_VALUE"""),803.0)</f>
        <v>803</v>
      </c>
      <c r="B788" s="23" t="str">
        <f>IFERROR(__xludf.DUMMYFUNCTION("""COMPUTED_VALUE"""),"Cheapest Flights Within K Stops")</f>
        <v>Cheapest Flights Within K Stops</v>
      </c>
      <c r="C788" s="23" t="str">
        <f>IFERROR(__xludf.DUMMYFUNCTION("""COMPUTED_VALUE"""),"cheapest-flights-within-k-stops")</f>
        <v>cheapest-flights-within-k-stops</v>
      </c>
      <c r="D788" s="23" t="b">
        <f>IFERROR(__xludf.DUMMYFUNCTION("""COMPUTED_VALUE"""),FALSE)</f>
        <v>0</v>
      </c>
      <c r="E788" s="23" t="str">
        <f>IFERROR(__xludf.DUMMYFUNCTION("""COMPUTED_VALUE"""),"Medium")</f>
        <v>Medium</v>
      </c>
      <c r="F788" s="23">
        <f>IFERROR(__xludf.DUMMYFUNCTION("""COMPUTED_VALUE"""),4805.0)</f>
        <v>4805</v>
      </c>
      <c r="G788" s="23">
        <f>IFERROR(__xludf.DUMMYFUNCTION("""COMPUTED_VALUE"""),215.0)</f>
        <v>215</v>
      </c>
      <c r="H788" s="23" t="str">
        <f>IFERROR(__xludf.DUMMYFUNCTION("""COMPUTED_VALUE"""),"Algorithms")</f>
        <v>Algorithms</v>
      </c>
      <c r="I788" s="23">
        <f>IFERROR(__xludf.DUMMYFUNCTION("""COMPUTED_VALUE"""),0.36)</f>
        <v>0.36</v>
      </c>
      <c r="J788" s="23">
        <f>IFERROR(__xludf.DUMMYFUNCTION("""COMPUTED_VALUE"""),787.0)</f>
        <v>787</v>
      </c>
      <c r="K788" s="23" t="b">
        <f>IFERROR(__xludf.DUMMYFUNCTION("""COMPUTED_VALUE"""),FALSE)</f>
        <v>0</v>
      </c>
      <c r="L788" s="23" t="str">
        <f>IFERROR(__xludf.DUMMYFUNCTION("""COMPUTED_VALUE"""),"Dynamic Programming;Depth-First Search;Breadth-First Search;Graph;Heap (Priority Queue);Shortest Path;")</f>
        <v>Dynamic Programming;Depth-First Search;Breadth-First Search;Graph;Heap (Priority Queue);Shortest Path;</v>
      </c>
      <c r="M788" s="23" t="b">
        <f>IFERROR(__xludf.DUMMYFUNCTION("""COMPUTED_VALUE"""),TRUE)</f>
        <v>1</v>
      </c>
      <c r="N788" s="23" t="b">
        <f>IFERROR(__xludf.DUMMYFUNCTION("""COMPUTED_VALUE"""),FALSE)</f>
        <v>0</v>
      </c>
      <c r="O788" s="23">
        <f>IFERROR(__xludf.DUMMYFUNCTION("""COMPUTED_VALUE"""),36.0043162767421)</f>
        <v>36.00431628</v>
      </c>
      <c r="P788" s="23">
        <f>IFERROR(__xludf.DUMMYFUNCTION("""COMPUTED_VALUE"""),230226.0)</f>
        <v>230226</v>
      </c>
      <c r="Q788" s="23">
        <f>IFERROR(__xludf.DUMMYFUNCTION("""COMPUTED_VALUE"""),639439.0)</f>
        <v>639439</v>
      </c>
    </row>
    <row r="789">
      <c r="A789" s="23">
        <f>IFERROR(__xludf.DUMMYFUNCTION("""COMPUTED_VALUE"""),804.0)</f>
        <v>804</v>
      </c>
      <c r="B789" s="23" t="str">
        <f>IFERROR(__xludf.DUMMYFUNCTION("""COMPUTED_VALUE"""),"Rotated Digits")</f>
        <v>Rotated Digits</v>
      </c>
      <c r="C789" s="23" t="str">
        <f>IFERROR(__xludf.DUMMYFUNCTION("""COMPUTED_VALUE"""),"rotated-digits")</f>
        <v>rotated-digits</v>
      </c>
      <c r="D789" s="23" t="b">
        <f>IFERROR(__xludf.DUMMYFUNCTION("""COMPUTED_VALUE"""),FALSE)</f>
        <v>0</v>
      </c>
      <c r="E789" s="23" t="str">
        <f>IFERROR(__xludf.DUMMYFUNCTION("""COMPUTED_VALUE"""),"Medium")</f>
        <v>Medium</v>
      </c>
      <c r="F789" s="23">
        <f>IFERROR(__xludf.DUMMYFUNCTION("""COMPUTED_VALUE"""),572.0)</f>
        <v>572</v>
      </c>
      <c r="G789" s="23">
        <f>IFERROR(__xludf.DUMMYFUNCTION("""COMPUTED_VALUE"""),1724.0)</f>
        <v>1724</v>
      </c>
      <c r="H789" s="23" t="str">
        <f>IFERROR(__xludf.DUMMYFUNCTION("""COMPUTED_VALUE"""),"Algorithms")</f>
        <v>Algorithms</v>
      </c>
      <c r="I789" s="23">
        <f>IFERROR(__xludf.DUMMYFUNCTION("""COMPUTED_VALUE"""),0.572)</f>
        <v>0.572</v>
      </c>
      <c r="J789" s="23">
        <f>IFERROR(__xludf.DUMMYFUNCTION("""COMPUTED_VALUE"""),788.0)</f>
        <v>788</v>
      </c>
      <c r="K789" s="23" t="b">
        <f>IFERROR(__xludf.DUMMYFUNCTION("""COMPUTED_VALUE"""),FALSE)</f>
        <v>0</v>
      </c>
      <c r="L789" s="23" t="str">
        <f>IFERROR(__xludf.DUMMYFUNCTION("""COMPUTED_VALUE"""),"Math;Dynamic Programming;")</f>
        <v>Math;Dynamic Programming;</v>
      </c>
      <c r="M789" s="23" t="b">
        <f>IFERROR(__xludf.DUMMYFUNCTION("""COMPUTED_VALUE"""),FALSE)</f>
        <v>0</v>
      </c>
      <c r="N789" s="23" t="b">
        <f>IFERROR(__xludf.DUMMYFUNCTION("""COMPUTED_VALUE"""),FALSE)</f>
        <v>0</v>
      </c>
      <c r="O789" s="23">
        <f>IFERROR(__xludf.DUMMYFUNCTION("""COMPUTED_VALUE"""),57.1961670827991)</f>
        <v>57.19616708</v>
      </c>
      <c r="P789" s="23">
        <f>IFERROR(__xludf.DUMMYFUNCTION("""COMPUTED_VALUE"""),84758.0)</f>
        <v>84758</v>
      </c>
      <c r="Q789" s="23">
        <f>IFERROR(__xludf.DUMMYFUNCTION("""COMPUTED_VALUE"""),148188.0)</f>
        <v>148188</v>
      </c>
    </row>
    <row r="790">
      <c r="A790" s="23">
        <f>IFERROR(__xludf.DUMMYFUNCTION("""COMPUTED_VALUE"""),805.0)</f>
        <v>805</v>
      </c>
      <c r="B790" s="23" t="str">
        <f>IFERROR(__xludf.DUMMYFUNCTION("""COMPUTED_VALUE"""),"Escape The Ghosts")</f>
        <v>Escape The Ghosts</v>
      </c>
      <c r="C790" s="23" t="str">
        <f>IFERROR(__xludf.DUMMYFUNCTION("""COMPUTED_VALUE"""),"escape-the-ghosts")</f>
        <v>escape-the-ghosts</v>
      </c>
      <c r="D790" s="23" t="b">
        <f>IFERROR(__xludf.DUMMYFUNCTION("""COMPUTED_VALUE"""),FALSE)</f>
        <v>0</v>
      </c>
      <c r="E790" s="23" t="str">
        <f>IFERROR(__xludf.DUMMYFUNCTION("""COMPUTED_VALUE"""),"Medium")</f>
        <v>Medium</v>
      </c>
      <c r="F790" s="23">
        <f>IFERROR(__xludf.DUMMYFUNCTION("""COMPUTED_VALUE"""),98.0)</f>
        <v>98</v>
      </c>
      <c r="G790" s="23">
        <f>IFERROR(__xludf.DUMMYFUNCTION("""COMPUTED_VALUE"""),15.0)</f>
        <v>15</v>
      </c>
      <c r="H790" s="23" t="str">
        <f>IFERROR(__xludf.DUMMYFUNCTION("""COMPUTED_VALUE"""),"Algorithms")</f>
        <v>Algorithms</v>
      </c>
      <c r="I790" s="23">
        <f>IFERROR(__xludf.DUMMYFUNCTION("""COMPUTED_VALUE"""),0.601)</f>
        <v>0.601</v>
      </c>
      <c r="J790" s="23">
        <f>IFERROR(__xludf.DUMMYFUNCTION("""COMPUTED_VALUE"""),789.0)</f>
        <v>789</v>
      </c>
      <c r="K790" s="23" t="b">
        <f>IFERROR(__xludf.DUMMYFUNCTION("""COMPUTED_VALUE"""),FALSE)</f>
        <v>0</v>
      </c>
      <c r="L790" s="23" t="str">
        <f>IFERROR(__xludf.DUMMYFUNCTION("""COMPUTED_VALUE"""),"Array;Math;")</f>
        <v>Array;Math;</v>
      </c>
      <c r="M790" s="23" t="b">
        <f>IFERROR(__xludf.DUMMYFUNCTION("""COMPUTED_VALUE"""),TRUE)</f>
        <v>1</v>
      </c>
      <c r="N790" s="23" t="b">
        <f>IFERROR(__xludf.DUMMYFUNCTION("""COMPUTED_VALUE"""),FALSE)</f>
        <v>0</v>
      </c>
      <c r="O790" s="23">
        <f>IFERROR(__xludf.DUMMYFUNCTION("""COMPUTED_VALUE"""),60.1345572723644)</f>
        <v>60.13455727</v>
      </c>
      <c r="P790" s="23">
        <f>IFERROR(__xludf.DUMMYFUNCTION("""COMPUTED_VALUE"""),21094.0)</f>
        <v>21094</v>
      </c>
      <c r="Q790" s="23">
        <f>IFERROR(__xludf.DUMMYFUNCTION("""COMPUTED_VALUE"""),35078.0)</f>
        <v>35078</v>
      </c>
    </row>
    <row r="791">
      <c r="A791" s="23">
        <f>IFERROR(__xludf.DUMMYFUNCTION("""COMPUTED_VALUE"""),806.0)</f>
        <v>806</v>
      </c>
      <c r="B791" s="23" t="str">
        <f>IFERROR(__xludf.DUMMYFUNCTION("""COMPUTED_VALUE"""),"Domino and Tromino Tiling")</f>
        <v>Domino and Tromino Tiling</v>
      </c>
      <c r="C791" s="23" t="str">
        <f>IFERROR(__xludf.DUMMYFUNCTION("""COMPUTED_VALUE"""),"domino-and-tromino-tiling")</f>
        <v>domino-and-tromino-tiling</v>
      </c>
      <c r="D791" s="23" t="b">
        <f>IFERROR(__xludf.DUMMYFUNCTION("""COMPUTED_VALUE"""),FALSE)</f>
        <v>0</v>
      </c>
      <c r="E791" s="23" t="str">
        <f>IFERROR(__xludf.DUMMYFUNCTION("""COMPUTED_VALUE"""),"Medium")</f>
        <v>Medium</v>
      </c>
      <c r="F791" s="23">
        <f>IFERROR(__xludf.DUMMYFUNCTION("""COMPUTED_VALUE"""),1482.0)</f>
        <v>1482</v>
      </c>
      <c r="G791" s="23">
        <f>IFERROR(__xludf.DUMMYFUNCTION("""COMPUTED_VALUE"""),576.0)</f>
        <v>576</v>
      </c>
      <c r="H791" s="23" t="str">
        <f>IFERROR(__xludf.DUMMYFUNCTION("""COMPUTED_VALUE"""),"Algorithms")</f>
        <v>Algorithms</v>
      </c>
      <c r="I791" s="23">
        <f>IFERROR(__xludf.DUMMYFUNCTION("""COMPUTED_VALUE"""),0.479)</f>
        <v>0.479</v>
      </c>
      <c r="J791" s="23">
        <f>IFERROR(__xludf.DUMMYFUNCTION("""COMPUTED_VALUE"""),790.0)</f>
        <v>790</v>
      </c>
      <c r="K791" s="23" t="b">
        <f>IFERROR(__xludf.DUMMYFUNCTION("""COMPUTED_VALUE"""),FALSE)</f>
        <v>0</v>
      </c>
      <c r="L791" s="23" t="str">
        <f>IFERROR(__xludf.DUMMYFUNCTION("""COMPUTED_VALUE"""),"Dynamic Programming;")</f>
        <v>Dynamic Programming;</v>
      </c>
      <c r="M791" s="23" t="b">
        <f>IFERROR(__xludf.DUMMYFUNCTION("""COMPUTED_VALUE"""),TRUE)</f>
        <v>1</v>
      </c>
      <c r="N791" s="23" t="b">
        <f>IFERROR(__xludf.DUMMYFUNCTION("""COMPUTED_VALUE"""),FALSE)</f>
        <v>0</v>
      </c>
      <c r="O791" s="23">
        <f>IFERROR(__xludf.DUMMYFUNCTION("""COMPUTED_VALUE"""),47.8675800489458)</f>
        <v>47.86758005</v>
      </c>
      <c r="P791" s="23">
        <f>IFERROR(__xludf.DUMMYFUNCTION("""COMPUTED_VALUE"""),46746.0)</f>
        <v>46746</v>
      </c>
      <c r="Q791" s="23">
        <f>IFERROR(__xludf.DUMMYFUNCTION("""COMPUTED_VALUE"""),97658.0)</f>
        <v>97658</v>
      </c>
    </row>
    <row r="792">
      <c r="A792" s="23">
        <f>IFERROR(__xludf.DUMMYFUNCTION("""COMPUTED_VALUE"""),807.0)</f>
        <v>807</v>
      </c>
      <c r="B792" s="23" t="str">
        <f>IFERROR(__xludf.DUMMYFUNCTION("""COMPUTED_VALUE"""),"Custom Sort String")</f>
        <v>Custom Sort String</v>
      </c>
      <c r="C792" s="23" t="str">
        <f>IFERROR(__xludf.DUMMYFUNCTION("""COMPUTED_VALUE"""),"custom-sort-string")</f>
        <v>custom-sort-string</v>
      </c>
      <c r="D792" s="23" t="b">
        <f>IFERROR(__xludf.DUMMYFUNCTION("""COMPUTED_VALUE"""),FALSE)</f>
        <v>0</v>
      </c>
      <c r="E792" s="23" t="str">
        <f>IFERROR(__xludf.DUMMYFUNCTION("""COMPUTED_VALUE"""),"Medium")</f>
        <v>Medium</v>
      </c>
      <c r="F792" s="23">
        <f>IFERROR(__xludf.DUMMYFUNCTION("""COMPUTED_VALUE"""),1993.0)</f>
        <v>1993</v>
      </c>
      <c r="G792" s="23">
        <f>IFERROR(__xludf.DUMMYFUNCTION("""COMPUTED_VALUE"""),290.0)</f>
        <v>290</v>
      </c>
      <c r="H792" s="23" t="str">
        <f>IFERROR(__xludf.DUMMYFUNCTION("""COMPUTED_VALUE"""),"Algorithms")</f>
        <v>Algorithms</v>
      </c>
      <c r="I792" s="23">
        <f>IFERROR(__xludf.DUMMYFUNCTION("""COMPUTED_VALUE"""),0.691)</f>
        <v>0.691</v>
      </c>
      <c r="J792" s="23">
        <f>IFERROR(__xludf.DUMMYFUNCTION("""COMPUTED_VALUE"""),791.0)</f>
        <v>791</v>
      </c>
      <c r="K792" s="23" t="b">
        <f>IFERROR(__xludf.DUMMYFUNCTION("""COMPUTED_VALUE"""),FALSE)</f>
        <v>0</v>
      </c>
      <c r="L792" s="23" t="str">
        <f>IFERROR(__xludf.DUMMYFUNCTION("""COMPUTED_VALUE"""),"Hash Table;String;Sorting;")</f>
        <v>Hash Table;String;Sorting;</v>
      </c>
      <c r="M792" s="23" t="b">
        <f>IFERROR(__xludf.DUMMYFUNCTION("""COMPUTED_VALUE"""),TRUE)</f>
        <v>1</v>
      </c>
      <c r="N792" s="23" t="b">
        <f>IFERROR(__xludf.DUMMYFUNCTION("""COMPUTED_VALUE"""),FALSE)</f>
        <v>0</v>
      </c>
      <c r="O792" s="23">
        <f>IFERROR(__xludf.DUMMYFUNCTION("""COMPUTED_VALUE"""),69.142241513426)</f>
        <v>69.14224151</v>
      </c>
      <c r="P792" s="23">
        <f>IFERROR(__xludf.DUMMYFUNCTION("""COMPUTED_VALUE"""),177773.0)</f>
        <v>177773</v>
      </c>
      <c r="Q792" s="23">
        <f>IFERROR(__xludf.DUMMYFUNCTION("""COMPUTED_VALUE"""),257112.0)</f>
        <v>257112</v>
      </c>
    </row>
    <row r="793">
      <c r="A793" s="23">
        <f>IFERROR(__xludf.DUMMYFUNCTION("""COMPUTED_VALUE"""),808.0)</f>
        <v>808</v>
      </c>
      <c r="B793" s="23" t="str">
        <f>IFERROR(__xludf.DUMMYFUNCTION("""COMPUTED_VALUE"""),"Number of Matching Subsequences")</f>
        <v>Number of Matching Subsequences</v>
      </c>
      <c r="C793" s="23" t="str">
        <f>IFERROR(__xludf.DUMMYFUNCTION("""COMPUTED_VALUE"""),"number-of-matching-subsequences")</f>
        <v>number-of-matching-subsequences</v>
      </c>
      <c r="D793" s="23" t="b">
        <f>IFERROR(__xludf.DUMMYFUNCTION("""COMPUTED_VALUE"""),FALSE)</f>
        <v>0</v>
      </c>
      <c r="E793" s="23" t="str">
        <f>IFERROR(__xludf.DUMMYFUNCTION("""COMPUTED_VALUE"""),"Medium")</f>
        <v>Medium</v>
      </c>
      <c r="F793" s="23">
        <f>IFERROR(__xludf.DUMMYFUNCTION("""COMPUTED_VALUE"""),2908.0)</f>
        <v>2908</v>
      </c>
      <c r="G793" s="23">
        <f>IFERROR(__xludf.DUMMYFUNCTION("""COMPUTED_VALUE"""),150.0)</f>
        <v>150</v>
      </c>
      <c r="H793" s="23" t="str">
        <f>IFERROR(__xludf.DUMMYFUNCTION("""COMPUTED_VALUE"""),"Algorithms")</f>
        <v>Algorithms</v>
      </c>
      <c r="I793" s="23">
        <f>IFERROR(__xludf.DUMMYFUNCTION("""COMPUTED_VALUE"""),0.505)</f>
        <v>0.505</v>
      </c>
      <c r="J793" s="23">
        <f>IFERROR(__xludf.DUMMYFUNCTION("""COMPUTED_VALUE"""),792.0)</f>
        <v>792</v>
      </c>
      <c r="K793" s="23" t="b">
        <f>IFERROR(__xludf.DUMMYFUNCTION("""COMPUTED_VALUE"""),FALSE)</f>
        <v>0</v>
      </c>
      <c r="L793" s="23" t="str">
        <f>IFERROR(__xludf.DUMMYFUNCTION("""COMPUTED_VALUE"""),"Hash Table;String;Trie;Sorting;")</f>
        <v>Hash Table;String;Trie;Sorting;</v>
      </c>
      <c r="M793" s="23" t="b">
        <f>IFERROR(__xludf.DUMMYFUNCTION("""COMPUTED_VALUE"""),TRUE)</f>
        <v>1</v>
      </c>
      <c r="N793" s="23" t="b">
        <f>IFERROR(__xludf.DUMMYFUNCTION("""COMPUTED_VALUE"""),FALSE)</f>
        <v>0</v>
      </c>
      <c r="O793" s="23">
        <f>IFERROR(__xludf.DUMMYFUNCTION("""COMPUTED_VALUE"""),50.5114160246292)</f>
        <v>50.51141602</v>
      </c>
      <c r="P793" s="23">
        <f>IFERROR(__xludf.DUMMYFUNCTION("""COMPUTED_VALUE"""),129287.0)</f>
        <v>129287</v>
      </c>
      <c r="Q793" s="23">
        <f>IFERROR(__xludf.DUMMYFUNCTION("""COMPUTED_VALUE"""),255956.0)</f>
        <v>255956</v>
      </c>
    </row>
    <row r="794">
      <c r="A794" s="23">
        <f>IFERROR(__xludf.DUMMYFUNCTION("""COMPUTED_VALUE"""),809.0)</f>
        <v>809</v>
      </c>
      <c r="B794" s="23" t="str">
        <f>IFERROR(__xludf.DUMMYFUNCTION("""COMPUTED_VALUE"""),"Preimage Size of Factorial Zeroes Function")</f>
        <v>Preimage Size of Factorial Zeroes Function</v>
      </c>
      <c r="C794" s="23" t="str">
        <f>IFERROR(__xludf.DUMMYFUNCTION("""COMPUTED_VALUE"""),"preimage-size-of-factorial-zeroes-function")</f>
        <v>preimage-size-of-factorial-zeroes-function</v>
      </c>
      <c r="D794" s="23" t="b">
        <f>IFERROR(__xludf.DUMMYFUNCTION("""COMPUTED_VALUE"""),FALSE)</f>
        <v>0</v>
      </c>
      <c r="E794" s="23" t="str">
        <f>IFERROR(__xludf.DUMMYFUNCTION("""COMPUTED_VALUE"""),"Hard")</f>
        <v>Hard</v>
      </c>
      <c r="F794" s="23">
        <f>IFERROR(__xludf.DUMMYFUNCTION("""COMPUTED_VALUE"""),299.0)</f>
        <v>299</v>
      </c>
      <c r="G794" s="23">
        <f>IFERROR(__xludf.DUMMYFUNCTION("""COMPUTED_VALUE"""),70.0)</f>
        <v>70</v>
      </c>
      <c r="H794" s="23" t="str">
        <f>IFERROR(__xludf.DUMMYFUNCTION("""COMPUTED_VALUE"""),"Algorithms")</f>
        <v>Algorithms</v>
      </c>
      <c r="I794" s="23">
        <f>IFERROR(__xludf.DUMMYFUNCTION("""COMPUTED_VALUE"""),0.417)</f>
        <v>0.417</v>
      </c>
      <c r="J794" s="23">
        <f>IFERROR(__xludf.DUMMYFUNCTION("""COMPUTED_VALUE"""),793.0)</f>
        <v>793</v>
      </c>
      <c r="K794" s="23" t="b">
        <f>IFERROR(__xludf.DUMMYFUNCTION("""COMPUTED_VALUE"""),FALSE)</f>
        <v>0</v>
      </c>
      <c r="L794" s="23" t="str">
        <f>IFERROR(__xludf.DUMMYFUNCTION("""COMPUTED_VALUE"""),"Math;Binary Search;")</f>
        <v>Math;Binary Search;</v>
      </c>
      <c r="M794" s="23" t="b">
        <f>IFERROR(__xludf.DUMMYFUNCTION("""COMPUTED_VALUE"""),TRUE)</f>
        <v>1</v>
      </c>
      <c r="N794" s="23" t="b">
        <f>IFERROR(__xludf.DUMMYFUNCTION("""COMPUTED_VALUE"""),FALSE)</f>
        <v>0</v>
      </c>
      <c r="O794" s="23">
        <f>IFERROR(__xludf.DUMMYFUNCTION("""COMPUTED_VALUE"""),41.7442699563588)</f>
        <v>41.74426996</v>
      </c>
      <c r="P794" s="23">
        <f>IFERROR(__xludf.DUMMYFUNCTION("""COMPUTED_VALUE"""),12148.0)</f>
        <v>12148</v>
      </c>
      <c r="Q794" s="23">
        <f>IFERROR(__xludf.DUMMYFUNCTION("""COMPUTED_VALUE"""),29101.0)</f>
        <v>29101</v>
      </c>
    </row>
    <row r="795">
      <c r="A795" s="23">
        <f>IFERROR(__xludf.DUMMYFUNCTION("""COMPUTED_VALUE"""),810.0)</f>
        <v>810</v>
      </c>
      <c r="B795" s="23" t="str">
        <f>IFERROR(__xludf.DUMMYFUNCTION("""COMPUTED_VALUE"""),"Valid Tic-Tac-Toe State")</f>
        <v>Valid Tic-Tac-Toe State</v>
      </c>
      <c r="C795" s="23" t="str">
        <f>IFERROR(__xludf.DUMMYFUNCTION("""COMPUTED_VALUE"""),"valid-tic-tac-toe-state")</f>
        <v>valid-tic-tac-toe-state</v>
      </c>
      <c r="D795" s="23" t="b">
        <f>IFERROR(__xludf.DUMMYFUNCTION("""COMPUTED_VALUE"""),FALSE)</f>
        <v>0</v>
      </c>
      <c r="E795" s="23" t="str">
        <f>IFERROR(__xludf.DUMMYFUNCTION("""COMPUTED_VALUE"""),"Medium")</f>
        <v>Medium</v>
      </c>
      <c r="F795" s="23">
        <f>IFERROR(__xludf.DUMMYFUNCTION("""COMPUTED_VALUE"""),414.0)</f>
        <v>414</v>
      </c>
      <c r="G795" s="23">
        <f>IFERROR(__xludf.DUMMYFUNCTION("""COMPUTED_VALUE"""),967.0)</f>
        <v>967</v>
      </c>
      <c r="H795" s="23" t="str">
        <f>IFERROR(__xludf.DUMMYFUNCTION("""COMPUTED_VALUE"""),"Algorithms")</f>
        <v>Algorithms</v>
      </c>
      <c r="I795" s="23">
        <f>IFERROR(__xludf.DUMMYFUNCTION("""COMPUTED_VALUE"""),0.352)</f>
        <v>0.352</v>
      </c>
      <c r="J795" s="23">
        <f>IFERROR(__xludf.DUMMYFUNCTION("""COMPUTED_VALUE"""),794.0)</f>
        <v>794</v>
      </c>
      <c r="K795" s="23" t="b">
        <f>IFERROR(__xludf.DUMMYFUNCTION("""COMPUTED_VALUE"""),FALSE)</f>
        <v>0</v>
      </c>
      <c r="L795" s="23" t="str">
        <f>IFERROR(__xludf.DUMMYFUNCTION("""COMPUTED_VALUE"""),"Array;String;")</f>
        <v>Array;String;</v>
      </c>
      <c r="M795" s="23" t="b">
        <f>IFERROR(__xludf.DUMMYFUNCTION("""COMPUTED_VALUE"""),FALSE)</f>
        <v>0</v>
      </c>
      <c r="N795" s="23" t="b">
        <f>IFERROR(__xludf.DUMMYFUNCTION("""COMPUTED_VALUE"""),FALSE)</f>
        <v>0</v>
      </c>
      <c r="O795" s="23">
        <f>IFERROR(__xludf.DUMMYFUNCTION("""COMPUTED_VALUE"""),35.2012950663418)</f>
        <v>35.20129507</v>
      </c>
      <c r="P795" s="23">
        <f>IFERROR(__xludf.DUMMYFUNCTION("""COMPUTED_VALUE"""),46534.0)</f>
        <v>46534</v>
      </c>
      <c r="Q795" s="23">
        <f>IFERROR(__xludf.DUMMYFUNCTION("""COMPUTED_VALUE"""),132194.0)</f>
        <v>132194</v>
      </c>
    </row>
    <row r="796">
      <c r="A796" s="23">
        <f>IFERROR(__xludf.DUMMYFUNCTION("""COMPUTED_VALUE"""),811.0)</f>
        <v>811</v>
      </c>
      <c r="B796" s="23" t="str">
        <f>IFERROR(__xludf.DUMMYFUNCTION("""COMPUTED_VALUE"""),"Number of Subarrays with Bounded Maximum")</f>
        <v>Number of Subarrays with Bounded Maximum</v>
      </c>
      <c r="C796" s="23" t="str">
        <f>IFERROR(__xludf.DUMMYFUNCTION("""COMPUTED_VALUE"""),"number-of-subarrays-with-bounded-maximum")</f>
        <v>number-of-subarrays-with-bounded-maximum</v>
      </c>
      <c r="D796" s="23" t="b">
        <f>IFERROR(__xludf.DUMMYFUNCTION("""COMPUTED_VALUE"""),FALSE)</f>
        <v>0</v>
      </c>
      <c r="E796" s="23" t="str">
        <f>IFERROR(__xludf.DUMMYFUNCTION("""COMPUTED_VALUE"""),"Medium")</f>
        <v>Medium</v>
      </c>
      <c r="F796" s="23">
        <f>IFERROR(__xludf.DUMMYFUNCTION("""COMPUTED_VALUE"""),1614.0)</f>
        <v>1614</v>
      </c>
      <c r="G796" s="23">
        <f>IFERROR(__xludf.DUMMYFUNCTION("""COMPUTED_VALUE"""),92.0)</f>
        <v>92</v>
      </c>
      <c r="H796" s="23" t="str">
        <f>IFERROR(__xludf.DUMMYFUNCTION("""COMPUTED_VALUE"""),"Algorithms")</f>
        <v>Algorithms</v>
      </c>
      <c r="I796" s="23">
        <f>IFERROR(__xludf.DUMMYFUNCTION("""COMPUTED_VALUE"""),0.524)</f>
        <v>0.524</v>
      </c>
      <c r="J796" s="23">
        <f>IFERROR(__xludf.DUMMYFUNCTION("""COMPUTED_VALUE"""),795.0)</f>
        <v>795</v>
      </c>
      <c r="K796" s="23" t="b">
        <f>IFERROR(__xludf.DUMMYFUNCTION("""COMPUTED_VALUE"""),FALSE)</f>
        <v>0</v>
      </c>
      <c r="L796" s="23" t="str">
        <f>IFERROR(__xludf.DUMMYFUNCTION("""COMPUTED_VALUE"""),"Array;Two Pointers;")</f>
        <v>Array;Two Pointers;</v>
      </c>
      <c r="M796" s="23" t="b">
        <f>IFERROR(__xludf.DUMMYFUNCTION("""COMPUTED_VALUE"""),TRUE)</f>
        <v>1</v>
      </c>
      <c r="N796" s="23" t="b">
        <f>IFERROR(__xludf.DUMMYFUNCTION("""COMPUTED_VALUE"""),FALSE)</f>
        <v>0</v>
      </c>
      <c r="O796" s="23">
        <f>IFERROR(__xludf.DUMMYFUNCTION("""COMPUTED_VALUE"""),52.3843366499169)</f>
        <v>52.38433665</v>
      </c>
      <c r="P796" s="23">
        <f>IFERROR(__xludf.DUMMYFUNCTION("""COMPUTED_VALUE"""),52333.0)</f>
        <v>52333</v>
      </c>
      <c r="Q796" s="23">
        <f>IFERROR(__xludf.DUMMYFUNCTION("""COMPUTED_VALUE"""),99899.0)</f>
        <v>99899</v>
      </c>
    </row>
    <row r="797">
      <c r="A797" s="23">
        <f>IFERROR(__xludf.DUMMYFUNCTION("""COMPUTED_VALUE"""),812.0)</f>
        <v>812</v>
      </c>
      <c r="B797" s="23" t="str">
        <f>IFERROR(__xludf.DUMMYFUNCTION("""COMPUTED_VALUE"""),"Rotate String")</f>
        <v>Rotate String</v>
      </c>
      <c r="C797" s="23" t="str">
        <f>IFERROR(__xludf.DUMMYFUNCTION("""COMPUTED_VALUE"""),"rotate-string")</f>
        <v>rotate-string</v>
      </c>
      <c r="D797" s="23" t="b">
        <f>IFERROR(__xludf.DUMMYFUNCTION("""COMPUTED_VALUE"""),FALSE)</f>
        <v>0</v>
      </c>
      <c r="E797" s="23" t="str">
        <f>IFERROR(__xludf.DUMMYFUNCTION("""COMPUTED_VALUE"""),"Easy")</f>
        <v>Easy</v>
      </c>
      <c r="F797" s="23">
        <f>IFERROR(__xludf.DUMMYFUNCTION("""COMPUTED_VALUE"""),1804.0)</f>
        <v>1804</v>
      </c>
      <c r="G797" s="23">
        <f>IFERROR(__xludf.DUMMYFUNCTION("""COMPUTED_VALUE"""),84.0)</f>
        <v>84</v>
      </c>
      <c r="H797" s="23" t="str">
        <f>IFERROR(__xludf.DUMMYFUNCTION("""COMPUTED_VALUE"""),"Algorithms")</f>
        <v>Algorithms</v>
      </c>
      <c r="I797" s="23">
        <f>IFERROR(__xludf.DUMMYFUNCTION("""COMPUTED_VALUE"""),0.522)</f>
        <v>0.522</v>
      </c>
      <c r="J797" s="23">
        <f>IFERROR(__xludf.DUMMYFUNCTION("""COMPUTED_VALUE"""),796.0)</f>
        <v>796</v>
      </c>
      <c r="K797" s="23" t="b">
        <f>IFERROR(__xludf.DUMMYFUNCTION("""COMPUTED_VALUE"""),FALSE)</f>
        <v>0</v>
      </c>
      <c r="L797" s="23" t="str">
        <f>IFERROR(__xludf.DUMMYFUNCTION("""COMPUTED_VALUE"""),"String;String Matching;")</f>
        <v>String;String Matching;</v>
      </c>
      <c r="M797" s="23" t="b">
        <f>IFERROR(__xludf.DUMMYFUNCTION("""COMPUTED_VALUE"""),TRUE)</f>
        <v>1</v>
      </c>
      <c r="N797" s="23" t="b">
        <f>IFERROR(__xludf.DUMMYFUNCTION("""COMPUTED_VALUE"""),FALSE)</f>
        <v>0</v>
      </c>
      <c r="O797" s="23">
        <f>IFERROR(__xludf.DUMMYFUNCTION("""COMPUTED_VALUE"""),52.236070903983)</f>
        <v>52.2360709</v>
      </c>
      <c r="P797" s="23">
        <f>IFERROR(__xludf.DUMMYFUNCTION("""COMPUTED_VALUE"""),146518.0)</f>
        <v>146518</v>
      </c>
      <c r="Q797" s="23">
        <f>IFERROR(__xludf.DUMMYFUNCTION("""COMPUTED_VALUE"""),280492.0)</f>
        <v>280492</v>
      </c>
    </row>
    <row r="798">
      <c r="A798" s="23">
        <f>IFERROR(__xludf.DUMMYFUNCTION("""COMPUTED_VALUE"""),813.0)</f>
        <v>813</v>
      </c>
      <c r="B798" s="23" t="str">
        <f>IFERROR(__xludf.DUMMYFUNCTION("""COMPUTED_VALUE"""),"All Paths From Source to Target")</f>
        <v>All Paths From Source to Target</v>
      </c>
      <c r="C798" s="23" t="str">
        <f>IFERROR(__xludf.DUMMYFUNCTION("""COMPUTED_VALUE"""),"all-paths-from-source-to-target")</f>
        <v>all-paths-from-source-to-target</v>
      </c>
      <c r="D798" s="23" t="b">
        <f>IFERROR(__xludf.DUMMYFUNCTION("""COMPUTED_VALUE"""),FALSE)</f>
        <v>0</v>
      </c>
      <c r="E798" s="23" t="str">
        <f>IFERROR(__xludf.DUMMYFUNCTION("""COMPUTED_VALUE"""),"Medium")</f>
        <v>Medium</v>
      </c>
      <c r="F798" s="23">
        <f>IFERROR(__xludf.DUMMYFUNCTION("""COMPUTED_VALUE"""),4036.0)</f>
        <v>4036</v>
      </c>
      <c r="G798" s="23">
        <f>IFERROR(__xludf.DUMMYFUNCTION("""COMPUTED_VALUE"""),115.0)</f>
        <v>115</v>
      </c>
      <c r="H798" s="23" t="str">
        <f>IFERROR(__xludf.DUMMYFUNCTION("""COMPUTED_VALUE"""),"Algorithms")</f>
        <v>Algorithms</v>
      </c>
      <c r="I798" s="23">
        <f>IFERROR(__xludf.DUMMYFUNCTION("""COMPUTED_VALUE"""),0.809)</f>
        <v>0.809</v>
      </c>
      <c r="J798" s="23">
        <f>IFERROR(__xludf.DUMMYFUNCTION("""COMPUTED_VALUE"""),797.0)</f>
        <v>797</v>
      </c>
      <c r="K798" s="23" t="b">
        <f>IFERROR(__xludf.DUMMYFUNCTION("""COMPUTED_VALUE"""),FALSE)</f>
        <v>0</v>
      </c>
      <c r="L798" s="23" t="str">
        <f>IFERROR(__xludf.DUMMYFUNCTION("""COMPUTED_VALUE"""),"Backtracking;Depth-First Search;Breadth-First Search;Graph;")</f>
        <v>Backtracking;Depth-First Search;Breadth-First Search;Graph;</v>
      </c>
      <c r="M798" s="23" t="b">
        <f>IFERROR(__xludf.DUMMYFUNCTION("""COMPUTED_VALUE"""),TRUE)</f>
        <v>1</v>
      </c>
      <c r="N798" s="23" t="b">
        <f>IFERROR(__xludf.DUMMYFUNCTION("""COMPUTED_VALUE"""),FALSE)</f>
        <v>0</v>
      </c>
      <c r="O798" s="23">
        <f>IFERROR(__xludf.DUMMYFUNCTION("""COMPUTED_VALUE"""),80.8941637885617)</f>
        <v>80.89416379</v>
      </c>
      <c r="P798" s="23">
        <f>IFERROR(__xludf.DUMMYFUNCTION("""COMPUTED_VALUE"""),276382.0)</f>
        <v>276382</v>
      </c>
      <c r="Q798" s="23">
        <f>IFERROR(__xludf.DUMMYFUNCTION("""COMPUTED_VALUE"""),341659.0)</f>
        <v>341659</v>
      </c>
    </row>
    <row r="799">
      <c r="A799" s="23">
        <f>IFERROR(__xludf.DUMMYFUNCTION("""COMPUTED_VALUE"""),814.0)</f>
        <v>814</v>
      </c>
      <c r="B799" s="23" t="str">
        <f>IFERROR(__xludf.DUMMYFUNCTION("""COMPUTED_VALUE"""),"Smallest Rotation with Highest Score")</f>
        <v>Smallest Rotation with Highest Score</v>
      </c>
      <c r="C799" s="23" t="str">
        <f>IFERROR(__xludf.DUMMYFUNCTION("""COMPUTED_VALUE"""),"smallest-rotation-with-highest-score")</f>
        <v>smallest-rotation-with-highest-score</v>
      </c>
      <c r="D799" s="23" t="b">
        <f>IFERROR(__xludf.DUMMYFUNCTION("""COMPUTED_VALUE"""),FALSE)</f>
        <v>0</v>
      </c>
      <c r="E799" s="23" t="str">
        <f>IFERROR(__xludf.DUMMYFUNCTION("""COMPUTED_VALUE"""),"Hard")</f>
        <v>Hard</v>
      </c>
      <c r="F799" s="23">
        <f>IFERROR(__xludf.DUMMYFUNCTION("""COMPUTED_VALUE"""),353.0)</f>
        <v>353</v>
      </c>
      <c r="G799" s="23">
        <f>IFERROR(__xludf.DUMMYFUNCTION("""COMPUTED_VALUE"""),22.0)</f>
        <v>22</v>
      </c>
      <c r="H799" s="23" t="str">
        <f>IFERROR(__xludf.DUMMYFUNCTION("""COMPUTED_VALUE"""),"Algorithms")</f>
        <v>Algorithms</v>
      </c>
      <c r="I799" s="23">
        <f>IFERROR(__xludf.DUMMYFUNCTION("""COMPUTED_VALUE"""),0.474)</f>
        <v>0.474</v>
      </c>
      <c r="J799" s="23">
        <f>IFERROR(__xludf.DUMMYFUNCTION("""COMPUTED_VALUE"""),798.0)</f>
        <v>798</v>
      </c>
      <c r="K799" s="23" t="b">
        <f>IFERROR(__xludf.DUMMYFUNCTION("""COMPUTED_VALUE"""),FALSE)</f>
        <v>0</v>
      </c>
      <c r="L799" s="23" t="str">
        <f>IFERROR(__xludf.DUMMYFUNCTION("""COMPUTED_VALUE"""),"Array;Prefix Sum;")</f>
        <v>Array;Prefix Sum;</v>
      </c>
      <c r="M799" s="23" t="b">
        <f>IFERROR(__xludf.DUMMYFUNCTION("""COMPUTED_VALUE"""),TRUE)</f>
        <v>1</v>
      </c>
      <c r="N799" s="23" t="b">
        <f>IFERROR(__xludf.DUMMYFUNCTION("""COMPUTED_VALUE"""),FALSE)</f>
        <v>0</v>
      </c>
      <c r="O799" s="23">
        <f>IFERROR(__xludf.DUMMYFUNCTION("""COMPUTED_VALUE"""),47.4051626170247)</f>
        <v>47.40516262</v>
      </c>
      <c r="P799" s="23">
        <f>IFERROR(__xludf.DUMMYFUNCTION("""COMPUTED_VALUE"""),8760.0)</f>
        <v>8760</v>
      </c>
      <c r="Q799" s="23">
        <f>IFERROR(__xludf.DUMMYFUNCTION("""COMPUTED_VALUE"""),18479.0)</f>
        <v>18479</v>
      </c>
    </row>
    <row r="800">
      <c r="A800" s="23">
        <f>IFERROR(__xludf.DUMMYFUNCTION("""COMPUTED_VALUE"""),815.0)</f>
        <v>815</v>
      </c>
      <c r="B800" s="23" t="str">
        <f>IFERROR(__xludf.DUMMYFUNCTION("""COMPUTED_VALUE"""),"Champagne Tower")</f>
        <v>Champagne Tower</v>
      </c>
      <c r="C800" s="23" t="str">
        <f>IFERROR(__xludf.DUMMYFUNCTION("""COMPUTED_VALUE"""),"champagne-tower")</f>
        <v>champagne-tower</v>
      </c>
      <c r="D800" s="23" t="b">
        <f>IFERROR(__xludf.DUMMYFUNCTION("""COMPUTED_VALUE"""),FALSE)</f>
        <v>0</v>
      </c>
      <c r="E800" s="23" t="str">
        <f>IFERROR(__xludf.DUMMYFUNCTION("""COMPUTED_VALUE"""),"Medium")</f>
        <v>Medium</v>
      </c>
      <c r="F800" s="23">
        <f>IFERROR(__xludf.DUMMYFUNCTION("""COMPUTED_VALUE"""),2322.0)</f>
        <v>2322</v>
      </c>
      <c r="G800" s="23">
        <f>IFERROR(__xludf.DUMMYFUNCTION("""COMPUTED_VALUE"""),129.0)</f>
        <v>129</v>
      </c>
      <c r="H800" s="23" t="str">
        <f>IFERROR(__xludf.DUMMYFUNCTION("""COMPUTED_VALUE"""),"Algorithms")</f>
        <v>Algorithms</v>
      </c>
      <c r="I800" s="23">
        <f>IFERROR(__xludf.DUMMYFUNCTION("""COMPUTED_VALUE"""),0.512)</f>
        <v>0.512</v>
      </c>
      <c r="J800" s="23">
        <f>IFERROR(__xludf.DUMMYFUNCTION("""COMPUTED_VALUE"""),799.0)</f>
        <v>799</v>
      </c>
      <c r="K800" s="23" t="b">
        <f>IFERROR(__xludf.DUMMYFUNCTION("""COMPUTED_VALUE"""),FALSE)</f>
        <v>0</v>
      </c>
      <c r="L800" s="23" t="str">
        <f>IFERROR(__xludf.DUMMYFUNCTION("""COMPUTED_VALUE"""),"Dynamic Programming;")</f>
        <v>Dynamic Programming;</v>
      </c>
      <c r="M800" s="23" t="b">
        <f>IFERROR(__xludf.DUMMYFUNCTION("""COMPUTED_VALUE"""),TRUE)</f>
        <v>1</v>
      </c>
      <c r="N800" s="23" t="b">
        <f>IFERROR(__xludf.DUMMYFUNCTION("""COMPUTED_VALUE"""),FALSE)</f>
        <v>0</v>
      </c>
      <c r="O800" s="23">
        <f>IFERROR(__xludf.DUMMYFUNCTION("""COMPUTED_VALUE"""),51.2034981318026)</f>
        <v>51.20349813</v>
      </c>
      <c r="P800" s="23">
        <f>IFERROR(__xludf.DUMMYFUNCTION("""COMPUTED_VALUE"""),75646.0)</f>
        <v>75646</v>
      </c>
      <c r="Q800" s="23">
        <f>IFERROR(__xludf.DUMMYFUNCTION("""COMPUTED_VALUE"""),147736.0)</f>
        <v>147736</v>
      </c>
    </row>
    <row r="801">
      <c r="A801" s="23">
        <f>IFERROR(__xludf.DUMMYFUNCTION("""COMPUTED_VALUE"""),818.0)</f>
        <v>818</v>
      </c>
      <c r="B801" s="23" t="str">
        <f>IFERROR(__xludf.DUMMYFUNCTION("""COMPUTED_VALUE"""),"Similar RGB Color")</f>
        <v>Similar RGB Color</v>
      </c>
      <c r="C801" s="23" t="str">
        <f>IFERROR(__xludf.DUMMYFUNCTION("""COMPUTED_VALUE"""),"similar-rgb-color")</f>
        <v>similar-rgb-color</v>
      </c>
      <c r="D801" s="23" t="b">
        <f>IFERROR(__xludf.DUMMYFUNCTION("""COMPUTED_VALUE"""),TRUE)</f>
        <v>1</v>
      </c>
      <c r="E801" s="23" t="str">
        <f>IFERROR(__xludf.DUMMYFUNCTION("""COMPUTED_VALUE"""),"Easy")</f>
        <v>Easy</v>
      </c>
      <c r="F801" s="23">
        <f>IFERROR(__xludf.DUMMYFUNCTION("""COMPUTED_VALUE"""),79.0)</f>
        <v>79</v>
      </c>
      <c r="G801" s="23">
        <f>IFERROR(__xludf.DUMMYFUNCTION("""COMPUTED_VALUE"""),488.0)</f>
        <v>488</v>
      </c>
      <c r="H801" s="23" t="str">
        <f>IFERROR(__xludf.DUMMYFUNCTION("""COMPUTED_VALUE"""),"Algorithms")</f>
        <v>Algorithms</v>
      </c>
      <c r="I801" s="23">
        <f>IFERROR(__xludf.DUMMYFUNCTION("""COMPUTED_VALUE"""),0.638)</f>
        <v>0.638</v>
      </c>
      <c r="J801" s="23">
        <f>IFERROR(__xludf.DUMMYFUNCTION("""COMPUTED_VALUE"""),800.0)</f>
        <v>800</v>
      </c>
      <c r="K801" s="23" t="b">
        <f>IFERROR(__xludf.DUMMYFUNCTION("""COMPUTED_VALUE"""),TRUE)</f>
        <v>1</v>
      </c>
      <c r="L801" s="23" t="str">
        <f>IFERROR(__xludf.DUMMYFUNCTION("""COMPUTED_VALUE"""),"Math;String;Enumeration;")</f>
        <v>Math;String;Enumeration;</v>
      </c>
      <c r="M801" s="23" t="b">
        <f>IFERROR(__xludf.DUMMYFUNCTION("""COMPUTED_VALUE"""),FALSE)</f>
        <v>0</v>
      </c>
      <c r="N801" s="23" t="b">
        <f>IFERROR(__xludf.DUMMYFUNCTION("""COMPUTED_VALUE"""),FALSE)</f>
        <v>0</v>
      </c>
      <c r="O801" s="23">
        <f>IFERROR(__xludf.DUMMYFUNCTION("""COMPUTED_VALUE"""),63.7660557445296)</f>
        <v>63.76605574</v>
      </c>
      <c r="P801" s="23">
        <f>IFERROR(__xludf.DUMMYFUNCTION("""COMPUTED_VALUE"""),12560.0)</f>
        <v>12560</v>
      </c>
      <c r="Q801" s="23">
        <f>IFERROR(__xludf.DUMMYFUNCTION("""COMPUTED_VALUE"""),19697.0)</f>
        <v>19697</v>
      </c>
    </row>
    <row r="802">
      <c r="A802" s="23">
        <f>IFERROR(__xludf.DUMMYFUNCTION("""COMPUTED_VALUE"""),819.0)</f>
        <v>819</v>
      </c>
      <c r="B802" s="23" t="str">
        <f>IFERROR(__xludf.DUMMYFUNCTION("""COMPUTED_VALUE"""),"Minimum Swaps To Make Sequences Increasing")</f>
        <v>Minimum Swaps To Make Sequences Increasing</v>
      </c>
      <c r="C802" s="23" t="str">
        <f>IFERROR(__xludf.DUMMYFUNCTION("""COMPUTED_VALUE"""),"minimum-swaps-to-make-sequences-increasing")</f>
        <v>minimum-swaps-to-make-sequences-increasing</v>
      </c>
      <c r="D802" s="23" t="b">
        <f>IFERROR(__xludf.DUMMYFUNCTION("""COMPUTED_VALUE"""),FALSE)</f>
        <v>0</v>
      </c>
      <c r="E802" s="23" t="str">
        <f>IFERROR(__xludf.DUMMYFUNCTION("""COMPUTED_VALUE"""),"Hard")</f>
        <v>Hard</v>
      </c>
      <c r="F802" s="23">
        <f>IFERROR(__xludf.DUMMYFUNCTION("""COMPUTED_VALUE"""),1981.0)</f>
        <v>1981</v>
      </c>
      <c r="G802" s="23">
        <f>IFERROR(__xludf.DUMMYFUNCTION("""COMPUTED_VALUE"""),123.0)</f>
        <v>123</v>
      </c>
      <c r="H802" s="23" t="str">
        <f>IFERROR(__xludf.DUMMYFUNCTION("""COMPUTED_VALUE"""),"Algorithms")</f>
        <v>Algorithms</v>
      </c>
      <c r="I802" s="23">
        <f>IFERROR(__xludf.DUMMYFUNCTION("""COMPUTED_VALUE"""),0.391)</f>
        <v>0.391</v>
      </c>
      <c r="J802" s="23">
        <f>IFERROR(__xludf.DUMMYFUNCTION("""COMPUTED_VALUE"""),801.0)</f>
        <v>801</v>
      </c>
      <c r="K802" s="23" t="b">
        <f>IFERROR(__xludf.DUMMYFUNCTION("""COMPUTED_VALUE"""),FALSE)</f>
        <v>0</v>
      </c>
      <c r="L802" s="23" t="str">
        <f>IFERROR(__xludf.DUMMYFUNCTION("""COMPUTED_VALUE"""),"Array;Dynamic Programming;")</f>
        <v>Array;Dynamic Programming;</v>
      </c>
      <c r="M802" s="23" t="b">
        <f>IFERROR(__xludf.DUMMYFUNCTION("""COMPUTED_VALUE"""),FALSE)</f>
        <v>0</v>
      </c>
      <c r="N802" s="23" t="b">
        <f>IFERROR(__xludf.DUMMYFUNCTION("""COMPUTED_VALUE"""),FALSE)</f>
        <v>0</v>
      </c>
      <c r="O802" s="23">
        <f>IFERROR(__xludf.DUMMYFUNCTION("""COMPUTED_VALUE"""),39.1445337776025)</f>
        <v>39.14453378</v>
      </c>
      <c r="P802" s="23">
        <f>IFERROR(__xludf.DUMMYFUNCTION("""COMPUTED_VALUE"""),52631.0)</f>
        <v>52631</v>
      </c>
      <c r="Q802" s="23">
        <f>IFERROR(__xludf.DUMMYFUNCTION("""COMPUTED_VALUE"""),134453.0)</f>
        <v>134453</v>
      </c>
    </row>
    <row r="803">
      <c r="A803" s="23">
        <f>IFERROR(__xludf.DUMMYFUNCTION("""COMPUTED_VALUE"""),820.0)</f>
        <v>820</v>
      </c>
      <c r="B803" s="23" t="str">
        <f>IFERROR(__xludf.DUMMYFUNCTION("""COMPUTED_VALUE"""),"Find Eventual Safe States")</f>
        <v>Find Eventual Safe States</v>
      </c>
      <c r="C803" s="23" t="str">
        <f>IFERROR(__xludf.DUMMYFUNCTION("""COMPUTED_VALUE"""),"find-eventual-safe-states")</f>
        <v>find-eventual-safe-states</v>
      </c>
      <c r="D803" s="23" t="b">
        <f>IFERROR(__xludf.DUMMYFUNCTION("""COMPUTED_VALUE"""),FALSE)</f>
        <v>0</v>
      </c>
      <c r="E803" s="23" t="str">
        <f>IFERROR(__xludf.DUMMYFUNCTION("""COMPUTED_VALUE"""),"Medium")</f>
        <v>Medium</v>
      </c>
      <c r="F803" s="23">
        <f>IFERROR(__xludf.DUMMYFUNCTION("""COMPUTED_VALUE"""),2046.0)</f>
        <v>2046</v>
      </c>
      <c r="G803" s="23">
        <f>IFERROR(__xludf.DUMMYFUNCTION("""COMPUTED_VALUE"""),316.0)</f>
        <v>316</v>
      </c>
      <c r="H803" s="23" t="str">
        <f>IFERROR(__xludf.DUMMYFUNCTION("""COMPUTED_VALUE"""),"Algorithms")</f>
        <v>Algorithms</v>
      </c>
      <c r="I803" s="23">
        <f>IFERROR(__xludf.DUMMYFUNCTION("""COMPUTED_VALUE"""),0.525)</f>
        <v>0.525</v>
      </c>
      <c r="J803" s="23">
        <f>IFERROR(__xludf.DUMMYFUNCTION("""COMPUTED_VALUE"""),802.0)</f>
        <v>802</v>
      </c>
      <c r="K803" s="23" t="b">
        <f>IFERROR(__xludf.DUMMYFUNCTION("""COMPUTED_VALUE"""),FALSE)</f>
        <v>0</v>
      </c>
      <c r="L803" s="23" t="str">
        <f>IFERROR(__xludf.DUMMYFUNCTION("""COMPUTED_VALUE"""),"Depth-First Search;Breadth-First Search;Graph;Topological Sort;")</f>
        <v>Depth-First Search;Breadth-First Search;Graph;Topological Sort;</v>
      </c>
      <c r="M803" s="23" t="b">
        <f>IFERROR(__xludf.DUMMYFUNCTION("""COMPUTED_VALUE"""),TRUE)</f>
        <v>1</v>
      </c>
      <c r="N803" s="23" t="b">
        <f>IFERROR(__xludf.DUMMYFUNCTION("""COMPUTED_VALUE"""),FALSE)</f>
        <v>0</v>
      </c>
      <c r="O803" s="23">
        <f>IFERROR(__xludf.DUMMYFUNCTION("""COMPUTED_VALUE"""),52.523817256685)</f>
        <v>52.52381726</v>
      </c>
      <c r="P803" s="23">
        <f>IFERROR(__xludf.DUMMYFUNCTION("""COMPUTED_VALUE"""),77623.0)</f>
        <v>77623</v>
      </c>
      <c r="Q803" s="23">
        <f>IFERROR(__xludf.DUMMYFUNCTION("""COMPUTED_VALUE"""),147789.0)</f>
        <v>147789</v>
      </c>
    </row>
    <row r="804">
      <c r="A804" s="23">
        <f>IFERROR(__xludf.DUMMYFUNCTION("""COMPUTED_VALUE"""),821.0)</f>
        <v>821</v>
      </c>
      <c r="B804" s="23" t="str">
        <f>IFERROR(__xludf.DUMMYFUNCTION("""COMPUTED_VALUE"""),"Bricks Falling When Hit")</f>
        <v>Bricks Falling When Hit</v>
      </c>
      <c r="C804" s="23" t="str">
        <f>IFERROR(__xludf.DUMMYFUNCTION("""COMPUTED_VALUE"""),"bricks-falling-when-hit")</f>
        <v>bricks-falling-when-hit</v>
      </c>
      <c r="D804" s="23" t="b">
        <f>IFERROR(__xludf.DUMMYFUNCTION("""COMPUTED_VALUE"""),FALSE)</f>
        <v>0</v>
      </c>
      <c r="E804" s="23" t="str">
        <f>IFERROR(__xludf.DUMMYFUNCTION("""COMPUTED_VALUE"""),"Hard")</f>
        <v>Hard</v>
      </c>
      <c r="F804" s="23">
        <f>IFERROR(__xludf.DUMMYFUNCTION("""COMPUTED_VALUE"""),793.0)</f>
        <v>793</v>
      </c>
      <c r="G804" s="23">
        <f>IFERROR(__xludf.DUMMYFUNCTION("""COMPUTED_VALUE"""),171.0)</f>
        <v>171</v>
      </c>
      <c r="H804" s="23" t="str">
        <f>IFERROR(__xludf.DUMMYFUNCTION("""COMPUTED_VALUE"""),"Algorithms")</f>
        <v>Algorithms</v>
      </c>
      <c r="I804" s="23">
        <f>IFERROR(__xludf.DUMMYFUNCTION("""COMPUTED_VALUE"""),0.339)</f>
        <v>0.339</v>
      </c>
      <c r="J804" s="23">
        <f>IFERROR(__xludf.DUMMYFUNCTION("""COMPUTED_VALUE"""),803.0)</f>
        <v>803</v>
      </c>
      <c r="K804" s="23" t="b">
        <f>IFERROR(__xludf.DUMMYFUNCTION("""COMPUTED_VALUE"""),FALSE)</f>
        <v>0</v>
      </c>
      <c r="L804" s="23" t="str">
        <f>IFERROR(__xludf.DUMMYFUNCTION("""COMPUTED_VALUE"""),"Array;Union Find;Matrix;")</f>
        <v>Array;Union Find;Matrix;</v>
      </c>
      <c r="M804" s="23" t="b">
        <f>IFERROR(__xludf.DUMMYFUNCTION("""COMPUTED_VALUE"""),TRUE)</f>
        <v>1</v>
      </c>
      <c r="N804" s="23" t="b">
        <f>IFERROR(__xludf.DUMMYFUNCTION("""COMPUTED_VALUE"""),FALSE)</f>
        <v>0</v>
      </c>
      <c r="O804" s="23">
        <f>IFERROR(__xludf.DUMMYFUNCTION("""COMPUTED_VALUE"""),33.8509870632296)</f>
        <v>33.85098706</v>
      </c>
      <c r="P804" s="23">
        <f>IFERROR(__xludf.DUMMYFUNCTION("""COMPUTED_VALUE"""),24675.0)</f>
        <v>24675</v>
      </c>
      <c r="Q804" s="23">
        <f>IFERROR(__xludf.DUMMYFUNCTION("""COMPUTED_VALUE"""),72893.0)</f>
        <v>72893</v>
      </c>
    </row>
    <row r="805">
      <c r="A805" s="23">
        <f>IFERROR(__xludf.DUMMYFUNCTION("""COMPUTED_VALUE"""),822.0)</f>
        <v>822</v>
      </c>
      <c r="B805" s="23" t="str">
        <f>IFERROR(__xludf.DUMMYFUNCTION("""COMPUTED_VALUE"""),"Unique Morse Code Words")</f>
        <v>Unique Morse Code Words</v>
      </c>
      <c r="C805" s="23" t="str">
        <f>IFERROR(__xludf.DUMMYFUNCTION("""COMPUTED_VALUE"""),"unique-morse-code-words")</f>
        <v>unique-morse-code-words</v>
      </c>
      <c r="D805" s="23" t="b">
        <f>IFERROR(__xludf.DUMMYFUNCTION("""COMPUTED_VALUE"""),FALSE)</f>
        <v>0</v>
      </c>
      <c r="E805" s="23" t="str">
        <f>IFERROR(__xludf.DUMMYFUNCTION("""COMPUTED_VALUE"""),"Easy")</f>
        <v>Easy</v>
      </c>
      <c r="F805" s="23">
        <f>IFERROR(__xludf.DUMMYFUNCTION("""COMPUTED_VALUE"""),1221.0)</f>
        <v>1221</v>
      </c>
      <c r="G805" s="23">
        <f>IFERROR(__xludf.DUMMYFUNCTION("""COMPUTED_VALUE"""),1028.0)</f>
        <v>1028</v>
      </c>
      <c r="H805" s="23" t="str">
        <f>IFERROR(__xludf.DUMMYFUNCTION("""COMPUTED_VALUE"""),"Algorithms")</f>
        <v>Algorithms</v>
      </c>
      <c r="I805" s="23">
        <f>IFERROR(__xludf.DUMMYFUNCTION("""COMPUTED_VALUE"""),0.8)</f>
        <v>0.8</v>
      </c>
      <c r="J805" s="23">
        <f>IFERROR(__xludf.DUMMYFUNCTION("""COMPUTED_VALUE"""),804.0)</f>
        <v>804</v>
      </c>
      <c r="K805" s="23" t="b">
        <f>IFERROR(__xludf.DUMMYFUNCTION("""COMPUTED_VALUE"""),FALSE)</f>
        <v>0</v>
      </c>
      <c r="L805" s="23" t="str">
        <f>IFERROR(__xludf.DUMMYFUNCTION("""COMPUTED_VALUE"""),"Array;Hash Table;String;")</f>
        <v>Array;Hash Table;String;</v>
      </c>
      <c r="M805" s="23" t="b">
        <f>IFERROR(__xludf.DUMMYFUNCTION("""COMPUTED_VALUE"""),TRUE)</f>
        <v>1</v>
      </c>
      <c r="N805" s="23" t="b">
        <f>IFERROR(__xludf.DUMMYFUNCTION("""COMPUTED_VALUE"""),FALSE)</f>
        <v>0</v>
      </c>
      <c r="O805" s="23">
        <f>IFERROR(__xludf.DUMMYFUNCTION("""COMPUTED_VALUE"""),80.0048163310671)</f>
        <v>80.00481633</v>
      </c>
      <c r="P805" s="23">
        <f>IFERROR(__xludf.DUMMYFUNCTION("""COMPUTED_VALUE"""),215945.0)</f>
        <v>215945</v>
      </c>
      <c r="Q805" s="23">
        <f>IFERROR(__xludf.DUMMYFUNCTION("""COMPUTED_VALUE"""),269915.0)</f>
        <v>269915</v>
      </c>
    </row>
    <row r="806">
      <c r="A806" s="23">
        <f>IFERROR(__xludf.DUMMYFUNCTION("""COMPUTED_VALUE"""),823.0)</f>
        <v>823</v>
      </c>
      <c r="B806" s="23" t="str">
        <f>IFERROR(__xludf.DUMMYFUNCTION("""COMPUTED_VALUE"""),"Split Array With Same Average")</f>
        <v>Split Array With Same Average</v>
      </c>
      <c r="C806" s="23" t="str">
        <f>IFERROR(__xludf.DUMMYFUNCTION("""COMPUTED_VALUE"""),"split-array-with-same-average")</f>
        <v>split-array-with-same-average</v>
      </c>
      <c r="D806" s="23" t="b">
        <f>IFERROR(__xludf.DUMMYFUNCTION("""COMPUTED_VALUE"""),FALSE)</f>
        <v>0</v>
      </c>
      <c r="E806" s="23" t="str">
        <f>IFERROR(__xludf.DUMMYFUNCTION("""COMPUTED_VALUE"""),"Hard")</f>
        <v>Hard</v>
      </c>
      <c r="F806" s="23">
        <f>IFERROR(__xludf.DUMMYFUNCTION("""COMPUTED_VALUE"""),810.0)</f>
        <v>810</v>
      </c>
      <c r="G806" s="23">
        <f>IFERROR(__xludf.DUMMYFUNCTION("""COMPUTED_VALUE"""),116.0)</f>
        <v>116</v>
      </c>
      <c r="H806" s="23" t="str">
        <f>IFERROR(__xludf.DUMMYFUNCTION("""COMPUTED_VALUE"""),"Algorithms")</f>
        <v>Algorithms</v>
      </c>
      <c r="I806" s="23">
        <f>IFERROR(__xludf.DUMMYFUNCTION("""COMPUTED_VALUE"""),0.265)</f>
        <v>0.265</v>
      </c>
      <c r="J806" s="23">
        <f>IFERROR(__xludf.DUMMYFUNCTION("""COMPUTED_VALUE"""),805.0)</f>
        <v>805</v>
      </c>
      <c r="K806" s="23" t="b">
        <f>IFERROR(__xludf.DUMMYFUNCTION("""COMPUTED_VALUE"""),FALSE)</f>
        <v>0</v>
      </c>
      <c r="L806" s="23" t="str">
        <f>IFERROR(__xludf.DUMMYFUNCTION("""COMPUTED_VALUE"""),"Array;Math;Dynamic Programming;Bit Manipulation;Bitmask;")</f>
        <v>Array;Math;Dynamic Programming;Bit Manipulation;Bitmask;</v>
      </c>
      <c r="M806" s="23" t="b">
        <f>IFERROR(__xludf.DUMMYFUNCTION("""COMPUTED_VALUE"""),FALSE)</f>
        <v>0</v>
      </c>
      <c r="N806" s="23" t="b">
        <f>IFERROR(__xludf.DUMMYFUNCTION("""COMPUTED_VALUE"""),FALSE)</f>
        <v>0</v>
      </c>
      <c r="O806" s="23">
        <f>IFERROR(__xludf.DUMMYFUNCTION("""COMPUTED_VALUE"""),26.4941839236346)</f>
        <v>26.49418392</v>
      </c>
      <c r="P806" s="23">
        <f>IFERROR(__xludf.DUMMYFUNCTION("""COMPUTED_VALUE"""),25396.0)</f>
        <v>25396</v>
      </c>
      <c r="Q806" s="23">
        <f>IFERROR(__xludf.DUMMYFUNCTION("""COMPUTED_VALUE"""),95855.0)</f>
        <v>95855</v>
      </c>
    </row>
    <row r="807">
      <c r="A807" s="23">
        <f>IFERROR(__xludf.DUMMYFUNCTION("""COMPUTED_VALUE"""),824.0)</f>
        <v>824</v>
      </c>
      <c r="B807" s="23" t="str">
        <f>IFERROR(__xludf.DUMMYFUNCTION("""COMPUTED_VALUE"""),"Number of Lines To Write String")</f>
        <v>Number of Lines To Write String</v>
      </c>
      <c r="C807" s="23" t="str">
        <f>IFERROR(__xludf.DUMMYFUNCTION("""COMPUTED_VALUE"""),"number-of-lines-to-write-string")</f>
        <v>number-of-lines-to-write-string</v>
      </c>
      <c r="D807" s="23" t="b">
        <f>IFERROR(__xludf.DUMMYFUNCTION("""COMPUTED_VALUE"""),FALSE)</f>
        <v>0</v>
      </c>
      <c r="E807" s="23" t="str">
        <f>IFERROR(__xludf.DUMMYFUNCTION("""COMPUTED_VALUE"""),"Easy")</f>
        <v>Easy</v>
      </c>
      <c r="F807" s="23">
        <f>IFERROR(__xludf.DUMMYFUNCTION("""COMPUTED_VALUE"""),381.0)</f>
        <v>381</v>
      </c>
      <c r="G807" s="23">
        <f>IFERROR(__xludf.DUMMYFUNCTION("""COMPUTED_VALUE"""),1117.0)</f>
        <v>1117</v>
      </c>
      <c r="H807" s="23" t="str">
        <f>IFERROR(__xludf.DUMMYFUNCTION("""COMPUTED_VALUE"""),"Algorithms")</f>
        <v>Algorithms</v>
      </c>
      <c r="I807" s="23">
        <f>IFERROR(__xludf.DUMMYFUNCTION("""COMPUTED_VALUE"""),0.66)</f>
        <v>0.66</v>
      </c>
      <c r="J807" s="23">
        <f>IFERROR(__xludf.DUMMYFUNCTION("""COMPUTED_VALUE"""),806.0)</f>
        <v>806</v>
      </c>
      <c r="K807" s="23" t="b">
        <f>IFERROR(__xludf.DUMMYFUNCTION("""COMPUTED_VALUE"""),FALSE)</f>
        <v>0</v>
      </c>
      <c r="L807" s="23" t="str">
        <f>IFERROR(__xludf.DUMMYFUNCTION("""COMPUTED_VALUE"""),"Array;String;")</f>
        <v>Array;String;</v>
      </c>
      <c r="M807" s="23" t="b">
        <f>IFERROR(__xludf.DUMMYFUNCTION("""COMPUTED_VALUE"""),TRUE)</f>
        <v>1</v>
      </c>
      <c r="N807" s="23" t="b">
        <f>IFERROR(__xludf.DUMMYFUNCTION("""COMPUTED_VALUE"""),FALSE)</f>
        <v>0</v>
      </c>
      <c r="O807" s="23">
        <f>IFERROR(__xludf.DUMMYFUNCTION("""COMPUTED_VALUE"""),66.0179861418251)</f>
        <v>66.01798614</v>
      </c>
      <c r="P807" s="23">
        <f>IFERROR(__xludf.DUMMYFUNCTION("""COMPUTED_VALUE"""),53736.0)</f>
        <v>53736</v>
      </c>
      <c r="Q807" s="23">
        <f>IFERROR(__xludf.DUMMYFUNCTION("""COMPUTED_VALUE"""),81396.0)</f>
        <v>81396</v>
      </c>
    </row>
    <row r="808">
      <c r="A808" s="23">
        <f>IFERROR(__xludf.DUMMYFUNCTION("""COMPUTED_VALUE"""),825.0)</f>
        <v>825</v>
      </c>
      <c r="B808" s="23" t="str">
        <f>IFERROR(__xludf.DUMMYFUNCTION("""COMPUTED_VALUE"""),"Max Increase to Keep City Skyline")</f>
        <v>Max Increase to Keep City Skyline</v>
      </c>
      <c r="C808" s="23" t="str">
        <f>IFERROR(__xludf.DUMMYFUNCTION("""COMPUTED_VALUE"""),"max-increase-to-keep-city-skyline")</f>
        <v>max-increase-to-keep-city-skyline</v>
      </c>
      <c r="D808" s="23" t="b">
        <f>IFERROR(__xludf.DUMMYFUNCTION("""COMPUTED_VALUE"""),FALSE)</f>
        <v>0</v>
      </c>
      <c r="E808" s="23" t="str">
        <f>IFERROR(__xludf.DUMMYFUNCTION("""COMPUTED_VALUE"""),"Medium")</f>
        <v>Medium</v>
      </c>
      <c r="F808" s="23">
        <f>IFERROR(__xludf.DUMMYFUNCTION("""COMPUTED_VALUE"""),1708.0)</f>
        <v>1708</v>
      </c>
      <c r="G808" s="23">
        <f>IFERROR(__xludf.DUMMYFUNCTION("""COMPUTED_VALUE"""),415.0)</f>
        <v>415</v>
      </c>
      <c r="H808" s="23" t="str">
        <f>IFERROR(__xludf.DUMMYFUNCTION("""COMPUTED_VALUE"""),"Algorithms")</f>
        <v>Algorithms</v>
      </c>
      <c r="I808" s="23">
        <f>IFERROR(__xludf.DUMMYFUNCTION("""COMPUTED_VALUE"""),0.855)</f>
        <v>0.855</v>
      </c>
      <c r="J808" s="23">
        <f>IFERROR(__xludf.DUMMYFUNCTION("""COMPUTED_VALUE"""),807.0)</f>
        <v>807</v>
      </c>
      <c r="K808" s="23" t="b">
        <f>IFERROR(__xludf.DUMMYFUNCTION("""COMPUTED_VALUE"""),FALSE)</f>
        <v>0</v>
      </c>
      <c r="L808" s="23" t="str">
        <f>IFERROR(__xludf.DUMMYFUNCTION("""COMPUTED_VALUE"""),"Array;Greedy;Matrix;")</f>
        <v>Array;Greedy;Matrix;</v>
      </c>
      <c r="M808" s="23" t="b">
        <f>IFERROR(__xludf.DUMMYFUNCTION("""COMPUTED_VALUE"""),TRUE)</f>
        <v>1</v>
      </c>
      <c r="N808" s="23" t="b">
        <f>IFERROR(__xludf.DUMMYFUNCTION("""COMPUTED_VALUE"""),FALSE)</f>
        <v>0</v>
      </c>
      <c r="O808" s="23">
        <f>IFERROR(__xludf.DUMMYFUNCTION("""COMPUTED_VALUE"""),85.4935485215072)</f>
        <v>85.49354852</v>
      </c>
      <c r="P808" s="23">
        <f>IFERROR(__xludf.DUMMYFUNCTION("""COMPUTED_VALUE"""),123108.0)</f>
        <v>123108</v>
      </c>
      <c r="Q808" s="23">
        <f>IFERROR(__xludf.DUMMYFUNCTION("""COMPUTED_VALUE"""),143997.0)</f>
        <v>143997</v>
      </c>
    </row>
    <row r="809">
      <c r="A809" s="23">
        <f>IFERROR(__xludf.DUMMYFUNCTION("""COMPUTED_VALUE"""),826.0)</f>
        <v>826</v>
      </c>
      <c r="B809" s="23" t="str">
        <f>IFERROR(__xludf.DUMMYFUNCTION("""COMPUTED_VALUE"""),"Soup Servings")</f>
        <v>Soup Servings</v>
      </c>
      <c r="C809" s="23" t="str">
        <f>IFERROR(__xludf.DUMMYFUNCTION("""COMPUTED_VALUE"""),"soup-servings")</f>
        <v>soup-servings</v>
      </c>
      <c r="D809" s="23" t="b">
        <f>IFERROR(__xludf.DUMMYFUNCTION("""COMPUTED_VALUE"""),FALSE)</f>
        <v>0</v>
      </c>
      <c r="E809" s="23" t="str">
        <f>IFERROR(__xludf.DUMMYFUNCTION("""COMPUTED_VALUE"""),"Medium")</f>
        <v>Medium</v>
      </c>
      <c r="F809" s="23">
        <f>IFERROR(__xludf.DUMMYFUNCTION("""COMPUTED_VALUE"""),256.0)</f>
        <v>256</v>
      </c>
      <c r="G809" s="23">
        <f>IFERROR(__xludf.DUMMYFUNCTION("""COMPUTED_VALUE"""),747.0)</f>
        <v>747</v>
      </c>
      <c r="H809" s="23" t="str">
        <f>IFERROR(__xludf.DUMMYFUNCTION("""COMPUTED_VALUE"""),"Algorithms")</f>
        <v>Algorithms</v>
      </c>
      <c r="I809" s="23">
        <f>IFERROR(__xludf.DUMMYFUNCTION("""COMPUTED_VALUE"""),0.424)</f>
        <v>0.424</v>
      </c>
      <c r="J809" s="23">
        <f>IFERROR(__xludf.DUMMYFUNCTION("""COMPUTED_VALUE"""),808.0)</f>
        <v>808</v>
      </c>
      <c r="K809" s="23" t="b">
        <f>IFERROR(__xludf.DUMMYFUNCTION("""COMPUTED_VALUE"""),FALSE)</f>
        <v>0</v>
      </c>
      <c r="L809" s="23" t="str">
        <f>IFERROR(__xludf.DUMMYFUNCTION("""COMPUTED_VALUE"""),"Math;Dynamic Programming;Probability and Statistics;")</f>
        <v>Math;Dynamic Programming;Probability and Statistics;</v>
      </c>
      <c r="M809" s="23" t="b">
        <f>IFERROR(__xludf.DUMMYFUNCTION("""COMPUTED_VALUE"""),FALSE)</f>
        <v>0</v>
      </c>
      <c r="N809" s="23" t="b">
        <f>IFERROR(__xludf.DUMMYFUNCTION("""COMPUTED_VALUE"""),FALSE)</f>
        <v>0</v>
      </c>
      <c r="O809" s="23">
        <f>IFERROR(__xludf.DUMMYFUNCTION("""COMPUTED_VALUE"""),42.3852893705326)</f>
        <v>42.38528937</v>
      </c>
      <c r="P809" s="23">
        <f>IFERROR(__xludf.DUMMYFUNCTION("""COMPUTED_VALUE"""),14706.0)</f>
        <v>14706</v>
      </c>
      <c r="Q809" s="23">
        <f>IFERROR(__xludf.DUMMYFUNCTION("""COMPUTED_VALUE"""),34696.0)</f>
        <v>34696</v>
      </c>
    </row>
    <row r="810">
      <c r="A810" s="23">
        <f>IFERROR(__xludf.DUMMYFUNCTION("""COMPUTED_VALUE"""),827.0)</f>
        <v>827</v>
      </c>
      <c r="B810" s="23" t="str">
        <f>IFERROR(__xludf.DUMMYFUNCTION("""COMPUTED_VALUE"""),"Expressive Words")</f>
        <v>Expressive Words</v>
      </c>
      <c r="C810" s="23" t="str">
        <f>IFERROR(__xludf.DUMMYFUNCTION("""COMPUTED_VALUE"""),"expressive-words")</f>
        <v>expressive-words</v>
      </c>
      <c r="D810" s="23" t="b">
        <f>IFERROR(__xludf.DUMMYFUNCTION("""COMPUTED_VALUE"""),FALSE)</f>
        <v>0</v>
      </c>
      <c r="E810" s="23" t="str">
        <f>IFERROR(__xludf.DUMMYFUNCTION("""COMPUTED_VALUE"""),"Medium")</f>
        <v>Medium</v>
      </c>
      <c r="F810" s="23">
        <f>IFERROR(__xludf.DUMMYFUNCTION("""COMPUTED_VALUE"""),699.0)</f>
        <v>699</v>
      </c>
      <c r="G810" s="23">
        <f>IFERROR(__xludf.DUMMYFUNCTION("""COMPUTED_VALUE"""),1621.0)</f>
        <v>1621</v>
      </c>
      <c r="H810" s="23" t="str">
        <f>IFERROR(__xludf.DUMMYFUNCTION("""COMPUTED_VALUE"""),"Algorithms")</f>
        <v>Algorithms</v>
      </c>
      <c r="I810" s="23">
        <f>IFERROR(__xludf.DUMMYFUNCTION("""COMPUTED_VALUE"""),0.464)</f>
        <v>0.464</v>
      </c>
      <c r="J810" s="23">
        <f>IFERROR(__xludf.DUMMYFUNCTION("""COMPUTED_VALUE"""),809.0)</f>
        <v>809</v>
      </c>
      <c r="K810" s="23" t="b">
        <f>IFERROR(__xludf.DUMMYFUNCTION("""COMPUTED_VALUE"""),FALSE)</f>
        <v>0</v>
      </c>
      <c r="L810" s="23" t="str">
        <f>IFERROR(__xludf.DUMMYFUNCTION("""COMPUTED_VALUE"""),"Array;Two Pointers;String;")</f>
        <v>Array;Two Pointers;String;</v>
      </c>
      <c r="M810" s="23" t="b">
        <f>IFERROR(__xludf.DUMMYFUNCTION("""COMPUTED_VALUE"""),FALSE)</f>
        <v>0</v>
      </c>
      <c r="N810" s="23" t="b">
        <f>IFERROR(__xludf.DUMMYFUNCTION("""COMPUTED_VALUE"""),FALSE)</f>
        <v>0</v>
      </c>
      <c r="O810" s="23">
        <f>IFERROR(__xludf.DUMMYFUNCTION("""COMPUTED_VALUE"""),46.3827856696846)</f>
        <v>46.38278567</v>
      </c>
      <c r="P810" s="23">
        <f>IFERROR(__xludf.DUMMYFUNCTION("""COMPUTED_VALUE"""),95081.0)</f>
        <v>95081</v>
      </c>
      <c r="Q810" s="23">
        <f>IFERROR(__xludf.DUMMYFUNCTION("""COMPUTED_VALUE"""),204992.0)</f>
        <v>204992</v>
      </c>
    </row>
    <row r="811">
      <c r="A811" s="23">
        <f>IFERROR(__xludf.DUMMYFUNCTION("""COMPUTED_VALUE"""),828.0)</f>
        <v>828</v>
      </c>
      <c r="B811" s="23" t="str">
        <f>IFERROR(__xludf.DUMMYFUNCTION("""COMPUTED_VALUE"""),"Chalkboard XOR Game")</f>
        <v>Chalkboard XOR Game</v>
      </c>
      <c r="C811" s="23" t="str">
        <f>IFERROR(__xludf.DUMMYFUNCTION("""COMPUTED_VALUE"""),"chalkboard-xor-game")</f>
        <v>chalkboard-xor-game</v>
      </c>
      <c r="D811" s="23" t="b">
        <f>IFERROR(__xludf.DUMMYFUNCTION("""COMPUTED_VALUE"""),FALSE)</f>
        <v>0</v>
      </c>
      <c r="E811" s="23" t="str">
        <f>IFERROR(__xludf.DUMMYFUNCTION("""COMPUTED_VALUE"""),"Hard")</f>
        <v>Hard</v>
      </c>
      <c r="F811" s="23">
        <f>IFERROR(__xludf.DUMMYFUNCTION("""COMPUTED_VALUE"""),127.0)</f>
        <v>127</v>
      </c>
      <c r="G811" s="23">
        <f>IFERROR(__xludf.DUMMYFUNCTION("""COMPUTED_VALUE"""),235.0)</f>
        <v>235</v>
      </c>
      <c r="H811" s="23" t="str">
        <f>IFERROR(__xludf.DUMMYFUNCTION("""COMPUTED_VALUE"""),"Algorithms")</f>
        <v>Algorithms</v>
      </c>
      <c r="I811" s="23">
        <f>IFERROR(__xludf.DUMMYFUNCTION("""COMPUTED_VALUE"""),0.534)</f>
        <v>0.534</v>
      </c>
      <c r="J811" s="23">
        <f>IFERROR(__xludf.DUMMYFUNCTION("""COMPUTED_VALUE"""),810.0)</f>
        <v>810</v>
      </c>
      <c r="K811" s="23" t="b">
        <f>IFERROR(__xludf.DUMMYFUNCTION("""COMPUTED_VALUE"""),FALSE)</f>
        <v>0</v>
      </c>
      <c r="L811" s="23" t="str">
        <f>IFERROR(__xludf.DUMMYFUNCTION("""COMPUTED_VALUE"""),"Array;Math;Bit Manipulation;Brainteaser;Game Theory;")</f>
        <v>Array;Math;Bit Manipulation;Brainteaser;Game Theory;</v>
      </c>
      <c r="M811" s="23" t="b">
        <f>IFERROR(__xludf.DUMMYFUNCTION("""COMPUTED_VALUE"""),TRUE)</f>
        <v>1</v>
      </c>
      <c r="N811" s="23" t="b">
        <f>IFERROR(__xludf.DUMMYFUNCTION("""COMPUTED_VALUE"""),FALSE)</f>
        <v>0</v>
      </c>
      <c r="O811" s="23">
        <f>IFERROR(__xludf.DUMMYFUNCTION("""COMPUTED_VALUE"""),53.3777120315581)</f>
        <v>53.37771203</v>
      </c>
      <c r="P811" s="23">
        <f>IFERROR(__xludf.DUMMYFUNCTION("""COMPUTED_VALUE"""),6495.0)</f>
        <v>6495</v>
      </c>
      <c r="Q811" s="23">
        <f>IFERROR(__xludf.DUMMYFUNCTION("""COMPUTED_VALUE"""),12168.0)</f>
        <v>12168</v>
      </c>
    </row>
    <row r="812">
      <c r="A812" s="23">
        <f>IFERROR(__xludf.DUMMYFUNCTION("""COMPUTED_VALUE"""),829.0)</f>
        <v>829</v>
      </c>
      <c r="B812" s="23" t="str">
        <f>IFERROR(__xludf.DUMMYFUNCTION("""COMPUTED_VALUE"""),"Subdomain Visit Count")</f>
        <v>Subdomain Visit Count</v>
      </c>
      <c r="C812" s="23" t="str">
        <f>IFERROR(__xludf.DUMMYFUNCTION("""COMPUTED_VALUE"""),"subdomain-visit-count")</f>
        <v>subdomain-visit-count</v>
      </c>
      <c r="D812" s="23" t="b">
        <f>IFERROR(__xludf.DUMMYFUNCTION("""COMPUTED_VALUE"""),FALSE)</f>
        <v>0</v>
      </c>
      <c r="E812" s="23" t="str">
        <f>IFERROR(__xludf.DUMMYFUNCTION("""COMPUTED_VALUE"""),"Medium")</f>
        <v>Medium</v>
      </c>
      <c r="F812" s="23">
        <f>IFERROR(__xludf.DUMMYFUNCTION("""COMPUTED_VALUE"""),1062.0)</f>
        <v>1062</v>
      </c>
      <c r="G812" s="23">
        <f>IFERROR(__xludf.DUMMYFUNCTION("""COMPUTED_VALUE"""),1119.0)</f>
        <v>1119</v>
      </c>
      <c r="H812" s="23" t="str">
        <f>IFERROR(__xludf.DUMMYFUNCTION("""COMPUTED_VALUE"""),"Algorithms")</f>
        <v>Algorithms</v>
      </c>
      <c r="I812" s="23">
        <f>IFERROR(__xludf.DUMMYFUNCTION("""COMPUTED_VALUE"""),0.742)</f>
        <v>0.742</v>
      </c>
      <c r="J812" s="23">
        <f>IFERROR(__xludf.DUMMYFUNCTION("""COMPUTED_VALUE"""),811.0)</f>
        <v>811</v>
      </c>
      <c r="K812" s="23" t="b">
        <f>IFERROR(__xludf.DUMMYFUNCTION("""COMPUTED_VALUE"""),FALSE)</f>
        <v>0</v>
      </c>
      <c r="L812" s="23" t="str">
        <f>IFERROR(__xludf.DUMMYFUNCTION("""COMPUTED_VALUE"""),"Array;Hash Table;String;Counting;")</f>
        <v>Array;Hash Table;String;Counting;</v>
      </c>
      <c r="M812" s="23" t="b">
        <f>IFERROR(__xludf.DUMMYFUNCTION("""COMPUTED_VALUE"""),TRUE)</f>
        <v>1</v>
      </c>
      <c r="N812" s="23" t="b">
        <f>IFERROR(__xludf.DUMMYFUNCTION("""COMPUTED_VALUE"""),FALSE)</f>
        <v>0</v>
      </c>
      <c r="O812" s="23">
        <f>IFERROR(__xludf.DUMMYFUNCTION("""COMPUTED_VALUE"""),74.2016258748858)</f>
        <v>74.20162587</v>
      </c>
      <c r="P812" s="23">
        <f>IFERROR(__xludf.DUMMYFUNCTION("""COMPUTED_VALUE"""),170686.0)</f>
        <v>170686</v>
      </c>
      <c r="Q812" s="23">
        <f>IFERROR(__xludf.DUMMYFUNCTION("""COMPUTED_VALUE"""),230030.0)</f>
        <v>230030</v>
      </c>
    </row>
    <row r="813">
      <c r="A813" s="23">
        <f>IFERROR(__xludf.DUMMYFUNCTION("""COMPUTED_VALUE"""),830.0)</f>
        <v>830</v>
      </c>
      <c r="B813" s="23" t="str">
        <f>IFERROR(__xludf.DUMMYFUNCTION("""COMPUTED_VALUE"""),"Largest Triangle Area")</f>
        <v>Largest Triangle Area</v>
      </c>
      <c r="C813" s="23" t="str">
        <f>IFERROR(__xludf.DUMMYFUNCTION("""COMPUTED_VALUE"""),"largest-triangle-area")</f>
        <v>largest-triangle-area</v>
      </c>
      <c r="D813" s="23" t="b">
        <f>IFERROR(__xludf.DUMMYFUNCTION("""COMPUTED_VALUE"""),FALSE)</f>
        <v>0</v>
      </c>
      <c r="E813" s="23" t="str">
        <f>IFERROR(__xludf.DUMMYFUNCTION("""COMPUTED_VALUE"""),"Easy")</f>
        <v>Easy</v>
      </c>
      <c r="F813" s="23">
        <f>IFERROR(__xludf.DUMMYFUNCTION("""COMPUTED_VALUE"""),335.0)</f>
        <v>335</v>
      </c>
      <c r="G813" s="23">
        <f>IFERROR(__xludf.DUMMYFUNCTION("""COMPUTED_VALUE"""),1323.0)</f>
        <v>1323</v>
      </c>
      <c r="H813" s="23" t="str">
        <f>IFERROR(__xludf.DUMMYFUNCTION("""COMPUTED_VALUE"""),"Algorithms")</f>
        <v>Algorithms</v>
      </c>
      <c r="I813" s="23">
        <f>IFERROR(__xludf.DUMMYFUNCTION("""COMPUTED_VALUE"""),0.596)</f>
        <v>0.596</v>
      </c>
      <c r="J813" s="23">
        <f>IFERROR(__xludf.DUMMYFUNCTION("""COMPUTED_VALUE"""),812.0)</f>
        <v>812</v>
      </c>
      <c r="K813" s="23" t="b">
        <f>IFERROR(__xludf.DUMMYFUNCTION("""COMPUTED_VALUE"""),FALSE)</f>
        <v>0</v>
      </c>
      <c r="L813" s="23" t="str">
        <f>IFERROR(__xludf.DUMMYFUNCTION("""COMPUTED_VALUE"""),"Array;Math;Geometry;")</f>
        <v>Array;Math;Geometry;</v>
      </c>
      <c r="M813" s="23" t="b">
        <f>IFERROR(__xludf.DUMMYFUNCTION("""COMPUTED_VALUE"""),FALSE)</f>
        <v>0</v>
      </c>
      <c r="N813" s="23" t="b">
        <f>IFERROR(__xludf.DUMMYFUNCTION("""COMPUTED_VALUE"""),FALSE)</f>
        <v>0</v>
      </c>
      <c r="O813" s="23">
        <f>IFERROR(__xludf.DUMMYFUNCTION("""COMPUTED_VALUE"""),59.6044263078563)</f>
        <v>59.60442631</v>
      </c>
      <c r="P813" s="23">
        <f>IFERROR(__xludf.DUMMYFUNCTION("""COMPUTED_VALUE"""),32426.0)</f>
        <v>32426</v>
      </c>
      <c r="Q813" s="23">
        <f>IFERROR(__xludf.DUMMYFUNCTION("""COMPUTED_VALUE"""),54402.0)</f>
        <v>54402</v>
      </c>
    </row>
    <row r="814">
      <c r="A814" s="23">
        <f>IFERROR(__xludf.DUMMYFUNCTION("""COMPUTED_VALUE"""),831.0)</f>
        <v>831</v>
      </c>
      <c r="B814" s="23" t="str">
        <f>IFERROR(__xludf.DUMMYFUNCTION("""COMPUTED_VALUE"""),"Largest Sum of Averages")</f>
        <v>Largest Sum of Averages</v>
      </c>
      <c r="C814" s="23" t="str">
        <f>IFERROR(__xludf.DUMMYFUNCTION("""COMPUTED_VALUE"""),"largest-sum-of-averages")</f>
        <v>largest-sum-of-averages</v>
      </c>
      <c r="D814" s="23" t="b">
        <f>IFERROR(__xludf.DUMMYFUNCTION("""COMPUTED_VALUE"""),FALSE)</f>
        <v>0</v>
      </c>
      <c r="E814" s="23" t="str">
        <f>IFERROR(__xludf.DUMMYFUNCTION("""COMPUTED_VALUE"""),"Medium")</f>
        <v>Medium</v>
      </c>
      <c r="F814" s="23">
        <f>IFERROR(__xludf.DUMMYFUNCTION("""COMPUTED_VALUE"""),1556.0)</f>
        <v>1556</v>
      </c>
      <c r="G814" s="23">
        <f>IFERROR(__xludf.DUMMYFUNCTION("""COMPUTED_VALUE"""),76.0)</f>
        <v>76</v>
      </c>
      <c r="H814" s="23" t="str">
        <f>IFERROR(__xludf.DUMMYFUNCTION("""COMPUTED_VALUE"""),"Algorithms")</f>
        <v>Algorithms</v>
      </c>
      <c r="I814" s="23">
        <f>IFERROR(__xludf.DUMMYFUNCTION("""COMPUTED_VALUE"""),0.524)</f>
        <v>0.524</v>
      </c>
      <c r="J814" s="23">
        <f>IFERROR(__xludf.DUMMYFUNCTION("""COMPUTED_VALUE"""),813.0)</f>
        <v>813</v>
      </c>
      <c r="K814" s="23" t="b">
        <f>IFERROR(__xludf.DUMMYFUNCTION("""COMPUTED_VALUE"""),FALSE)</f>
        <v>0</v>
      </c>
      <c r="L814" s="23" t="str">
        <f>IFERROR(__xludf.DUMMYFUNCTION("""COMPUTED_VALUE"""),"Array;Dynamic Programming;")</f>
        <v>Array;Dynamic Programming;</v>
      </c>
      <c r="M814" s="23" t="b">
        <f>IFERROR(__xludf.DUMMYFUNCTION("""COMPUTED_VALUE"""),TRUE)</f>
        <v>1</v>
      </c>
      <c r="N814" s="23" t="b">
        <f>IFERROR(__xludf.DUMMYFUNCTION("""COMPUTED_VALUE"""),FALSE)</f>
        <v>0</v>
      </c>
      <c r="O814" s="23">
        <f>IFERROR(__xludf.DUMMYFUNCTION("""COMPUTED_VALUE"""),52.4455339844213)</f>
        <v>52.44553398</v>
      </c>
      <c r="P814" s="23">
        <f>IFERROR(__xludf.DUMMYFUNCTION("""COMPUTED_VALUE"""),39792.0)</f>
        <v>39792</v>
      </c>
      <c r="Q814" s="23">
        <f>IFERROR(__xludf.DUMMYFUNCTION("""COMPUTED_VALUE"""),75873.0)</f>
        <v>75873</v>
      </c>
    </row>
    <row r="815">
      <c r="A815" s="23">
        <f>IFERROR(__xludf.DUMMYFUNCTION("""COMPUTED_VALUE"""),832.0)</f>
        <v>832</v>
      </c>
      <c r="B815" s="23" t="str">
        <f>IFERROR(__xludf.DUMMYFUNCTION("""COMPUTED_VALUE"""),"Binary Tree Pruning")</f>
        <v>Binary Tree Pruning</v>
      </c>
      <c r="C815" s="23" t="str">
        <f>IFERROR(__xludf.DUMMYFUNCTION("""COMPUTED_VALUE"""),"binary-tree-pruning")</f>
        <v>binary-tree-pruning</v>
      </c>
      <c r="D815" s="23" t="b">
        <f>IFERROR(__xludf.DUMMYFUNCTION("""COMPUTED_VALUE"""),FALSE)</f>
        <v>0</v>
      </c>
      <c r="E815" s="23" t="str">
        <f>IFERROR(__xludf.DUMMYFUNCTION("""COMPUTED_VALUE"""),"Medium")</f>
        <v>Medium</v>
      </c>
      <c r="F815" s="23">
        <f>IFERROR(__xludf.DUMMYFUNCTION("""COMPUTED_VALUE"""),2383.0)</f>
        <v>2383</v>
      </c>
      <c r="G815" s="23">
        <f>IFERROR(__xludf.DUMMYFUNCTION("""COMPUTED_VALUE"""),66.0)</f>
        <v>66</v>
      </c>
      <c r="H815" s="23" t="str">
        <f>IFERROR(__xludf.DUMMYFUNCTION("""COMPUTED_VALUE"""),"Algorithms")</f>
        <v>Algorithms</v>
      </c>
      <c r="I815" s="23">
        <f>IFERROR(__xludf.DUMMYFUNCTION("""COMPUTED_VALUE"""),0.71)</f>
        <v>0.71</v>
      </c>
      <c r="J815" s="23">
        <f>IFERROR(__xludf.DUMMYFUNCTION("""COMPUTED_VALUE"""),814.0)</f>
        <v>814</v>
      </c>
      <c r="K815" s="23" t="b">
        <f>IFERROR(__xludf.DUMMYFUNCTION("""COMPUTED_VALUE"""),FALSE)</f>
        <v>0</v>
      </c>
      <c r="L815" s="23" t="str">
        <f>IFERROR(__xludf.DUMMYFUNCTION("""COMPUTED_VALUE"""),"Tree;Depth-First Search;Binary Tree;")</f>
        <v>Tree;Depth-First Search;Binary Tree;</v>
      </c>
      <c r="M815" s="23" t="b">
        <f>IFERROR(__xludf.DUMMYFUNCTION("""COMPUTED_VALUE"""),TRUE)</f>
        <v>1</v>
      </c>
      <c r="N815" s="23" t="b">
        <f>IFERROR(__xludf.DUMMYFUNCTION("""COMPUTED_VALUE"""),FALSE)</f>
        <v>0</v>
      </c>
      <c r="O815" s="23">
        <f>IFERROR(__xludf.DUMMYFUNCTION("""COMPUTED_VALUE"""),70.9771278210707)</f>
        <v>70.97712782</v>
      </c>
      <c r="P815" s="23">
        <f>IFERROR(__xludf.DUMMYFUNCTION("""COMPUTED_VALUE"""),140265.0)</f>
        <v>140265</v>
      </c>
      <c r="Q815" s="23">
        <f>IFERROR(__xludf.DUMMYFUNCTION("""COMPUTED_VALUE"""),197620.0)</f>
        <v>197620</v>
      </c>
    </row>
    <row r="816">
      <c r="A816" s="23">
        <f>IFERROR(__xludf.DUMMYFUNCTION("""COMPUTED_VALUE"""),833.0)</f>
        <v>833</v>
      </c>
      <c r="B816" s="23" t="str">
        <f>IFERROR(__xludf.DUMMYFUNCTION("""COMPUTED_VALUE"""),"Bus Routes")</f>
        <v>Bus Routes</v>
      </c>
      <c r="C816" s="23" t="str">
        <f>IFERROR(__xludf.DUMMYFUNCTION("""COMPUTED_VALUE"""),"bus-routes")</f>
        <v>bus-routes</v>
      </c>
      <c r="D816" s="23" t="b">
        <f>IFERROR(__xludf.DUMMYFUNCTION("""COMPUTED_VALUE"""),FALSE)</f>
        <v>0</v>
      </c>
      <c r="E816" s="23" t="str">
        <f>IFERROR(__xludf.DUMMYFUNCTION("""COMPUTED_VALUE"""),"Hard")</f>
        <v>Hard</v>
      </c>
      <c r="F816" s="23">
        <f>IFERROR(__xludf.DUMMYFUNCTION("""COMPUTED_VALUE"""),2028.0)</f>
        <v>2028</v>
      </c>
      <c r="G816" s="23">
        <f>IFERROR(__xludf.DUMMYFUNCTION("""COMPUTED_VALUE"""),51.0)</f>
        <v>51</v>
      </c>
      <c r="H816" s="23" t="str">
        <f>IFERROR(__xludf.DUMMYFUNCTION("""COMPUTED_VALUE"""),"Algorithms")</f>
        <v>Algorithms</v>
      </c>
      <c r="I816" s="23">
        <f>IFERROR(__xludf.DUMMYFUNCTION("""COMPUTED_VALUE"""),0.453)</f>
        <v>0.453</v>
      </c>
      <c r="J816" s="23">
        <f>IFERROR(__xludf.DUMMYFUNCTION("""COMPUTED_VALUE"""),815.0)</f>
        <v>815</v>
      </c>
      <c r="K816" s="23" t="b">
        <f>IFERROR(__xludf.DUMMYFUNCTION("""COMPUTED_VALUE"""),FALSE)</f>
        <v>0</v>
      </c>
      <c r="L816" s="23" t="str">
        <f>IFERROR(__xludf.DUMMYFUNCTION("""COMPUTED_VALUE"""),"Array;Hash Table;Breadth-First Search;")</f>
        <v>Array;Hash Table;Breadth-First Search;</v>
      </c>
      <c r="M816" s="23" t="b">
        <f>IFERROR(__xludf.DUMMYFUNCTION("""COMPUTED_VALUE"""),TRUE)</f>
        <v>1</v>
      </c>
      <c r="N816" s="23" t="b">
        <f>IFERROR(__xludf.DUMMYFUNCTION("""COMPUTED_VALUE"""),FALSE)</f>
        <v>0</v>
      </c>
      <c r="O816" s="23">
        <f>IFERROR(__xludf.DUMMYFUNCTION("""COMPUTED_VALUE"""),45.2770811292687)</f>
        <v>45.27708113</v>
      </c>
      <c r="P816" s="23">
        <f>IFERROR(__xludf.DUMMYFUNCTION("""COMPUTED_VALUE"""),84310.0)</f>
        <v>84310</v>
      </c>
      <c r="Q816" s="23">
        <f>IFERROR(__xludf.DUMMYFUNCTION("""COMPUTED_VALUE"""),186209.0)</f>
        <v>186209</v>
      </c>
    </row>
    <row r="817">
      <c r="A817" s="23">
        <f>IFERROR(__xludf.DUMMYFUNCTION("""COMPUTED_VALUE"""),834.0)</f>
        <v>834</v>
      </c>
      <c r="B817" s="23" t="str">
        <f>IFERROR(__xludf.DUMMYFUNCTION("""COMPUTED_VALUE"""),"Ambiguous Coordinates")</f>
        <v>Ambiguous Coordinates</v>
      </c>
      <c r="C817" s="23" t="str">
        <f>IFERROR(__xludf.DUMMYFUNCTION("""COMPUTED_VALUE"""),"ambiguous-coordinates")</f>
        <v>ambiguous-coordinates</v>
      </c>
      <c r="D817" s="23" t="b">
        <f>IFERROR(__xludf.DUMMYFUNCTION("""COMPUTED_VALUE"""),FALSE)</f>
        <v>0</v>
      </c>
      <c r="E817" s="23" t="str">
        <f>IFERROR(__xludf.DUMMYFUNCTION("""COMPUTED_VALUE"""),"Medium")</f>
        <v>Medium</v>
      </c>
      <c r="F817" s="23">
        <f>IFERROR(__xludf.DUMMYFUNCTION("""COMPUTED_VALUE"""),252.0)</f>
        <v>252</v>
      </c>
      <c r="G817" s="23">
        <f>IFERROR(__xludf.DUMMYFUNCTION("""COMPUTED_VALUE"""),587.0)</f>
        <v>587</v>
      </c>
      <c r="H817" s="23" t="str">
        <f>IFERROR(__xludf.DUMMYFUNCTION("""COMPUTED_VALUE"""),"Algorithms")</f>
        <v>Algorithms</v>
      </c>
      <c r="I817" s="23">
        <f>IFERROR(__xludf.DUMMYFUNCTION("""COMPUTED_VALUE"""),0.559)</f>
        <v>0.559</v>
      </c>
      <c r="J817" s="23">
        <f>IFERROR(__xludf.DUMMYFUNCTION("""COMPUTED_VALUE"""),816.0)</f>
        <v>816</v>
      </c>
      <c r="K817" s="23" t="b">
        <f>IFERROR(__xludf.DUMMYFUNCTION("""COMPUTED_VALUE"""),FALSE)</f>
        <v>0</v>
      </c>
      <c r="L817" s="23" t="str">
        <f>IFERROR(__xludf.DUMMYFUNCTION("""COMPUTED_VALUE"""),"String;Backtracking;")</f>
        <v>String;Backtracking;</v>
      </c>
      <c r="M817" s="23" t="b">
        <f>IFERROR(__xludf.DUMMYFUNCTION("""COMPUTED_VALUE"""),TRUE)</f>
        <v>1</v>
      </c>
      <c r="N817" s="23" t="b">
        <f>IFERROR(__xludf.DUMMYFUNCTION("""COMPUTED_VALUE"""),FALSE)</f>
        <v>0</v>
      </c>
      <c r="O817" s="23">
        <f>IFERROR(__xludf.DUMMYFUNCTION("""COMPUTED_VALUE"""),55.9339864553882)</f>
        <v>55.93398646</v>
      </c>
      <c r="P817" s="23">
        <f>IFERROR(__xludf.DUMMYFUNCTION("""COMPUTED_VALUE"""),25521.0)</f>
        <v>25521</v>
      </c>
      <c r="Q817" s="23">
        <f>IFERROR(__xludf.DUMMYFUNCTION("""COMPUTED_VALUE"""),45627.0)</f>
        <v>45627</v>
      </c>
    </row>
    <row r="818">
      <c r="A818" s="23">
        <f>IFERROR(__xludf.DUMMYFUNCTION("""COMPUTED_VALUE"""),835.0)</f>
        <v>835</v>
      </c>
      <c r="B818" s="23" t="str">
        <f>IFERROR(__xludf.DUMMYFUNCTION("""COMPUTED_VALUE"""),"Linked List Components")</f>
        <v>Linked List Components</v>
      </c>
      <c r="C818" s="23" t="str">
        <f>IFERROR(__xludf.DUMMYFUNCTION("""COMPUTED_VALUE"""),"linked-list-components")</f>
        <v>linked-list-components</v>
      </c>
      <c r="D818" s="23" t="b">
        <f>IFERROR(__xludf.DUMMYFUNCTION("""COMPUTED_VALUE"""),FALSE)</f>
        <v>0</v>
      </c>
      <c r="E818" s="23" t="str">
        <f>IFERROR(__xludf.DUMMYFUNCTION("""COMPUTED_VALUE"""),"Medium")</f>
        <v>Medium</v>
      </c>
      <c r="F818" s="23">
        <f>IFERROR(__xludf.DUMMYFUNCTION("""COMPUTED_VALUE"""),701.0)</f>
        <v>701</v>
      </c>
      <c r="G818" s="23">
        <f>IFERROR(__xludf.DUMMYFUNCTION("""COMPUTED_VALUE"""),1756.0)</f>
        <v>1756</v>
      </c>
      <c r="H818" s="23" t="str">
        <f>IFERROR(__xludf.DUMMYFUNCTION("""COMPUTED_VALUE"""),"Algorithms")</f>
        <v>Algorithms</v>
      </c>
      <c r="I818" s="23">
        <f>IFERROR(__xludf.DUMMYFUNCTION("""COMPUTED_VALUE"""),0.581)</f>
        <v>0.581</v>
      </c>
      <c r="J818" s="23">
        <f>IFERROR(__xludf.DUMMYFUNCTION("""COMPUTED_VALUE"""),817.0)</f>
        <v>817</v>
      </c>
      <c r="K818" s="23" t="b">
        <f>IFERROR(__xludf.DUMMYFUNCTION("""COMPUTED_VALUE"""),FALSE)</f>
        <v>0</v>
      </c>
      <c r="L818" s="23" t="str">
        <f>IFERROR(__xludf.DUMMYFUNCTION("""COMPUTED_VALUE"""),"Hash Table;Linked List;")</f>
        <v>Hash Table;Linked List;</v>
      </c>
      <c r="M818" s="23" t="b">
        <f>IFERROR(__xludf.DUMMYFUNCTION("""COMPUTED_VALUE"""),FALSE)</f>
        <v>0</v>
      </c>
      <c r="N818" s="23" t="b">
        <f>IFERROR(__xludf.DUMMYFUNCTION("""COMPUTED_VALUE"""),FALSE)</f>
        <v>0</v>
      </c>
      <c r="O818" s="23">
        <f>IFERROR(__xludf.DUMMYFUNCTION("""COMPUTED_VALUE"""),58.0676598701716)</f>
        <v>58.06765987</v>
      </c>
      <c r="P818" s="23">
        <f>IFERROR(__xludf.DUMMYFUNCTION("""COMPUTED_VALUE"""),68521.0)</f>
        <v>68521</v>
      </c>
      <c r="Q818" s="23">
        <f>IFERROR(__xludf.DUMMYFUNCTION("""COMPUTED_VALUE"""),118002.0)</f>
        <v>118002</v>
      </c>
    </row>
    <row r="819">
      <c r="A819" s="23">
        <f>IFERROR(__xludf.DUMMYFUNCTION("""COMPUTED_VALUE"""),836.0)</f>
        <v>836</v>
      </c>
      <c r="B819" s="23" t="str">
        <f>IFERROR(__xludf.DUMMYFUNCTION("""COMPUTED_VALUE"""),"Race Car")</f>
        <v>Race Car</v>
      </c>
      <c r="C819" s="23" t="str">
        <f>IFERROR(__xludf.DUMMYFUNCTION("""COMPUTED_VALUE"""),"race-car")</f>
        <v>race-car</v>
      </c>
      <c r="D819" s="23" t="b">
        <f>IFERROR(__xludf.DUMMYFUNCTION("""COMPUTED_VALUE"""),FALSE)</f>
        <v>0</v>
      </c>
      <c r="E819" s="23" t="str">
        <f>IFERROR(__xludf.DUMMYFUNCTION("""COMPUTED_VALUE"""),"Hard")</f>
        <v>Hard</v>
      </c>
      <c r="F819" s="23">
        <f>IFERROR(__xludf.DUMMYFUNCTION("""COMPUTED_VALUE"""),936.0)</f>
        <v>936</v>
      </c>
      <c r="G819" s="23">
        <f>IFERROR(__xludf.DUMMYFUNCTION("""COMPUTED_VALUE"""),100.0)</f>
        <v>100</v>
      </c>
      <c r="H819" s="23" t="str">
        <f>IFERROR(__xludf.DUMMYFUNCTION("""COMPUTED_VALUE"""),"Algorithms")</f>
        <v>Algorithms</v>
      </c>
      <c r="I819" s="23">
        <f>IFERROR(__xludf.DUMMYFUNCTION("""COMPUTED_VALUE"""),0.428)</f>
        <v>0.428</v>
      </c>
      <c r="J819" s="23">
        <f>IFERROR(__xludf.DUMMYFUNCTION("""COMPUTED_VALUE"""),818.0)</f>
        <v>818</v>
      </c>
      <c r="K819" s="23" t="b">
        <f>IFERROR(__xludf.DUMMYFUNCTION("""COMPUTED_VALUE"""),FALSE)</f>
        <v>0</v>
      </c>
      <c r="L819" s="23" t="str">
        <f>IFERROR(__xludf.DUMMYFUNCTION("""COMPUTED_VALUE"""),"Dynamic Programming;")</f>
        <v>Dynamic Programming;</v>
      </c>
      <c r="M819" s="23" t="b">
        <f>IFERROR(__xludf.DUMMYFUNCTION("""COMPUTED_VALUE"""),FALSE)</f>
        <v>0</v>
      </c>
      <c r="N819" s="23" t="b">
        <f>IFERROR(__xludf.DUMMYFUNCTION("""COMPUTED_VALUE"""),FALSE)</f>
        <v>0</v>
      </c>
      <c r="O819" s="23">
        <f>IFERROR(__xludf.DUMMYFUNCTION("""COMPUTED_VALUE"""),42.756464841124)</f>
        <v>42.75646484</v>
      </c>
      <c r="P819" s="23">
        <f>IFERROR(__xludf.DUMMYFUNCTION("""COMPUTED_VALUE"""),38161.0)</f>
        <v>38161</v>
      </c>
      <c r="Q819" s="23">
        <f>IFERROR(__xludf.DUMMYFUNCTION("""COMPUTED_VALUE"""),89252.0)</f>
        <v>89252</v>
      </c>
    </row>
    <row r="820">
      <c r="A820" s="23">
        <f>IFERROR(__xludf.DUMMYFUNCTION("""COMPUTED_VALUE"""),837.0)</f>
        <v>837</v>
      </c>
      <c r="B820" s="23" t="str">
        <f>IFERROR(__xludf.DUMMYFUNCTION("""COMPUTED_VALUE"""),"Most Common Word")</f>
        <v>Most Common Word</v>
      </c>
      <c r="C820" s="23" t="str">
        <f>IFERROR(__xludf.DUMMYFUNCTION("""COMPUTED_VALUE"""),"most-common-word")</f>
        <v>most-common-word</v>
      </c>
      <c r="D820" s="23" t="b">
        <f>IFERROR(__xludf.DUMMYFUNCTION("""COMPUTED_VALUE"""),FALSE)</f>
        <v>0</v>
      </c>
      <c r="E820" s="23" t="str">
        <f>IFERROR(__xludf.DUMMYFUNCTION("""COMPUTED_VALUE"""),"Easy")</f>
        <v>Easy</v>
      </c>
      <c r="F820" s="23">
        <f>IFERROR(__xludf.DUMMYFUNCTION("""COMPUTED_VALUE"""),1253.0)</f>
        <v>1253</v>
      </c>
      <c r="G820" s="23">
        <f>IFERROR(__xludf.DUMMYFUNCTION("""COMPUTED_VALUE"""),2558.0)</f>
        <v>2558</v>
      </c>
      <c r="H820" s="23" t="str">
        <f>IFERROR(__xludf.DUMMYFUNCTION("""COMPUTED_VALUE"""),"Algorithms")</f>
        <v>Algorithms</v>
      </c>
      <c r="I820" s="23">
        <f>IFERROR(__xludf.DUMMYFUNCTION("""COMPUTED_VALUE"""),0.452)</f>
        <v>0.452</v>
      </c>
      <c r="J820" s="23">
        <f>IFERROR(__xludf.DUMMYFUNCTION("""COMPUTED_VALUE"""),819.0)</f>
        <v>819</v>
      </c>
      <c r="K820" s="23" t="b">
        <f>IFERROR(__xludf.DUMMYFUNCTION("""COMPUTED_VALUE"""),FALSE)</f>
        <v>0</v>
      </c>
      <c r="L820" s="23" t="str">
        <f>IFERROR(__xludf.DUMMYFUNCTION("""COMPUTED_VALUE"""),"Hash Table;String;Counting;")</f>
        <v>Hash Table;String;Counting;</v>
      </c>
      <c r="M820" s="23" t="b">
        <f>IFERROR(__xludf.DUMMYFUNCTION("""COMPUTED_VALUE"""),TRUE)</f>
        <v>1</v>
      </c>
      <c r="N820" s="23" t="b">
        <f>IFERROR(__xludf.DUMMYFUNCTION("""COMPUTED_VALUE"""),FALSE)</f>
        <v>0</v>
      </c>
      <c r="O820" s="23">
        <f>IFERROR(__xludf.DUMMYFUNCTION("""COMPUTED_VALUE"""),45.2333798977907)</f>
        <v>45.2333799</v>
      </c>
      <c r="P820" s="23">
        <f>IFERROR(__xludf.DUMMYFUNCTION("""COMPUTED_VALUE"""),285272.0)</f>
        <v>285272</v>
      </c>
      <c r="Q820" s="23">
        <f>IFERROR(__xludf.DUMMYFUNCTION("""COMPUTED_VALUE"""),630667.0)</f>
        <v>630667</v>
      </c>
    </row>
    <row r="821">
      <c r="A821" s="23">
        <f>IFERROR(__xludf.DUMMYFUNCTION("""COMPUTED_VALUE"""),839.0)</f>
        <v>839</v>
      </c>
      <c r="B821" s="23" t="str">
        <f>IFERROR(__xludf.DUMMYFUNCTION("""COMPUTED_VALUE"""),"Short Encoding of Words")</f>
        <v>Short Encoding of Words</v>
      </c>
      <c r="C821" s="23" t="str">
        <f>IFERROR(__xludf.DUMMYFUNCTION("""COMPUTED_VALUE"""),"short-encoding-of-words")</f>
        <v>short-encoding-of-words</v>
      </c>
      <c r="D821" s="23" t="b">
        <f>IFERROR(__xludf.DUMMYFUNCTION("""COMPUTED_VALUE"""),FALSE)</f>
        <v>0</v>
      </c>
      <c r="E821" s="23" t="str">
        <f>IFERROR(__xludf.DUMMYFUNCTION("""COMPUTED_VALUE"""),"Medium")</f>
        <v>Medium</v>
      </c>
      <c r="F821" s="23">
        <f>IFERROR(__xludf.DUMMYFUNCTION("""COMPUTED_VALUE"""),695.0)</f>
        <v>695</v>
      </c>
      <c r="G821" s="23">
        <f>IFERROR(__xludf.DUMMYFUNCTION("""COMPUTED_VALUE"""),263.0)</f>
        <v>263</v>
      </c>
      <c r="H821" s="23" t="str">
        <f>IFERROR(__xludf.DUMMYFUNCTION("""COMPUTED_VALUE"""),"Algorithms")</f>
        <v>Algorithms</v>
      </c>
      <c r="I821" s="23">
        <f>IFERROR(__xludf.DUMMYFUNCTION("""COMPUTED_VALUE"""),0.552)</f>
        <v>0.552</v>
      </c>
      <c r="J821" s="23">
        <f>IFERROR(__xludf.DUMMYFUNCTION("""COMPUTED_VALUE"""),820.0)</f>
        <v>820</v>
      </c>
      <c r="K821" s="23" t="b">
        <f>IFERROR(__xludf.DUMMYFUNCTION("""COMPUTED_VALUE"""),FALSE)</f>
        <v>0</v>
      </c>
      <c r="L821" s="23" t="str">
        <f>IFERROR(__xludf.DUMMYFUNCTION("""COMPUTED_VALUE"""),"Array;Hash Table;String;Trie;")</f>
        <v>Array;Hash Table;String;Trie;</v>
      </c>
      <c r="M821" s="23" t="b">
        <f>IFERROR(__xludf.DUMMYFUNCTION("""COMPUTED_VALUE"""),TRUE)</f>
        <v>1</v>
      </c>
      <c r="N821" s="23" t="b">
        <f>IFERROR(__xludf.DUMMYFUNCTION("""COMPUTED_VALUE"""),FALSE)</f>
        <v>0</v>
      </c>
      <c r="O821" s="23">
        <f>IFERROR(__xludf.DUMMYFUNCTION("""COMPUTED_VALUE"""),55.2370100831893)</f>
        <v>55.23701008</v>
      </c>
      <c r="P821" s="23">
        <f>IFERROR(__xludf.DUMMYFUNCTION("""COMPUTED_VALUE"""),45084.0)</f>
        <v>45084</v>
      </c>
      <c r="Q821" s="23">
        <f>IFERROR(__xludf.DUMMYFUNCTION("""COMPUTED_VALUE"""),81620.0)</f>
        <v>81620</v>
      </c>
    </row>
    <row r="822">
      <c r="A822" s="23">
        <f>IFERROR(__xludf.DUMMYFUNCTION("""COMPUTED_VALUE"""),841.0)</f>
        <v>841</v>
      </c>
      <c r="B822" s="23" t="str">
        <f>IFERROR(__xludf.DUMMYFUNCTION("""COMPUTED_VALUE"""),"Shortest Distance to a Character")</f>
        <v>Shortest Distance to a Character</v>
      </c>
      <c r="C822" s="23" t="str">
        <f>IFERROR(__xludf.DUMMYFUNCTION("""COMPUTED_VALUE"""),"shortest-distance-to-a-character")</f>
        <v>shortest-distance-to-a-character</v>
      </c>
      <c r="D822" s="23" t="b">
        <f>IFERROR(__xludf.DUMMYFUNCTION("""COMPUTED_VALUE"""),FALSE)</f>
        <v>0</v>
      </c>
      <c r="E822" s="23" t="str">
        <f>IFERROR(__xludf.DUMMYFUNCTION("""COMPUTED_VALUE"""),"Easy")</f>
        <v>Easy</v>
      </c>
      <c r="F822" s="23">
        <f>IFERROR(__xludf.DUMMYFUNCTION("""COMPUTED_VALUE"""),2187.0)</f>
        <v>2187</v>
      </c>
      <c r="G822" s="23">
        <f>IFERROR(__xludf.DUMMYFUNCTION("""COMPUTED_VALUE"""),120.0)</f>
        <v>120</v>
      </c>
      <c r="H822" s="23" t="str">
        <f>IFERROR(__xludf.DUMMYFUNCTION("""COMPUTED_VALUE"""),"Algorithms")</f>
        <v>Algorithms</v>
      </c>
      <c r="I822" s="23">
        <f>IFERROR(__xludf.DUMMYFUNCTION("""COMPUTED_VALUE"""),0.71)</f>
        <v>0.71</v>
      </c>
      <c r="J822" s="23">
        <f>IFERROR(__xludf.DUMMYFUNCTION("""COMPUTED_VALUE"""),821.0)</f>
        <v>821</v>
      </c>
      <c r="K822" s="23" t="b">
        <f>IFERROR(__xludf.DUMMYFUNCTION("""COMPUTED_VALUE"""),FALSE)</f>
        <v>0</v>
      </c>
      <c r="L822" s="23" t="str">
        <f>IFERROR(__xludf.DUMMYFUNCTION("""COMPUTED_VALUE"""),"Array;Two Pointers;String;")</f>
        <v>Array;Two Pointers;String;</v>
      </c>
      <c r="M822" s="23" t="b">
        <f>IFERROR(__xludf.DUMMYFUNCTION("""COMPUTED_VALUE"""),TRUE)</f>
        <v>1</v>
      </c>
      <c r="N822" s="23" t="b">
        <f>IFERROR(__xludf.DUMMYFUNCTION("""COMPUTED_VALUE"""),FALSE)</f>
        <v>0</v>
      </c>
      <c r="O822" s="23">
        <f>IFERROR(__xludf.DUMMYFUNCTION("""COMPUTED_VALUE"""),70.9693255505324)</f>
        <v>70.96932555</v>
      </c>
      <c r="P822" s="23">
        <f>IFERROR(__xludf.DUMMYFUNCTION("""COMPUTED_VALUE"""),131552.0)</f>
        <v>131552</v>
      </c>
      <c r="Q822" s="23">
        <f>IFERROR(__xludf.DUMMYFUNCTION("""COMPUTED_VALUE"""),185365.0)</f>
        <v>185365</v>
      </c>
    </row>
    <row r="823">
      <c r="A823" s="23">
        <f>IFERROR(__xludf.DUMMYFUNCTION("""COMPUTED_VALUE"""),842.0)</f>
        <v>842</v>
      </c>
      <c r="B823" s="23" t="str">
        <f>IFERROR(__xludf.DUMMYFUNCTION("""COMPUTED_VALUE"""),"Card Flipping Game")</f>
        <v>Card Flipping Game</v>
      </c>
      <c r="C823" s="23" t="str">
        <f>IFERROR(__xludf.DUMMYFUNCTION("""COMPUTED_VALUE"""),"card-flipping-game")</f>
        <v>card-flipping-game</v>
      </c>
      <c r="D823" s="23" t="b">
        <f>IFERROR(__xludf.DUMMYFUNCTION("""COMPUTED_VALUE"""),FALSE)</f>
        <v>0</v>
      </c>
      <c r="E823" s="23" t="str">
        <f>IFERROR(__xludf.DUMMYFUNCTION("""COMPUTED_VALUE"""),"Medium")</f>
        <v>Medium</v>
      </c>
      <c r="F823" s="23">
        <f>IFERROR(__xludf.DUMMYFUNCTION("""COMPUTED_VALUE"""),110.0)</f>
        <v>110</v>
      </c>
      <c r="G823" s="23">
        <f>IFERROR(__xludf.DUMMYFUNCTION("""COMPUTED_VALUE"""),633.0)</f>
        <v>633</v>
      </c>
      <c r="H823" s="23" t="str">
        <f>IFERROR(__xludf.DUMMYFUNCTION("""COMPUTED_VALUE"""),"Algorithms")</f>
        <v>Algorithms</v>
      </c>
      <c r="I823" s="23">
        <f>IFERROR(__xludf.DUMMYFUNCTION("""COMPUTED_VALUE"""),0.447)</f>
        <v>0.447</v>
      </c>
      <c r="J823" s="23">
        <f>IFERROR(__xludf.DUMMYFUNCTION("""COMPUTED_VALUE"""),822.0)</f>
        <v>822</v>
      </c>
      <c r="K823" s="23" t="b">
        <f>IFERROR(__xludf.DUMMYFUNCTION("""COMPUTED_VALUE"""),FALSE)</f>
        <v>0</v>
      </c>
      <c r="L823" s="23" t="str">
        <f>IFERROR(__xludf.DUMMYFUNCTION("""COMPUTED_VALUE"""),"Array;Hash Table;")</f>
        <v>Array;Hash Table;</v>
      </c>
      <c r="M823" s="23" t="b">
        <f>IFERROR(__xludf.DUMMYFUNCTION("""COMPUTED_VALUE"""),FALSE)</f>
        <v>0</v>
      </c>
      <c r="N823" s="23" t="b">
        <f>IFERROR(__xludf.DUMMYFUNCTION("""COMPUTED_VALUE"""),FALSE)</f>
        <v>0</v>
      </c>
      <c r="O823" s="23">
        <f>IFERROR(__xludf.DUMMYFUNCTION("""COMPUTED_VALUE"""),44.6635012386457)</f>
        <v>44.66350124</v>
      </c>
      <c r="P823" s="23">
        <f>IFERROR(__xludf.DUMMYFUNCTION("""COMPUTED_VALUE"""),12981.0)</f>
        <v>12981</v>
      </c>
      <c r="Q823" s="23">
        <f>IFERROR(__xludf.DUMMYFUNCTION("""COMPUTED_VALUE"""),29064.0)</f>
        <v>29064</v>
      </c>
    </row>
    <row r="824">
      <c r="A824" s="23">
        <f>IFERROR(__xludf.DUMMYFUNCTION("""COMPUTED_VALUE"""),843.0)</f>
        <v>843</v>
      </c>
      <c r="B824" s="23" t="str">
        <f>IFERROR(__xludf.DUMMYFUNCTION("""COMPUTED_VALUE"""),"Binary Trees With Factors")</f>
        <v>Binary Trees With Factors</v>
      </c>
      <c r="C824" s="23" t="str">
        <f>IFERROR(__xludf.DUMMYFUNCTION("""COMPUTED_VALUE"""),"binary-trees-with-factors")</f>
        <v>binary-trees-with-factors</v>
      </c>
      <c r="D824" s="23" t="b">
        <f>IFERROR(__xludf.DUMMYFUNCTION("""COMPUTED_VALUE"""),FALSE)</f>
        <v>0</v>
      </c>
      <c r="E824" s="23" t="str">
        <f>IFERROR(__xludf.DUMMYFUNCTION("""COMPUTED_VALUE"""),"Medium")</f>
        <v>Medium</v>
      </c>
      <c r="F824" s="23">
        <f>IFERROR(__xludf.DUMMYFUNCTION("""COMPUTED_VALUE"""),835.0)</f>
        <v>835</v>
      </c>
      <c r="G824" s="23">
        <f>IFERROR(__xludf.DUMMYFUNCTION("""COMPUTED_VALUE"""),102.0)</f>
        <v>102</v>
      </c>
      <c r="H824" s="23" t="str">
        <f>IFERROR(__xludf.DUMMYFUNCTION("""COMPUTED_VALUE"""),"Algorithms")</f>
        <v>Algorithms</v>
      </c>
      <c r="I824" s="23">
        <f>IFERROR(__xludf.DUMMYFUNCTION("""COMPUTED_VALUE"""),0.437)</f>
        <v>0.437</v>
      </c>
      <c r="J824" s="23">
        <f>IFERROR(__xludf.DUMMYFUNCTION("""COMPUTED_VALUE"""),823.0)</f>
        <v>823</v>
      </c>
      <c r="K824" s="23" t="b">
        <f>IFERROR(__xludf.DUMMYFUNCTION("""COMPUTED_VALUE"""),FALSE)</f>
        <v>0</v>
      </c>
      <c r="L824" s="23" t="str">
        <f>IFERROR(__xludf.DUMMYFUNCTION("""COMPUTED_VALUE"""),"Array;Hash Table;Dynamic Programming;")</f>
        <v>Array;Hash Table;Dynamic Programming;</v>
      </c>
      <c r="M824" s="23" t="b">
        <f>IFERROR(__xludf.DUMMYFUNCTION("""COMPUTED_VALUE"""),TRUE)</f>
        <v>1</v>
      </c>
      <c r="N824" s="23" t="b">
        <f>IFERROR(__xludf.DUMMYFUNCTION("""COMPUTED_VALUE"""),FALSE)</f>
        <v>0</v>
      </c>
      <c r="O824" s="23">
        <f>IFERROR(__xludf.DUMMYFUNCTION("""COMPUTED_VALUE"""),43.6595369244342)</f>
        <v>43.65953692</v>
      </c>
      <c r="P824" s="23">
        <f>IFERROR(__xludf.DUMMYFUNCTION("""COMPUTED_VALUE"""),36619.0)</f>
        <v>36619</v>
      </c>
      <c r="Q824" s="23">
        <f>IFERROR(__xludf.DUMMYFUNCTION("""COMPUTED_VALUE"""),83874.0)</f>
        <v>83874</v>
      </c>
    </row>
    <row r="825">
      <c r="A825" s="23">
        <f>IFERROR(__xludf.DUMMYFUNCTION("""COMPUTED_VALUE"""),851.0)</f>
        <v>851</v>
      </c>
      <c r="B825" s="23" t="str">
        <f>IFERROR(__xludf.DUMMYFUNCTION("""COMPUTED_VALUE"""),"Goat Latin")</f>
        <v>Goat Latin</v>
      </c>
      <c r="C825" s="23" t="str">
        <f>IFERROR(__xludf.DUMMYFUNCTION("""COMPUTED_VALUE"""),"goat-latin")</f>
        <v>goat-latin</v>
      </c>
      <c r="D825" s="23" t="b">
        <f>IFERROR(__xludf.DUMMYFUNCTION("""COMPUTED_VALUE"""),FALSE)</f>
        <v>0</v>
      </c>
      <c r="E825" s="23" t="str">
        <f>IFERROR(__xludf.DUMMYFUNCTION("""COMPUTED_VALUE"""),"Easy")</f>
        <v>Easy</v>
      </c>
      <c r="F825" s="23">
        <f>IFERROR(__xludf.DUMMYFUNCTION("""COMPUTED_VALUE"""),678.0)</f>
        <v>678</v>
      </c>
      <c r="G825" s="23">
        <f>IFERROR(__xludf.DUMMYFUNCTION("""COMPUTED_VALUE"""),1088.0)</f>
        <v>1088</v>
      </c>
      <c r="H825" s="23" t="str">
        <f>IFERROR(__xludf.DUMMYFUNCTION("""COMPUTED_VALUE"""),"Algorithms")</f>
        <v>Algorithms</v>
      </c>
      <c r="I825" s="23">
        <f>IFERROR(__xludf.DUMMYFUNCTION("""COMPUTED_VALUE"""),0.676)</f>
        <v>0.676</v>
      </c>
      <c r="J825" s="23">
        <f>IFERROR(__xludf.DUMMYFUNCTION("""COMPUTED_VALUE"""),824.0)</f>
        <v>824</v>
      </c>
      <c r="K825" s="23" t="b">
        <f>IFERROR(__xludf.DUMMYFUNCTION("""COMPUTED_VALUE"""),FALSE)</f>
        <v>0</v>
      </c>
      <c r="L825" s="23" t="str">
        <f>IFERROR(__xludf.DUMMYFUNCTION("""COMPUTED_VALUE"""),"String;")</f>
        <v>String;</v>
      </c>
      <c r="M825" s="23" t="b">
        <f>IFERROR(__xludf.DUMMYFUNCTION("""COMPUTED_VALUE"""),FALSE)</f>
        <v>0</v>
      </c>
      <c r="N825" s="23" t="b">
        <f>IFERROR(__xludf.DUMMYFUNCTION("""COMPUTED_VALUE"""),FALSE)</f>
        <v>0</v>
      </c>
      <c r="O825" s="23">
        <f>IFERROR(__xludf.DUMMYFUNCTION("""COMPUTED_VALUE"""),67.5945450650927)</f>
        <v>67.59454507</v>
      </c>
      <c r="P825" s="23">
        <f>IFERROR(__xludf.DUMMYFUNCTION("""COMPUTED_VALUE"""),142005.0)</f>
        <v>142005</v>
      </c>
      <c r="Q825" s="23">
        <f>IFERROR(__xludf.DUMMYFUNCTION("""COMPUTED_VALUE"""),210084.0)</f>
        <v>210084</v>
      </c>
    </row>
    <row r="826">
      <c r="A826" s="23">
        <f>IFERROR(__xludf.DUMMYFUNCTION("""COMPUTED_VALUE"""),852.0)</f>
        <v>852</v>
      </c>
      <c r="B826" s="23" t="str">
        <f>IFERROR(__xludf.DUMMYFUNCTION("""COMPUTED_VALUE"""),"Friends Of Appropriate Ages")</f>
        <v>Friends Of Appropriate Ages</v>
      </c>
      <c r="C826" s="23" t="str">
        <f>IFERROR(__xludf.DUMMYFUNCTION("""COMPUTED_VALUE"""),"friends-of-appropriate-ages")</f>
        <v>friends-of-appropriate-ages</v>
      </c>
      <c r="D826" s="23" t="b">
        <f>IFERROR(__xludf.DUMMYFUNCTION("""COMPUTED_VALUE"""),FALSE)</f>
        <v>0</v>
      </c>
      <c r="E826" s="23" t="str">
        <f>IFERROR(__xludf.DUMMYFUNCTION("""COMPUTED_VALUE"""),"Medium")</f>
        <v>Medium</v>
      </c>
      <c r="F826" s="23">
        <f>IFERROR(__xludf.DUMMYFUNCTION("""COMPUTED_VALUE"""),543.0)</f>
        <v>543</v>
      </c>
      <c r="G826" s="23">
        <f>IFERROR(__xludf.DUMMYFUNCTION("""COMPUTED_VALUE"""),1048.0)</f>
        <v>1048</v>
      </c>
      <c r="H826" s="23" t="str">
        <f>IFERROR(__xludf.DUMMYFUNCTION("""COMPUTED_VALUE"""),"Algorithms")</f>
        <v>Algorithms</v>
      </c>
      <c r="I826" s="23">
        <f>IFERROR(__xludf.DUMMYFUNCTION("""COMPUTED_VALUE"""),0.46)</f>
        <v>0.46</v>
      </c>
      <c r="J826" s="23">
        <f>IFERROR(__xludf.DUMMYFUNCTION("""COMPUTED_VALUE"""),825.0)</f>
        <v>825</v>
      </c>
      <c r="K826" s="23" t="b">
        <f>IFERROR(__xludf.DUMMYFUNCTION("""COMPUTED_VALUE"""),FALSE)</f>
        <v>0</v>
      </c>
      <c r="L826" s="23" t="str">
        <f>IFERROR(__xludf.DUMMYFUNCTION("""COMPUTED_VALUE"""),"Array;Two Pointers;Binary Search;Sorting;")</f>
        <v>Array;Two Pointers;Binary Search;Sorting;</v>
      </c>
      <c r="M826" s="23" t="b">
        <f>IFERROR(__xludf.DUMMYFUNCTION("""COMPUTED_VALUE"""),FALSE)</f>
        <v>0</v>
      </c>
      <c r="N826" s="23" t="b">
        <f>IFERROR(__xludf.DUMMYFUNCTION("""COMPUTED_VALUE"""),FALSE)</f>
        <v>0</v>
      </c>
      <c r="O826" s="23">
        <f>IFERROR(__xludf.DUMMYFUNCTION("""COMPUTED_VALUE"""),45.9769866643624)</f>
        <v>45.97698666</v>
      </c>
      <c r="P826" s="23">
        <f>IFERROR(__xludf.DUMMYFUNCTION("""COMPUTED_VALUE"""),63851.0)</f>
        <v>63851</v>
      </c>
      <c r="Q826" s="23">
        <f>IFERROR(__xludf.DUMMYFUNCTION("""COMPUTED_VALUE"""),138876.0)</f>
        <v>138876</v>
      </c>
    </row>
    <row r="827">
      <c r="A827" s="23">
        <f>IFERROR(__xludf.DUMMYFUNCTION("""COMPUTED_VALUE"""),853.0)</f>
        <v>853</v>
      </c>
      <c r="B827" s="23" t="str">
        <f>IFERROR(__xludf.DUMMYFUNCTION("""COMPUTED_VALUE"""),"Most Profit Assigning Work")</f>
        <v>Most Profit Assigning Work</v>
      </c>
      <c r="C827" s="23" t="str">
        <f>IFERROR(__xludf.DUMMYFUNCTION("""COMPUTED_VALUE"""),"most-profit-assigning-work")</f>
        <v>most-profit-assigning-work</v>
      </c>
      <c r="D827" s="23" t="b">
        <f>IFERROR(__xludf.DUMMYFUNCTION("""COMPUTED_VALUE"""),FALSE)</f>
        <v>0</v>
      </c>
      <c r="E827" s="23" t="str">
        <f>IFERROR(__xludf.DUMMYFUNCTION("""COMPUTED_VALUE"""),"Medium")</f>
        <v>Medium</v>
      </c>
      <c r="F827" s="23">
        <f>IFERROR(__xludf.DUMMYFUNCTION("""COMPUTED_VALUE"""),868.0)</f>
        <v>868</v>
      </c>
      <c r="G827" s="23">
        <f>IFERROR(__xludf.DUMMYFUNCTION("""COMPUTED_VALUE"""),97.0)</f>
        <v>97</v>
      </c>
      <c r="H827" s="23" t="str">
        <f>IFERROR(__xludf.DUMMYFUNCTION("""COMPUTED_VALUE"""),"Algorithms")</f>
        <v>Algorithms</v>
      </c>
      <c r="I827" s="23">
        <f>IFERROR(__xludf.DUMMYFUNCTION("""COMPUTED_VALUE"""),0.42)</f>
        <v>0.42</v>
      </c>
      <c r="J827" s="23">
        <f>IFERROR(__xludf.DUMMYFUNCTION("""COMPUTED_VALUE"""),826.0)</f>
        <v>826</v>
      </c>
      <c r="K827" s="23" t="b">
        <f>IFERROR(__xludf.DUMMYFUNCTION("""COMPUTED_VALUE"""),FALSE)</f>
        <v>0</v>
      </c>
      <c r="L827" s="23" t="str">
        <f>IFERROR(__xludf.DUMMYFUNCTION("""COMPUTED_VALUE"""),"Array;Two Pointers;Binary Search;Greedy;Sorting;")</f>
        <v>Array;Two Pointers;Binary Search;Greedy;Sorting;</v>
      </c>
      <c r="M827" s="23" t="b">
        <f>IFERROR(__xludf.DUMMYFUNCTION("""COMPUTED_VALUE"""),TRUE)</f>
        <v>1</v>
      </c>
      <c r="N827" s="23" t="b">
        <f>IFERROR(__xludf.DUMMYFUNCTION("""COMPUTED_VALUE"""),FALSE)</f>
        <v>0</v>
      </c>
      <c r="O827" s="23">
        <f>IFERROR(__xludf.DUMMYFUNCTION("""COMPUTED_VALUE"""),41.9588414634146)</f>
        <v>41.95884146</v>
      </c>
      <c r="P827" s="23">
        <f>IFERROR(__xludf.DUMMYFUNCTION("""COMPUTED_VALUE"""),36332.0)</f>
        <v>36332</v>
      </c>
      <c r="Q827" s="23">
        <f>IFERROR(__xludf.DUMMYFUNCTION("""COMPUTED_VALUE"""),86589.0)</f>
        <v>86589</v>
      </c>
    </row>
    <row r="828">
      <c r="A828" s="23">
        <f>IFERROR(__xludf.DUMMYFUNCTION("""COMPUTED_VALUE"""),854.0)</f>
        <v>854</v>
      </c>
      <c r="B828" s="23" t="str">
        <f>IFERROR(__xludf.DUMMYFUNCTION("""COMPUTED_VALUE"""),"Making A Large Island")</f>
        <v>Making A Large Island</v>
      </c>
      <c r="C828" s="23" t="str">
        <f>IFERROR(__xludf.DUMMYFUNCTION("""COMPUTED_VALUE"""),"making-a-large-island")</f>
        <v>making-a-large-island</v>
      </c>
      <c r="D828" s="23" t="b">
        <f>IFERROR(__xludf.DUMMYFUNCTION("""COMPUTED_VALUE"""),FALSE)</f>
        <v>0</v>
      </c>
      <c r="E828" s="23" t="str">
        <f>IFERROR(__xludf.DUMMYFUNCTION("""COMPUTED_VALUE"""),"Hard")</f>
        <v>Hard</v>
      </c>
      <c r="F828" s="23">
        <f>IFERROR(__xludf.DUMMYFUNCTION("""COMPUTED_VALUE"""),2270.0)</f>
        <v>2270</v>
      </c>
      <c r="G828" s="23">
        <f>IFERROR(__xludf.DUMMYFUNCTION("""COMPUTED_VALUE"""),49.0)</f>
        <v>49</v>
      </c>
      <c r="H828" s="23" t="str">
        <f>IFERROR(__xludf.DUMMYFUNCTION("""COMPUTED_VALUE"""),"Algorithms")</f>
        <v>Algorithms</v>
      </c>
      <c r="I828" s="23">
        <f>IFERROR(__xludf.DUMMYFUNCTION("""COMPUTED_VALUE"""),0.448)</f>
        <v>0.448</v>
      </c>
      <c r="J828" s="23">
        <f>IFERROR(__xludf.DUMMYFUNCTION("""COMPUTED_VALUE"""),827.0)</f>
        <v>827</v>
      </c>
      <c r="K828" s="23" t="b">
        <f>IFERROR(__xludf.DUMMYFUNCTION("""COMPUTED_VALUE"""),FALSE)</f>
        <v>0</v>
      </c>
      <c r="L828" s="23" t="str">
        <f>IFERROR(__xludf.DUMMYFUNCTION("""COMPUTED_VALUE"""),"Array;Depth-First Search;Breadth-First Search;Union Find;Matrix;")</f>
        <v>Array;Depth-First Search;Breadth-First Search;Union Find;Matrix;</v>
      </c>
      <c r="M828" s="23" t="b">
        <f>IFERROR(__xludf.DUMMYFUNCTION("""COMPUTED_VALUE"""),TRUE)</f>
        <v>1</v>
      </c>
      <c r="N828" s="23" t="b">
        <f>IFERROR(__xludf.DUMMYFUNCTION("""COMPUTED_VALUE"""),FALSE)</f>
        <v>0</v>
      </c>
      <c r="O828" s="23">
        <f>IFERROR(__xludf.DUMMYFUNCTION("""COMPUTED_VALUE"""),44.7772715134521)</f>
        <v>44.77727151</v>
      </c>
      <c r="P828" s="23">
        <f>IFERROR(__xludf.DUMMYFUNCTION("""COMPUTED_VALUE"""),107314.0)</f>
        <v>107314</v>
      </c>
      <c r="Q828" s="23">
        <f>IFERROR(__xludf.DUMMYFUNCTION("""COMPUTED_VALUE"""),239663.0)</f>
        <v>239663</v>
      </c>
    </row>
    <row r="829">
      <c r="A829" s="23">
        <f>IFERROR(__xludf.DUMMYFUNCTION("""COMPUTED_VALUE"""),855.0)</f>
        <v>855</v>
      </c>
      <c r="B829" s="23" t="str">
        <f>IFERROR(__xludf.DUMMYFUNCTION("""COMPUTED_VALUE"""),"Count Unique Characters of All Substrings of a Given String")</f>
        <v>Count Unique Characters of All Substrings of a Given String</v>
      </c>
      <c r="C829" s="23" t="str">
        <f>IFERROR(__xludf.DUMMYFUNCTION("""COMPUTED_VALUE"""),"count-unique-characters-of-all-substrings-of-a-given-string")</f>
        <v>count-unique-characters-of-all-substrings-of-a-given-string</v>
      </c>
      <c r="D829" s="23" t="b">
        <f>IFERROR(__xludf.DUMMYFUNCTION("""COMPUTED_VALUE"""),FALSE)</f>
        <v>0</v>
      </c>
      <c r="E829" s="23" t="str">
        <f>IFERROR(__xludf.DUMMYFUNCTION("""COMPUTED_VALUE"""),"Hard")</f>
        <v>Hard</v>
      </c>
      <c r="F829" s="23">
        <f>IFERROR(__xludf.DUMMYFUNCTION("""COMPUTED_VALUE"""),1280.0)</f>
        <v>1280</v>
      </c>
      <c r="G829" s="23">
        <f>IFERROR(__xludf.DUMMYFUNCTION("""COMPUTED_VALUE"""),177.0)</f>
        <v>177</v>
      </c>
      <c r="H829" s="23" t="str">
        <f>IFERROR(__xludf.DUMMYFUNCTION("""COMPUTED_VALUE"""),"Algorithms")</f>
        <v>Algorithms</v>
      </c>
      <c r="I829" s="23">
        <f>IFERROR(__xludf.DUMMYFUNCTION("""COMPUTED_VALUE"""),0.498)</f>
        <v>0.498</v>
      </c>
      <c r="J829" s="23">
        <f>IFERROR(__xludf.DUMMYFUNCTION("""COMPUTED_VALUE"""),828.0)</f>
        <v>828</v>
      </c>
      <c r="K829" s="23" t="b">
        <f>IFERROR(__xludf.DUMMYFUNCTION("""COMPUTED_VALUE"""),FALSE)</f>
        <v>0</v>
      </c>
      <c r="L829" s="23" t="str">
        <f>IFERROR(__xludf.DUMMYFUNCTION("""COMPUTED_VALUE"""),"String;Dynamic Programming;")</f>
        <v>String;Dynamic Programming;</v>
      </c>
      <c r="M829" s="23" t="b">
        <f>IFERROR(__xludf.DUMMYFUNCTION("""COMPUTED_VALUE"""),FALSE)</f>
        <v>0</v>
      </c>
      <c r="N829" s="23" t="b">
        <f>IFERROR(__xludf.DUMMYFUNCTION("""COMPUTED_VALUE"""),FALSE)</f>
        <v>0</v>
      </c>
      <c r="O829" s="23">
        <f>IFERROR(__xludf.DUMMYFUNCTION("""COMPUTED_VALUE"""),49.8161494337402)</f>
        <v>49.81614943</v>
      </c>
      <c r="P829" s="23">
        <f>IFERROR(__xludf.DUMMYFUNCTION("""COMPUTED_VALUE"""),40643.0)</f>
        <v>40643</v>
      </c>
      <c r="Q829" s="23">
        <f>IFERROR(__xludf.DUMMYFUNCTION("""COMPUTED_VALUE"""),81587.0)</f>
        <v>81587</v>
      </c>
    </row>
    <row r="830">
      <c r="A830" s="23">
        <f>IFERROR(__xludf.DUMMYFUNCTION("""COMPUTED_VALUE"""),856.0)</f>
        <v>856</v>
      </c>
      <c r="B830" s="23" t="str">
        <f>IFERROR(__xludf.DUMMYFUNCTION("""COMPUTED_VALUE"""),"Consecutive Numbers Sum")</f>
        <v>Consecutive Numbers Sum</v>
      </c>
      <c r="C830" s="23" t="str">
        <f>IFERROR(__xludf.DUMMYFUNCTION("""COMPUTED_VALUE"""),"consecutive-numbers-sum")</f>
        <v>consecutive-numbers-sum</v>
      </c>
      <c r="D830" s="23" t="b">
        <f>IFERROR(__xludf.DUMMYFUNCTION("""COMPUTED_VALUE"""),FALSE)</f>
        <v>0</v>
      </c>
      <c r="E830" s="23" t="str">
        <f>IFERROR(__xludf.DUMMYFUNCTION("""COMPUTED_VALUE"""),"Hard")</f>
        <v>Hard</v>
      </c>
      <c r="F830" s="23">
        <f>IFERROR(__xludf.DUMMYFUNCTION("""COMPUTED_VALUE"""),1005.0)</f>
        <v>1005</v>
      </c>
      <c r="G830" s="23">
        <f>IFERROR(__xludf.DUMMYFUNCTION("""COMPUTED_VALUE"""),1218.0)</f>
        <v>1218</v>
      </c>
      <c r="H830" s="23" t="str">
        <f>IFERROR(__xludf.DUMMYFUNCTION("""COMPUTED_VALUE"""),"Algorithms")</f>
        <v>Algorithms</v>
      </c>
      <c r="I830" s="23">
        <f>IFERROR(__xludf.DUMMYFUNCTION("""COMPUTED_VALUE"""),0.41)</f>
        <v>0.41</v>
      </c>
      <c r="J830" s="23">
        <f>IFERROR(__xludf.DUMMYFUNCTION("""COMPUTED_VALUE"""),829.0)</f>
        <v>829</v>
      </c>
      <c r="K830" s="23" t="b">
        <f>IFERROR(__xludf.DUMMYFUNCTION("""COMPUTED_VALUE"""),FALSE)</f>
        <v>0</v>
      </c>
      <c r="L830" s="23" t="str">
        <f>IFERROR(__xludf.DUMMYFUNCTION("""COMPUTED_VALUE"""),"Math;Enumeration;")</f>
        <v>Math;Enumeration;</v>
      </c>
      <c r="M830" s="23" t="b">
        <f>IFERROR(__xludf.DUMMYFUNCTION("""COMPUTED_VALUE"""),TRUE)</f>
        <v>1</v>
      </c>
      <c r="N830" s="23" t="b">
        <f>IFERROR(__xludf.DUMMYFUNCTION("""COMPUTED_VALUE"""),FALSE)</f>
        <v>0</v>
      </c>
      <c r="O830" s="23">
        <f>IFERROR(__xludf.DUMMYFUNCTION("""COMPUTED_VALUE"""),41.0465923845758)</f>
        <v>41.04659238</v>
      </c>
      <c r="P830" s="23">
        <f>IFERROR(__xludf.DUMMYFUNCTION("""COMPUTED_VALUE"""),67967.0)</f>
        <v>67967</v>
      </c>
      <c r="Q830" s="23">
        <f>IFERROR(__xludf.DUMMYFUNCTION("""COMPUTED_VALUE"""),165585.0)</f>
        <v>165585</v>
      </c>
    </row>
    <row r="831">
      <c r="A831" s="23">
        <f>IFERROR(__xludf.DUMMYFUNCTION("""COMPUTED_VALUE"""),857.0)</f>
        <v>857</v>
      </c>
      <c r="B831" s="23" t="str">
        <f>IFERROR(__xludf.DUMMYFUNCTION("""COMPUTED_VALUE"""),"Positions of Large Groups")</f>
        <v>Positions of Large Groups</v>
      </c>
      <c r="C831" s="23" t="str">
        <f>IFERROR(__xludf.DUMMYFUNCTION("""COMPUTED_VALUE"""),"positions-of-large-groups")</f>
        <v>positions-of-large-groups</v>
      </c>
      <c r="D831" s="23" t="b">
        <f>IFERROR(__xludf.DUMMYFUNCTION("""COMPUTED_VALUE"""),FALSE)</f>
        <v>0</v>
      </c>
      <c r="E831" s="23" t="str">
        <f>IFERROR(__xludf.DUMMYFUNCTION("""COMPUTED_VALUE"""),"Easy")</f>
        <v>Easy</v>
      </c>
      <c r="F831" s="23">
        <f>IFERROR(__xludf.DUMMYFUNCTION("""COMPUTED_VALUE"""),621.0)</f>
        <v>621</v>
      </c>
      <c r="G831" s="23">
        <f>IFERROR(__xludf.DUMMYFUNCTION("""COMPUTED_VALUE"""),111.0)</f>
        <v>111</v>
      </c>
      <c r="H831" s="23" t="str">
        <f>IFERROR(__xludf.DUMMYFUNCTION("""COMPUTED_VALUE"""),"Algorithms")</f>
        <v>Algorithms</v>
      </c>
      <c r="I831" s="23">
        <f>IFERROR(__xludf.DUMMYFUNCTION("""COMPUTED_VALUE"""),0.514)</f>
        <v>0.514</v>
      </c>
      <c r="J831" s="23">
        <f>IFERROR(__xludf.DUMMYFUNCTION("""COMPUTED_VALUE"""),830.0)</f>
        <v>830</v>
      </c>
      <c r="K831" s="23" t="b">
        <f>IFERROR(__xludf.DUMMYFUNCTION("""COMPUTED_VALUE"""),FALSE)</f>
        <v>0</v>
      </c>
      <c r="L831" s="23" t="str">
        <f>IFERROR(__xludf.DUMMYFUNCTION("""COMPUTED_VALUE"""),"String;")</f>
        <v>String;</v>
      </c>
      <c r="M831" s="23" t="b">
        <f>IFERROR(__xludf.DUMMYFUNCTION("""COMPUTED_VALUE"""),TRUE)</f>
        <v>1</v>
      </c>
      <c r="N831" s="23" t="b">
        <f>IFERROR(__xludf.DUMMYFUNCTION("""COMPUTED_VALUE"""),FALSE)</f>
        <v>0</v>
      </c>
      <c r="O831" s="23">
        <f>IFERROR(__xludf.DUMMYFUNCTION("""COMPUTED_VALUE"""),51.4159138290479)</f>
        <v>51.41591383</v>
      </c>
      <c r="P831" s="23">
        <f>IFERROR(__xludf.DUMMYFUNCTION("""COMPUTED_VALUE"""),71028.0)</f>
        <v>71028</v>
      </c>
      <c r="Q831" s="23">
        <f>IFERROR(__xludf.DUMMYFUNCTION("""COMPUTED_VALUE"""),138144.0)</f>
        <v>138144</v>
      </c>
    </row>
    <row r="832">
      <c r="A832" s="23">
        <f>IFERROR(__xludf.DUMMYFUNCTION("""COMPUTED_VALUE"""),858.0)</f>
        <v>858</v>
      </c>
      <c r="B832" s="23" t="str">
        <f>IFERROR(__xludf.DUMMYFUNCTION("""COMPUTED_VALUE"""),"Masking Personal Information")</f>
        <v>Masking Personal Information</v>
      </c>
      <c r="C832" s="23" t="str">
        <f>IFERROR(__xludf.DUMMYFUNCTION("""COMPUTED_VALUE"""),"masking-personal-information")</f>
        <v>masking-personal-information</v>
      </c>
      <c r="D832" s="23" t="b">
        <f>IFERROR(__xludf.DUMMYFUNCTION("""COMPUTED_VALUE"""),FALSE)</f>
        <v>0</v>
      </c>
      <c r="E832" s="23" t="str">
        <f>IFERROR(__xludf.DUMMYFUNCTION("""COMPUTED_VALUE"""),"Medium")</f>
        <v>Medium</v>
      </c>
      <c r="F832" s="23">
        <f>IFERROR(__xludf.DUMMYFUNCTION("""COMPUTED_VALUE"""),118.0)</f>
        <v>118</v>
      </c>
      <c r="G832" s="23">
        <f>IFERROR(__xludf.DUMMYFUNCTION("""COMPUTED_VALUE"""),401.0)</f>
        <v>401</v>
      </c>
      <c r="H832" s="23" t="str">
        <f>IFERROR(__xludf.DUMMYFUNCTION("""COMPUTED_VALUE"""),"Algorithms")</f>
        <v>Algorithms</v>
      </c>
      <c r="I832" s="23">
        <f>IFERROR(__xludf.DUMMYFUNCTION("""COMPUTED_VALUE"""),0.46)</f>
        <v>0.46</v>
      </c>
      <c r="J832" s="23">
        <f>IFERROR(__xludf.DUMMYFUNCTION("""COMPUTED_VALUE"""),831.0)</f>
        <v>831</v>
      </c>
      <c r="K832" s="23" t="b">
        <f>IFERROR(__xludf.DUMMYFUNCTION("""COMPUTED_VALUE"""),FALSE)</f>
        <v>0</v>
      </c>
      <c r="L832" s="23" t="str">
        <f>IFERROR(__xludf.DUMMYFUNCTION("""COMPUTED_VALUE"""),"String;")</f>
        <v>String;</v>
      </c>
      <c r="M832" s="23" t="b">
        <f>IFERROR(__xludf.DUMMYFUNCTION("""COMPUTED_VALUE"""),FALSE)</f>
        <v>0</v>
      </c>
      <c r="N832" s="23" t="b">
        <f>IFERROR(__xludf.DUMMYFUNCTION("""COMPUTED_VALUE"""),FALSE)</f>
        <v>0</v>
      </c>
      <c r="O832" s="23">
        <f>IFERROR(__xludf.DUMMYFUNCTION("""COMPUTED_VALUE"""),46.0209171359613)</f>
        <v>46.02091714</v>
      </c>
      <c r="P832" s="23">
        <f>IFERROR(__xludf.DUMMYFUNCTION("""COMPUTED_VALUE"""),14300.0)</f>
        <v>14300</v>
      </c>
      <c r="Q832" s="23">
        <f>IFERROR(__xludf.DUMMYFUNCTION("""COMPUTED_VALUE"""),31074.0)</f>
        <v>31074</v>
      </c>
    </row>
    <row r="833">
      <c r="A833" s="23">
        <f>IFERROR(__xludf.DUMMYFUNCTION("""COMPUTED_VALUE"""),861.0)</f>
        <v>861</v>
      </c>
      <c r="B833" s="23" t="str">
        <f>IFERROR(__xludf.DUMMYFUNCTION("""COMPUTED_VALUE"""),"Flipping an Image")</f>
        <v>Flipping an Image</v>
      </c>
      <c r="C833" s="23" t="str">
        <f>IFERROR(__xludf.DUMMYFUNCTION("""COMPUTED_VALUE"""),"flipping-an-image")</f>
        <v>flipping-an-image</v>
      </c>
      <c r="D833" s="23" t="b">
        <f>IFERROR(__xludf.DUMMYFUNCTION("""COMPUTED_VALUE"""),FALSE)</f>
        <v>0</v>
      </c>
      <c r="E833" s="23" t="str">
        <f>IFERROR(__xludf.DUMMYFUNCTION("""COMPUTED_VALUE"""),"Easy")</f>
        <v>Easy</v>
      </c>
      <c r="F833" s="23">
        <f>IFERROR(__xludf.DUMMYFUNCTION("""COMPUTED_VALUE"""),2081.0)</f>
        <v>2081</v>
      </c>
      <c r="G833" s="23">
        <f>IFERROR(__xludf.DUMMYFUNCTION("""COMPUTED_VALUE"""),202.0)</f>
        <v>202</v>
      </c>
      <c r="H833" s="23" t="str">
        <f>IFERROR(__xludf.DUMMYFUNCTION("""COMPUTED_VALUE"""),"Algorithms")</f>
        <v>Algorithms</v>
      </c>
      <c r="I833" s="23">
        <f>IFERROR(__xludf.DUMMYFUNCTION("""COMPUTED_VALUE"""),0.797)</f>
        <v>0.797</v>
      </c>
      <c r="J833" s="23">
        <f>IFERROR(__xludf.DUMMYFUNCTION("""COMPUTED_VALUE"""),832.0)</f>
        <v>832</v>
      </c>
      <c r="K833" s="23" t="b">
        <f>IFERROR(__xludf.DUMMYFUNCTION("""COMPUTED_VALUE"""),FALSE)</f>
        <v>0</v>
      </c>
      <c r="L833" s="23" t="str">
        <f>IFERROR(__xludf.DUMMYFUNCTION("""COMPUTED_VALUE"""),"Array;Two Pointers;Matrix;Simulation;")</f>
        <v>Array;Two Pointers;Matrix;Simulation;</v>
      </c>
      <c r="M833" s="23" t="b">
        <f>IFERROR(__xludf.DUMMYFUNCTION("""COMPUTED_VALUE"""),TRUE)</f>
        <v>1</v>
      </c>
      <c r="N833" s="23" t="b">
        <f>IFERROR(__xludf.DUMMYFUNCTION("""COMPUTED_VALUE"""),FALSE)</f>
        <v>0</v>
      </c>
      <c r="O833" s="23">
        <f>IFERROR(__xludf.DUMMYFUNCTION("""COMPUTED_VALUE"""),79.6975514648578)</f>
        <v>79.69755146</v>
      </c>
      <c r="P833" s="23">
        <f>IFERROR(__xludf.DUMMYFUNCTION("""COMPUTED_VALUE"""),293491.0)</f>
        <v>293491</v>
      </c>
      <c r="Q833" s="23">
        <f>IFERROR(__xludf.DUMMYFUNCTION("""COMPUTED_VALUE"""),368250.0)</f>
        <v>368250</v>
      </c>
    </row>
    <row r="834">
      <c r="A834" s="23">
        <f>IFERROR(__xludf.DUMMYFUNCTION("""COMPUTED_VALUE"""),862.0)</f>
        <v>862</v>
      </c>
      <c r="B834" s="23" t="str">
        <f>IFERROR(__xludf.DUMMYFUNCTION("""COMPUTED_VALUE"""),"Find And Replace in String")</f>
        <v>Find And Replace in String</v>
      </c>
      <c r="C834" s="23" t="str">
        <f>IFERROR(__xludf.DUMMYFUNCTION("""COMPUTED_VALUE"""),"find-and-replace-in-string")</f>
        <v>find-and-replace-in-string</v>
      </c>
      <c r="D834" s="23" t="b">
        <f>IFERROR(__xludf.DUMMYFUNCTION("""COMPUTED_VALUE"""),FALSE)</f>
        <v>0</v>
      </c>
      <c r="E834" s="23" t="str">
        <f>IFERROR(__xludf.DUMMYFUNCTION("""COMPUTED_VALUE"""),"Medium")</f>
        <v>Medium</v>
      </c>
      <c r="F834" s="23">
        <f>IFERROR(__xludf.DUMMYFUNCTION("""COMPUTED_VALUE"""),821.0)</f>
        <v>821</v>
      </c>
      <c r="G834" s="23">
        <f>IFERROR(__xludf.DUMMYFUNCTION("""COMPUTED_VALUE"""),789.0)</f>
        <v>789</v>
      </c>
      <c r="H834" s="23" t="str">
        <f>IFERROR(__xludf.DUMMYFUNCTION("""COMPUTED_VALUE"""),"Algorithms")</f>
        <v>Algorithms</v>
      </c>
      <c r="I834" s="23">
        <f>IFERROR(__xludf.DUMMYFUNCTION("""COMPUTED_VALUE"""),0.543)</f>
        <v>0.543</v>
      </c>
      <c r="J834" s="23">
        <f>IFERROR(__xludf.DUMMYFUNCTION("""COMPUTED_VALUE"""),833.0)</f>
        <v>833</v>
      </c>
      <c r="K834" s="23" t="b">
        <f>IFERROR(__xludf.DUMMYFUNCTION("""COMPUTED_VALUE"""),FALSE)</f>
        <v>0</v>
      </c>
      <c r="L834" s="23" t="str">
        <f>IFERROR(__xludf.DUMMYFUNCTION("""COMPUTED_VALUE"""),"Array;String;Sorting;")</f>
        <v>Array;String;Sorting;</v>
      </c>
      <c r="M834" s="23" t="b">
        <f>IFERROR(__xludf.DUMMYFUNCTION("""COMPUTED_VALUE"""),FALSE)</f>
        <v>0</v>
      </c>
      <c r="N834" s="23" t="b">
        <f>IFERROR(__xludf.DUMMYFUNCTION("""COMPUTED_VALUE"""),FALSE)</f>
        <v>0</v>
      </c>
      <c r="O834" s="23">
        <f>IFERROR(__xludf.DUMMYFUNCTION("""COMPUTED_VALUE"""),54.3072122401731)</f>
        <v>54.30721224</v>
      </c>
      <c r="P834" s="23">
        <f>IFERROR(__xludf.DUMMYFUNCTION("""COMPUTED_VALUE"""),107902.0)</f>
        <v>107902</v>
      </c>
      <c r="Q834" s="23">
        <f>IFERROR(__xludf.DUMMYFUNCTION("""COMPUTED_VALUE"""),198688.0)</f>
        <v>198688</v>
      </c>
    </row>
    <row r="835">
      <c r="A835" s="23">
        <f>IFERROR(__xludf.DUMMYFUNCTION("""COMPUTED_VALUE"""),863.0)</f>
        <v>863</v>
      </c>
      <c r="B835" s="23" t="str">
        <f>IFERROR(__xludf.DUMMYFUNCTION("""COMPUTED_VALUE"""),"Sum of Distances in Tree")</f>
        <v>Sum of Distances in Tree</v>
      </c>
      <c r="C835" s="23" t="str">
        <f>IFERROR(__xludf.DUMMYFUNCTION("""COMPUTED_VALUE"""),"sum-of-distances-in-tree")</f>
        <v>sum-of-distances-in-tree</v>
      </c>
      <c r="D835" s="23" t="b">
        <f>IFERROR(__xludf.DUMMYFUNCTION("""COMPUTED_VALUE"""),FALSE)</f>
        <v>0</v>
      </c>
      <c r="E835" s="23" t="str">
        <f>IFERROR(__xludf.DUMMYFUNCTION("""COMPUTED_VALUE"""),"Hard")</f>
        <v>Hard</v>
      </c>
      <c r="F835" s="23">
        <f>IFERROR(__xludf.DUMMYFUNCTION("""COMPUTED_VALUE"""),2492.0)</f>
        <v>2492</v>
      </c>
      <c r="G835" s="23">
        <f>IFERROR(__xludf.DUMMYFUNCTION("""COMPUTED_VALUE"""),58.0)</f>
        <v>58</v>
      </c>
      <c r="H835" s="23" t="str">
        <f>IFERROR(__xludf.DUMMYFUNCTION("""COMPUTED_VALUE"""),"Algorithms")</f>
        <v>Algorithms</v>
      </c>
      <c r="I835" s="23">
        <f>IFERROR(__xludf.DUMMYFUNCTION("""COMPUTED_VALUE"""),0.53)</f>
        <v>0.53</v>
      </c>
      <c r="J835" s="23">
        <f>IFERROR(__xludf.DUMMYFUNCTION("""COMPUTED_VALUE"""),834.0)</f>
        <v>834</v>
      </c>
      <c r="K835" s="23" t="b">
        <f>IFERROR(__xludf.DUMMYFUNCTION("""COMPUTED_VALUE"""),FALSE)</f>
        <v>0</v>
      </c>
      <c r="L835" s="23" t="str">
        <f>IFERROR(__xludf.DUMMYFUNCTION("""COMPUTED_VALUE"""),"Dynamic Programming;Tree;Depth-First Search;Graph;")</f>
        <v>Dynamic Programming;Tree;Depth-First Search;Graph;</v>
      </c>
      <c r="M835" s="23" t="b">
        <f>IFERROR(__xludf.DUMMYFUNCTION("""COMPUTED_VALUE"""),TRUE)</f>
        <v>1</v>
      </c>
      <c r="N835" s="23" t="b">
        <f>IFERROR(__xludf.DUMMYFUNCTION("""COMPUTED_VALUE"""),FALSE)</f>
        <v>0</v>
      </c>
      <c r="O835" s="23">
        <f>IFERROR(__xludf.DUMMYFUNCTION("""COMPUTED_VALUE"""),52.9946351237799)</f>
        <v>52.99463512</v>
      </c>
      <c r="P835" s="23">
        <f>IFERROR(__xludf.DUMMYFUNCTION("""COMPUTED_VALUE"""),40994.0)</f>
        <v>40994</v>
      </c>
      <c r="Q835" s="23">
        <f>IFERROR(__xludf.DUMMYFUNCTION("""COMPUTED_VALUE"""),77355.0)</f>
        <v>77355</v>
      </c>
    </row>
    <row r="836">
      <c r="A836" s="23">
        <f>IFERROR(__xludf.DUMMYFUNCTION("""COMPUTED_VALUE"""),864.0)</f>
        <v>864</v>
      </c>
      <c r="B836" s="23" t="str">
        <f>IFERROR(__xludf.DUMMYFUNCTION("""COMPUTED_VALUE"""),"Image Overlap")</f>
        <v>Image Overlap</v>
      </c>
      <c r="C836" s="23" t="str">
        <f>IFERROR(__xludf.DUMMYFUNCTION("""COMPUTED_VALUE"""),"image-overlap")</f>
        <v>image-overlap</v>
      </c>
      <c r="D836" s="23" t="b">
        <f>IFERROR(__xludf.DUMMYFUNCTION("""COMPUTED_VALUE"""),FALSE)</f>
        <v>0</v>
      </c>
      <c r="E836" s="23" t="str">
        <f>IFERROR(__xludf.DUMMYFUNCTION("""COMPUTED_VALUE"""),"Medium")</f>
        <v>Medium</v>
      </c>
      <c r="F836" s="23">
        <f>IFERROR(__xludf.DUMMYFUNCTION("""COMPUTED_VALUE"""),101.0)</f>
        <v>101</v>
      </c>
      <c r="G836" s="23">
        <f>IFERROR(__xludf.DUMMYFUNCTION("""COMPUTED_VALUE"""),29.0)</f>
        <v>29</v>
      </c>
      <c r="H836" s="23" t="str">
        <f>IFERROR(__xludf.DUMMYFUNCTION("""COMPUTED_VALUE"""),"Algorithms")</f>
        <v>Algorithms</v>
      </c>
      <c r="I836" s="23">
        <f>IFERROR(__xludf.DUMMYFUNCTION("""COMPUTED_VALUE"""),0.613)</f>
        <v>0.613</v>
      </c>
      <c r="J836" s="23">
        <f>IFERROR(__xludf.DUMMYFUNCTION("""COMPUTED_VALUE"""),835.0)</f>
        <v>835</v>
      </c>
      <c r="K836" s="23" t="b">
        <f>IFERROR(__xludf.DUMMYFUNCTION("""COMPUTED_VALUE"""),FALSE)</f>
        <v>0</v>
      </c>
      <c r="L836" s="23" t="str">
        <f>IFERROR(__xludf.DUMMYFUNCTION("""COMPUTED_VALUE"""),"Array;Matrix;")</f>
        <v>Array;Matrix;</v>
      </c>
      <c r="M836" s="23" t="b">
        <f>IFERROR(__xludf.DUMMYFUNCTION("""COMPUTED_VALUE"""),TRUE)</f>
        <v>1</v>
      </c>
      <c r="N836" s="23" t="b">
        <f>IFERROR(__xludf.DUMMYFUNCTION("""COMPUTED_VALUE"""),FALSE)</f>
        <v>0</v>
      </c>
      <c r="O836" s="23">
        <f>IFERROR(__xludf.DUMMYFUNCTION("""COMPUTED_VALUE"""),61.251905241675)</f>
        <v>61.25190524</v>
      </c>
      <c r="P836" s="23">
        <f>IFERROR(__xludf.DUMMYFUNCTION("""COMPUTED_VALUE"""),47420.0)</f>
        <v>47420</v>
      </c>
      <c r="Q836" s="23">
        <f>IFERROR(__xludf.DUMMYFUNCTION("""COMPUTED_VALUE"""),77418.0)</f>
        <v>77418</v>
      </c>
    </row>
    <row r="837">
      <c r="A837" s="23">
        <f>IFERROR(__xludf.DUMMYFUNCTION("""COMPUTED_VALUE"""),866.0)</f>
        <v>866</v>
      </c>
      <c r="B837" s="23" t="str">
        <f>IFERROR(__xludf.DUMMYFUNCTION("""COMPUTED_VALUE"""),"Rectangle Overlap")</f>
        <v>Rectangle Overlap</v>
      </c>
      <c r="C837" s="23" t="str">
        <f>IFERROR(__xludf.DUMMYFUNCTION("""COMPUTED_VALUE"""),"rectangle-overlap")</f>
        <v>rectangle-overlap</v>
      </c>
      <c r="D837" s="23" t="b">
        <f>IFERROR(__xludf.DUMMYFUNCTION("""COMPUTED_VALUE"""),FALSE)</f>
        <v>0</v>
      </c>
      <c r="E837" s="23" t="str">
        <f>IFERROR(__xludf.DUMMYFUNCTION("""COMPUTED_VALUE"""),"Easy")</f>
        <v>Easy</v>
      </c>
      <c r="F837" s="23">
        <f>IFERROR(__xludf.DUMMYFUNCTION("""COMPUTED_VALUE"""),1401.0)</f>
        <v>1401</v>
      </c>
      <c r="G837" s="23">
        <f>IFERROR(__xludf.DUMMYFUNCTION("""COMPUTED_VALUE"""),385.0)</f>
        <v>385</v>
      </c>
      <c r="H837" s="23" t="str">
        <f>IFERROR(__xludf.DUMMYFUNCTION("""COMPUTED_VALUE"""),"Algorithms")</f>
        <v>Algorithms</v>
      </c>
      <c r="I837" s="23">
        <f>IFERROR(__xludf.DUMMYFUNCTION("""COMPUTED_VALUE"""),0.431)</f>
        <v>0.431</v>
      </c>
      <c r="J837" s="23">
        <f>IFERROR(__xludf.DUMMYFUNCTION("""COMPUTED_VALUE"""),836.0)</f>
        <v>836</v>
      </c>
      <c r="K837" s="23" t="b">
        <f>IFERROR(__xludf.DUMMYFUNCTION("""COMPUTED_VALUE"""),FALSE)</f>
        <v>0</v>
      </c>
      <c r="L837" s="23" t="str">
        <f>IFERROR(__xludf.DUMMYFUNCTION("""COMPUTED_VALUE"""),"Math;Geometry;")</f>
        <v>Math;Geometry;</v>
      </c>
      <c r="M837" s="23" t="b">
        <f>IFERROR(__xludf.DUMMYFUNCTION("""COMPUTED_VALUE"""),TRUE)</f>
        <v>1</v>
      </c>
      <c r="N837" s="23" t="b">
        <f>IFERROR(__xludf.DUMMYFUNCTION("""COMPUTED_VALUE"""),FALSE)</f>
        <v>0</v>
      </c>
      <c r="O837" s="23">
        <f>IFERROR(__xludf.DUMMYFUNCTION("""COMPUTED_VALUE"""),43.1400210326519)</f>
        <v>43.14002103</v>
      </c>
      <c r="P837" s="23">
        <f>IFERROR(__xludf.DUMMYFUNCTION("""COMPUTED_VALUE"""),100914.0)</f>
        <v>100914</v>
      </c>
      <c r="Q837" s="23">
        <f>IFERROR(__xludf.DUMMYFUNCTION("""COMPUTED_VALUE"""),233921.0)</f>
        <v>233921</v>
      </c>
    </row>
    <row r="838">
      <c r="A838" s="23">
        <f>IFERROR(__xludf.DUMMYFUNCTION("""COMPUTED_VALUE"""),867.0)</f>
        <v>867</v>
      </c>
      <c r="B838" s="23" t="str">
        <f>IFERROR(__xludf.DUMMYFUNCTION("""COMPUTED_VALUE"""),"New 21 Game")</f>
        <v>New 21 Game</v>
      </c>
      <c r="C838" s="23" t="str">
        <f>IFERROR(__xludf.DUMMYFUNCTION("""COMPUTED_VALUE"""),"new-21-game")</f>
        <v>new-21-game</v>
      </c>
      <c r="D838" s="23" t="b">
        <f>IFERROR(__xludf.DUMMYFUNCTION("""COMPUTED_VALUE"""),FALSE)</f>
        <v>0</v>
      </c>
      <c r="E838" s="23" t="str">
        <f>IFERROR(__xludf.DUMMYFUNCTION("""COMPUTED_VALUE"""),"Medium")</f>
        <v>Medium</v>
      </c>
      <c r="F838" s="23">
        <f>IFERROR(__xludf.DUMMYFUNCTION("""COMPUTED_VALUE"""),944.0)</f>
        <v>944</v>
      </c>
      <c r="G838" s="23">
        <f>IFERROR(__xludf.DUMMYFUNCTION("""COMPUTED_VALUE"""),634.0)</f>
        <v>634</v>
      </c>
      <c r="H838" s="23" t="str">
        <f>IFERROR(__xludf.DUMMYFUNCTION("""COMPUTED_VALUE"""),"Algorithms")</f>
        <v>Algorithms</v>
      </c>
      <c r="I838" s="23">
        <f>IFERROR(__xludf.DUMMYFUNCTION("""COMPUTED_VALUE"""),0.36)</f>
        <v>0.36</v>
      </c>
      <c r="J838" s="23">
        <f>IFERROR(__xludf.DUMMYFUNCTION("""COMPUTED_VALUE"""),837.0)</f>
        <v>837</v>
      </c>
      <c r="K838" s="23" t="b">
        <f>IFERROR(__xludf.DUMMYFUNCTION("""COMPUTED_VALUE"""),FALSE)</f>
        <v>0</v>
      </c>
      <c r="L838" s="23" t="str">
        <f>IFERROR(__xludf.DUMMYFUNCTION("""COMPUTED_VALUE"""),"Math;Dynamic Programming;Sliding Window;Probability and Statistics;")</f>
        <v>Math;Dynamic Programming;Sliding Window;Probability and Statistics;</v>
      </c>
      <c r="M838" s="23" t="b">
        <f>IFERROR(__xludf.DUMMYFUNCTION("""COMPUTED_VALUE"""),FALSE)</f>
        <v>0</v>
      </c>
      <c r="N838" s="23" t="b">
        <f>IFERROR(__xludf.DUMMYFUNCTION("""COMPUTED_VALUE"""),FALSE)</f>
        <v>0</v>
      </c>
      <c r="O838" s="23">
        <f>IFERROR(__xludf.DUMMYFUNCTION("""COMPUTED_VALUE"""),35.9979221978529)</f>
        <v>35.9979222</v>
      </c>
      <c r="P838" s="23">
        <f>IFERROR(__xludf.DUMMYFUNCTION("""COMPUTED_VALUE"""),31185.0)</f>
        <v>31185</v>
      </c>
      <c r="Q838" s="23">
        <f>IFERROR(__xludf.DUMMYFUNCTION("""COMPUTED_VALUE"""),86630.0)</f>
        <v>86630</v>
      </c>
    </row>
    <row r="839">
      <c r="A839" s="23">
        <f>IFERROR(__xludf.DUMMYFUNCTION("""COMPUTED_VALUE"""),868.0)</f>
        <v>868</v>
      </c>
      <c r="B839" s="23" t="str">
        <f>IFERROR(__xludf.DUMMYFUNCTION("""COMPUTED_VALUE"""),"Push Dominoes")</f>
        <v>Push Dominoes</v>
      </c>
      <c r="C839" s="23" t="str">
        <f>IFERROR(__xludf.DUMMYFUNCTION("""COMPUTED_VALUE"""),"push-dominoes")</f>
        <v>push-dominoes</v>
      </c>
      <c r="D839" s="23" t="b">
        <f>IFERROR(__xludf.DUMMYFUNCTION("""COMPUTED_VALUE"""),FALSE)</f>
        <v>0</v>
      </c>
      <c r="E839" s="23" t="str">
        <f>IFERROR(__xludf.DUMMYFUNCTION("""COMPUTED_VALUE"""),"Medium")</f>
        <v>Medium</v>
      </c>
      <c r="F839" s="23">
        <f>IFERROR(__xludf.DUMMYFUNCTION("""COMPUTED_VALUE"""),1640.0)</f>
        <v>1640</v>
      </c>
      <c r="G839" s="23">
        <f>IFERROR(__xludf.DUMMYFUNCTION("""COMPUTED_VALUE"""),111.0)</f>
        <v>111</v>
      </c>
      <c r="H839" s="23" t="str">
        <f>IFERROR(__xludf.DUMMYFUNCTION("""COMPUTED_VALUE"""),"Algorithms")</f>
        <v>Algorithms</v>
      </c>
      <c r="I839" s="23">
        <f>IFERROR(__xludf.DUMMYFUNCTION("""COMPUTED_VALUE"""),0.523)</f>
        <v>0.523</v>
      </c>
      <c r="J839" s="23">
        <f>IFERROR(__xludf.DUMMYFUNCTION("""COMPUTED_VALUE"""),838.0)</f>
        <v>838</v>
      </c>
      <c r="K839" s="23" t="b">
        <f>IFERROR(__xludf.DUMMYFUNCTION("""COMPUTED_VALUE"""),FALSE)</f>
        <v>0</v>
      </c>
      <c r="L839" s="23" t="str">
        <f>IFERROR(__xludf.DUMMYFUNCTION("""COMPUTED_VALUE"""),"Two Pointers;String;Dynamic Programming;")</f>
        <v>Two Pointers;String;Dynamic Programming;</v>
      </c>
      <c r="M839" s="23" t="b">
        <f>IFERROR(__xludf.DUMMYFUNCTION("""COMPUTED_VALUE"""),TRUE)</f>
        <v>1</v>
      </c>
      <c r="N839" s="23" t="b">
        <f>IFERROR(__xludf.DUMMYFUNCTION("""COMPUTED_VALUE"""),FALSE)</f>
        <v>0</v>
      </c>
      <c r="O839" s="23">
        <f>IFERROR(__xludf.DUMMYFUNCTION("""COMPUTED_VALUE"""),52.3291644009425)</f>
        <v>52.3291644</v>
      </c>
      <c r="P839" s="23">
        <f>IFERROR(__xludf.DUMMYFUNCTION("""COMPUTED_VALUE"""),57740.0)</f>
        <v>57740</v>
      </c>
      <c r="Q839" s="23">
        <f>IFERROR(__xludf.DUMMYFUNCTION("""COMPUTED_VALUE"""),110340.0)</f>
        <v>110340</v>
      </c>
    </row>
    <row r="840">
      <c r="A840" s="23">
        <f>IFERROR(__xludf.DUMMYFUNCTION("""COMPUTED_VALUE"""),869.0)</f>
        <v>869</v>
      </c>
      <c r="B840" s="23" t="str">
        <f>IFERROR(__xludf.DUMMYFUNCTION("""COMPUTED_VALUE"""),"Similar String Groups")</f>
        <v>Similar String Groups</v>
      </c>
      <c r="C840" s="23" t="str">
        <f>IFERROR(__xludf.DUMMYFUNCTION("""COMPUTED_VALUE"""),"similar-string-groups")</f>
        <v>similar-string-groups</v>
      </c>
      <c r="D840" s="23" t="b">
        <f>IFERROR(__xludf.DUMMYFUNCTION("""COMPUTED_VALUE"""),FALSE)</f>
        <v>0</v>
      </c>
      <c r="E840" s="23" t="str">
        <f>IFERROR(__xludf.DUMMYFUNCTION("""COMPUTED_VALUE"""),"Hard")</f>
        <v>Hard</v>
      </c>
      <c r="F840" s="23">
        <f>IFERROR(__xludf.DUMMYFUNCTION("""COMPUTED_VALUE"""),779.0)</f>
        <v>779</v>
      </c>
      <c r="G840" s="23">
        <f>IFERROR(__xludf.DUMMYFUNCTION("""COMPUTED_VALUE"""),167.0)</f>
        <v>167</v>
      </c>
      <c r="H840" s="23" t="str">
        <f>IFERROR(__xludf.DUMMYFUNCTION("""COMPUTED_VALUE"""),"Algorithms")</f>
        <v>Algorithms</v>
      </c>
      <c r="I840" s="23">
        <f>IFERROR(__xludf.DUMMYFUNCTION("""COMPUTED_VALUE"""),0.455)</f>
        <v>0.455</v>
      </c>
      <c r="J840" s="23">
        <f>IFERROR(__xludf.DUMMYFUNCTION("""COMPUTED_VALUE"""),839.0)</f>
        <v>839</v>
      </c>
      <c r="K840" s="23" t="b">
        <f>IFERROR(__xludf.DUMMYFUNCTION("""COMPUTED_VALUE"""),FALSE)</f>
        <v>0</v>
      </c>
      <c r="L840" s="23" t="str">
        <f>IFERROR(__xludf.DUMMYFUNCTION("""COMPUTED_VALUE"""),"Array;String;Depth-First Search;Breadth-First Search;Union Find;")</f>
        <v>Array;String;Depth-First Search;Breadth-First Search;Union Find;</v>
      </c>
      <c r="M840" s="23" t="b">
        <f>IFERROR(__xludf.DUMMYFUNCTION("""COMPUTED_VALUE"""),FALSE)</f>
        <v>0</v>
      </c>
      <c r="N840" s="23" t="b">
        <f>IFERROR(__xludf.DUMMYFUNCTION("""COMPUTED_VALUE"""),FALSE)</f>
        <v>0</v>
      </c>
      <c r="O840" s="23">
        <f>IFERROR(__xludf.DUMMYFUNCTION("""COMPUTED_VALUE"""),45.4740759384438)</f>
        <v>45.47407594</v>
      </c>
      <c r="P840" s="23">
        <f>IFERROR(__xludf.DUMMYFUNCTION("""COMPUTED_VALUE"""),50589.0)</f>
        <v>50589</v>
      </c>
      <c r="Q840" s="23">
        <f>IFERROR(__xludf.DUMMYFUNCTION("""COMPUTED_VALUE"""),111248.0)</f>
        <v>111248</v>
      </c>
    </row>
    <row r="841">
      <c r="A841" s="23">
        <f>IFERROR(__xludf.DUMMYFUNCTION("""COMPUTED_VALUE"""),870.0)</f>
        <v>870</v>
      </c>
      <c r="B841" s="23" t="str">
        <f>IFERROR(__xludf.DUMMYFUNCTION("""COMPUTED_VALUE"""),"Magic Squares In Grid")</f>
        <v>Magic Squares In Grid</v>
      </c>
      <c r="C841" s="23" t="str">
        <f>IFERROR(__xludf.DUMMYFUNCTION("""COMPUTED_VALUE"""),"magic-squares-in-grid")</f>
        <v>magic-squares-in-grid</v>
      </c>
      <c r="D841" s="23" t="b">
        <f>IFERROR(__xludf.DUMMYFUNCTION("""COMPUTED_VALUE"""),FALSE)</f>
        <v>0</v>
      </c>
      <c r="E841" s="23" t="str">
        <f>IFERROR(__xludf.DUMMYFUNCTION("""COMPUTED_VALUE"""),"Medium")</f>
        <v>Medium</v>
      </c>
      <c r="F841" s="23">
        <f>IFERROR(__xludf.DUMMYFUNCTION("""COMPUTED_VALUE"""),246.0)</f>
        <v>246</v>
      </c>
      <c r="G841" s="23">
        <f>IFERROR(__xludf.DUMMYFUNCTION("""COMPUTED_VALUE"""),1456.0)</f>
        <v>1456</v>
      </c>
      <c r="H841" s="23" t="str">
        <f>IFERROR(__xludf.DUMMYFUNCTION("""COMPUTED_VALUE"""),"Algorithms")</f>
        <v>Algorithms</v>
      </c>
      <c r="I841" s="23">
        <f>IFERROR(__xludf.DUMMYFUNCTION("""COMPUTED_VALUE"""),0.384)</f>
        <v>0.384</v>
      </c>
      <c r="J841" s="23">
        <f>IFERROR(__xludf.DUMMYFUNCTION("""COMPUTED_VALUE"""),840.0)</f>
        <v>840</v>
      </c>
      <c r="K841" s="23" t="b">
        <f>IFERROR(__xludf.DUMMYFUNCTION("""COMPUTED_VALUE"""),FALSE)</f>
        <v>0</v>
      </c>
      <c r="L841" s="23" t="str">
        <f>IFERROR(__xludf.DUMMYFUNCTION("""COMPUTED_VALUE"""),"Array;Math;Matrix;")</f>
        <v>Array;Math;Matrix;</v>
      </c>
      <c r="M841" s="23" t="b">
        <f>IFERROR(__xludf.DUMMYFUNCTION("""COMPUTED_VALUE"""),FALSE)</f>
        <v>0</v>
      </c>
      <c r="N841" s="23" t="b">
        <f>IFERROR(__xludf.DUMMYFUNCTION("""COMPUTED_VALUE"""),FALSE)</f>
        <v>0</v>
      </c>
      <c r="O841" s="23">
        <f>IFERROR(__xludf.DUMMYFUNCTION("""COMPUTED_VALUE"""),38.354183842946)</f>
        <v>38.35418384</v>
      </c>
      <c r="P841" s="23">
        <f>IFERROR(__xludf.DUMMYFUNCTION("""COMPUTED_VALUE"""),32099.0)</f>
        <v>32099</v>
      </c>
      <c r="Q841" s="23">
        <f>IFERROR(__xludf.DUMMYFUNCTION("""COMPUTED_VALUE"""),83691.0)</f>
        <v>83691</v>
      </c>
    </row>
    <row r="842">
      <c r="A842" s="23">
        <f>IFERROR(__xludf.DUMMYFUNCTION("""COMPUTED_VALUE"""),871.0)</f>
        <v>871</v>
      </c>
      <c r="B842" s="23" t="str">
        <f>IFERROR(__xludf.DUMMYFUNCTION("""COMPUTED_VALUE"""),"Keys and Rooms")</f>
        <v>Keys and Rooms</v>
      </c>
      <c r="C842" s="23" t="str">
        <f>IFERROR(__xludf.DUMMYFUNCTION("""COMPUTED_VALUE"""),"keys-and-rooms")</f>
        <v>keys-and-rooms</v>
      </c>
      <c r="D842" s="23" t="b">
        <f>IFERROR(__xludf.DUMMYFUNCTION("""COMPUTED_VALUE"""),FALSE)</f>
        <v>0</v>
      </c>
      <c r="E842" s="23" t="str">
        <f>IFERROR(__xludf.DUMMYFUNCTION("""COMPUTED_VALUE"""),"Medium")</f>
        <v>Medium</v>
      </c>
      <c r="F842" s="23">
        <f>IFERROR(__xludf.DUMMYFUNCTION("""COMPUTED_VALUE"""),2982.0)</f>
        <v>2982</v>
      </c>
      <c r="G842" s="23">
        <f>IFERROR(__xludf.DUMMYFUNCTION("""COMPUTED_VALUE"""),171.0)</f>
        <v>171</v>
      </c>
      <c r="H842" s="23" t="str">
        <f>IFERROR(__xludf.DUMMYFUNCTION("""COMPUTED_VALUE"""),"Algorithms")</f>
        <v>Algorithms</v>
      </c>
      <c r="I842" s="23">
        <f>IFERROR(__xludf.DUMMYFUNCTION("""COMPUTED_VALUE"""),0.689)</f>
        <v>0.689</v>
      </c>
      <c r="J842" s="23">
        <f>IFERROR(__xludf.DUMMYFUNCTION("""COMPUTED_VALUE"""),841.0)</f>
        <v>841</v>
      </c>
      <c r="K842" s="23" t="b">
        <f>IFERROR(__xludf.DUMMYFUNCTION("""COMPUTED_VALUE"""),FALSE)</f>
        <v>0</v>
      </c>
      <c r="L842" s="23" t="str">
        <f>IFERROR(__xludf.DUMMYFUNCTION("""COMPUTED_VALUE"""),"Depth-First Search;Breadth-First Search;Graph;")</f>
        <v>Depth-First Search;Breadth-First Search;Graph;</v>
      </c>
      <c r="M842" s="23" t="b">
        <f>IFERROR(__xludf.DUMMYFUNCTION("""COMPUTED_VALUE"""),TRUE)</f>
        <v>1</v>
      </c>
      <c r="N842" s="23" t="b">
        <f>IFERROR(__xludf.DUMMYFUNCTION("""COMPUTED_VALUE"""),FALSE)</f>
        <v>0</v>
      </c>
      <c r="O842" s="23">
        <f>IFERROR(__xludf.DUMMYFUNCTION("""COMPUTED_VALUE"""),68.9417728090446)</f>
        <v>68.94177281</v>
      </c>
      <c r="P842" s="23">
        <f>IFERROR(__xludf.DUMMYFUNCTION("""COMPUTED_VALUE"""),191229.0)</f>
        <v>191229</v>
      </c>
      <c r="Q842" s="23">
        <f>IFERROR(__xludf.DUMMYFUNCTION("""COMPUTED_VALUE"""),277378.0)</f>
        <v>277378</v>
      </c>
    </row>
    <row r="843">
      <c r="A843" s="23">
        <f>IFERROR(__xludf.DUMMYFUNCTION("""COMPUTED_VALUE"""),872.0)</f>
        <v>872</v>
      </c>
      <c r="B843" s="23" t="str">
        <f>IFERROR(__xludf.DUMMYFUNCTION("""COMPUTED_VALUE"""),"Split Array into Fibonacci Sequence")</f>
        <v>Split Array into Fibonacci Sequence</v>
      </c>
      <c r="C843" s="23" t="str">
        <f>IFERROR(__xludf.DUMMYFUNCTION("""COMPUTED_VALUE"""),"split-array-into-fibonacci-sequence")</f>
        <v>split-array-into-fibonacci-sequence</v>
      </c>
      <c r="D843" s="23" t="b">
        <f>IFERROR(__xludf.DUMMYFUNCTION("""COMPUTED_VALUE"""),FALSE)</f>
        <v>0</v>
      </c>
      <c r="E843" s="23" t="str">
        <f>IFERROR(__xludf.DUMMYFUNCTION("""COMPUTED_VALUE"""),"Medium")</f>
        <v>Medium</v>
      </c>
      <c r="F843" s="23">
        <f>IFERROR(__xludf.DUMMYFUNCTION("""COMPUTED_VALUE"""),829.0)</f>
        <v>829</v>
      </c>
      <c r="G843" s="23">
        <f>IFERROR(__xludf.DUMMYFUNCTION("""COMPUTED_VALUE"""),251.0)</f>
        <v>251</v>
      </c>
      <c r="H843" s="23" t="str">
        <f>IFERROR(__xludf.DUMMYFUNCTION("""COMPUTED_VALUE"""),"Algorithms")</f>
        <v>Algorithms</v>
      </c>
      <c r="I843" s="23">
        <f>IFERROR(__xludf.DUMMYFUNCTION("""COMPUTED_VALUE"""),0.378)</f>
        <v>0.378</v>
      </c>
      <c r="J843" s="23">
        <f>IFERROR(__xludf.DUMMYFUNCTION("""COMPUTED_VALUE"""),842.0)</f>
        <v>842</v>
      </c>
      <c r="K843" s="23" t="b">
        <f>IFERROR(__xludf.DUMMYFUNCTION("""COMPUTED_VALUE"""),FALSE)</f>
        <v>0</v>
      </c>
      <c r="L843" s="23" t="str">
        <f>IFERROR(__xludf.DUMMYFUNCTION("""COMPUTED_VALUE"""),"String;Backtracking;")</f>
        <v>String;Backtracking;</v>
      </c>
      <c r="M843" s="23" t="b">
        <f>IFERROR(__xludf.DUMMYFUNCTION("""COMPUTED_VALUE"""),TRUE)</f>
        <v>1</v>
      </c>
      <c r="N843" s="23" t="b">
        <f>IFERROR(__xludf.DUMMYFUNCTION("""COMPUTED_VALUE"""),FALSE)</f>
        <v>0</v>
      </c>
      <c r="O843" s="23">
        <f>IFERROR(__xludf.DUMMYFUNCTION("""COMPUTED_VALUE"""),37.7802009888353)</f>
        <v>37.78020099</v>
      </c>
      <c r="P843" s="23">
        <f>IFERROR(__xludf.DUMMYFUNCTION("""COMPUTED_VALUE"""),30489.0)</f>
        <v>30489</v>
      </c>
      <c r="Q843" s="23">
        <f>IFERROR(__xludf.DUMMYFUNCTION("""COMPUTED_VALUE"""),80701.0)</f>
        <v>80701</v>
      </c>
    </row>
    <row r="844">
      <c r="A844" s="23">
        <f>IFERROR(__xludf.DUMMYFUNCTION("""COMPUTED_VALUE"""),873.0)</f>
        <v>873</v>
      </c>
      <c r="B844" s="23" t="str">
        <f>IFERROR(__xludf.DUMMYFUNCTION("""COMPUTED_VALUE"""),"Guess the Word")</f>
        <v>Guess the Word</v>
      </c>
      <c r="C844" s="23" t="str">
        <f>IFERROR(__xludf.DUMMYFUNCTION("""COMPUTED_VALUE"""),"guess-the-word")</f>
        <v>guess-the-word</v>
      </c>
      <c r="D844" s="23" t="b">
        <f>IFERROR(__xludf.DUMMYFUNCTION("""COMPUTED_VALUE"""),FALSE)</f>
        <v>0</v>
      </c>
      <c r="E844" s="23" t="str">
        <f>IFERROR(__xludf.DUMMYFUNCTION("""COMPUTED_VALUE"""),"Hard")</f>
        <v>Hard</v>
      </c>
      <c r="F844" s="23">
        <f>IFERROR(__xludf.DUMMYFUNCTION("""COMPUTED_VALUE"""),1201.0)</f>
        <v>1201</v>
      </c>
      <c r="G844" s="23">
        <f>IFERROR(__xludf.DUMMYFUNCTION("""COMPUTED_VALUE"""),1351.0)</f>
        <v>1351</v>
      </c>
      <c r="H844" s="23" t="str">
        <f>IFERROR(__xludf.DUMMYFUNCTION("""COMPUTED_VALUE"""),"Algorithms")</f>
        <v>Algorithms</v>
      </c>
      <c r="I844" s="23">
        <f>IFERROR(__xludf.DUMMYFUNCTION("""COMPUTED_VALUE"""),0.43)</f>
        <v>0.43</v>
      </c>
      <c r="J844" s="23">
        <f>IFERROR(__xludf.DUMMYFUNCTION("""COMPUTED_VALUE"""),843.0)</f>
        <v>843</v>
      </c>
      <c r="K844" s="23" t="b">
        <f>IFERROR(__xludf.DUMMYFUNCTION("""COMPUTED_VALUE"""),FALSE)</f>
        <v>0</v>
      </c>
      <c r="L844" s="23" t="str">
        <f>IFERROR(__xludf.DUMMYFUNCTION("""COMPUTED_VALUE"""),"Array;Math;String;Interactive;Game Theory;")</f>
        <v>Array;Math;String;Interactive;Game Theory;</v>
      </c>
      <c r="M844" s="23" t="b">
        <f>IFERROR(__xludf.DUMMYFUNCTION("""COMPUTED_VALUE"""),FALSE)</f>
        <v>0</v>
      </c>
      <c r="N844" s="23" t="b">
        <f>IFERROR(__xludf.DUMMYFUNCTION("""COMPUTED_VALUE"""),FALSE)</f>
        <v>0</v>
      </c>
      <c r="O844" s="23">
        <f>IFERROR(__xludf.DUMMYFUNCTION("""COMPUTED_VALUE"""),42.9951708962005)</f>
        <v>42.9951709</v>
      </c>
      <c r="P844" s="23">
        <f>IFERROR(__xludf.DUMMYFUNCTION("""COMPUTED_VALUE"""),114497.0)</f>
        <v>114497</v>
      </c>
      <c r="Q844" s="23">
        <f>IFERROR(__xludf.DUMMYFUNCTION("""COMPUTED_VALUE"""),266302.0)</f>
        <v>266302</v>
      </c>
    </row>
    <row r="845">
      <c r="A845" s="23">
        <f>IFERROR(__xludf.DUMMYFUNCTION("""COMPUTED_VALUE"""),874.0)</f>
        <v>874</v>
      </c>
      <c r="B845" s="23" t="str">
        <f>IFERROR(__xludf.DUMMYFUNCTION("""COMPUTED_VALUE"""),"Backspace String Compare")</f>
        <v>Backspace String Compare</v>
      </c>
      <c r="C845" s="23" t="str">
        <f>IFERROR(__xludf.DUMMYFUNCTION("""COMPUTED_VALUE"""),"backspace-string-compare")</f>
        <v>backspace-string-compare</v>
      </c>
      <c r="D845" s="23" t="b">
        <f>IFERROR(__xludf.DUMMYFUNCTION("""COMPUTED_VALUE"""),FALSE)</f>
        <v>0</v>
      </c>
      <c r="E845" s="23" t="str">
        <f>IFERROR(__xludf.DUMMYFUNCTION("""COMPUTED_VALUE"""),"Easy")</f>
        <v>Easy</v>
      </c>
      <c r="F845" s="23">
        <f>IFERROR(__xludf.DUMMYFUNCTION("""COMPUTED_VALUE"""),3838.0)</f>
        <v>3838</v>
      </c>
      <c r="G845" s="23">
        <f>IFERROR(__xludf.DUMMYFUNCTION("""COMPUTED_VALUE"""),186.0)</f>
        <v>186</v>
      </c>
      <c r="H845" s="23" t="str">
        <f>IFERROR(__xludf.DUMMYFUNCTION("""COMPUTED_VALUE"""),"Algorithms")</f>
        <v>Algorithms</v>
      </c>
      <c r="I845" s="23">
        <f>IFERROR(__xludf.DUMMYFUNCTION("""COMPUTED_VALUE"""),0.473)</f>
        <v>0.473</v>
      </c>
      <c r="J845" s="23">
        <f>IFERROR(__xludf.DUMMYFUNCTION("""COMPUTED_VALUE"""),844.0)</f>
        <v>844</v>
      </c>
      <c r="K845" s="23" t="b">
        <f>IFERROR(__xludf.DUMMYFUNCTION("""COMPUTED_VALUE"""),FALSE)</f>
        <v>0</v>
      </c>
      <c r="L845" s="23" t="str">
        <f>IFERROR(__xludf.DUMMYFUNCTION("""COMPUTED_VALUE"""),"Two Pointers;String;Stack;Simulation;")</f>
        <v>Two Pointers;String;Stack;Simulation;</v>
      </c>
      <c r="M845" s="23" t="b">
        <f>IFERROR(__xludf.DUMMYFUNCTION("""COMPUTED_VALUE"""),TRUE)</f>
        <v>1</v>
      </c>
      <c r="N845" s="23" t="b">
        <f>IFERROR(__xludf.DUMMYFUNCTION("""COMPUTED_VALUE"""),FALSE)</f>
        <v>0</v>
      </c>
      <c r="O845" s="23">
        <f>IFERROR(__xludf.DUMMYFUNCTION("""COMPUTED_VALUE"""),47.2534334956447)</f>
        <v>47.2534335</v>
      </c>
      <c r="P845" s="23">
        <f>IFERROR(__xludf.DUMMYFUNCTION("""COMPUTED_VALUE"""),410876.0)</f>
        <v>410876</v>
      </c>
      <c r="Q845" s="23">
        <f>IFERROR(__xludf.DUMMYFUNCTION("""COMPUTED_VALUE"""),869514.0)</f>
        <v>869514</v>
      </c>
    </row>
    <row r="846">
      <c r="A846" s="23">
        <f>IFERROR(__xludf.DUMMYFUNCTION("""COMPUTED_VALUE"""),875.0)</f>
        <v>875</v>
      </c>
      <c r="B846" s="23" t="str">
        <f>IFERROR(__xludf.DUMMYFUNCTION("""COMPUTED_VALUE"""),"Longest Mountain in Array")</f>
        <v>Longest Mountain in Array</v>
      </c>
      <c r="C846" s="23" t="str">
        <f>IFERROR(__xludf.DUMMYFUNCTION("""COMPUTED_VALUE"""),"longest-mountain-in-array")</f>
        <v>longest-mountain-in-array</v>
      </c>
      <c r="D846" s="23" t="b">
        <f>IFERROR(__xludf.DUMMYFUNCTION("""COMPUTED_VALUE"""),FALSE)</f>
        <v>0</v>
      </c>
      <c r="E846" s="23" t="str">
        <f>IFERROR(__xludf.DUMMYFUNCTION("""COMPUTED_VALUE"""),"Medium")</f>
        <v>Medium</v>
      </c>
      <c r="F846" s="23">
        <f>IFERROR(__xludf.DUMMYFUNCTION("""COMPUTED_VALUE"""),1855.0)</f>
        <v>1855</v>
      </c>
      <c r="G846" s="23">
        <f>IFERROR(__xludf.DUMMYFUNCTION("""COMPUTED_VALUE"""),56.0)</f>
        <v>56</v>
      </c>
      <c r="H846" s="23" t="str">
        <f>IFERROR(__xludf.DUMMYFUNCTION("""COMPUTED_VALUE"""),"Algorithms")</f>
        <v>Algorithms</v>
      </c>
      <c r="I846" s="23">
        <f>IFERROR(__xludf.DUMMYFUNCTION("""COMPUTED_VALUE"""),0.398)</f>
        <v>0.398</v>
      </c>
      <c r="J846" s="23">
        <f>IFERROR(__xludf.DUMMYFUNCTION("""COMPUTED_VALUE"""),845.0)</f>
        <v>845</v>
      </c>
      <c r="K846" s="23" t="b">
        <f>IFERROR(__xludf.DUMMYFUNCTION("""COMPUTED_VALUE"""),FALSE)</f>
        <v>0</v>
      </c>
      <c r="L846" s="23" t="str">
        <f>IFERROR(__xludf.DUMMYFUNCTION("""COMPUTED_VALUE"""),"Array;Two Pointers;Dynamic Programming;Enumeration;")</f>
        <v>Array;Two Pointers;Dynamic Programming;Enumeration;</v>
      </c>
      <c r="M846" s="23" t="b">
        <f>IFERROR(__xludf.DUMMYFUNCTION("""COMPUTED_VALUE"""),TRUE)</f>
        <v>1</v>
      </c>
      <c r="N846" s="23" t="b">
        <f>IFERROR(__xludf.DUMMYFUNCTION("""COMPUTED_VALUE"""),FALSE)</f>
        <v>0</v>
      </c>
      <c r="O846" s="23">
        <f>IFERROR(__xludf.DUMMYFUNCTION("""COMPUTED_VALUE"""),39.8236460120354)</f>
        <v>39.82364601</v>
      </c>
      <c r="P846" s="23">
        <f>IFERROR(__xludf.DUMMYFUNCTION("""COMPUTED_VALUE"""),89604.0)</f>
        <v>89604</v>
      </c>
      <c r="Q846" s="23">
        <f>IFERROR(__xludf.DUMMYFUNCTION("""COMPUTED_VALUE"""),225002.0)</f>
        <v>225002</v>
      </c>
    </row>
    <row r="847">
      <c r="A847" s="23">
        <f>IFERROR(__xludf.DUMMYFUNCTION("""COMPUTED_VALUE"""),876.0)</f>
        <v>876</v>
      </c>
      <c r="B847" s="23" t="str">
        <f>IFERROR(__xludf.DUMMYFUNCTION("""COMPUTED_VALUE"""),"Hand of Straights")</f>
        <v>Hand of Straights</v>
      </c>
      <c r="C847" s="23" t="str">
        <f>IFERROR(__xludf.DUMMYFUNCTION("""COMPUTED_VALUE"""),"hand-of-straights")</f>
        <v>hand-of-straights</v>
      </c>
      <c r="D847" s="23" t="b">
        <f>IFERROR(__xludf.DUMMYFUNCTION("""COMPUTED_VALUE"""),FALSE)</f>
        <v>0</v>
      </c>
      <c r="E847" s="23" t="str">
        <f>IFERROR(__xludf.DUMMYFUNCTION("""COMPUTED_VALUE"""),"Medium")</f>
        <v>Medium</v>
      </c>
      <c r="F847" s="23">
        <f>IFERROR(__xludf.DUMMYFUNCTION("""COMPUTED_VALUE"""),1328.0)</f>
        <v>1328</v>
      </c>
      <c r="G847" s="23">
        <f>IFERROR(__xludf.DUMMYFUNCTION("""COMPUTED_VALUE"""),115.0)</f>
        <v>115</v>
      </c>
      <c r="H847" s="23" t="str">
        <f>IFERROR(__xludf.DUMMYFUNCTION("""COMPUTED_VALUE"""),"Algorithms")</f>
        <v>Algorithms</v>
      </c>
      <c r="I847" s="23">
        <f>IFERROR(__xludf.DUMMYFUNCTION("""COMPUTED_VALUE"""),0.562)</f>
        <v>0.562</v>
      </c>
      <c r="J847" s="23">
        <f>IFERROR(__xludf.DUMMYFUNCTION("""COMPUTED_VALUE"""),846.0)</f>
        <v>846</v>
      </c>
      <c r="K847" s="23" t="b">
        <f>IFERROR(__xludf.DUMMYFUNCTION("""COMPUTED_VALUE"""),FALSE)</f>
        <v>0</v>
      </c>
      <c r="L847" s="23" t="str">
        <f>IFERROR(__xludf.DUMMYFUNCTION("""COMPUTED_VALUE"""),"Array;Hash Table;Greedy;Sorting;")</f>
        <v>Array;Hash Table;Greedy;Sorting;</v>
      </c>
      <c r="M847" s="23" t="b">
        <f>IFERROR(__xludf.DUMMYFUNCTION("""COMPUTED_VALUE"""),FALSE)</f>
        <v>0</v>
      </c>
      <c r="N847" s="23" t="b">
        <f>IFERROR(__xludf.DUMMYFUNCTION("""COMPUTED_VALUE"""),FALSE)</f>
        <v>0</v>
      </c>
      <c r="O847" s="23">
        <f>IFERROR(__xludf.DUMMYFUNCTION("""COMPUTED_VALUE"""),56.2195699105979)</f>
        <v>56.21956991</v>
      </c>
      <c r="P847" s="23">
        <f>IFERROR(__xludf.DUMMYFUNCTION("""COMPUTED_VALUE"""),86717.0)</f>
        <v>86717</v>
      </c>
      <c r="Q847" s="23">
        <f>IFERROR(__xludf.DUMMYFUNCTION("""COMPUTED_VALUE"""),154247.0)</f>
        <v>154247</v>
      </c>
    </row>
    <row r="848">
      <c r="A848" s="23">
        <f>IFERROR(__xludf.DUMMYFUNCTION("""COMPUTED_VALUE"""),877.0)</f>
        <v>877</v>
      </c>
      <c r="B848" s="23" t="str">
        <f>IFERROR(__xludf.DUMMYFUNCTION("""COMPUTED_VALUE"""),"Shortest Path Visiting All Nodes")</f>
        <v>Shortest Path Visiting All Nodes</v>
      </c>
      <c r="C848" s="23" t="str">
        <f>IFERROR(__xludf.DUMMYFUNCTION("""COMPUTED_VALUE"""),"shortest-path-visiting-all-nodes")</f>
        <v>shortest-path-visiting-all-nodes</v>
      </c>
      <c r="D848" s="23" t="b">
        <f>IFERROR(__xludf.DUMMYFUNCTION("""COMPUTED_VALUE"""),FALSE)</f>
        <v>0</v>
      </c>
      <c r="E848" s="23" t="str">
        <f>IFERROR(__xludf.DUMMYFUNCTION("""COMPUTED_VALUE"""),"Hard")</f>
        <v>Hard</v>
      </c>
      <c r="F848" s="23">
        <f>IFERROR(__xludf.DUMMYFUNCTION("""COMPUTED_VALUE"""),2382.0)</f>
        <v>2382</v>
      </c>
      <c r="G848" s="23">
        <f>IFERROR(__xludf.DUMMYFUNCTION("""COMPUTED_VALUE"""),122.0)</f>
        <v>122</v>
      </c>
      <c r="H848" s="23" t="str">
        <f>IFERROR(__xludf.DUMMYFUNCTION("""COMPUTED_VALUE"""),"Algorithms")</f>
        <v>Algorithms</v>
      </c>
      <c r="I848" s="23">
        <f>IFERROR(__xludf.DUMMYFUNCTION("""COMPUTED_VALUE"""),0.612)</f>
        <v>0.612</v>
      </c>
      <c r="J848" s="23">
        <f>IFERROR(__xludf.DUMMYFUNCTION("""COMPUTED_VALUE"""),847.0)</f>
        <v>847</v>
      </c>
      <c r="K848" s="23" t="b">
        <f>IFERROR(__xludf.DUMMYFUNCTION("""COMPUTED_VALUE"""),FALSE)</f>
        <v>0</v>
      </c>
      <c r="L848" s="23" t="str">
        <f>IFERROR(__xludf.DUMMYFUNCTION("""COMPUTED_VALUE"""),"Dynamic Programming;Bit Manipulation;Breadth-First Search;Graph;Bitmask;")</f>
        <v>Dynamic Programming;Bit Manipulation;Breadth-First Search;Graph;Bitmask;</v>
      </c>
      <c r="M848" s="23" t="b">
        <f>IFERROR(__xludf.DUMMYFUNCTION("""COMPUTED_VALUE"""),TRUE)</f>
        <v>1</v>
      </c>
      <c r="N848" s="23" t="b">
        <f>IFERROR(__xludf.DUMMYFUNCTION("""COMPUTED_VALUE"""),FALSE)</f>
        <v>0</v>
      </c>
      <c r="O848" s="23">
        <f>IFERROR(__xludf.DUMMYFUNCTION("""COMPUTED_VALUE"""),61.2402420840277)</f>
        <v>61.24024208</v>
      </c>
      <c r="P848" s="23">
        <f>IFERROR(__xludf.DUMMYFUNCTION("""COMPUTED_VALUE"""),55856.0)</f>
        <v>55856</v>
      </c>
      <c r="Q848" s="23">
        <f>IFERROR(__xludf.DUMMYFUNCTION("""COMPUTED_VALUE"""),91208.0)</f>
        <v>91208</v>
      </c>
    </row>
    <row r="849">
      <c r="A849" s="23">
        <f>IFERROR(__xludf.DUMMYFUNCTION("""COMPUTED_VALUE"""),878.0)</f>
        <v>878</v>
      </c>
      <c r="B849" s="23" t="str">
        <f>IFERROR(__xludf.DUMMYFUNCTION("""COMPUTED_VALUE"""),"Shifting Letters")</f>
        <v>Shifting Letters</v>
      </c>
      <c r="C849" s="23" t="str">
        <f>IFERROR(__xludf.DUMMYFUNCTION("""COMPUTED_VALUE"""),"shifting-letters")</f>
        <v>shifting-letters</v>
      </c>
      <c r="D849" s="23" t="b">
        <f>IFERROR(__xludf.DUMMYFUNCTION("""COMPUTED_VALUE"""),FALSE)</f>
        <v>0</v>
      </c>
      <c r="E849" s="23" t="str">
        <f>IFERROR(__xludf.DUMMYFUNCTION("""COMPUTED_VALUE"""),"Medium")</f>
        <v>Medium</v>
      </c>
      <c r="F849" s="23">
        <f>IFERROR(__xludf.DUMMYFUNCTION("""COMPUTED_VALUE"""),854.0)</f>
        <v>854</v>
      </c>
      <c r="G849" s="23">
        <f>IFERROR(__xludf.DUMMYFUNCTION("""COMPUTED_VALUE"""),96.0)</f>
        <v>96</v>
      </c>
      <c r="H849" s="23" t="str">
        <f>IFERROR(__xludf.DUMMYFUNCTION("""COMPUTED_VALUE"""),"Algorithms")</f>
        <v>Algorithms</v>
      </c>
      <c r="I849" s="23">
        <f>IFERROR(__xludf.DUMMYFUNCTION("""COMPUTED_VALUE"""),0.454)</f>
        <v>0.454</v>
      </c>
      <c r="J849" s="23">
        <f>IFERROR(__xludf.DUMMYFUNCTION("""COMPUTED_VALUE"""),848.0)</f>
        <v>848</v>
      </c>
      <c r="K849" s="23" t="b">
        <f>IFERROR(__xludf.DUMMYFUNCTION("""COMPUTED_VALUE"""),FALSE)</f>
        <v>0</v>
      </c>
      <c r="L849" s="23" t="str">
        <f>IFERROR(__xludf.DUMMYFUNCTION("""COMPUTED_VALUE"""),"Array;String;")</f>
        <v>Array;String;</v>
      </c>
      <c r="M849" s="23" t="b">
        <f>IFERROR(__xludf.DUMMYFUNCTION("""COMPUTED_VALUE"""),TRUE)</f>
        <v>1</v>
      </c>
      <c r="N849" s="23" t="b">
        <f>IFERROR(__xludf.DUMMYFUNCTION("""COMPUTED_VALUE"""),FALSE)</f>
        <v>0</v>
      </c>
      <c r="O849" s="23">
        <f>IFERROR(__xludf.DUMMYFUNCTION("""COMPUTED_VALUE"""),45.4317065762162)</f>
        <v>45.43170658</v>
      </c>
      <c r="P849" s="23">
        <f>IFERROR(__xludf.DUMMYFUNCTION("""COMPUTED_VALUE"""),71792.0)</f>
        <v>71792</v>
      </c>
      <c r="Q849" s="23">
        <f>IFERROR(__xludf.DUMMYFUNCTION("""COMPUTED_VALUE"""),158023.0)</f>
        <v>158023</v>
      </c>
    </row>
    <row r="850">
      <c r="A850" s="23">
        <f>IFERROR(__xludf.DUMMYFUNCTION("""COMPUTED_VALUE"""),879.0)</f>
        <v>879</v>
      </c>
      <c r="B850" s="23" t="str">
        <f>IFERROR(__xludf.DUMMYFUNCTION("""COMPUTED_VALUE"""),"Maximize Distance to Closest Person")</f>
        <v>Maximize Distance to Closest Person</v>
      </c>
      <c r="C850" s="23" t="str">
        <f>IFERROR(__xludf.DUMMYFUNCTION("""COMPUTED_VALUE"""),"maximize-distance-to-closest-person")</f>
        <v>maximize-distance-to-closest-person</v>
      </c>
      <c r="D850" s="23" t="b">
        <f>IFERROR(__xludf.DUMMYFUNCTION("""COMPUTED_VALUE"""),FALSE)</f>
        <v>0</v>
      </c>
      <c r="E850" s="23" t="str">
        <f>IFERROR(__xludf.DUMMYFUNCTION("""COMPUTED_VALUE"""),"Medium")</f>
        <v>Medium</v>
      </c>
      <c r="F850" s="23">
        <f>IFERROR(__xludf.DUMMYFUNCTION("""COMPUTED_VALUE"""),2569.0)</f>
        <v>2569</v>
      </c>
      <c r="G850" s="23">
        <f>IFERROR(__xludf.DUMMYFUNCTION("""COMPUTED_VALUE"""),163.0)</f>
        <v>163</v>
      </c>
      <c r="H850" s="23" t="str">
        <f>IFERROR(__xludf.DUMMYFUNCTION("""COMPUTED_VALUE"""),"Algorithms")</f>
        <v>Algorithms</v>
      </c>
      <c r="I850" s="23">
        <f>IFERROR(__xludf.DUMMYFUNCTION("""COMPUTED_VALUE"""),0.474)</f>
        <v>0.474</v>
      </c>
      <c r="J850" s="23">
        <f>IFERROR(__xludf.DUMMYFUNCTION("""COMPUTED_VALUE"""),849.0)</f>
        <v>849</v>
      </c>
      <c r="K850" s="23" t="b">
        <f>IFERROR(__xludf.DUMMYFUNCTION("""COMPUTED_VALUE"""),FALSE)</f>
        <v>0</v>
      </c>
      <c r="L850" s="23" t="str">
        <f>IFERROR(__xludf.DUMMYFUNCTION("""COMPUTED_VALUE"""),"Array;")</f>
        <v>Array;</v>
      </c>
      <c r="M850" s="23" t="b">
        <f>IFERROR(__xludf.DUMMYFUNCTION("""COMPUTED_VALUE"""),TRUE)</f>
        <v>1</v>
      </c>
      <c r="N850" s="23" t="b">
        <f>IFERROR(__xludf.DUMMYFUNCTION("""COMPUTED_VALUE"""),FALSE)</f>
        <v>0</v>
      </c>
      <c r="O850" s="23">
        <f>IFERROR(__xludf.DUMMYFUNCTION("""COMPUTED_VALUE"""),47.4006133089702)</f>
        <v>47.40061331</v>
      </c>
      <c r="P850" s="23">
        <f>IFERROR(__xludf.DUMMYFUNCTION("""COMPUTED_VALUE"""),171731.0)</f>
        <v>171731</v>
      </c>
      <c r="Q850" s="23">
        <f>IFERROR(__xludf.DUMMYFUNCTION("""COMPUTED_VALUE"""),362296.0)</f>
        <v>362296</v>
      </c>
    </row>
    <row r="851">
      <c r="A851" s="23">
        <f>IFERROR(__xludf.DUMMYFUNCTION("""COMPUTED_VALUE"""),880.0)</f>
        <v>880</v>
      </c>
      <c r="B851" s="23" t="str">
        <f>IFERROR(__xludf.DUMMYFUNCTION("""COMPUTED_VALUE"""),"Rectangle Area II")</f>
        <v>Rectangle Area II</v>
      </c>
      <c r="C851" s="23" t="str">
        <f>IFERROR(__xludf.DUMMYFUNCTION("""COMPUTED_VALUE"""),"rectangle-area-ii")</f>
        <v>rectangle-area-ii</v>
      </c>
      <c r="D851" s="23" t="b">
        <f>IFERROR(__xludf.DUMMYFUNCTION("""COMPUTED_VALUE"""),FALSE)</f>
        <v>0</v>
      </c>
      <c r="E851" s="23" t="str">
        <f>IFERROR(__xludf.DUMMYFUNCTION("""COMPUTED_VALUE"""),"Hard")</f>
        <v>Hard</v>
      </c>
      <c r="F851" s="23">
        <f>IFERROR(__xludf.DUMMYFUNCTION("""COMPUTED_VALUE"""),775.0)</f>
        <v>775</v>
      </c>
      <c r="G851" s="23">
        <f>IFERROR(__xludf.DUMMYFUNCTION("""COMPUTED_VALUE"""),52.0)</f>
        <v>52</v>
      </c>
      <c r="H851" s="23" t="str">
        <f>IFERROR(__xludf.DUMMYFUNCTION("""COMPUTED_VALUE"""),"Algorithms")</f>
        <v>Algorithms</v>
      </c>
      <c r="I851" s="23">
        <f>IFERROR(__xludf.DUMMYFUNCTION("""COMPUTED_VALUE"""),0.533)</f>
        <v>0.533</v>
      </c>
      <c r="J851" s="23">
        <f>IFERROR(__xludf.DUMMYFUNCTION("""COMPUTED_VALUE"""),850.0)</f>
        <v>850</v>
      </c>
      <c r="K851" s="23" t="b">
        <f>IFERROR(__xludf.DUMMYFUNCTION("""COMPUTED_VALUE"""),FALSE)</f>
        <v>0</v>
      </c>
      <c r="L851" s="23" t="str">
        <f>IFERROR(__xludf.DUMMYFUNCTION("""COMPUTED_VALUE"""),"Array;Segment Tree;Line Sweep;Ordered Set;")</f>
        <v>Array;Segment Tree;Line Sweep;Ordered Set;</v>
      </c>
      <c r="M851" s="23" t="b">
        <f>IFERROR(__xludf.DUMMYFUNCTION("""COMPUTED_VALUE"""),TRUE)</f>
        <v>1</v>
      </c>
      <c r="N851" s="23" t="b">
        <f>IFERROR(__xludf.DUMMYFUNCTION("""COMPUTED_VALUE"""),FALSE)</f>
        <v>0</v>
      </c>
      <c r="O851" s="23">
        <f>IFERROR(__xludf.DUMMYFUNCTION("""COMPUTED_VALUE"""),53.2708238507055)</f>
        <v>53.27082385</v>
      </c>
      <c r="P851" s="23">
        <f>IFERROR(__xludf.DUMMYFUNCTION("""COMPUTED_VALUE"""),29259.0)</f>
        <v>29259</v>
      </c>
      <c r="Q851" s="23">
        <f>IFERROR(__xludf.DUMMYFUNCTION("""COMPUTED_VALUE"""),54925.0)</f>
        <v>54925</v>
      </c>
    </row>
    <row r="852">
      <c r="A852" s="23">
        <f>IFERROR(__xludf.DUMMYFUNCTION("""COMPUTED_VALUE"""),881.0)</f>
        <v>881</v>
      </c>
      <c r="B852" s="23" t="str">
        <f>IFERROR(__xludf.DUMMYFUNCTION("""COMPUTED_VALUE"""),"Loud and Rich")</f>
        <v>Loud and Rich</v>
      </c>
      <c r="C852" s="23" t="str">
        <f>IFERROR(__xludf.DUMMYFUNCTION("""COMPUTED_VALUE"""),"loud-and-rich")</f>
        <v>loud-and-rich</v>
      </c>
      <c r="D852" s="23" t="b">
        <f>IFERROR(__xludf.DUMMYFUNCTION("""COMPUTED_VALUE"""),FALSE)</f>
        <v>0</v>
      </c>
      <c r="E852" s="23" t="str">
        <f>IFERROR(__xludf.DUMMYFUNCTION("""COMPUTED_VALUE"""),"Medium")</f>
        <v>Medium</v>
      </c>
      <c r="F852" s="23">
        <f>IFERROR(__xludf.DUMMYFUNCTION("""COMPUTED_VALUE"""),625.0)</f>
        <v>625</v>
      </c>
      <c r="G852" s="23">
        <f>IFERROR(__xludf.DUMMYFUNCTION("""COMPUTED_VALUE"""),548.0)</f>
        <v>548</v>
      </c>
      <c r="H852" s="23" t="str">
        <f>IFERROR(__xludf.DUMMYFUNCTION("""COMPUTED_VALUE"""),"Algorithms")</f>
        <v>Algorithms</v>
      </c>
      <c r="I852" s="23">
        <f>IFERROR(__xludf.DUMMYFUNCTION("""COMPUTED_VALUE"""),0.567)</f>
        <v>0.567</v>
      </c>
      <c r="J852" s="23">
        <f>IFERROR(__xludf.DUMMYFUNCTION("""COMPUTED_VALUE"""),851.0)</f>
        <v>851</v>
      </c>
      <c r="K852" s="23" t="b">
        <f>IFERROR(__xludf.DUMMYFUNCTION("""COMPUTED_VALUE"""),FALSE)</f>
        <v>0</v>
      </c>
      <c r="L852" s="23" t="str">
        <f>IFERROR(__xludf.DUMMYFUNCTION("""COMPUTED_VALUE"""),"Array;Depth-First Search;Graph;Topological Sort;")</f>
        <v>Array;Depth-First Search;Graph;Topological Sort;</v>
      </c>
      <c r="M852" s="23" t="b">
        <f>IFERROR(__xludf.DUMMYFUNCTION("""COMPUTED_VALUE"""),TRUE)</f>
        <v>1</v>
      </c>
      <c r="N852" s="23" t="b">
        <f>IFERROR(__xludf.DUMMYFUNCTION("""COMPUTED_VALUE"""),FALSE)</f>
        <v>0</v>
      </c>
      <c r="O852" s="23">
        <f>IFERROR(__xludf.DUMMYFUNCTION("""COMPUTED_VALUE"""),56.6525972468703)</f>
        <v>56.65259725</v>
      </c>
      <c r="P852" s="23">
        <f>IFERROR(__xludf.DUMMYFUNCTION("""COMPUTED_VALUE"""),23623.0)</f>
        <v>23623</v>
      </c>
      <c r="Q852" s="23">
        <f>IFERROR(__xludf.DUMMYFUNCTION("""COMPUTED_VALUE"""),41698.0)</f>
        <v>41698</v>
      </c>
    </row>
    <row r="853">
      <c r="A853" s="23">
        <f>IFERROR(__xludf.DUMMYFUNCTION("""COMPUTED_VALUE"""),882.0)</f>
        <v>882</v>
      </c>
      <c r="B853" s="23" t="str">
        <f>IFERROR(__xludf.DUMMYFUNCTION("""COMPUTED_VALUE"""),"Peak Index in a Mountain Array")</f>
        <v>Peak Index in a Mountain Array</v>
      </c>
      <c r="C853" s="23" t="str">
        <f>IFERROR(__xludf.DUMMYFUNCTION("""COMPUTED_VALUE"""),"peak-index-in-a-mountain-array")</f>
        <v>peak-index-in-a-mountain-array</v>
      </c>
      <c r="D853" s="23" t="b">
        <f>IFERROR(__xludf.DUMMYFUNCTION("""COMPUTED_VALUE"""),FALSE)</f>
        <v>0</v>
      </c>
      <c r="E853" s="23" t="str">
        <f>IFERROR(__xludf.DUMMYFUNCTION("""COMPUTED_VALUE"""),"Easy")</f>
        <v>Easy</v>
      </c>
      <c r="F853" s="23">
        <f>IFERROR(__xludf.DUMMYFUNCTION("""COMPUTED_VALUE"""),2574.0)</f>
        <v>2574</v>
      </c>
      <c r="G853" s="23">
        <f>IFERROR(__xludf.DUMMYFUNCTION("""COMPUTED_VALUE"""),1628.0)</f>
        <v>1628</v>
      </c>
      <c r="H853" s="23" t="str">
        <f>IFERROR(__xludf.DUMMYFUNCTION("""COMPUTED_VALUE"""),"Algorithms")</f>
        <v>Algorithms</v>
      </c>
      <c r="I853" s="23">
        <f>IFERROR(__xludf.DUMMYFUNCTION("""COMPUTED_VALUE"""),0.705)</f>
        <v>0.705</v>
      </c>
      <c r="J853" s="23">
        <f>IFERROR(__xludf.DUMMYFUNCTION("""COMPUTED_VALUE"""),852.0)</f>
        <v>852</v>
      </c>
      <c r="K853" s="23" t="b">
        <f>IFERROR(__xludf.DUMMYFUNCTION("""COMPUTED_VALUE"""),FALSE)</f>
        <v>0</v>
      </c>
      <c r="L853" s="23" t="str">
        <f>IFERROR(__xludf.DUMMYFUNCTION("""COMPUTED_VALUE"""),"Array;Binary Search;")</f>
        <v>Array;Binary Search;</v>
      </c>
      <c r="M853" s="23" t="b">
        <f>IFERROR(__xludf.DUMMYFUNCTION("""COMPUTED_VALUE"""),TRUE)</f>
        <v>1</v>
      </c>
      <c r="N853" s="23" t="b">
        <f>IFERROR(__xludf.DUMMYFUNCTION("""COMPUTED_VALUE"""),FALSE)</f>
        <v>0</v>
      </c>
      <c r="O853" s="23">
        <f>IFERROR(__xludf.DUMMYFUNCTION("""COMPUTED_VALUE"""),70.4769607031151)</f>
        <v>70.4769607</v>
      </c>
      <c r="P853" s="23">
        <f>IFERROR(__xludf.DUMMYFUNCTION("""COMPUTED_VALUE"""),361644.0)</f>
        <v>361644</v>
      </c>
      <c r="Q853" s="23">
        <f>IFERROR(__xludf.DUMMYFUNCTION("""COMPUTED_VALUE"""),513138.0)</f>
        <v>513138</v>
      </c>
    </row>
    <row r="854">
      <c r="A854" s="23">
        <f>IFERROR(__xludf.DUMMYFUNCTION("""COMPUTED_VALUE"""),883.0)</f>
        <v>883</v>
      </c>
      <c r="B854" s="23" t="str">
        <f>IFERROR(__xludf.DUMMYFUNCTION("""COMPUTED_VALUE"""),"Car Fleet")</f>
        <v>Car Fleet</v>
      </c>
      <c r="C854" s="23" t="str">
        <f>IFERROR(__xludf.DUMMYFUNCTION("""COMPUTED_VALUE"""),"car-fleet")</f>
        <v>car-fleet</v>
      </c>
      <c r="D854" s="23" t="b">
        <f>IFERROR(__xludf.DUMMYFUNCTION("""COMPUTED_VALUE"""),FALSE)</f>
        <v>0</v>
      </c>
      <c r="E854" s="23" t="str">
        <f>IFERROR(__xludf.DUMMYFUNCTION("""COMPUTED_VALUE"""),"Medium")</f>
        <v>Medium</v>
      </c>
      <c r="F854" s="23">
        <f>IFERROR(__xludf.DUMMYFUNCTION("""COMPUTED_VALUE"""),1354.0)</f>
        <v>1354</v>
      </c>
      <c r="G854" s="23">
        <f>IFERROR(__xludf.DUMMYFUNCTION("""COMPUTED_VALUE"""),402.0)</f>
        <v>402</v>
      </c>
      <c r="H854" s="23" t="str">
        <f>IFERROR(__xludf.DUMMYFUNCTION("""COMPUTED_VALUE"""),"Algorithms")</f>
        <v>Algorithms</v>
      </c>
      <c r="I854" s="23">
        <f>IFERROR(__xludf.DUMMYFUNCTION("""COMPUTED_VALUE"""),0.481)</f>
        <v>0.481</v>
      </c>
      <c r="J854" s="23">
        <f>IFERROR(__xludf.DUMMYFUNCTION("""COMPUTED_VALUE"""),853.0)</f>
        <v>853</v>
      </c>
      <c r="K854" s="23" t="b">
        <f>IFERROR(__xludf.DUMMYFUNCTION("""COMPUTED_VALUE"""),FALSE)</f>
        <v>0</v>
      </c>
      <c r="L854" s="23" t="str">
        <f>IFERROR(__xludf.DUMMYFUNCTION("""COMPUTED_VALUE"""),"Array;Stack;Sorting;Monotonic Stack;")</f>
        <v>Array;Stack;Sorting;Monotonic Stack;</v>
      </c>
      <c r="M854" s="23" t="b">
        <f>IFERROR(__xludf.DUMMYFUNCTION("""COMPUTED_VALUE"""),FALSE)</f>
        <v>0</v>
      </c>
      <c r="N854" s="23" t="b">
        <f>IFERROR(__xludf.DUMMYFUNCTION("""COMPUTED_VALUE"""),FALSE)</f>
        <v>0</v>
      </c>
      <c r="O854" s="23">
        <f>IFERROR(__xludf.DUMMYFUNCTION("""COMPUTED_VALUE"""),48.1021973910963)</f>
        <v>48.10219739</v>
      </c>
      <c r="P854" s="23">
        <f>IFERROR(__xludf.DUMMYFUNCTION("""COMPUTED_VALUE"""),78432.0)</f>
        <v>78432</v>
      </c>
      <c r="Q854" s="23">
        <f>IFERROR(__xludf.DUMMYFUNCTION("""COMPUTED_VALUE"""),163054.0)</f>
        <v>163054</v>
      </c>
    </row>
    <row r="855">
      <c r="A855" s="23">
        <f>IFERROR(__xludf.DUMMYFUNCTION("""COMPUTED_VALUE"""),884.0)</f>
        <v>884</v>
      </c>
      <c r="B855" s="23" t="str">
        <f>IFERROR(__xludf.DUMMYFUNCTION("""COMPUTED_VALUE"""),"K-Similar Strings")</f>
        <v>K-Similar Strings</v>
      </c>
      <c r="C855" s="23" t="str">
        <f>IFERROR(__xludf.DUMMYFUNCTION("""COMPUTED_VALUE"""),"k-similar-strings")</f>
        <v>k-similar-strings</v>
      </c>
      <c r="D855" s="23" t="b">
        <f>IFERROR(__xludf.DUMMYFUNCTION("""COMPUTED_VALUE"""),FALSE)</f>
        <v>0</v>
      </c>
      <c r="E855" s="23" t="str">
        <f>IFERROR(__xludf.DUMMYFUNCTION("""COMPUTED_VALUE"""),"Hard")</f>
        <v>Hard</v>
      </c>
      <c r="F855" s="23">
        <f>IFERROR(__xludf.DUMMYFUNCTION("""COMPUTED_VALUE"""),808.0)</f>
        <v>808</v>
      </c>
      <c r="G855" s="23">
        <f>IFERROR(__xludf.DUMMYFUNCTION("""COMPUTED_VALUE"""),48.0)</f>
        <v>48</v>
      </c>
      <c r="H855" s="23" t="str">
        <f>IFERROR(__xludf.DUMMYFUNCTION("""COMPUTED_VALUE"""),"Algorithms")</f>
        <v>Algorithms</v>
      </c>
      <c r="I855" s="23">
        <f>IFERROR(__xludf.DUMMYFUNCTION("""COMPUTED_VALUE"""),0.392)</f>
        <v>0.392</v>
      </c>
      <c r="J855" s="23">
        <f>IFERROR(__xludf.DUMMYFUNCTION("""COMPUTED_VALUE"""),854.0)</f>
        <v>854</v>
      </c>
      <c r="K855" s="23" t="b">
        <f>IFERROR(__xludf.DUMMYFUNCTION("""COMPUTED_VALUE"""),FALSE)</f>
        <v>0</v>
      </c>
      <c r="L855" s="23" t="str">
        <f>IFERROR(__xludf.DUMMYFUNCTION("""COMPUTED_VALUE"""),"String;Breadth-First Search;")</f>
        <v>String;Breadth-First Search;</v>
      </c>
      <c r="M855" s="23" t="b">
        <f>IFERROR(__xludf.DUMMYFUNCTION("""COMPUTED_VALUE"""),FALSE)</f>
        <v>0</v>
      </c>
      <c r="N855" s="23" t="b">
        <f>IFERROR(__xludf.DUMMYFUNCTION("""COMPUTED_VALUE"""),FALSE)</f>
        <v>0</v>
      </c>
      <c r="O855" s="23">
        <f>IFERROR(__xludf.DUMMYFUNCTION("""COMPUTED_VALUE"""),39.24721403713)</f>
        <v>39.24721404</v>
      </c>
      <c r="P855" s="23">
        <f>IFERROR(__xludf.DUMMYFUNCTION("""COMPUTED_VALUE"""),32366.0)</f>
        <v>32366</v>
      </c>
      <c r="Q855" s="23">
        <f>IFERROR(__xludf.DUMMYFUNCTION("""COMPUTED_VALUE"""),82467.0)</f>
        <v>82467</v>
      </c>
    </row>
    <row r="856">
      <c r="A856" s="23">
        <f>IFERROR(__xludf.DUMMYFUNCTION("""COMPUTED_VALUE"""),885.0)</f>
        <v>885</v>
      </c>
      <c r="B856" s="23" t="str">
        <f>IFERROR(__xludf.DUMMYFUNCTION("""COMPUTED_VALUE"""),"Exam Room")</f>
        <v>Exam Room</v>
      </c>
      <c r="C856" s="23" t="str">
        <f>IFERROR(__xludf.DUMMYFUNCTION("""COMPUTED_VALUE"""),"exam-room")</f>
        <v>exam-room</v>
      </c>
      <c r="D856" s="23" t="b">
        <f>IFERROR(__xludf.DUMMYFUNCTION("""COMPUTED_VALUE"""),FALSE)</f>
        <v>0</v>
      </c>
      <c r="E856" s="23" t="str">
        <f>IFERROR(__xludf.DUMMYFUNCTION("""COMPUTED_VALUE"""),"Medium")</f>
        <v>Medium</v>
      </c>
      <c r="F856" s="23">
        <f>IFERROR(__xludf.DUMMYFUNCTION("""COMPUTED_VALUE"""),968.0)</f>
        <v>968</v>
      </c>
      <c r="G856" s="23">
        <f>IFERROR(__xludf.DUMMYFUNCTION("""COMPUTED_VALUE"""),378.0)</f>
        <v>378</v>
      </c>
      <c r="H856" s="23" t="str">
        <f>IFERROR(__xludf.DUMMYFUNCTION("""COMPUTED_VALUE"""),"Algorithms")</f>
        <v>Algorithms</v>
      </c>
      <c r="I856" s="23">
        <f>IFERROR(__xludf.DUMMYFUNCTION("""COMPUTED_VALUE"""),0.436)</f>
        <v>0.436</v>
      </c>
      <c r="J856" s="23">
        <f>IFERROR(__xludf.DUMMYFUNCTION("""COMPUTED_VALUE"""),855.0)</f>
        <v>855</v>
      </c>
      <c r="K856" s="23" t="b">
        <f>IFERROR(__xludf.DUMMYFUNCTION("""COMPUTED_VALUE"""),FALSE)</f>
        <v>0</v>
      </c>
      <c r="L856" s="23" t="str">
        <f>IFERROR(__xludf.DUMMYFUNCTION("""COMPUTED_VALUE"""),"Design;Ordered Set;")</f>
        <v>Design;Ordered Set;</v>
      </c>
      <c r="M856" s="23" t="b">
        <f>IFERROR(__xludf.DUMMYFUNCTION("""COMPUTED_VALUE"""),FALSE)</f>
        <v>0</v>
      </c>
      <c r="N856" s="23" t="b">
        <f>IFERROR(__xludf.DUMMYFUNCTION("""COMPUTED_VALUE"""),FALSE)</f>
        <v>0</v>
      </c>
      <c r="O856" s="23">
        <f>IFERROR(__xludf.DUMMYFUNCTION("""COMPUTED_VALUE"""),43.614111408807)</f>
        <v>43.61411141</v>
      </c>
      <c r="P856" s="23">
        <f>IFERROR(__xludf.DUMMYFUNCTION("""COMPUTED_VALUE"""),46719.0)</f>
        <v>46719</v>
      </c>
      <c r="Q856" s="23">
        <f>IFERROR(__xludf.DUMMYFUNCTION("""COMPUTED_VALUE"""),107119.0)</f>
        <v>107119</v>
      </c>
    </row>
    <row r="857">
      <c r="A857" s="23">
        <f>IFERROR(__xludf.DUMMYFUNCTION("""COMPUTED_VALUE"""),886.0)</f>
        <v>886</v>
      </c>
      <c r="B857" s="23" t="str">
        <f>IFERROR(__xludf.DUMMYFUNCTION("""COMPUTED_VALUE"""),"Score of Parentheses")</f>
        <v>Score of Parentheses</v>
      </c>
      <c r="C857" s="23" t="str">
        <f>IFERROR(__xludf.DUMMYFUNCTION("""COMPUTED_VALUE"""),"score-of-parentheses")</f>
        <v>score-of-parentheses</v>
      </c>
      <c r="D857" s="23" t="b">
        <f>IFERROR(__xludf.DUMMYFUNCTION("""COMPUTED_VALUE"""),FALSE)</f>
        <v>0</v>
      </c>
      <c r="E857" s="23" t="str">
        <f>IFERROR(__xludf.DUMMYFUNCTION("""COMPUTED_VALUE"""),"Medium")</f>
        <v>Medium</v>
      </c>
      <c r="F857" s="23">
        <f>IFERROR(__xludf.DUMMYFUNCTION("""COMPUTED_VALUE"""),4346.0)</f>
        <v>4346</v>
      </c>
      <c r="G857" s="23">
        <f>IFERROR(__xludf.DUMMYFUNCTION("""COMPUTED_VALUE"""),140.0)</f>
        <v>140</v>
      </c>
      <c r="H857" s="23" t="str">
        <f>IFERROR(__xludf.DUMMYFUNCTION("""COMPUTED_VALUE"""),"Algorithms")</f>
        <v>Algorithms</v>
      </c>
      <c r="I857" s="23">
        <f>IFERROR(__xludf.DUMMYFUNCTION("""COMPUTED_VALUE"""),0.654)</f>
        <v>0.654</v>
      </c>
      <c r="J857" s="23">
        <f>IFERROR(__xludf.DUMMYFUNCTION("""COMPUTED_VALUE"""),856.0)</f>
        <v>856</v>
      </c>
      <c r="K857" s="23" t="b">
        <f>IFERROR(__xludf.DUMMYFUNCTION("""COMPUTED_VALUE"""),FALSE)</f>
        <v>0</v>
      </c>
      <c r="L857" s="23" t="str">
        <f>IFERROR(__xludf.DUMMYFUNCTION("""COMPUTED_VALUE"""),"String;Stack;")</f>
        <v>String;Stack;</v>
      </c>
      <c r="M857" s="23" t="b">
        <f>IFERROR(__xludf.DUMMYFUNCTION("""COMPUTED_VALUE"""),TRUE)</f>
        <v>1</v>
      </c>
      <c r="N857" s="23" t="b">
        <f>IFERROR(__xludf.DUMMYFUNCTION("""COMPUTED_VALUE"""),FALSE)</f>
        <v>0</v>
      </c>
      <c r="O857" s="23">
        <f>IFERROR(__xludf.DUMMYFUNCTION("""COMPUTED_VALUE"""),65.4073142879077)</f>
        <v>65.40731429</v>
      </c>
      <c r="P857" s="23">
        <f>IFERROR(__xludf.DUMMYFUNCTION("""COMPUTED_VALUE"""),136318.0)</f>
        <v>136318</v>
      </c>
      <c r="Q857" s="23">
        <f>IFERROR(__xludf.DUMMYFUNCTION("""COMPUTED_VALUE"""),208414.0)</f>
        <v>208414</v>
      </c>
    </row>
    <row r="858">
      <c r="A858" s="23">
        <f>IFERROR(__xludf.DUMMYFUNCTION("""COMPUTED_VALUE"""),887.0)</f>
        <v>887</v>
      </c>
      <c r="B858" s="23" t="str">
        <f>IFERROR(__xludf.DUMMYFUNCTION("""COMPUTED_VALUE"""),"Minimum Cost to Hire K Workers")</f>
        <v>Minimum Cost to Hire K Workers</v>
      </c>
      <c r="C858" s="23" t="str">
        <f>IFERROR(__xludf.DUMMYFUNCTION("""COMPUTED_VALUE"""),"minimum-cost-to-hire-k-workers")</f>
        <v>minimum-cost-to-hire-k-workers</v>
      </c>
      <c r="D858" s="23" t="b">
        <f>IFERROR(__xludf.DUMMYFUNCTION("""COMPUTED_VALUE"""),FALSE)</f>
        <v>0</v>
      </c>
      <c r="E858" s="23" t="str">
        <f>IFERROR(__xludf.DUMMYFUNCTION("""COMPUTED_VALUE"""),"Hard")</f>
        <v>Hard</v>
      </c>
      <c r="F858" s="23">
        <f>IFERROR(__xludf.DUMMYFUNCTION("""COMPUTED_VALUE"""),1608.0)</f>
        <v>1608</v>
      </c>
      <c r="G858" s="23">
        <f>IFERROR(__xludf.DUMMYFUNCTION("""COMPUTED_VALUE"""),192.0)</f>
        <v>192</v>
      </c>
      <c r="H858" s="23" t="str">
        <f>IFERROR(__xludf.DUMMYFUNCTION("""COMPUTED_VALUE"""),"Algorithms")</f>
        <v>Algorithms</v>
      </c>
      <c r="I858" s="23">
        <f>IFERROR(__xludf.DUMMYFUNCTION("""COMPUTED_VALUE"""),0.517)</f>
        <v>0.517</v>
      </c>
      <c r="J858" s="23">
        <f>IFERROR(__xludf.DUMMYFUNCTION("""COMPUTED_VALUE"""),857.0)</f>
        <v>857</v>
      </c>
      <c r="K858" s="23" t="b">
        <f>IFERROR(__xludf.DUMMYFUNCTION("""COMPUTED_VALUE"""),FALSE)</f>
        <v>0</v>
      </c>
      <c r="L858" s="23" t="str">
        <f>IFERROR(__xludf.DUMMYFUNCTION("""COMPUTED_VALUE"""),"Array;Greedy;Sorting;Heap (Priority Queue);")</f>
        <v>Array;Greedy;Sorting;Heap (Priority Queue);</v>
      </c>
      <c r="M858" s="23" t="b">
        <f>IFERROR(__xludf.DUMMYFUNCTION("""COMPUTED_VALUE"""),TRUE)</f>
        <v>1</v>
      </c>
      <c r="N858" s="23" t="b">
        <f>IFERROR(__xludf.DUMMYFUNCTION("""COMPUTED_VALUE"""),FALSE)</f>
        <v>0</v>
      </c>
      <c r="O858" s="23">
        <f>IFERROR(__xludf.DUMMYFUNCTION("""COMPUTED_VALUE"""),51.661444591029)</f>
        <v>51.66144459</v>
      </c>
      <c r="P858" s="23">
        <f>IFERROR(__xludf.DUMMYFUNCTION("""COMPUTED_VALUE"""),50124.0)</f>
        <v>50124</v>
      </c>
      <c r="Q858" s="23">
        <f>IFERROR(__xludf.DUMMYFUNCTION("""COMPUTED_VALUE"""),97023.0)</f>
        <v>97023</v>
      </c>
    </row>
    <row r="859">
      <c r="A859" s="23">
        <f>IFERROR(__xludf.DUMMYFUNCTION("""COMPUTED_VALUE"""),888.0)</f>
        <v>888</v>
      </c>
      <c r="B859" s="23" t="str">
        <f>IFERROR(__xludf.DUMMYFUNCTION("""COMPUTED_VALUE"""),"Mirror Reflection")</f>
        <v>Mirror Reflection</v>
      </c>
      <c r="C859" s="23" t="str">
        <f>IFERROR(__xludf.DUMMYFUNCTION("""COMPUTED_VALUE"""),"mirror-reflection")</f>
        <v>mirror-reflection</v>
      </c>
      <c r="D859" s="23" t="b">
        <f>IFERROR(__xludf.DUMMYFUNCTION("""COMPUTED_VALUE"""),FALSE)</f>
        <v>0</v>
      </c>
      <c r="E859" s="23" t="str">
        <f>IFERROR(__xludf.DUMMYFUNCTION("""COMPUTED_VALUE"""),"Medium")</f>
        <v>Medium</v>
      </c>
      <c r="F859" s="23">
        <f>IFERROR(__xludf.DUMMYFUNCTION("""COMPUTED_VALUE"""),366.0)</f>
        <v>366</v>
      </c>
      <c r="G859" s="23">
        <f>IFERROR(__xludf.DUMMYFUNCTION("""COMPUTED_VALUE"""),713.0)</f>
        <v>713</v>
      </c>
      <c r="H859" s="23" t="str">
        <f>IFERROR(__xludf.DUMMYFUNCTION("""COMPUTED_VALUE"""),"Algorithms")</f>
        <v>Algorithms</v>
      </c>
      <c r="I859" s="23">
        <f>IFERROR(__xludf.DUMMYFUNCTION("""COMPUTED_VALUE"""),0.596)</f>
        <v>0.596</v>
      </c>
      <c r="J859" s="23">
        <f>IFERROR(__xludf.DUMMYFUNCTION("""COMPUTED_VALUE"""),858.0)</f>
        <v>858</v>
      </c>
      <c r="K859" s="23" t="b">
        <f>IFERROR(__xludf.DUMMYFUNCTION("""COMPUTED_VALUE"""),FALSE)</f>
        <v>0</v>
      </c>
      <c r="L859" s="23" t="str">
        <f>IFERROR(__xludf.DUMMYFUNCTION("""COMPUTED_VALUE"""),"Math;Geometry;")</f>
        <v>Math;Geometry;</v>
      </c>
      <c r="M859" s="23" t="b">
        <f>IFERROR(__xludf.DUMMYFUNCTION("""COMPUTED_VALUE"""),FALSE)</f>
        <v>0</v>
      </c>
      <c r="N859" s="23" t="b">
        <f>IFERROR(__xludf.DUMMYFUNCTION("""COMPUTED_VALUE"""),FALSE)</f>
        <v>0</v>
      </c>
      <c r="O859" s="23">
        <f>IFERROR(__xludf.DUMMYFUNCTION("""COMPUTED_VALUE"""),59.616953762466)</f>
        <v>59.61695376</v>
      </c>
      <c r="P859" s="23">
        <f>IFERROR(__xludf.DUMMYFUNCTION("""COMPUTED_VALUE"""),26303.0)</f>
        <v>26303</v>
      </c>
      <c r="Q859" s="23">
        <f>IFERROR(__xludf.DUMMYFUNCTION("""COMPUTED_VALUE"""),44120.0)</f>
        <v>44120</v>
      </c>
    </row>
    <row r="860">
      <c r="A860" s="23">
        <f>IFERROR(__xludf.DUMMYFUNCTION("""COMPUTED_VALUE"""),889.0)</f>
        <v>889</v>
      </c>
      <c r="B860" s="23" t="str">
        <f>IFERROR(__xludf.DUMMYFUNCTION("""COMPUTED_VALUE"""),"Buddy Strings")</f>
        <v>Buddy Strings</v>
      </c>
      <c r="C860" s="23" t="str">
        <f>IFERROR(__xludf.DUMMYFUNCTION("""COMPUTED_VALUE"""),"buddy-strings")</f>
        <v>buddy-strings</v>
      </c>
      <c r="D860" s="23" t="b">
        <f>IFERROR(__xludf.DUMMYFUNCTION("""COMPUTED_VALUE"""),FALSE)</f>
        <v>0</v>
      </c>
      <c r="E860" s="23" t="str">
        <f>IFERROR(__xludf.DUMMYFUNCTION("""COMPUTED_VALUE"""),"Easy")</f>
        <v>Easy</v>
      </c>
      <c r="F860" s="23">
        <f>IFERROR(__xludf.DUMMYFUNCTION("""COMPUTED_VALUE"""),1396.0)</f>
        <v>1396</v>
      </c>
      <c r="G860" s="23">
        <f>IFERROR(__xludf.DUMMYFUNCTION("""COMPUTED_VALUE"""),887.0)</f>
        <v>887</v>
      </c>
      <c r="H860" s="23" t="str">
        <f>IFERROR(__xludf.DUMMYFUNCTION("""COMPUTED_VALUE"""),"Algorithms")</f>
        <v>Algorithms</v>
      </c>
      <c r="I860" s="23">
        <f>IFERROR(__xludf.DUMMYFUNCTION("""COMPUTED_VALUE"""),0.288)</f>
        <v>0.288</v>
      </c>
      <c r="J860" s="23">
        <f>IFERROR(__xludf.DUMMYFUNCTION("""COMPUTED_VALUE"""),859.0)</f>
        <v>859</v>
      </c>
      <c r="K860" s="23" t="b">
        <f>IFERROR(__xludf.DUMMYFUNCTION("""COMPUTED_VALUE"""),FALSE)</f>
        <v>0</v>
      </c>
      <c r="L860" s="23" t="str">
        <f>IFERROR(__xludf.DUMMYFUNCTION("""COMPUTED_VALUE"""),"Hash Table;String;")</f>
        <v>Hash Table;String;</v>
      </c>
      <c r="M860" s="23" t="b">
        <f>IFERROR(__xludf.DUMMYFUNCTION("""COMPUTED_VALUE"""),TRUE)</f>
        <v>1</v>
      </c>
      <c r="N860" s="23" t="b">
        <f>IFERROR(__xludf.DUMMYFUNCTION("""COMPUTED_VALUE"""),FALSE)</f>
        <v>0</v>
      </c>
      <c r="O860" s="23">
        <f>IFERROR(__xludf.DUMMYFUNCTION("""COMPUTED_VALUE"""),28.7788735608742)</f>
        <v>28.77887356</v>
      </c>
      <c r="P860" s="23">
        <f>IFERROR(__xludf.DUMMYFUNCTION("""COMPUTED_VALUE"""),118535.0)</f>
        <v>118535</v>
      </c>
      <c r="Q860" s="23">
        <f>IFERROR(__xludf.DUMMYFUNCTION("""COMPUTED_VALUE"""),411880.0)</f>
        <v>411880</v>
      </c>
    </row>
    <row r="861">
      <c r="A861" s="23">
        <f>IFERROR(__xludf.DUMMYFUNCTION("""COMPUTED_VALUE"""),890.0)</f>
        <v>890</v>
      </c>
      <c r="B861" s="23" t="str">
        <f>IFERROR(__xludf.DUMMYFUNCTION("""COMPUTED_VALUE"""),"Lemonade Change")</f>
        <v>Lemonade Change</v>
      </c>
      <c r="C861" s="23" t="str">
        <f>IFERROR(__xludf.DUMMYFUNCTION("""COMPUTED_VALUE"""),"lemonade-change")</f>
        <v>lemonade-change</v>
      </c>
      <c r="D861" s="23" t="b">
        <f>IFERROR(__xludf.DUMMYFUNCTION("""COMPUTED_VALUE"""),FALSE)</f>
        <v>0</v>
      </c>
      <c r="E861" s="23" t="str">
        <f>IFERROR(__xludf.DUMMYFUNCTION("""COMPUTED_VALUE"""),"Easy")</f>
        <v>Easy</v>
      </c>
      <c r="F861" s="23">
        <f>IFERROR(__xludf.DUMMYFUNCTION("""COMPUTED_VALUE"""),1211.0)</f>
        <v>1211</v>
      </c>
      <c r="G861" s="23">
        <f>IFERROR(__xludf.DUMMYFUNCTION("""COMPUTED_VALUE"""),121.0)</f>
        <v>121</v>
      </c>
      <c r="H861" s="23" t="str">
        <f>IFERROR(__xludf.DUMMYFUNCTION("""COMPUTED_VALUE"""),"Algorithms")</f>
        <v>Algorithms</v>
      </c>
      <c r="I861" s="23">
        <f>IFERROR(__xludf.DUMMYFUNCTION("""COMPUTED_VALUE"""),0.525)</f>
        <v>0.525</v>
      </c>
      <c r="J861" s="23">
        <f>IFERROR(__xludf.DUMMYFUNCTION("""COMPUTED_VALUE"""),860.0)</f>
        <v>860</v>
      </c>
      <c r="K861" s="23" t="b">
        <f>IFERROR(__xludf.DUMMYFUNCTION("""COMPUTED_VALUE"""),FALSE)</f>
        <v>0</v>
      </c>
      <c r="L861" s="23" t="str">
        <f>IFERROR(__xludf.DUMMYFUNCTION("""COMPUTED_VALUE"""),"Array;Greedy;")</f>
        <v>Array;Greedy;</v>
      </c>
      <c r="M861" s="23" t="b">
        <f>IFERROR(__xludf.DUMMYFUNCTION("""COMPUTED_VALUE"""),TRUE)</f>
        <v>1</v>
      </c>
      <c r="N861" s="23" t="b">
        <f>IFERROR(__xludf.DUMMYFUNCTION("""COMPUTED_VALUE"""),FALSE)</f>
        <v>0</v>
      </c>
      <c r="O861" s="23">
        <f>IFERROR(__xludf.DUMMYFUNCTION("""COMPUTED_VALUE"""),52.4679872442958)</f>
        <v>52.46798724</v>
      </c>
      <c r="P861" s="23">
        <f>IFERROR(__xludf.DUMMYFUNCTION("""COMPUTED_VALUE"""),95593.0)</f>
        <v>95593</v>
      </c>
      <c r="Q861" s="23">
        <f>IFERROR(__xludf.DUMMYFUNCTION("""COMPUTED_VALUE"""),182193.0)</f>
        <v>182193</v>
      </c>
    </row>
    <row r="862">
      <c r="A862" s="23">
        <f>IFERROR(__xludf.DUMMYFUNCTION("""COMPUTED_VALUE"""),891.0)</f>
        <v>891</v>
      </c>
      <c r="B862" s="23" t="str">
        <f>IFERROR(__xludf.DUMMYFUNCTION("""COMPUTED_VALUE"""),"Score After Flipping Matrix")</f>
        <v>Score After Flipping Matrix</v>
      </c>
      <c r="C862" s="23" t="str">
        <f>IFERROR(__xludf.DUMMYFUNCTION("""COMPUTED_VALUE"""),"score-after-flipping-matrix")</f>
        <v>score-after-flipping-matrix</v>
      </c>
      <c r="D862" s="23" t="b">
        <f>IFERROR(__xludf.DUMMYFUNCTION("""COMPUTED_VALUE"""),FALSE)</f>
        <v>0</v>
      </c>
      <c r="E862" s="23" t="str">
        <f>IFERROR(__xludf.DUMMYFUNCTION("""COMPUTED_VALUE"""),"Medium")</f>
        <v>Medium</v>
      </c>
      <c r="F862" s="23">
        <f>IFERROR(__xludf.DUMMYFUNCTION("""COMPUTED_VALUE"""),1035.0)</f>
        <v>1035</v>
      </c>
      <c r="G862" s="23">
        <f>IFERROR(__xludf.DUMMYFUNCTION("""COMPUTED_VALUE"""),162.0)</f>
        <v>162</v>
      </c>
      <c r="H862" s="23" t="str">
        <f>IFERROR(__xludf.DUMMYFUNCTION("""COMPUTED_VALUE"""),"Algorithms")</f>
        <v>Algorithms</v>
      </c>
      <c r="I862" s="23">
        <f>IFERROR(__xludf.DUMMYFUNCTION("""COMPUTED_VALUE"""),0.748)</f>
        <v>0.748</v>
      </c>
      <c r="J862" s="23">
        <f>IFERROR(__xludf.DUMMYFUNCTION("""COMPUTED_VALUE"""),861.0)</f>
        <v>861</v>
      </c>
      <c r="K862" s="23" t="b">
        <f>IFERROR(__xludf.DUMMYFUNCTION("""COMPUTED_VALUE"""),FALSE)</f>
        <v>0</v>
      </c>
      <c r="L862" s="23" t="str">
        <f>IFERROR(__xludf.DUMMYFUNCTION("""COMPUTED_VALUE"""),"Array;Greedy;Bit Manipulation;Matrix;")</f>
        <v>Array;Greedy;Bit Manipulation;Matrix;</v>
      </c>
      <c r="M862" s="23" t="b">
        <f>IFERROR(__xludf.DUMMYFUNCTION("""COMPUTED_VALUE"""),FALSE)</f>
        <v>0</v>
      </c>
      <c r="N862" s="23" t="b">
        <f>IFERROR(__xludf.DUMMYFUNCTION("""COMPUTED_VALUE"""),FALSE)</f>
        <v>0</v>
      </c>
      <c r="O862" s="23">
        <f>IFERROR(__xludf.DUMMYFUNCTION("""COMPUTED_VALUE"""),74.8226257892338)</f>
        <v>74.82262579</v>
      </c>
      <c r="P862" s="23">
        <f>IFERROR(__xludf.DUMMYFUNCTION("""COMPUTED_VALUE"""),34485.0)</f>
        <v>34485</v>
      </c>
      <c r="Q862" s="23">
        <f>IFERROR(__xludf.DUMMYFUNCTION("""COMPUTED_VALUE"""),46089.0)</f>
        <v>46089</v>
      </c>
    </row>
    <row r="863">
      <c r="A863" s="23">
        <f>IFERROR(__xludf.DUMMYFUNCTION("""COMPUTED_VALUE"""),892.0)</f>
        <v>892</v>
      </c>
      <c r="B863" s="23" t="str">
        <f>IFERROR(__xludf.DUMMYFUNCTION("""COMPUTED_VALUE"""),"Shortest Subarray with Sum at Least K")</f>
        <v>Shortest Subarray with Sum at Least K</v>
      </c>
      <c r="C863" s="23" t="str">
        <f>IFERROR(__xludf.DUMMYFUNCTION("""COMPUTED_VALUE"""),"shortest-subarray-with-sum-at-least-k")</f>
        <v>shortest-subarray-with-sum-at-least-k</v>
      </c>
      <c r="D863" s="23" t="b">
        <f>IFERROR(__xludf.DUMMYFUNCTION("""COMPUTED_VALUE"""),FALSE)</f>
        <v>0</v>
      </c>
      <c r="E863" s="23" t="str">
        <f>IFERROR(__xludf.DUMMYFUNCTION("""COMPUTED_VALUE"""),"Hard")</f>
        <v>Hard</v>
      </c>
      <c r="F863" s="23">
        <f>IFERROR(__xludf.DUMMYFUNCTION("""COMPUTED_VALUE"""),2845.0)</f>
        <v>2845</v>
      </c>
      <c r="G863" s="23">
        <f>IFERROR(__xludf.DUMMYFUNCTION("""COMPUTED_VALUE"""),74.0)</f>
        <v>74</v>
      </c>
      <c r="H863" s="23" t="str">
        <f>IFERROR(__xludf.DUMMYFUNCTION("""COMPUTED_VALUE"""),"Algorithms")</f>
        <v>Algorithms</v>
      </c>
      <c r="I863" s="23">
        <f>IFERROR(__xludf.DUMMYFUNCTION("""COMPUTED_VALUE"""),0.261)</f>
        <v>0.261</v>
      </c>
      <c r="J863" s="23">
        <f>IFERROR(__xludf.DUMMYFUNCTION("""COMPUTED_VALUE"""),862.0)</f>
        <v>862</v>
      </c>
      <c r="K863" s="23" t="b">
        <f>IFERROR(__xludf.DUMMYFUNCTION("""COMPUTED_VALUE"""),FALSE)</f>
        <v>0</v>
      </c>
      <c r="L863" s="23" t="str">
        <f>IFERROR(__xludf.DUMMYFUNCTION("""COMPUTED_VALUE"""),"Array;Binary Search;Queue;Sliding Window;Heap (Priority Queue);Prefix Sum;Monotonic Queue;")</f>
        <v>Array;Binary Search;Queue;Sliding Window;Heap (Priority Queue);Prefix Sum;Monotonic Queue;</v>
      </c>
      <c r="M863" s="23" t="b">
        <f>IFERROR(__xludf.DUMMYFUNCTION("""COMPUTED_VALUE"""),TRUE)</f>
        <v>1</v>
      </c>
      <c r="N863" s="23" t="b">
        <f>IFERROR(__xludf.DUMMYFUNCTION("""COMPUTED_VALUE"""),FALSE)</f>
        <v>0</v>
      </c>
      <c r="O863" s="23">
        <f>IFERROR(__xludf.DUMMYFUNCTION("""COMPUTED_VALUE"""),26.1466217003725)</f>
        <v>26.1466217</v>
      </c>
      <c r="P863" s="23">
        <f>IFERROR(__xludf.DUMMYFUNCTION("""COMPUTED_VALUE"""),69544.0)</f>
        <v>69544</v>
      </c>
      <c r="Q863" s="23">
        <f>IFERROR(__xludf.DUMMYFUNCTION("""COMPUTED_VALUE"""),265977.0)</f>
        <v>265977</v>
      </c>
    </row>
    <row r="864">
      <c r="A864" s="23">
        <f>IFERROR(__xludf.DUMMYFUNCTION("""COMPUTED_VALUE"""),893.0)</f>
        <v>893</v>
      </c>
      <c r="B864" s="23" t="str">
        <f>IFERROR(__xludf.DUMMYFUNCTION("""COMPUTED_VALUE"""),"All Nodes Distance K in Binary Tree")</f>
        <v>All Nodes Distance K in Binary Tree</v>
      </c>
      <c r="C864" s="23" t="str">
        <f>IFERROR(__xludf.DUMMYFUNCTION("""COMPUTED_VALUE"""),"all-nodes-distance-k-in-binary-tree")</f>
        <v>all-nodes-distance-k-in-binary-tree</v>
      </c>
      <c r="D864" s="23" t="b">
        <f>IFERROR(__xludf.DUMMYFUNCTION("""COMPUTED_VALUE"""),FALSE)</f>
        <v>0</v>
      </c>
      <c r="E864" s="23" t="str">
        <f>IFERROR(__xludf.DUMMYFUNCTION("""COMPUTED_VALUE"""),"Medium")</f>
        <v>Medium</v>
      </c>
      <c r="F864" s="23">
        <f>IFERROR(__xludf.DUMMYFUNCTION("""COMPUTED_VALUE"""),6110.0)</f>
        <v>6110</v>
      </c>
      <c r="G864" s="23">
        <f>IFERROR(__xludf.DUMMYFUNCTION("""COMPUTED_VALUE"""),124.0)</f>
        <v>124</v>
      </c>
      <c r="H864" s="23" t="str">
        <f>IFERROR(__xludf.DUMMYFUNCTION("""COMPUTED_VALUE"""),"Algorithms")</f>
        <v>Algorithms</v>
      </c>
      <c r="I864" s="23">
        <f>IFERROR(__xludf.DUMMYFUNCTION("""COMPUTED_VALUE"""),0.611)</f>
        <v>0.611</v>
      </c>
      <c r="J864" s="23">
        <f>IFERROR(__xludf.DUMMYFUNCTION("""COMPUTED_VALUE"""),863.0)</f>
        <v>863</v>
      </c>
      <c r="K864" s="23" t="b">
        <f>IFERROR(__xludf.DUMMYFUNCTION("""COMPUTED_VALUE"""),FALSE)</f>
        <v>0</v>
      </c>
      <c r="L864" s="23" t="str">
        <f>IFERROR(__xludf.DUMMYFUNCTION("""COMPUTED_VALUE"""),"Tree;Depth-First Search;Breadth-First Search;Binary Tree;")</f>
        <v>Tree;Depth-First Search;Breadth-First Search;Binary Tree;</v>
      </c>
      <c r="M864" s="23" t="b">
        <f>IFERROR(__xludf.DUMMYFUNCTION("""COMPUTED_VALUE"""),TRUE)</f>
        <v>1</v>
      </c>
      <c r="N864" s="23" t="b">
        <f>IFERROR(__xludf.DUMMYFUNCTION("""COMPUTED_VALUE"""),FALSE)</f>
        <v>0</v>
      </c>
      <c r="O864" s="23">
        <f>IFERROR(__xludf.DUMMYFUNCTION("""COMPUTED_VALUE"""),61.0739584085976)</f>
        <v>61.07395841</v>
      </c>
      <c r="P864" s="23">
        <f>IFERROR(__xludf.DUMMYFUNCTION("""COMPUTED_VALUE"""),228221.0)</f>
        <v>228221</v>
      </c>
      <c r="Q864" s="23">
        <f>IFERROR(__xludf.DUMMYFUNCTION("""COMPUTED_VALUE"""),373680.0)</f>
        <v>373680</v>
      </c>
    </row>
    <row r="865">
      <c r="A865" s="23">
        <f>IFERROR(__xludf.DUMMYFUNCTION("""COMPUTED_VALUE"""),895.0)</f>
        <v>895</v>
      </c>
      <c r="B865" s="23" t="str">
        <f>IFERROR(__xludf.DUMMYFUNCTION("""COMPUTED_VALUE"""),"Shortest Path to Get All Keys")</f>
        <v>Shortest Path to Get All Keys</v>
      </c>
      <c r="C865" s="23" t="str">
        <f>IFERROR(__xludf.DUMMYFUNCTION("""COMPUTED_VALUE"""),"shortest-path-to-get-all-keys")</f>
        <v>shortest-path-to-get-all-keys</v>
      </c>
      <c r="D865" s="23" t="b">
        <f>IFERROR(__xludf.DUMMYFUNCTION("""COMPUTED_VALUE"""),FALSE)</f>
        <v>0</v>
      </c>
      <c r="E865" s="23" t="str">
        <f>IFERROR(__xludf.DUMMYFUNCTION("""COMPUTED_VALUE"""),"Hard")</f>
        <v>Hard</v>
      </c>
      <c r="F865" s="23">
        <f>IFERROR(__xludf.DUMMYFUNCTION("""COMPUTED_VALUE"""),764.0)</f>
        <v>764</v>
      </c>
      <c r="G865" s="23">
        <f>IFERROR(__xludf.DUMMYFUNCTION("""COMPUTED_VALUE"""),25.0)</f>
        <v>25</v>
      </c>
      <c r="H865" s="23" t="str">
        <f>IFERROR(__xludf.DUMMYFUNCTION("""COMPUTED_VALUE"""),"Algorithms")</f>
        <v>Algorithms</v>
      </c>
      <c r="I865" s="23">
        <f>IFERROR(__xludf.DUMMYFUNCTION("""COMPUTED_VALUE"""),0.446)</f>
        <v>0.446</v>
      </c>
      <c r="J865" s="23">
        <f>IFERROR(__xludf.DUMMYFUNCTION("""COMPUTED_VALUE"""),864.0)</f>
        <v>864</v>
      </c>
      <c r="K865" s="23" t="b">
        <f>IFERROR(__xludf.DUMMYFUNCTION("""COMPUTED_VALUE"""),FALSE)</f>
        <v>0</v>
      </c>
      <c r="L865" s="23" t="str">
        <f>IFERROR(__xludf.DUMMYFUNCTION("""COMPUTED_VALUE"""),"Bit Manipulation;Breadth-First Search;")</f>
        <v>Bit Manipulation;Breadth-First Search;</v>
      </c>
      <c r="M865" s="23" t="b">
        <f>IFERROR(__xludf.DUMMYFUNCTION("""COMPUTED_VALUE"""),FALSE)</f>
        <v>0</v>
      </c>
      <c r="N865" s="23" t="b">
        <f>IFERROR(__xludf.DUMMYFUNCTION("""COMPUTED_VALUE"""),FALSE)</f>
        <v>0</v>
      </c>
      <c r="O865" s="23">
        <f>IFERROR(__xludf.DUMMYFUNCTION("""COMPUTED_VALUE"""),44.5528736959618)</f>
        <v>44.5528737</v>
      </c>
      <c r="P865" s="23">
        <f>IFERROR(__xludf.DUMMYFUNCTION("""COMPUTED_VALUE"""),23147.0)</f>
        <v>23147</v>
      </c>
      <c r="Q865" s="23">
        <f>IFERROR(__xludf.DUMMYFUNCTION("""COMPUTED_VALUE"""),51954.0)</f>
        <v>51954</v>
      </c>
    </row>
    <row r="866">
      <c r="A866" s="23">
        <f>IFERROR(__xludf.DUMMYFUNCTION("""COMPUTED_VALUE"""),896.0)</f>
        <v>896</v>
      </c>
      <c r="B866" s="23" t="str">
        <f>IFERROR(__xludf.DUMMYFUNCTION("""COMPUTED_VALUE"""),"Smallest Subtree with all the Deepest Nodes")</f>
        <v>Smallest Subtree with all the Deepest Nodes</v>
      </c>
      <c r="C866" s="23" t="str">
        <f>IFERROR(__xludf.DUMMYFUNCTION("""COMPUTED_VALUE"""),"smallest-subtree-with-all-the-deepest-nodes")</f>
        <v>smallest-subtree-with-all-the-deepest-nodes</v>
      </c>
      <c r="D866" s="23" t="b">
        <f>IFERROR(__xludf.DUMMYFUNCTION("""COMPUTED_VALUE"""),FALSE)</f>
        <v>0</v>
      </c>
      <c r="E866" s="23" t="str">
        <f>IFERROR(__xludf.DUMMYFUNCTION("""COMPUTED_VALUE"""),"Medium")</f>
        <v>Medium</v>
      </c>
      <c r="F866" s="23">
        <f>IFERROR(__xludf.DUMMYFUNCTION("""COMPUTED_VALUE"""),1932.0)</f>
        <v>1932</v>
      </c>
      <c r="G866" s="23">
        <f>IFERROR(__xludf.DUMMYFUNCTION("""COMPUTED_VALUE"""),326.0)</f>
        <v>326</v>
      </c>
      <c r="H866" s="23" t="str">
        <f>IFERROR(__xludf.DUMMYFUNCTION("""COMPUTED_VALUE"""),"Algorithms")</f>
        <v>Algorithms</v>
      </c>
      <c r="I866" s="23">
        <f>IFERROR(__xludf.DUMMYFUNCTION("""COMPUTED_VALUE"""),0.678)</f>
        <v>0.678</v>
      </c>
      <c r="J866" s="23">
        <f>IFERROR(__xludf.DUMMYFUNCTION("""COMPUTED_VALUE"""),865.0)</f>
        <v>865</v>
      </c>
      <c r="K866" s="23" t="b">
        <f>IFERROR(__xludf.DUMMYFUNCTION("""COMPUTED_VALUE"""),FALSE)</f>
        <v>0</v>
      </c>
      <c r="L866" s="23" t="str">
        <f>IFERROR(__xludf.DUMMYFUNCTION("""COMPUTED_VALUE"""),"Hash Table;Tree;Depth-First Search;Breadth-First Search;Binary Tree;")</f>
        <v>Hash Table;Tree;Depth-First Search;Breadth-First Search;Binary Tree;</v>
      </c>
      <c r="M866" s="23" t="b">
        <f>IFERROR(__xludf.DUMMYFUNCTION("""COMPUTED_VALUE"""),TRUE)</f>
        <v>1</v>
      </c>
      <c r="N866" s="23" t="b">
        <f>IFERROR(__xludf.DUMMYFUNCTION("""COMPUTED_VALUE"""),FALSE)</f>
        <v>0</v>
      </c>
      <c r="O866" s="23">
        <f>IFERROR(__xludf.DUMMYFUNCTION("""COMPUTED_VALUE"""),67.8360794477797)</f>
        <v>67.83607945</v>
      </c>
      <c r="P866" s="23">
        <f>IFERROR(__xludf.DUMMYFUNCTION("""COMPUTED_VALUE"""),102596.0)</f>
        <v>102596</v>
      </c>
      <c r="Q866" s="23">
        <f>IFERROR(__xludf.DUMMYFUNCTION("""COMPUTED_VALUE"""),151242.0)</f>
        <v>151242</v>
      </c>
    </row>
    <row r="867">
      <c r="A867" s="23">
        <f>IFERROR(__xludf.DUMMYFUNCTION("""COMPUTED_VALUE"""),897.0)</f>
        <v>897</v>
      </c>
      <c r="B867" s="23" t="str">
        <f>IFERROR(__xludf.DUMMYFUNCTION("""COMPUTED_VALUE"""),"Prime Palindrome")</f>
        <v>Prime Palindrome</v>
      </c>
      <c r="C867" s="23" t="str">
        <f>IFERROR(__xludf.DUMMYFUNCTION("""COMPUTED_VALUE"""),"prime-palindrome")</f>
        <v>prime-palindrome</v>
      </c>
      <c r="D867" s="23" t="b">
        <f>IFERROR(__xludf.DUMMYFUNCTION("""COMPUTED_VALUE"""),FALSE)</f>
        <v>0</v>
      </c>
      <c r="E867" s="23" t="str">
        <f>IFERROR(__xludf.DUMMYFUNCTION("""COMPUTED_VALUE"""),"Medium")</f>
        <v>Medium</v>
      </c>
      <c r="F867" s="23">
        <f>IFERROR(__xludf.DUMMYFUNCTION("""COMPUTED_VALUE"""),316.0)</f>
        <v>316</v>
      </c>
      <c r="G867" s="23">
        <f>IFERROR(__xludf.DUMMYFUNCTION("""COMPUTED_VALUE"""),704.0)</f>
        <v>704</v>
      </c>
      <c r="H867" s="23" t="str">
        <f>IFERROR(__xludf.DUMMYFUNCTION("""COMPUTED_VALUE"""),"Algorithms")</f>
        <v>Algorithms</v>
      </c>
      <c r="I867" s="23">
        <f>IFERROR(__xludf.DUMMYFUNCTION("""COMPUTED_VALUE"""),0.259)</f>
        <v>0.259</v>
      </c>
      <c r="J867" s="23">
        <f>IFERROR(__xludf.DUMMYFUNCTION("""COMPUTED_VALUE"""),866.0)</f>
        <v>866</v>
      </c>
      <c r="K867" s="23" t="b">
        <f>IFERROR(__xludf.DUMMYFUNCTION("""COMPUTED_VALUE"""),FALSE)</f>
        <v>0</v>
      </c>
      <c r="L867" s="23" t="str">
        <f>IFERROR(__xludf.DUMMYFUNCTION("""COMPUTED_VALUE"""),"Math;")</f>
        <v>Math;</v>
      </c>
      <c r="M867" s="23" t="b">
        <f>IFERROR(__xludf.DUMMYFUNCTION("""COMPUTED_VALUE"""),TRUE)</f>
        <v>1</v>
      </c>
      <c r="N867" s="23" t="b">
        <f>IFERROR(__xludf.DUMMYFUNCTION("""COMPUTED_VALUE"""),FALSE)</f>
        <v>0</v>
      </c>
      <c r="O867" s="23">
        <f>IFERROR(__xludf.DUMMYFUNCTION("""COMPUTED_VALUE"""),25.902131066141)</f>
        <v>25.90213107</v>
      </c>
      <c r="P867" s="23">
        <f>IFERROR(__xludf.DUMMYFUNCTION("""COMPUTED_VALUE"""),25561.0)</f>
        <v>25561</v>
      </c>
      <c r="Q867" s="23">
        <f>IFERROR(__xludf.DUMMYFUNCTION("""COMPUTED_VALUE"""),98683.0)</f>
        <v>98683</v>
      </c>
    </row>
    <row r="868">
      <c r="A868" s="23">
        <f>IFERROR(__xludf.DUMMYFUNCTION("""COMPUTED_VALUE"""),898.0)</f>
        <v>898</v>
      </c>
      <c r="B868" s="23" t="str">
        <f>IFERROR(__xludf.DUMMYFUNCTION("""COMPUTED_VALUE"""),"Transpose Matrix")</f>
        <v>Transpose Matrix</v>
      </c>
      <c r="C868" s="23" t="str">
        <f>IFERROR(__xludf.DUMMYFUNCTION("""COMPUTED_VALUE"""),"transpose-matrix")</f>
        <v>transpose-matrix</v>
      </c>
      <c r="D868" s="23" t="b">
        <f>IFERROR(__xludf.DUMMYFUNCTION("""COMPUTED_VALUE"""),FALSE)</f>
        <v>0</v>
      </c>
      <c r="E868" s="23" t="str">
        <f>IFERROR(__xludf.DUMMYFUNCTION("""COMPUTED_VALUE"""),"Easy")</f>
        <v>Easy</v>
      </c>
      <c r="F868" s="23">
        <f>IFERROR(__xludf.DUMMYFUNCTION("""COMPUTED_VALUE"""),1150.0)</f>
        <v>1150</v>
      </c>
      <c r="G868" s="23">
        <f>IFERROR(__xludf.DUMMYFUNCTION("""COMPUTED_VALUE"""),371.0)</f>
        <v>371</v>
      </c>
      <c r="H868" s="23" t="str">
        <f>IFERROR(__xludf.DUMMYFUNCTION("""COMPUTED_VALUE"""),"Algorithms")</f>
        <v>Algorithms</v>
      </c>
      <c r="I868" s="23">
        <f>IFERROR(__xludf.DUMMYFUNCTION("""COMPUTED_VALUE"""),0.611)</f>
        <v>0.611</v>
      </c>
      <c r="J868" s="23">
        <f>IFERROR(__xludf.DUMMYFUNCTION("""COMPUTED_VALUE"""),867.0)</f>
        <v>867</v>
      </c>
      <c r="K868" s="23" t="b">
        <f>IFERROR(__xludf.DUMMYFUNCTION("""COMPUTED_VALUE"""),FALSE)</f>
        <v>0</v>
      </c>
      <c r="L868" s="23" t="str">
        <f>IFERROR(__xludf.DUMMYFUNCTION("""COMPUTED_VALUE"""),"Array;Matrix;Simulation;")</f>
        <v>Array;Matrix;Simulation;</v>
      </c>
      <c r="M868" s="23" t="b">
        <f>IFERROR(__xludf.DUMMYFUNCTION("""COMPUTED_VALUE"""),TRUE)</f>
        <v>1</v>
      </c>
      <c r="N868" s="23" t="b">
        <f>IFERROR(__xludf.DUMMYFUNCTION("""COMPUTED_VALUE"""),FALSE)</f>
        <v>0</v>
      </c>
      <c r="O868" s="23">
        <f>IFERROR(__xludf.DUMMYFUNCTION("""COMPUTED_VALUE"""),61.0503952202471)</f>
        <v>61.05039522</v>
      </c>
      <c r="P868" s="23">
        <f>IFERROR(__xludf.DUMMYFUNCTION("""COMPUTED_VALUE"""),131609.0)</f>
        <v>131609</v>
      </c>
      <c r="Q868" s="23">
        <f>IFERROR(__xludf.DUMMYFUNCTION("""COMPUTED_VALUE"""),215575.0)</f>
        <v>215575</v>
      </c>
    </row>
    <row r="869">
      <c r="A869" s="23">
        <f>IFERROR(__xludf.DUMMYFUNCTION("""COMPUTED_VALUE"""),899.0)</f>
        <v>899</v>
      </c>
      <c r="B869" s="23" t="str">
        <f>IFERROR(__xludf.DUMMYFUNCTION("""COMPUTED_VALUE"""),"Binary Gap")</f>
        <v>Binary Gap</v>
      </c>
      <c r="C869" s="23" t="str">
        <f>IFERROR(__xludf.DUMMYFUNCTION("""COMPUTED_VALUE"""),"binary-gap")</f>
        <v>binary-gap</v>
      </c>
      <c r="D869" s="23" t="b">
        <f>IFERROR(__xludf.DUMMYFUNCTION("""COMPUTED_VALUE"""),FALSE)</f>
        <v>0</v>
      </c>
      <c r="E869" s="23" t="str">
        <f>IFERROR(__xludf.DUMMYFUNCTION("""COMPUTED_VALUE"""),"Easy")</f>
        <v>Easy</v>
      </c>
      <c r="F869" s="23">
        <f>IFERROR(__xludf.DUMMYFUNCTION("""COMPUTED_VALUE"""),423.0)</f>
        <v>423</v>
      </c>
      <c r="G869" s="23">
        <f>IFERROR(__xludf.DUMMYFUNCTION("""COMPUTED_VALUE"""),594.0)</f>
        <v>594</v>
      </c>
      <c r="H869" s="23" t="str">
        <f>IFERROR(__xludf.DUMMYFUNCTION("""COMPUTED_VALUE"""),"Algorithms")</f>
        <v>Algorithms</v>
      </c>
      <c r="I869" s="23">
        <f>IFERROR(__xludf.DUMMYFUNCTION("""COMPUTED_VALUE"""),0.618)</f>
        <v>0.618</v>
      </c>
      <c r="J869" s="23">
        <f>IFERROR(__xludf.DUMMYFUNCTION("""COMPUTED_VALUE"""),868.0)</f>
        <v>868</v>
      </c>
      <c r="K869" s="23" t="b">
        <f>IFERROR(__xludf.DUMMYFUNCTION("""COMPUTED_VALUE"""),FALSE)</f>
        <v>0</v>
      </c>
      <c r="L869" s="23" t="str">
        <f>IFERROR(__xludf.DUMMYFUNCTION("""COMPUTED_VALUE"""),"Bit Manipulation;")</f>
        <v>Bit Manipulation;</v>
      </c>
      <c r="M869" s="23" t="b">
        <f>IFERROR(__xludf.DUMMYFUNCTION("""COMPUTED_VALUE"""),TRUE)</f>
        <v>1</v>
      </c>
      <c r="N869" s="23" t="b">
        <f>IFERROR(__xludf.DUMMYFUNCTION("""COMPUTED_VALUE"""),FALSE)</f>
        <v>0</v>
      </c>
      <c r="O869" s="23">
        <f>IFERROR(__xludf.DUMMYFUNCTION("""COMPUTED_VALUE"""),61.8315437236588)</f>
        <v>61.83154372</v>
      </c>
      <c r="P869" s="23">
        <f>IFERROR(__xludf.DUMMYFUNCTION("""COMPUTED_VALUE"""),58390.0)</f>
        <v>58390</v>
      </c>
      <c r="Q869" s="23">
        <f>IFERROR(__xludf.DUMMYFUNCTION("""COMPUTED_VALUE"""),94433.0)</f>
        <v>94433</v>
      </c>
    </row>
    <row r="870">
      <c r="A870" s="23">
        <f>IFERROR(__xludf.DUMMYFUNCTION("""COMPUTED_VALUE"""),900.0)</f>
        <v>900</v>
      </c>
      <c r="B870" s="23" t="str">
        <f>IFERROR(__xludf.DUMMYFUNCTION("""COMPUTED_VALUE"""),"Reordered Power of 2")</f>
        <v>Reordered Power of 2</v>
      </c>
      <c r="C870" s="23" t="str">
        <f>IFERROR(__xludf.DUMMYFUNCTION("""COMPUTED_VALUE"""),"reordered-power-of-2")</f>
        <v>reordered-power-of-2</v>
      </c>
      <c r="D870" s="23" t="b">
        <f>IFERROR(__xludf.DUMMYFUNCTION("""COMPUTED_VALUE"""),FALSE)</f>
        <v>0</v>
      </c>
      <c r="E870" s="23" t="str">
        <f>IFERROR(__xludf.DUMMYFUNCTION("""COMPUTED_VALUE"""),"Medium")</f>
        <v>Medium</v>
      </c>
      <c r="F870" s="23">
        <f>IFERROR(__xludf.DUMMYFUNCTION("""COMPUTED_VALUE"""),582.0)</f>
        <v>582</v>
      </c>
      <c r="G870" s="23">
        <f>IFERROR(__xludf.DUMMYFUNCTION("""COMPUTED_VALUE"""),170.0)</f>
        <v>170</v>
      </c>
      <c r="H870" s="23" t="str">
        <f>IFERROR(__xludf.DUMMYFUNCTION("""COMPUTED_VALUE"""),"Algorithms")</f>
        <v>Algorithms</v>
      </c>
      <c r="I870" s="23">
        <f>IFERROR(__xludf.DUMMYFUNCTION("""COMPUTED_VALUE"""),0.613)</f>
        <v>0.613</v>
      </c>
      <c r="J870" s="23">
        <f>IFERROR(__xludf.DUMMYFUNCTION("""COMPUTED_VALUE"""),869.0)</f>
        <v>869</v>
      </c>
      <c r="K870" s="23" t="b">
        <f>IFERROR(__xludf.DUMMYFUNCTION("""COMPUTED_VALUE"""),FALSE)</f>
        <v>0</v>
      </c>
      <c r="L870" s="23" t="str">
        <f>IFERROR(__xludf.DUMMYFUNCTION("""COMPUTED_VALUE"""),"Math;Sorting;Counting;Enumeration;")</f>
        <v>Math;Sorting;Counting;Enumeration;</v>
      </c>
      <c r="M870" s="23" t="b">
        <f>IFERROR(__xludf.DUMMYFUNCTION("""COMPUTED_VALUE"""),TRUE)</f>
        <v>1</v>
      </c>
      <c r="N870" s="23" t="b">
        <f>IFERROR(__xludf.DUMMYFUNCTION("""COMPUTED_VALUE"""),FALSE)</f>
        <v>0</v>
      </c>
      <c r="O870" s="23">
        <f>IFERROR(__xludf.DUMMYFUNCTION("""COMPUTED_VALUE"""),61.282880939541)</f>
        <v>61.28288094</v>
      </c>
      <c r="P870" s="23">
        <f>IFERROR(__xludf.DUMMYFUNCTION("""COMPUTED_VALUE"""),40910.0)</f>
        <v>40910</v>
      </c>
      <c r="Q870" s="23">
        <f>IFERROR(__xludf.DUMMYFUNCTION("""COMPUTED_VALUE"""),66756.0)</f>
        <v>66756</v>
      </c>
    </row>
    <row r="871">
      <c r="A871" s="23">
        <f>IFERROR(__xludf.DUMMYFUNCTION("""COMPUTED_VALUE"""),901.0)</f>
        <v>901</v>
      </c>
      <c r="B871" s="23" t="str">
        <f>IFERROR(__xludf.DUMMYFUNCTION("""COMPUTED_VALUE"""),"Advantage Shuffle")</f>
        <v>Advantage Shuffle</v>
      </c>
      <c r="C871" s="23" t="str">
        <f>IFERROR(__xludf.DUMMYFUNCTION("""COMPUTED_VALUE"""),"advantage-shuffle")</f>
        <v>advantage-shuffle</v>
      </c>
      <c r="D871" s="23" t="b">
        <f>IFERROR(__xludf.DUMMYFUNCTION("""COMPUTED_VALUE"""),FALSE)</f>
        <v>0</v>
      </c>
      <c r="E871" s="23" t="str">
        <f>IFERROR(__xludf.DUMMYFUNCTION("""COMPUTED_VALUE"""),"Medium")</f>
        <v>Medium</v>
      </c>
      <c r="F871" s="23">
        <f>IFERROR(__xludf.DUMMYFUNCTION("""COMPUTED_VALUE"""),1229.0)</f>
        <v>1229</v>
      </c>
      <c r="G871" s="23">
        <f>IFERROR(__xludf.DUMMYFUNCTION("""COMPUTED_VALUE"""),79.0)</f>
        <v>79</v>
      </c>
      <c r="H871" s="23" t="str">
        <f>IFERROR(__xludf.DUMMYFUNCTION("""COMPUTED_VALUE"""),"Algorithms")</f>
        <v>Algorithms</v>
      </c>
      <c r="I871" s="23">
        <f>IFERROR(__xludf.DUMMYFUNCTION("""COMPUTED_VALUE"""),0.512)</f>
        <v>0.512</v>
      </c>
      <c r="J871" s="23">
        <f>IFERROR(__xludf.DUMMYFUNCTION("""COMPUTED_VALUE"""),870.0)</f>
        <v>870</v>
      </c>
      <c r="K871" s="23" t="b">
        <f>IFERROR(__xludf.DUMMYFUNCTION("""COMPUTED_VALUE"""),FALSE)</f>
        <v>0</v>
      </c>
      <c r="L871" s="23" t="str">
        <f>IFERROR(__xludf.DUMMYFUNCTION("""COMPUTED_VALUE"""),"Array;Greedy;Sorting;")</f>
        <v>Array;Greedy;Sorting;</v>
      </c>
      <c r="M871" s="23" t="b">
        <f>IFERROR(__xludf.DUMMYFUNCTION("""COMPUTED_VALUE"""),TRUE)</f>
        <v>1</v>
      </c>
      <c r="N871" s="23" t="b">
        <f>IFERROR(__xludf.DUMMYFUNCTION("""COMPUTED_VALUE"""),FALSE)</f>
        <v>0</v>
      </c>
      <c r="O871" s="23">
        <f>IFERROR(__xludf.DUMMYFUNCTION("""COMPUTED_VALUE"""),51.2351903201411)</f>
        <v>51.23519032</v>
      </c>
      <c r="P871" s="23">
        <f>IFERROR(__xludf.DUMMYFUNCTION("""COMPUTED_VALUE"""),52845.0)</f>
        <v>52845</v>
      </c>
      <c r="Q871" s="23">
        <f>IFERROR(__xludf.DUMMYFUNCTION("""COMPUTED_VALUE"""),103142.0)</f>
        <v>103142</v>
      </c>
    </row>
    <row r="872">
      <c r="A872" s="23">
        <f>IFERROR(__xludf.DUMMYFUNCTION("""COMPUTED_VALUE"""),902.0)</f>
        <v>902</v>
      </c>
      <c r="B872" s="23" t="str">
        <f>IFERROR(__xludf.DUMMYFUNCTION("""COMPUTED_VALUE"""),"Minimum Number of Refueling Stops")</f>
        <v>Minimum Number of Refueling Stops</v>
      </c>
      <c r="C872" s="23" t="str">
        <f>IFERROR(__xludf.DUMMYFUNCTION("""COMPUTED_VALUE"""),"minimum-number-of-refueling-stops")</f>
        <v>minimum-number-of-refueling-stops</v>
      </c>
      <c r="D872" s="23" t="b">
        <f>IFERROR(__xludf.DUMMYFUNCTION("""COMPUTED_VALUE"""),FALSE)</f>
        <v>0</v>
      </c>
      <c r="E872" s="23" t="str">
        <f>IFERROR(__xludf.DUMMYFUNCTION("""COMPUTED_VALUE"""),"Hard")</f>
        <v>Hard</v>
      </c>
      <c r="F872" s="23">
        <f>IFERROR(__xludf.DUMMYFUNCTION("""COMPUTED_VALUE"""),2453.0)</f>
        <v>2453</v>
      </c>
      <c r="G872" s="23">
        <f>IFERROR(__xludf.DUMMYFUNCTION("""COMPUTED_VALUE"""),48.0)</f>
        <v>48</v>
      </c>
      <c r="H872" s="23" t="str">
        <f>IFERROR(__xludf.DUMMYFUNCTION("""COMPUTED_VALUE"""),"Algorithms")</f>
        <v>Algorithms</v>
      </c>
      <c r="I872" s="23">
        <f>IFERROR(__xludf.DUMMYFUNCTION("""COMPUTED_VALUE"""),0.357)</f>
        <v>0.357</v>
      </c>
      <c r="J872" s="23">
        <f>IFERROR(__xludf.DUMMYFUNCTION("""COMPUTED_VALUE"""),871.0)</f>
        <v>871</v>
      </c>
      <c r="K872" s="23" t="b">
        <f>IFERROR(__xludf.DUMMYFUNCTION("""COMPUTED_VALUE"""),FALSE)</f>
        <v>0</v>
      </c>
      <c r="L872" s="23" t="str">
        <f>IFERROR(__xludf.DUMMYFUNCTION("""COMPUTED_VALUE"""),"Array;Dynamic Programming;Greedy;Heap (Priority Queue);")</f>
        <v>Array;Dynamic Programming;Greedy;Heap (Priority Queue);</v>
      </c>
      <c r="M872" s="23" t="b">
        <f>IFERROR(__xludf.DUMMYFUNCTION("""COMPUTED_VALUE"""),TRUE)</f>
        <v>1</v>
      </c>
      <c r="N872" s="23" t="b">
        <f>IFERROR(__xludf.DUMMYFUNCTION("""COMPUTED_VALUE"""),FALSE)</f>
        <v>0</v>
      </c>
      <c r="O872" s="23">
        <f>IFERROR(__xludf.DUMMYFUNCTION("""COMPUTED_VALUE"""),35.6885558237012)</f>
        <v>35.68855582</v>
      </c>
      <c r="P872" s="23">
        <f>IFERROR(__xludf.DUMMYFUNCTION("""COMPUTED_VALUE"""),70244.0)</f>
        <v>70244</v>
      </c>
      <c r="Q872" s="23">
        <f>IFERROR(__xludf.DUMMYFUNCTION("""COMPUTED_VALUE"""),196825.0)</f>
        <v>196825</v>
      </c>
    </row>
    <row r="873">
      <c r="A873" s="23">
        <f>IFERROR(__xludf.DUMMYFUNCTION("""COMPUTED_VALUE"""),904.0)</f>
        <v>904</v>
      </c>
      <c r="B873" s="23" t="str">
        <f>IFERROR(__xludf.DUMMYFUNCTION("""COMPUTED_VALUE"""),"Leaf-Similar Trees")</f>
        <v>Leaf-Similar Trees</v>
      </c>
      <c r="C873" s="23" t="str">
        <f>IFERROR(__xludf.DUMMYFUNCTION("""COMPUTED_VALUE"""),"leaf-similar-trees")</f>
        <v>leaf-similar-trees</v>
      </c>
      <c r="D873" s="23" t="b">
        <f>IFERROR(__xludf.DUMMYFUNCTION("""COMPUTED_VALUE"""),FALSE)</f>
        <v>0</v>
      </c>
      <c r="E873" s="23" t="str">
        <f>IFERROR(__xludf.DUMMYFUNCTION("""COMPUTED_VALUE"""),"Easy")</f>
        <v>Easy</v>
      </c>
      <c r="F873" s="23">
        <f>IFERROR(__xludf.DUMMYFUNCTION("""COMPUTED_VALUE"""),1666.0)</f>
        <v>1666</v>
      </c>
      <c r="G873" s="23">
        <f>IFERROR(__xludf.DUMMYFUNCTION("""COMPUTED_VALUE"""),55.0)</f>
        <v>55</v>
      </c>
      <c r="H873" s="23" t="str">
        <f>IFERROR(__xludf.DUMMYFUNCTION("""COMPUTED_VALUE"""),"Algorithms")</f>
        <v>Algorithms</v>
      </c>
      <c r="I873" s="23">
        <f>IFERROR(__xludf.DUMMYFUNCTION("""COMPUTED_VALUE"""),0.65)</f>
        <v>0.65</v>
      </c>
      <c r="J873" s="23">
        <f>IFERROR(__xludf.DUMMYFUNCTION("""COMPUTED_VALUE"""),872.0)</f>
        <v>872</v>
      </c>
      <c r="K873" s="23" t="b">
        <f>IFERROR(__xludf.DUMMYFUNCTION("""COMPUTED_VALUE"""),FALSE)</f>
        <v>0</v>
      </c>
      <c r="L873" s="23" t="str">
        <f>IFERROR(__xludf.DUMMYFUNCTION("""COMPUTED_VALUE"""),"Tree;Depth-First Search;Binary Tree;")</f>
        <v>Tree;Depth-First Search;Binary Tree;</v>
      </c>
      <c r="M873" s="23" t="b">
        <f>IFERROR(__xludf.DUMMYFUNCTION("""COMPUTED_VALUE"""),TRUE)</f>
        <v>1</v>
      </c>
      <c r="N873" s="23" t="b">
        <f>IFERROR(__xludf.DUMMYFUNCTION("""COMPUTED_VALUE"""),FALSE)</f>
        <v>0</v>
      </c>
      <c r="O873" s="23">
        <f>IFERROR(__xludf.DUMMYFUNCTION("""COMPUTED_VALUE"""),64.960262083388)</f>
        <v>64.96026208</v>
      </c>
      <c r="P873" s="23">
        <f>IFERROR(__xludf.DUMMYFUNCTION("""COMPUTED_VALUE"""),163390.0)</f>
        <v>163390</v>
      </c>
      <c r="Q873" s="23">
        <f>IFERROR(__xludf.DUMMYFUNCTION("""COMPUTED_VALUE"""),251523.0)</f>
        <v>251523</v>
      </c>
    </row>
    <row r="874">
      <c r="A874" s="23">
        <f>IFERROR(__xludf.DUMMYFUNCTION("""COMPUTED_VALUE"""),905.0)</f>
        <v>905</v>
      </c>
      <c r="B874" s="23" t="str">
        <f>IFERROR(__xludf.DUMMYFUNCTION("""COMPUTED_VALUE"""),"Length of Longest Fibonacci Subsequence")</f>
        <v>Length of Longest Fibonacci Subsequence</v>
      </c>
      <c r="C874" s="23" t="str">
        <f>IFERROR(__xludf.DUMMYFUNCTION("""COMPUTED_VALUE"""),"length-of-longest-fibonacci-subsequence")</f>
        <v>length-of-longest-fibonacci-subsequence</v>
      </c>
      <c r="D874" s="23" t="b">
        <f>IFERROR(__xludf.DUMMYFUNCTION("""COMPUTED_VALUE"""),FALSE)</f>
        <v>0</v>
      </c>
      <c r="E874" s="23" t="str">
        <f>IFERROR(__xludf.DUMMYFUNCTION("""COMPUTED_VALUE"""),"Medium")</f>
        <v>Medium</v>
      </c>
      <c r="F874" s="23">
        <f>IFERROR(__xludf.DUMMYFUNCTION("""COMPUTED_VALUE"""),1413.0)</f>
        <v>1413</v>
      </c>
      <c r="G874" s="23">
        <f>IFERROR(__xludf.DUMMYFUNCTION("""COMPUTED_VALUE"""),50.0)</f>
        <v>50</v>
      </c>
      <c r="H874" s="23" t="str">
        <f>IFERROR(__xludf.DUMMYFUNCTION("""COMPUTED_VALUE"""),"Algorithms")</f>
        <v>Algorithms</v>
      </c>
      <c r="I874" s="23">
        <f>IFERROR(__xludf.DUMMYFUNCTION("""COMPUTED_VALUE"""),0.486)</f>
        <v>0.486</v>
      </c>
      <c r="J874" s="23">
        <f>IFERROR(__xludf.DUMMYFUNCTION("""COMPUTED_VALUE"""),873.0)</f>
        <v>873</v>
      </c>
      <c r="K874" s="23" t="b">
        <f>IFERROR(__xludf.DUMMYFUNCTION("""COMPUTED_VALUE"""),FALSE)</f>
        <v>0</v>
      </c>
      <c r="L874" s="23" t="str">
        <f>IFERROR(__xludf.DUMMYFUNCTION("""COMPUTED_VALUE"""),"Array;Hash Table;Dynamic Programming;")</f>
        <v>Array;Hash Table;Dynamic Programming;</v>
      </c>
      <c r="M874" s="23" t="b">
        <f>IFERROR(__xludf.DUMMYFUNCTION("""COMPUTED_VALUE"""),TRUE)</f>
        <v>1</v>
      </c>
      <c r="N874" s="23" t="b">
        <f>IFERROR(__xludf.DUMMYFUNCTION("""COMPUTED_VALUE"""),FALSE)</f>
        <v>0</v>
      </c>
      <c r="O874" s="23">
        <f>IFERROR(__xludf.DUMMYFUNCTION("""COMPUTED_VALUE"""),48.6234883863205)</f>
        <v>48.62348839</v>
      </c>
      <c r="P874" s="23">
        <f>IFERROR(__xludf.DUMMYFUNCTION("""COMPUTED_VALUE"""),47687.0)</f>
        <v>47687</v>
      </c>
      <c r="Q874" s="23">
        <f>IFERROR(__xludf.DUMMYFUNCTION("""COMPUTED_VALUE"""),98074.0)</f>
        <v>98074</v>
      </c>
    </row>
    <row r="875">
      <c r="A875" s="23">
        <f>IFERROR(__xludf.DUMMYFUNCTION("""COMPUTED_VALUE"""),906.0)</f>
        <v>906</v>
      </c>
      <c r="B875" s="23" t="str">
        <f>IFERROR(__xludf.DUMMYFUNCTION("""COMPUTED_VALUE"""),"Walking Robot Simulation")</f>
        <v>Walking Robot Simulation</v>
      </c>
      <c r="C875" s="23" t="str">
        <f>IFERROR(__xludf.DUMMYFUNCTION("""COMPUTED_VALUE"""),"walking-robot-simulation")</f>
        <v>walking-robot-simulation</v>
      </c>
      <c r="D875" s="23" t="b">
        <f>IFERROR(__xludf.DUMMYFUNCTION("""COMPUTED_VALUE"""),FALSE)</f>
        <v>0</v>
      </c>
      <c r="E875" s="23" t="str">
        <f>IFERROR(__xludf.DUMMYFUNCTION("""COMPUTED_VALUE"""),"Medium")</f>
        <v>Medium</v>
      </c>
      <c r="F875" s="23">
        <f>IFERROR(__xludf.DUMMYFUNCTION("""COMPUTED_VALUE"""),72.0)</f>
        <v>72</v>
      </c>
      <c r="G875" s="23">
        <f>IFERROR(__xludf.DUMMYFUNCTION("""COMPUTED_VALUE"""),13.0)</f>
        <v>13</v>
      </c>
      <c r="H875" s="23" t="str">
        <f>IFERROR(__xludf.DUMMYFUNCTION("""COMPUTED_VALUE"""),"Algorithms")</f>
        <v>Algorithms</v>
      </c>
      <c r="I875" s="23">
        <f>IFERROR(__xludf.DUMMYFUNCTION("""COMPUTED_VALUE"""),0.378)</f>
        <v>0.378</v>
      </c>
      <c r="J875" s="23">
        <f>IFERROR(__xludf.DUMMYFUNCTION("""COMPUTED_VALUE"""),874.0)</f>
        <v>874</v>
      </c>
      <c r="K875" s="23" t="b">
        <f>IFERROR(__xludf.DUMMYFUNCTION("""COMPUTED_VALUE"""),FALSE)</f>
        <v>0</v>
      </c>
      <c r="L875" s="23" t="str">
        <f>IFERROR(__xludf.DUMMYFUNCTION("""COMPUTED_VALUE"""),"Array;Simulation;")</f>
        <v>Array;Simulation;</v>
      </c>
      <c r="M875" s="23" t="b">
        <f>IFERROR(__xludf.DUMMYFUNCTION("""COMPUTED_VALUE"""),FALSE)</f>
        <v>0</v>
      </c>
      <c r="N875" s="23" t="b">
        <f>IFERROR(__xludf.DUMMYFUNCTION("""COMPUTED_VALUE"""),FALSE)</f>
        <v>0</v>
      </c>
      <c r="O875" s="23">
        <f>IFERROR(__xludf.DUMMYFUNCTION("""COMPUTED_VALUE"""),37.7628880728694)</f>
        <v>37.76288807</v>
      </c>
      <c r="P875" s="23">
        <f>IFERROR(__xludf.DUMMYFUNCTION("""COMPUTED_VALUE"""),31674.0)</f>
        <v>31674</v>
      </c>
      <c r="Q875" s="23">
        <f>IFERROR(__xludf.DUMMYFUNCTION("""COMPUTED_VALUE"""),83876.0)</f>
        <v>83876</v>
      </c>
    </row>
    <row r="876">
      <c r="A876" s="23">
        <f>IFERROR(__xludf.DUMMYFUNCTION("""COMPUTED_VALUE"""),907.0)</f>
        <v>907</v>
      </c>
      <c r="B876" s="23" t="str">
        <f>IFERROR(__xludf.DUMMYFUNCTION("""COMPUTED_VALUE"""),"Koko Eating Bananas")</f>
        <v>Koko Eating Bananas</v>
      </c>
      <c r="C876" s="23" t="str">
        <f>IFERROR(__xludf.DUMMYFUNCTION("""COMPUTED_VALUE"""),"koko-eating-bananas")</f>
        <v>koko-eating-bananas</v>
      </c>
      <c r="D876" s="23" t="b">
        <f>IFERROR(__xludf.DUMMYFUNCTION("""COMPUTED_VALUE"""),FALSE)</f>
        <v>0</v>
      </c>
      <c r="E876" s="23" t="str">
        <f>IFERROR(__xludf.DUMMYFUNCTION("""COMPUTED_VALUE"""),"Medium")</f>
        <v>Medium</v>
      </c>
      <c r="F876" s="23">
        <f>IFERROR(__xludf.DUMMYFUNCTION("""COMPUTED_VALUE"""),4032.0)</f>
        <v>4032</v>
      </c>
      <c r="G876" s="23">
        <f>IFERROR(__xludf.DUMMYFUNCTION("""COMPUTED_VALUE"""),180.0)</f>
        <v>180</v>
      </c>
      <c r="H876" s="23" t="str">
        <f>IFERROR(__xludf.DUMMYFUNCTION("""COMPUTED_VALUE"""),"Algorithms")</f>
        <v>Algorithms</v>
      </c>
      <c r="I876" s="23">
        <f>IFERROR(__xludf.DUMMYFUNCTION("""COMPUTED_VALUE"""),0.546)</f>
        <v>0.546</v>
      </c>
      <c r="J876" s="23">
        <f>IFERROR(__xludf.DUMMYFUNCTION("""COMPUTED_VALUE"""),875.0)</f>
        <v>875</v>
      </c>
      <c r="K876" s="23" t="b">
        <f>IFERROR(__xludf.DUMMYFUNCTION("""COMPUTED_VALUE"""),FALSE)</f>
        <v>0</v>
      </c>
      <c r="L876" s="23" t="str">
        <f>IFERROR(__xludf.DUMMYFUNCTION("""COMPUTED_VALUE"""),"Array;Binary Search;")</f>
        <v>Array;Binary Search;</v>
      </c>
      <c r="M876" s="23" t="b">
        <f>IFERROR(__xludf.DUMMYFUNCTION("""COMPUTED_VALUE"""),TRUE)</f>
        <v>1</v>
      </c>
      <c r="N876" s="23" t="b">
        <f>IFERROR(__xludf.DUMMYFUNCTION("""COMPUTED_VALUE"""),FALSE)</f>
        <v>0</v>
      </c>
      <c r="O876" s="23">
        <f>IFERROR(__xludf.DUMMYFUNCTION("""COMPUTED_VALUE"""),54.6125614880098)</f>
        <v>54.61256149</v>
      </c>
      <c r="P876" s="23">
        <f>IFERROR(__xludf.DUMMYFUNCTION("""COMPUTED_VALUE"""),170530.0)</f>
        <v>170530</v>
      </c>
      <c r="Q876" s="23">
        <f>IFERROR(__xludf.DUMMYFUNCTION("""COMPUTED_VALUE"""),312251.0)</f>
        <v>312251</v>
      </c>
    </row>
    <row r="877">
      <c r="A877" s="23">
        <f>IFERROR(__xludf.DUMMYFUNCTION("""COMPUTED_VALUE"""),908.0)</f>
        <v>908</v>
      </c>
      <c r="B877" s="23" t="str">
        <f>IFERROR(__xludf.DUMMYFUNCTION("""COMPUTED_VALUE"""),"Middle of the Linked List")</f>
        <v>Middle of the Linked List</v>
      </c>
      <c r="C877" s="23" t="str">
        <f>IFERROR(__xludf.DUMMYFUNCTION("""COMPUTED_VALUE"""),"middle-of-the-linked-list")</f>
        <v>middle-of-the-linked-list</v>
      </c>
      <c r="D877" s="23" t="b">
        <f>IFERROR(__xludf.DUMMYFUNCTION("""COMPUTED_VALUE"""),FALSE)</f>
        <v>0</v>
      </c>
      <c r="E877" s="23" t="str">
        <f>IFERROR(__xludf.DUMMYFUNCTION("""COMPUTED_VALUE"""),"Easy")</f>
        <v>Easy</v>
      </c>
      <c r="F877" s="23">
        <f>IFERROR(__xludf.DUMMYFUNCTION("""COMPUTED_VALUE"""),5192.0)</f>
        <v>5192</v>
      </c>
      <c r="G877" s="23">
        <f>IFERROR(__xludf.DUMMYFUNCTION("""COMPUTED_VALUE"""),131.0)</f>
        <v>131</v>
      </c>
      <c r="H877" s="23" t="str">
        <f>IFERROR(__xludf.DUMMYFUNCTION("""COMPUTED_VALUE"""),"Algorithms")</f>
        <v>Algorithms</v>
      </c>
      <c r="I877" s="23">
        <f>IFERROR(__xludf.DUMMYFUNCTION("""COMPUTED_VALUE"""),0.726)</f>
        <v>0.726</v>
      </c>
      <c r="J877" s="23">
        <f>IFERROR(__xludf.DUMMYFUNCTION("""COMPUTED_VALUE"""),876.0)</f>
        <v>876</v>
      </c>
      <c r="K877" s="23" t="b">
        <f>IFERROR(__xludf.DUMMYFUNCTION("""COMPUTED_VALUE"""),FALSE)</f>
        <v>0</v>
      </c>
      <c r="L877" s="23" t="str">
        <f>IFERROR(__xludf.DUMMYFUNCTION("""COMPUTED_VALUE"""),"Linked List;Two Pointers;")</f>
        <v>Linked List;Two Pointers;</v>
      </c>
      <c r="M877" s="23" t="b">
        <f>IFERROR(__xludf.DUMMYFUNCTION("""COMPUTED_VALUE"""),TRUE)</f>
        <v>1</v>
      </c>
      <c r="N877" s="23" t="b">
        <f>IFERROR(__xludf.DUMMYFUNCTION("""COMPUTED_VALUE"""),FALSE)</f>
        <v>0</v>
      </c>
      <c r="O877" s="23">
        <f>IFERROR(__xludf.DUMMYFUNCTION("""COMPUTED_VALUE"""),72.6172014316105)</f>
        <v>72.61720143</v>
      </c>
      <c r="P877" s="23">
        <f>IFERROR(__xludf.DUMMYFUNCTION("""COMPUTED_VALUE"""),637292.0)</f>
        <v>637292</v>
      </c>
      <c r="Q877" s="23">
        <f>IFERROR(__xludf.DUMMYFUNCTION("""COMPUTED_VALUE"""),877600.0)</f>
        <v>877600</v>
      </c>
    </row>
    <row r="878">
      <c r="A878" s="23">
        <f>IFERROR(__xludf.DUMMYFUNCTION("""COMPUTED_VALUE"""),909.0)</f>
        <v>909</v>
      </c>
      <c r="B878" s="23" t="str">
        <f>IFERROR(__xludf.DUMMYFUNCTION("""COMPUTED_VALUE"""),"Stone Game")</f>
        <v>Stone Game</v>
      </c>
      <c r="C878" s="23" t="str">
        <f>IFERROR(__xludf.DUMMYFUNCTION("""COMPUTED_VALUE"""),"stone-game")</f>
        <v>stone-game</v>
      </c>
      <c r="D878" s="23" t="b">
        <f>IFERROR(__xludf.DUMMYFUNCTION("""COMPUTED_VALUE"""),FALSE)</f>
        <v>0</v>
      </c>
      <c r="E878" s="23" t="str">
        <f>IFERROR(__xludf.DUMMYFUNCTION("""COMPUTED_VALUE"""),"Medium")</f>
        <v>Medium</v>
      </c>
      <c r="F878" s="23">
        <f>IFERROR(__xludf.DUMMYFUNCTION("""COMPUTED_VALUE"""),1955.0)</f>
        <v>1955</v>
      </c>
      <c r="G878" s="23">
        <f>IFERROR(__xludf.DUMMYFUNCTION("""COMPUTED_VALUE"""),2005.0)</f>
        <v>2005</v>
      </c>
      <c r="H878" s="23" t="str">
        <f>IFERROR(__xludf.DUMMYFUNCTION("""COMPUTED_VALUE"""),"Algorithms")</f>
        <v>Algorithms</v>
      </c>
      <c r="I878" s="23">
        <f>IFERROR(__xludf.DUMMYFUNCTION("""COMPUTED_VALUE"""),0.691)</f>
        <v>0.691</v>
      </c>
      <c r="J878" s="23">
        <f>IFERROR(__xludf.DUMMYFUNCTION("""COMPUTED_VALUE"""),877.0)</f>
        <v>877</v>
      </c>
      <c r="K878" s="23" t="b">
        <f>IFERROR(__xludf.DUMMYFUNCTION("""COMPUTED_VALUE"""),FALSE)</f>
        <v>0</v>
      </c>
      <c r="L878" s="23" t="str">
        <f>IFERROR(__xludf.DUMMYFUNCTION("""COMPUTED_VALUE"""),"Array;Math;Dynamic Programming;Game Theory;")</f>
        <v>Array;Math;Dynamic Programming;Game Theory;</v>
      </c>
      <c r="M878" s="23" t="b">
        <f>IFERROR(__xludf.DUMMYFUNCTION("""COMPUTED_VALUE"""),TRUE)</f>
        <v>1</v>
      </c>
      <c r="N878" s="23" t="b">
        <f>IFERROR(__xludf.DUMMYFUNCTION("""COMPUTED_VALUE"""),FALSE)</f>
        <v>0</v>
      </c>
      <c r="O878" s="23">
        <f>IFERROR(__xludf.DUMMYFUNCTION("""COMPUTED_VALUE"""),69.1467668969863)</f>
        <v>69.1467669</v>
      </c>
      <c r="P878" s="23">
        <f>IFERROR(__xludf.DUMMYFUNCTION("""COMPUTED_VALUE"""),153613.0)</f>
        <v>153613</v>
      </c>
      <c r="Q878" s="23">
        <f>IFERROR(__xludf.DUMMYFUNCTION("""COMPUTED_VALUE"""),222155.0)</f>
        <v>222155</v>
      </c>
    </row>
    <row r="879">
      <c r="A879" s="23">
        <f>IFERROR(__xludf.DUMMYFUNCTION("""COMPUTED_VALUE"""),910.0)</f>
        <v>910</v>
      </c>
      <c r="B879" s="23" t="str">
        <f>IFERROR(__xludf.DUMMYFUNCTION("""COMPUTED_VALUE"""),"Nth Magical Number")</f>
        <v>Nth Magical Number</v>
      </c>
      <c r="C879" s="23" t="str">
        <f>IFERROR(__xludf.DUMMYFUNCTION("""COMPUTED_VALUE"""),"nth-magical-number")</f>
        <v>nth-magical-number</v>
      </c>
      <c r="D879" s="23" t="b">
        <f>IFERROR(__xludf.DUMMYFUNCTION("""COMPUTED_VALUE"""),FALSE)</f>
        <v>0</v>
      </c>
      <c r="E879" s="23" t="str">
        <f>IFERROR(__xludf.DUMMYFUNCTION("""COMPUTED_VALUE"""),"Hard")</f>
        <v>Hard</v>
      </c>
      <c r="F879" s="23">
        <f>IFERROR(__xludf.DUMMYFUNCTION("""COMPUTED_VALUE"""),965.0)</f>
        <v>965</v>
      </c>
      <c r="G879" s="23">
        <f>IFERROR(__xludf.DUMMYFUNCTION("""COMPUTED_VALUE"""),135.0)</f>
        <v>135</v>
      </c>
      <c r="H879" s="23" t="str">
        <f>IFERROR(__xludf.DUMMYFUNCTION("""COMPUTED_VALUE"""),"Algorithms")</f>
        <v>Algorithms</v>
      </c>
      <c r="I879" s="23">
        <f>IFERROR(__xludf.DUMMYFUNCTION("""COMPUTED_VALUE"""),0.358)</f>
        <v>0.358</v>
      </c>
      <c r="J879" s="23">
        <f>IFERROR(__xludf.DUMMYFUNCTION("""COMPUTED_VALUE"""),878.0)</f>
        <v>878</v>
      </c>
      <c r="K879" s="23" t="b">
        <f>IFERROR(__xludf.DUMMYFUNCTION("""COMPUTED_VALUE"""),FALSE)</f>
        <v>0</v>
      </c>
      <c r="L879" s="23" t="str">
        <f>IFERROR(__xludf.DUMMYFUNCTION("""COMPUTED_VALUE"""),"Math;Binary Search;")</f>
        <v>Math;Binary Search;</v>
      </c>
      <c r="M879" s="23" t="b">
        <f>IFERROR(__xludf.DUMMYFUNCTION("""COMPUTED_VALUE"""),TRUE)</f>
        <v>1</v>
      </c>
      <c r="N879" s="23" t="b">
        <f>IFERROR(__xludf.DUMMYFUNCTION("""COMPUTED_VALUE"""),FALSE)</f>
        <v>0</v>
      </c>
      <c r="O879" s="23">
        <f>IFERROR(__xludf.DUMMYFUNCTION("""COMPUTED_VALUE"""),35.7864269750741)</f>
        <v>35.78642698</v>
      </c>
      <c r="P879" s="23">
        <f>IFERROR(__xludf.DUMMYFUNCTION("""COMPUTED_VALUE"""),29303.0)</f>
        <v>29303</v>
      </c>
      <c r="Q879" s="23">
        <f>IFERROR(__xludf.DUMMYFUNCTION("""COMPUTED_VALUE"""),81883.0)</f>
        <v>81883</v>
      </c>
    </row>
    <row r="880">
      <c r="A880" s="23">
        <f>IFERROR(__xludf.DUMMYFUNCTION("""COMPUTED_VALUE"""),911.0)</f>
        <v>911</v>
      </c>
      <c r="B880" s="23" t="str">
        <f>IFERROR(__xludf.DUMMYFUNCTION("""COMPUTED_VALUE"""),"Profitable Schemes")</f>
        <v>Profitable Schemes</v>
      </c>
      <c r="C880" s="23" t="str">
        <f>IFERROR(__xludf.DUMMYFUNCTION("""COMPUTED_VALUE"""),"profitable-schemes")</f>
        <v>profitable-schemes</v>
      </c>
      <c r="D880" s="23" t="b">
        <f>IFERROR(__xludf.DUMMYFUNCTION("""COMPUTED_VALUE"""),FALSE)</f>
        <v>0</v>
      </c>
      <c r="E880" s="23" t="str">
        <f>IFERROR(__xludf.DUMMYFUNCTION("""COMPUTED_VALUE"""),"Hard")</f>
        <v>Hard</v>
      </c>
      <c r="F880" s="23">
        <f>IFERROR(__xludf.DUMMYFUNCTION("""COMPUTED_VALUE"""),444.0)</f>
        <v>444</v>
      </c>
      <c r="G880" s="23">
        <f>IFERROR(__xludf.DUMMYFUNCTION("""COMPUTED_VALUE"""),40.0)</f>
        <v>40</v>
      </c>
      <c r="H880" s="23" t="str">
        <f>IFERROR(__xludf.DUMMYFUNCTION("""COMPUTED_VALUE"""),"Algorithms")</f>
        <v>Algorithms</v>
      </c>
      <c r="I880" s="23">
        <f>IFERROR(__xludf.DUMMYFUNCTION("""COMPUTED_VALUE"""),0.407)</f>
        <v>0.407</v>
      </c>
      <c r="J880" s="23">
        <f>IFERROR(__xludf.DUMMYFUNCTION("""COMPUTED_VALUE"""),879.0)</f>
        <v>879</v>
      </c>
      <c r="K880" s="23" t="b">
        <f>IFERROR(__xludf.DUMMYFUNCTION("""COMPUTED_VALUE"""),FALSE)</f>
        <v>0</v>
      </c>
      <c r="L880" s="23" t="str">
        <f>IFERROR(__xludf.DUMMYFUNCTION("""COMPUTED_VALUE"""),"Array;Dynamic Programming;")</f>
        <v>Array;Dynamic Programming;</v>
      </c>
      <c r="M880" s="23" t="b">
        <f>IFERROR(__xludf.DUMMYFUNCTION("""COMPUTED_VALUE"""),TRUE)</f>
        <v>1</v>
      </c>
      <c r="N880" s="23" t="b">
        <f>IFERROR(__xludf.DUMMYFUNCTION("""COMPUTED_VALUE"""),FALSE)</f>
        <v>0</v>
      </c>
      <c r="O880" s="23">
        <f>IFERROR(__xludf.DUMMYFUNCTION("""COMPUTED_VALUE"""),40.6507424856048)</f>
        <v>40.65074249</v>
      </c>
      <c r="P880" s="23">
        <f>IFERROR(__xludf.DUMMYFUNCTION("""COMPUTED_VALUE"""),14755.0)</f>
        <v>14755</v>
      </c>
      <c r="Q880" s="23">
        <f>IFERROR(__xludf.DUMMYFUNCTION("""COMPUTED_VALUE"""),36297.0)</f>
        <v>36297</v>
      </c>
    </row>
    <row r="881">
      <c r="A881" s="23">
        <f>IFERROR(__xludf.DUMMYFUNCTION("""COMPUTED_VALUE"""),916.0)</f>
        <v>916</v>
      </c>
      <c r="B881" s="23" t="str">
        <f>IFERROR(__xludf.DUMMYFUNCTION("""COMPUTED_VALUE"""),"Decoded String at Index")</f>
        <v>Decoded String at Index</v>
      </c>
      <c r="C881" s="23" t="str">
        <f>IFERROR(__xludf.DUMMYFUNCTION("""COMPUTED_VALUE"""),"decoded-string-at-index")</f>
        <v>decoded-string-at-index</v>
      </c>
      <c r="D881" s="23" t="b">
        <f>IFERROR(__xludf.DUMMYFUNCTION("""COMPUTED_VALUE"""),FALSE)</f>
        <v>0</v>
      </c>
      <c r="E881" s="23" t="str">
        <f>IFERROR(__xludf.DUMMYFUNCTION("""COMPUTED_VALUE"""),"Medium")</f>
        <v>Medium</v>
      </c>
      <c r="F881" s="23">
        <f>IFERROR(__xludf.DUMMYFUNCTION("""COMPUTED_VALUE"""),1143.0)</f>
        <v>1143</v>
      </c>
      <c r="G881" s="23">
        <f>IFERROR(__xludf.DUMMYFUNCTION("""COMPUTED_VALUE"""),187.0)</f>
        <v>187</v>
      </c>
      <c r="H881" s="23" t="str">
        <f>IFERROR(__xludf.DUMMYFUNCTION("""COMPUTED_VALUE"""),"Algorithms")</f>
        <v>Algorithms</v>
      </c>
      <c r="I881" s="23">
        <f>IFERROR(__xludf.DUMMYFUNCTION("""COMPUTED_VALUE"""),0.283)</f>
        <v>0.283</v>
      </c>
      <c r="J881" s="23">
        <f>IFERROR(__xludf.DUMMYFUNCTION("""COMPUTED_VALUE"""),880.0)</f>
        <v>880</v>
      </c>
      <c r="K881" s="23" t="b">
        <f>IFERROR(__xludf.DUMMYFUNCTION("""COMPUTED_VALUE"""),FALSE)</f>
        <v>0</v>
      </c>
      <c r="L881" s="23" t="str">
        <f>IFERROR(__xludf.DUMMYFUNCTION("""COMPUTED_VALUE"""),"String;Stack;")</f>
        <v>String;Stack;</v>
      </c>
      <c r="M881" s="23" t="b">
        <f>IFERROR(__xludf.DUMMYFUNCTION("""COMPUTED_VALUE"""),TRUE)</f>
        <v>1</v>
      </c>
      <c r="N881" s="23" t="b">
        <f>IFERROR(__xludf.DUMMYFUNCTION("""COMPUTED_VALUE"""),FALSE)</f>
        <v>0</v>
      </c>
      <c r="O881" s="23">
        <f>IFERROR(__xludf.DUMMYFUNCTION("""COMPUTED_VALUE"""),28.2937456915993)</f>
        <v>28.29374569</v>
      </c>
      <c r="P881" s="23">
        <f>IFERROR(__xludf.DUMMYFUNCTION("""COMPUTED_VALUE"""),33246.0)</f>
        <v>33246</v>
      </c>
      <c r="Q881" s="23">
        <f>IFERROR(__xludf.DUMMYFUNCTION("""COMPUTED_VALUE"""),117503.0)</f>
        <v>117503</v>
      </c>
    </row>
    <row r="882">
      <c r="A882" s="23">
        <f>IFERROR(__xludf.DUMMYFUNCTION("""COMPUTED_VALUE"""),917.0)</f>
        <v>917</v>
      </c>
      <c r="B882" s="23" t="str">
        <f>IFERROR(__xludf.DUMMYFUNCTION("""COMPUTED_VALUE"""),"Boats to Save People")</f>
        <v>Boats to Save People</v>
      </c>
      <c r="C882" s="23" t="str">
        <f>IFERROR(__xludf.DUMMYFUNCTION("""COMPUTED_VALUE"""),"boats-to-save-people")</f>
        <v>boats-to-save-people</v>
      </c>
      <c r="D882" s="23" t="b">
        <f>IFERROR(__xludf.DUMMYFUNCTION("""COMPUTED_VALUE"""),FALSE)</f>
        <v>0</v>
      </c>
      <c r="E882" s="23" t="str">
        <f>IFERROR(__xludf.DUMMYFUNCTION("""COMPUTED_VALUE"""),"Medium")</f>
        <v>Medium</v>
      </c>
      <c r="F882" s="23">
        <f>IFERROR(__xludf.DUMMYFUNCTION("""COMPUTED_VALUE"""),2993.0)</f>
        <v>2993</v>
      </c>
      <c r="G882" s="23">
        <f>IFERROR(__xludf.DUMMYFUNCTION("""COMPUTED_VALUE"""),79.0)</f>
        <v>79</v>
      </c>
      <c r="H882" s="23" t="str">
        <f>IFERROR(__xludf.DUMMYFUNCTION("""COMPUTED_VALUE"""),"Algorithms")</f>
        <v>Algorithms</v>
      </c>
      <c r="I882" s="23">
        <f>IFERROR(__xludf.DUMMYFUNCTION("""COMPUTED_VALUE"""),0.525)</f>
        <v>0.525</v>
      </c>
      <c r="J882" s="23">
        <f>IFERROR(__xludf.DUMMYFUNCTION("""COMPUTED_VALUE"""),881.0)</f>
        <v>881</v>
      </c>
      <c r="K882" s="23" t="b">
        <f>IFERROR(__xludf.DUMMYFUNCTION("""COMPUTED_VALUE"""),FALSE)</f>
        <v>0</v>
      </c>
      <c r="L882" s="23" t="str">
        <f>IFERROR(__xludf.DUMMYFUNCTION("""COMPUTED_VALUE"""),"Array;Two Pointers;Greedy;Sorting;")</f>
        <v>Array;Two Pointers;Greedy;Sorting;</v>
      </c>
      <c r="M882" s="23" t="b">
        <f>IFERROR(__xludf.DUMMYFUNCTION("""COMPUTED_VALUE"""),TRUE)</f>
        <v>1</v>
      </c>
      <c r="N882" s="23" t="b">
        <f>IFERROR(__xludf.DUMMYFUNCTION("""COMPUTED_VALUE"""),FALSE)</f>
        <v>0</v>
      </c>
      <c r="O882" s="23">
        <f>IFERROR(__xludf.DUMMYFUNCTION("""COMPUTED_VALUE"""),52.4608041123554)</f>
        <v>52.46080411</v>
      </c>
      <c r="P882" s="23">
        <f>IFERROR(__xludf.DUMMYFUNCTION("""COMPUTED_VALUE"""),142877.0)</f>
        <v>142877</v>
      </c>
      <c r="Q882" s="23">
        <f>IFERROR(__xludf.DUMMYFUNCTION("""COMPUTED_VALUE"""),272350.0)</f>
        <v>272350</v>
      </c>
    </row>
    <row r="883">
      <c r="A883" s="23">
        <f>IFERROR(__xludf.DUMMYFUNCTION("""COMPUTED_VALUE"""),918.0)</f>
        <v>918</v>
      </c>
      <c r="B883" s="23" t="str">
        <f>IFERROR(__xludf.DUMMYFUNCTION("""COMPUTED_VALUE"""),"Reachable Nodes In Subdivided Graph")</f>
        <v>Reachable Nodes In Subdivided Graph</v>
      </c>
      <c r="C883" s="23" t="str">
        <f>IFERROR(__xludf.DUMMYFUNCTION("""COMPUTED_VALUE"""),"reachable-nodes-in-subdivided-graph")</f>
        <v>reachable-nodes-in-subdivided-graph</v>
      </c>
      <c r="D883" s="23" t="b">
        <f>IFERROR(__xludf.DUMMYFUNCTION("""COMPUTED_VALUE"""),FALSE)</f>
        <v>0</v>
      </c>
      <c r="E883" s="23" t="str">
        <f>IFERROR(__xludf.DUMMYFUNCTION("""COMPUTED_VALUE"""),"Hard")</f>
        <v>Hard</v>
      </c>
      <c r="F883" s="23">
        <f>IFERROR(__xludf.DUMMYFUNCTION("""COMPUTED_VALUE"""),525.0)</f>
        <v>525</v>
      </c>
      <c r="G883" s="23">
        <f>IFERROR(__xludf.DUMMYFUNCTION("""COMPUTED_VALUE"""),199.0)</f>
        <v>199</v>
      </c>
      <c r="H883" s="23" t="str">
        <f>IFERROR(__xludf.DUMMYFUNCTION("""COMPUTED_VALUE"""),"Algorithms")</f>
        <v>Algorithms</v>
      </c>
      <c r="I883" s="23">
        <f>IFERROR(__xludf.DUMMYFUNCTION("""COMPUTED_VALUE"""),0.5)</f>
        <v>0.5</v>
      </c>
      <c r="J883" s="23">
        <f>IFERROR(__xludf.DUMMYFUNCTION("""COMPUTED_VALUE"""),882.0)</f>
        <v>882</v>
      </c>
      <c r="K883" s="23" t="b">
        <f>IFERROR(__xludf.DUMMYFUNCTION("""COMPUTED_VALUE"""),FALSE)</f>
        <v>0</v>
      </c>
      <c r="L883" s="23" t="str">
        <f>IFERROR(__xludf.DUMMYFUNCTION("""COMPUTED_VALUE"""),"Graph;Heap (Priority Queue);Shortest Path;")</f>
        <v>Graph;Heap (Priority Queue);Shortest Path;</v>
      </c>
      <c r="M883" s="23" t="b">
        <f>IFERROR(__xludf.DUMMYFUNCTION("""COMPUTED_VALUE"""),TRUE)</f>
        <v>1</v>
      </c>
      <c r="N883" s="23" t="b">
        <f>IFERROR(__xludf.DUMMYFUNCTION("""COMPUTED_VALUE"""),FALSE)</f>
        <v>0</v>
      </c>
      <c r="O883" s="23">
        <f>IFERROR(__xludf.DUMMYFUNCTION("""COMPUTED_VALUE"""),49.9530910527355)</f>
        <v>49.95309105</v>
      </c>
      <c r="P883" s="23">
        <f>IFERROR(__xludf.DUMMYFUNCTION("""COMPUTED_VALUE"""),20233.0)</f>
        <v>20233</v>
      </c>
      <c r="Q883" s="23">
        <f>IFERROR(__xludf.DUMMYFUNCTION("""COMPUTED_VALUE"""),40504.0)</f>
        <v>40504</v>
      </c>
    </row>
    <row r="884">
      <c r="A884" s="23">
        <f>IFERROR(__xludf.DUMMYFUNCTION("""COMPUTED_VALUE"""),919.0)</f>
        <v>919</v>
      </c>
      <c r="B884" s="23" t="str">
        <f>IFERROR(__xludf.DUMMYFUNCTION("""COMPUTED_VALUE"""),"Projection Area of 3D Shapes")</f>
        <v>Projection Area of 3D Shapes</v>
      </c>
      <c r="C884" s="23" t="str">
        <f>IFERROR(__xludf.DUMMYFUNCTION("""COMPUTED_VALUE"""),"projection-area-of-3d-shapes")</f>
        <v>projection-area-of-3d-shapes</v>
      </c>
      <c r="D884" s="23" t="b">
        <f>IFERROR(__xludf.DUMMYFUNCTION("""COMPUTED_VALUE"""),FALSE)</f>
        <v>0</v>
      </c>
      <c r="E884" s="23" t="str">
        <f>IFERROR(__xludf.DUMMYFUNCTION("""COMPUTED_VALUE"""),"Easy")</f>
        <v>Easy</v>
      </c>
      <c r="F884" s="23">
        <f>IFERROR(__xludf.DUMMYFUNCTION("""COMPUTED_VALUE"""),393.0)</f>
        <v>393</v>
      </c>
      <c r="G884" s="23">
        <f>IFERROR(__xludf.DUMMYFUNCTION("""COMPUTED_VALUE"""),1142.0)</f>
        <v>1142</v>
      </c>
      <c r="H884" s="23" t="str">
        <f>IFERROR(__xludf.DUMMYFUNCTION("""COMPUTED_VALUE"""),"Algorithms")</f>
        <v>Algorithms</v>
      </c>
      <c r="I884" s="23">
        <f>IFERROR(__xludf.DUMMYFUNCTION("""COMPUTED_VALUE"""),0.701)</f>
        <v>0.701</v>
      </c>
      <c r="J884" s="23">
        <f>IFERROR(__xludf.DUMMYFUNCTION("""COMPUTED_VALUE"""),883.0)</f>
        <v>883</v>
      </c>
      <c r="K884" s="23" t="b">
        <f>IFERROR(__xludf.DUMMYFUNCTION("""COMPUTED_VALUE"""),FALSE)</f>
        <v>0</v>
      </c>
      <c r="L884" s="23" t="str">
        <f>IFERROR(__xludf.DUMMYFUNCTION("""COMPUTED_VALUE"""),"Array;Math;Geometry;Matrix;")</f>
        <v>Array;Math;Geometry;Matrix;</v>
      </c>
      <c r="M884" s="23" t="b">
        <f>IFERROR(__xludf.DUMMYFUNCTION("""COMPUTED_VALUE"""),TRUE)</f>
        <v>1</v>
      </c>
      <c r="N884" s="23" t="b">
        <f>IFERROR(__xludf.DUMMYFUNCTION("""COMPUTED_VALUE"""),FALSE)</f>
        <v>0</v>
      </c>
      <c r="O884" s="23">
        <f>IFERROR(__xludf.DUMMYFUNCTION("""COMPUTED_VALUE"""),70.0864773062059)</f>
        <v>70.08647731</v>
      </c>
      <c r="P884" s="23">
        <f>IFERROR(__xludf.DUMMYFUNCTION("""COMPUTED_VALUE"""),40442.0)</f>
        <v>40442</v>
      </c>
      <c r="Q884" s="23">
        <f>IFERROR(__xludf.DUMMYFUNCTION("""COMPUTED_VALUE"""),57703.0)</f>
        <v>57703</v>
      </c>
    </row>
    <row r="885">
      <c r="A885" s="23">
        <f>IFERROR(__xludf.DUMMYFUNCTION("""COMPUTED_VALUE"""),920.0)</f>
        <v>920</v>
      </c>
      <c r="B885" s="23" t="str">
        <f>IFERROR(__xludf.DUMMYFUNCTION("""COMPUTED_VALUE"""),"Uncommon Words from Two Sentences")</f>
        <v>Uncommon Words from Two Sentences</v>
      </c>
      <c r="C885" s="23" t="str">
        <f>IFERROR(__xludf.DUMMYFUNCTION("""COMPUTED_VALUE"""),"uncommon-words-from-two-sentences")</f>
        <v>uncommon-words-from-two-sentences</v>
      </c>
      <c r="D885" s="23" t="b">
        <f>IFERROR(__xludf.DUMMYFUNCTION("""COMPUTED_VALUE"""),FALSE)</f>
        <v>0</v>
      </c>
      <c r="E885" s="23" t="str">
        <f>IFERROR(__xludf.DUMMYFUNCTION("""COMPUTED_VALUE"""),"Easy")</f>
        <v>Easy</v>
      </c>
      <c r="F885" s="23">
        <f>IFERROR(__xludf.DUMMYFUNCTION("""COMPUTED_VALUE"""),907.0)</f>
        <v>907</v>
      </c>
      <c r="G885" s="23">
        <f>IFERROR(__xludf.DUMMYFUNCTION("""COMPUTED_VALUE"""),138.0)</f>
        <v>138</v>
      </c>
      <c r="H885" s="23" t="str">
        <f>IFERROR(__xludf.DUMMYFUNCTION("""COMPUTED_VALUE"""),"Algorithms")</f>
        <v>Algorithms</v>
      </c>
      <c r="I885" s="23">
        <f>IFERROR(__xludf.DUMMYFUNCTION("""COMPUTED_VALUE"""),0.656)</f>
        <v>0.656</v>
      </c>
      <c r="J885" s="23">
        <f>IFERROR(__xludf.DUMMYFUNCTION("""COMPUTED_VALUE"""),884.0)</f>
        <v>884</v>
      </c>
      <c r="K885" s="23" t="b">
        <f>IFERROR(__xludf.DUMMYFUNCTION("""COMPUTED_VALUE"""),FALSE)</f>
        <v>0</v>
      </c>
      <c r="L885" s="23" t="str">
        <f>IFERROR(__xludf.DUMMYFUNCTION("""COMPUTED_VALUE"""),"Hash Table;String;")</f>
        <v>Hash Table;String;</v>
      </c>
      <c r="M885" s="23" t="b">
        <f>IFERROR(__xludf.DUMMYFUNCTION("""COMPUTED_VALUE"""),TRUE)</f>
        <v>1</v>
      </c>
      <c r="N885" s="23" t="b">
        <f>IFERROR(__xludf.DUMMYFUNCTION("""COMPUTED_VALUE"""),FALSE)</f>
        <v>0</v>
      </c>
      <c r="O885" s="23">
        <f>IFERROR(__xludf.DUMMYFUNCTION("""COMPUTED_VALUE"""),65.5511584644004)</f>
        <v>65.55115846</v>
      </c>
      <c r="P885" s="23">
        <f>IFERROR(__xludf.DUMMYFUNCTION("""COMPUTED_VALUE"""),96900.0)</f>
        <v>96900</v>
      </c>
      <c r="Q885" s="23">
        <f>IFERROR(__xludf.DUMMYFUNCTION("""COMPUTED_VALUE"""),147824.0)</f>
        <v>147824</v>
      </c>
    </row>
    <row r="886">
      <c r="A886" s="23">
        <f>IFERROR(__xludf.DUMMYFUNCTION("""COMPUTED_VALUE"""),921.0)</f>
        <v>921</v>
      </c>
      <c r="B886" s="23" t="str">
        <f>IFERROR(__xludf.DUMMYFUNCTION("""COMPUTED_VALUE"""),"Spiral Matrix III")</f>
        <v>Spiral Matrix III</v>
      </c>
      <c r="C886" s="23" t="str">
        <f>IFERROR(__xludf.DUMMYFUNCTION("""COMPUTED_VALUE"""),"spiral-matrix-iii")</f>
        <v>spiral-matrix-iii</v>
      </c>
      <c r="D886" s="23" t="b">
        <f>IFERROR(__xludf.DUMMYFUNCTION("""COMPUTED_VALUE"""),FALSE)</f>
        <v>0</v>
      </c>
      <c r="E886" s="23" t="str">
        <f>IFERROR(__xludf.DUMMYFUNCTION("""COMPUTED_VALUE"""),"Medium")</f>
        <v>Medium</v>
      </c>
      <c r="F886" s="23">
        <f>IFERROR(__xludf.DUMMYFUNCTION("""COMPUTED_VALUE"""),517.0)</f>
        <v>517</v>
      </c>
      <c r="G886" s="23">
        <f>IFERROR(__xludf.DUMMYFUNCTION("""COMPUTED_VALUE"""),570.0)</f>
        <v>570</v>
      </c>
      <c r="H886" s="23" t="str">
        <f>IFERROR(__xludf.DUMMYFUNCTION("""COMPUTED_VALUE"""),"Algorithms")</f>
        <v>Algorithms</v>
      </c>
      <c r="I886" s="23">
        <f>IFERROR(__xludf.DUMMYFUNCTION("""COMPUTED_VALUE"""),0.724)</f>
        <v>0.724</v>
      </c>
      <c r="J886" s="23">
        <f>IFERROR(__xludf.DUMMYFUNCTION("""COMPUTED_VALUE"""),885.0)</f>
        <v>885</v>
      </c>
      <c r="K886" s="23" t="b">
        <f>IFERROR(__xludf.DUMMYFUNCTION("""COMPUTED_VALUE"""),FALSE)</f>
        <v>0</v>
      </c>
      <c r="L886" s="23" t="str">
        <f>IFERROR(__xludf.DUMMYFUNCTION("""COMPUTED_VALUE"""),"Array;Matrix;Simulation;")</f>
        <v>Array;Matrix;Simulation;</v>
      </c>
      <c r="M886" s="23" t="b">
        <f>IFERROR(__xludf.DUMMYFUNCTION("""COMPUTED_VALUE"""),TRUE)</f>
        <v>1</v>
      </c>
      <c r="N886" s="23" t="b">
        <f>IFERROR(__xludf.DUMMYFUNCTION("""COMPUTED_VALUE"""),FALSE)</f>
        <v>0</v>
      </c>
      <c r="O886" s="23">
        <f>IFERROR(__xludf.DUMMYFUNCTION("""COMPUTED_VALUE"""),72.4208029815348)</f>
        <v>72.42080298</v>
      </c>
      <c r="P886" s="23">
        <f>IFERROR(__xludf.DUMMYFUNCTION("""COMPUTED_VALUE"""),34200.0)</f>
        <v>34200</v>
      </c>
      <c r="Q886" s="23">
        <f>IFERROR(__xludf.DUMMYFUNCTION("""COMPUTED_VALUE"""),47224.0)</f>
        <v>47224</v>
      </c>
    </row>
    <row r="887">
      <c r="A887" s="23">
        <f>IFERROR(__xludf.DUMMYFUNCTION("""COMPUTED_VALUE"""),922.0)</f>
        <v>922</v>
      </c>
      <c r="B887" s="23" t="str">
        <f>IFERROR(__xludf.DUMMYFUNCTION("""COMPUTED_VALUE"""),"Possible Bipartition")</f>
        <v>Possible Bipartition</v>
      </c>
      <c r="C887" s="23" t="str">
        <f>IFERROR(__xludf.DUMMYFUNCTION("""COMPUTED_VALUE"""),"possible-bipartition")</f>
        <v>possible-bipartition</v>
      </c>
      <c r="D887" s="23" t="b">
        <f>IFERROR(__xludf.DUMMYFUNCTION("""COMPUTED_VALUE"""),FALSE)</f>
        <v>0</v>
      </c>
      <c r="E887" s="23" t="str">
        <f>IFERROR(__xludf.DUMMYFUNCTION("""COMPUTED_VALUE"""),"Medium")</f>
        <v>Medium</v>
      </c>
      <c r="F887" s="23">
        <f>IFERROR(__xludf.DUMMYFUNCTION("""COMPUTED_VALUE"""),2261.0)</f>
        <v>2261</v>
      </c>
      <c r="G887" s="23">
        <f>IFERROR(__xludf.DUMMYFUNCTION("""COMPUTED_VALUE"""),52.0)</f>
        <v>52</v>
      </c>
      <c r="H887" s="23" t="str">
        <f>IFERROR(__xludf.DUMMYFUNCTION("""COMPUTED_VALUE"""),"Algorithms")</f>
        <v>Algorithms</v>
      </c>
      <c r="I887" s="23">
        <f>IFERROR(__xludf.DUMMYFUNCTION("""COMPUTED_VALUE"""),0.473)</f>
        <v>0.473</v>
      </c>
      <c r="J887" s="23">
        <f>IFERROR(__xludf.DUMMYFUNCTION("""COMPUTED_VALUE"""),886.0)</f>
        <v>886</v>
      </c>
      <c r="K887" s="23" t="b">
        <f>IFERROR(__xludf.DUMMYFUNCTION("""COMPUTED_VALUE"""),FALSE)</f>
        <v>0</v>
      </c>
      <c r="L887" s="23" t="str">
        <f>IFERROR(__xludf.DUMMYFUNCTION("""COMPUTED_VALUE"""),"Depth-First Search;Breadth-First Search;Union Find;Graph;")</f>
        <v>Depth-First Search;Breadth-First Search;Union Find;Graph;</v>
      </c>
      <c r="M887" s="23" t="b">
        <f>IFERROR(__xludf.DUMMYFUNCTION("""COMPUTED_VALUE"""),FALSE)</f>
        <v>0</v>
      </c>
      <c r="N887" s="23" t="b">
        <f>IFERROR(__xludf.DUMMYFUNCTION("""COMPUTED_VALUE"""),FALSE)</f>
        <v>0</v>
      </c>
      <c r="O887" s="23">
        <f>IFERROR(__xludf.DUMMYFUNCTION("""COMPUTED_VALUE"""),47.309312539213)</f>
        <v>47.30931254</v>
      </c>
      <c r="P887" s="23">
        <f>IFERROR(__xludf.DUMMYFUNCTION("""COMPUTED_VALUE"""),105566.0)</f>
        <v>105566</v>
      </c>
      <c r="Q887" s="23">
        <f>IFERROR(__xludf.DUMMYFUNCTION("""COMPUTED_VALUE"""),223140.0)</f>
        <v>223140</v>
      </c>
    </row>
    <row r="888">
      <c r="A888" s="23">
        <f>IFERROR(__xludf.DUMMYFUNCTION("""COMPUTED_VALUE"""),923.0)</f>
        <v>923</v>
      </c>
      <c r="B888" s="23" t="str">
        <f>IFERROR(__xludf.DUMMYFUNCTION("""COMPUTED_VALUE"""),"Super Egg Drop")</f>
        <v>Super Egg Drop</v>
      </c>
      <c r="C888" s="23" t="str">
        <f>IFERROR(__xludf.DUMMYFUNCTION("""COMPUTED_VALUE"""),"super-egg-drop")</f>
        <v>super-egg-drop</v>
      </c>
      <c r="D888" s="23" t="b">
        <f>IFERROR(__xludf.DUMMYFUNCTION("""COMPUTED_VALUE"""),FALSE)</f>
        <v>0</v>
      </c>
      <c r="E888" s="23" t="str">
        <f>IFERROR(__xludf.DUMMYFUNCTION("""COMPUTED_VALUE"""),"Hard")</f>
        <v>Hard</v>
      </c>
      <c r="F888" s="23">
        <f>IFERROR(__xludf.DUMMYFUNCTION("""COMPUTED_VALUE"""),2359.0)</f>
        <v>2359</v>
      </c>
      <c r="G888" s="23">
        <f>IFERROR(__xludf.DUMMYFUNCTION("""COMPUTED_VALUE"""),129.0)</f>
        <v>129</v>
      </c>
      <c r="H888" s="23" t="str">
        <f>IFERROR(__xludf.DUMMYFUNCTION("""COMPUTED_VALUE"""),"Algorithms")</f>
        <v>Algorithms</v>
      </c>
      <c r="I888" s="23">
        <f>IFERROR(__xludf.DUMMYFUNCTION("""COMPUTED_VALUE"""),0.272)</f>
        <v>0.272</v>
      </c>
      <c r="J888" s="23">
        <f>IFERROR(__xludf.DUMMYFUNCTION("""COMPUTED_VALUE"""),887.0)</f>
        <v>887</v>
      </c>
      <c r="K888" s="23" t="b">
        <f>IFERROR(__xludf.DUMMYFUNCTION("""COMPUTED_VALUE"""),FALSE)</f>
        <v>0</v>
      </c>
      <c r="L888" s="23" t="str">
        <f>IFERROR(__xludf.DUMMYFUNCTION("""COMPUTED_VALUE"""),"Math;Binary Search;Dynamic Programming;")</f>
        <v>Math;Binary Search;Dynamic Programming;</v>
      </c>
      <c r="M888" s="23" t="b">
        <f>IFERROR(__xludf.DUMMYFUNCTION("""COMPUTED_VALUE"""),TRUE)</f>
        <v>1</v>
      </c>
      <c r="N888" s="23" t="b">
        <f>IFERROR(__xludf.DUMMYFUNCTION("""COMPUTED_VALUE"""),FALSE)</f>
        <v>0</v>
      </c>
      <c r="O888" s="23">
        <f>IFERROR(__xludf.DUMMYFUNCTION("""COMPUTED_VALUE"""),27.215468347869)</f>
        <v>27.21546835</v>
      </c>
      <c r="P888" s="23">
        <f>IFERROR(__xludf.DUMMYFUNCTION("""COMPUTED_VALUE"""),45154.0)</f>
        <v>45154</v>
      </c>
      <c r="Q888" s="23">
        <f>IFERROR(__xludf.DUMMYFUNCTION("""COMPUTED_VALUE"""),165912.0)</f>
        <v>165912</v>
      </c>
    </row>
    <row r="889">
      <c r="A889" s="23">
        <f>IFERROR(__xludf.DUMMYFUNCTION("""COMPUTED_VALUE"""),924.0)</f>
        <v>924</v>
      </c>
      <c r="B889" s="23" t="str">
        <f>IFERROR(__xludf.DUMMYFUNCTION("""COMPUTED_VALUE"""),"Fair Candy Swap")</f>
        <v>Fair Candy Swap</v>
      </c>
      <c r="C889" s="23" t="str">
        <f>IFERROR(__xludf.DUMMYFUNCTION("""COMPUTED_VALUE"""),"fair-candy-swap")</f>
        <v>fair-candy-swap</v>
      </c>
      <c r="D889" s="23" t="b">
        <f>IFERROR(__xludf.DUMMYFUNCTION("""COMPUTED_VALUE"""),FALSE)</f>
        <v>0</v>
      </c>
      <c r="E889" s="23" t="str">
        <f>IFERROR(__xludf.DUMMYFUNCTION("""COMPUTED_VALUE"""),"Easy")</f>
        <v>Easy</v>
      </c>
      <c r="F889" s="23">
        <f>IFERROR(__xludf.DUMMYFUNCTION("""COMPUTED_VALUE"""),1261.0)</f>
        <v>1261</v>
      </c>
      <c r="G889" s="23">
        <f>IFERROR(__xludf.DUMMYFUNCTION("""COMPUTED_VALUE"""),231.0)</f>
        <v>231</v>
      </c>
      <c r="H889" s="23" t="str">
        <f>IFERROR(__xludf.DUMMYFUNCTION("""COMPUTED_VALUE"""),"Algorithms")</f>
        <v>Algorithms</v>
      </c>
      <c r="I889" s="23">
        <f>IFERROR(__xludf.DUMMYFUNCTION("""COMPUTED_VALUE"""),0.604)</f>
        <v>0.604</v>
      </c>
      <c r="J889" s="23">
        <f>IFERROR(__xludf.DUMMYFUNCTION("""COMPUTED_VALUE"""),888.0)</f>
        <v>888</v>
      </c>
      <c r="K889" s="23" t="b">
        <f>IFERROR(__xludf.DUMMYFUNCTION("""COMPUTED_VALUE"""),FALSE)</f>
        <v>0</v>
      </c>
      <c r="L889" s="23" t="str">
        <f>IFERROR(__xludf.DUMMYFUNCTION("""COMPUTED_VALUE"""),"Array;Hash Table;Binary Search;Sorting;")</f>
        <v>Array;Hash Table;Binary Search;Sorting;</v>
      </c>
      <c r="M889" s="23" t="b">
        <f>IFERROR(__xludf.DUMMYFUNCTION("""COMPUTED_VALUE"""),TRUE)</f>
        <v>1</v>
      </c>
      <c r="N889" s="23" t="b">
        <f>IFERROR(__xludf.DUMMYFUNCTION("""COMPUTED_VALUE"""),FALSE)</f>
        <v>0</v>
      </c>
      <c r="O889" s="23">
        <f>IFERROR(__xludf.DUMMYFUNCTION("""COMPUTED_VALUE"""),60.3984128992875)</f>
        <v>60.3984129</v>
      </c>
      <c r="P889" s="23">
        <f>IFERROR(__xludf.DUMMYFUNCTION("""COMPUTED_VALUE"""),81121.0)</f>
        <v>81121</v>
      </c>
      <c r="Q889" s="23">
        <f>IFERROR(__xludf.DUMMYFUNCTION("""COMPUTED_VALUE"""),134319.0)</f>
        <v>134319</v>
      </c>
    </row>
    <row r="890">
      <c r="A890" s="23">
        <f>IFERROR(__xludf.DUMMYFUNCTION("""COMPUTED_VALUE"""),925.0)</f>
        <v>925</v>
      </c>
      <c r="B890" s="23" t="str">
        <f>IFERROR(__xludf.DUMMYFUNCTION("""COMPUTED_VALUE"""),"Construct Binary Tree from Preorder and Postorder Traversal")</f>
        <v>Construct Binary Tree from Preorder and Postorder Traversal</v>
      </c>
      <c r="C890" s="23" t="str">
        <f>IFERROR(__xludf.DUMMYFUNCTION("""COMPUTED_VALUE"""),"construct-binary-tree-from-preorder-and-postorder-traversal")</f>
        <v>construct-binary-tree-from-preorder-and-postorder-traversal</v>
      </c>
      <c r="D890" s="23" t="b">
        <f>IFERROR(__xludf.DUMMYFUNCTION("""COMPUTED_VALUE"""),FALSE)</f>
        <v>0</v>
      </c>
      <c r="E890" s="23" t="str">
        <f>IFERROR(__xludf.DUMMYFUNCTION("""COMPUTED_VALUE"""),"Medium")</f>
        <v>Medium</v>
      </c>
      <c r="F890" s="23">
        <f>IFERROR(__xludf.DUMMYFUNCTION("""COMPUTED_VALUE"""),1851.0)</f>
        <v>1851</v>
      </c>
      <c r="G890" s="23">
        <f>IFERROR(__xludf.DUMMYFUNCTION("""COMPUTED_VALUE"""),86.0)</f>
        <v>86</v>
      </c>
      <c r="H890" s="23" t="str">
        <f>IFERROR(__xludf.DUMMYFUNCTION("""COMPUTED_VALUE"""),"Algorithms")</f>
        <v>Algorithms</v>
      </c>
      <c r="I890" s="23">
        <f>IFERROR(__xludf.DUMMYFUNCTION("""COMPUTED_VALUE"""),0.699)</f>
        <v>0.699</v>
      </c>
      <c r="J890" s="23">
        <f>IFERROR(__xludf.DUMMYFUNCTION("""COMPUTED_VALUE"""),889.0)</f>
        <v>889</v>
      </c>
      <c r="K890" s="23" t="b">
        <f>IFERROR(__xludf.DUMMYFUNCTION("""COMPUTED_VALUE"""),FALSE)</f>
        <v>0</v>
      </c>
      <c r="L890" s="23" t="str">
        <f>IFERROR(__xludf.DUMMYFUNCTION("""COMPUTED_VALUE"""),"Array;Hash Table;Divide and Conquer;Tree;Binary Tree;")</f>
        <v>Array;Hash Table;Divide and Conquer;Tree;Binary Tree;</v>
      </c>
      <c r="M890" s="23" t="b">
        <f>IFERROR(__xludf.DUMMYFUNCTION("""COMPUTED_VALUE"""),FALSE)</f>
        <v>0</v>
      </c>
      <c r="N890" s="23" t="b">
        <f>IFERROR(__xludf.DUMMYFUNCTION("""COMPUTED_VALUE"""),FALSE)</f>
        <v>0</v>
      </c>
      <c r="O890" s="23">
        <f>IFERROR(__xludf.DUMMYFUNCTION("""COMPUTED_VALUE"""),69.9171300948079)</f>
        <v>69.91713009</v>
      </c>
      <c r="P890" s="23">
        <f>IFERROR(__xludf.DUMMYFUNCTION("""COMPUTED_VALUE"""),70280.0)</f>
        <v>70280</v>
      </c>
      <c r="Q890" s="23">
        <f>IFERROR(__xludf.DUMMYFUNCTION("""COMPUTED_VALUE"""),100519.0)</f>
        <v>100519</v>
      </c>
    </row>
    <row r="891">
      <c r="A891" s="23">
        <f>IFERROR(__xludf.DUMMYFUNCTION("""COMPUTED_VALUE"""),926.0)</f>
        <v>926</v>
      </c>
      <c r="B891" s="23" t="str">
        <f>IFERROR(__xludf.DUMMYFUNCTION("""COMPUTED_VALUE"""),"Find and Replace Pattern")</f>
        <v>Find and Replace Pattern</v>
      </c>
      <c r="C891" s="23" t="str">
        <f>IFERROR(__xludf.DUMMYFUNCTION("""COMPUTED_VALUE"""),"find-and-replace-pattern")</f>
        <v>find-and-replace-pattern</v>
      </c>
      <c r="D891" s="23" t="b">
        <f>IFERROR(__xludf.DUMMYFUNCTION("""COMPUTED_VALUE"""),FALSE)</f>
        <v>0</v>
      </c>
      <c r="E891" s="23" t="str">
        <f>IFERROR(__xludf.DUMMYFUNCTION("""COMPUTED_VALUE"""),"Medium")</f>
        <v>Medium</v>
      </c>
      <c r="F891" s="23">
        <f>IFERROR(__xludf.DUMMYFUNCTION("""COMPUTED_VALUE"""),1800.0)</f>
        <v>1800</v>
      </c>
      <c r="G891" s="23">
        <f>IFERROR(__xludf.DUMMYFUNCTION("""COMPUTED_VALUE"""),117.0)</f>
        <v>117</v>
      </c>
      <c r="H891" s="23" t="str">
        <f>IFERROR(__xludf.DUMMYFUNCTION("""COMPUTED_VALUE"""),"Algorithms")</f>
        <v>Algorithms</v>
      </c>
      <c r="I891" s="23">
        <f>IFERROR(__xludf.DUMMYFUNCTION("""COMPUTED_VALUE"""),0.756)</f>
        <v>0.756</v>
      </c>
      <c r="J891" s="23">
        <f>IFERROR(__xludf.DUMMYFUNCTION("""COMPUTED_VALUE"""),890.0)</f>
        <v>890</v>
      </c>
      <c r="K891" s="23" t="b">
        <f>IFERROR(__xludf.DUMMYFUNCTION("""COMPUTED_VALUE"""),FALSE)</f>
        <v>0</v>
      </c>
      <c r="L891" s="23" t="str">
        <f>IFERROR(__xludf.DUMMYFUNCTION("""COMPUTED_VALUE"""),"Array;Hash Table;String;")</f>
        <v>Array;Hash Table;String;</v>
      </c>
      <c r="M891" s="23" t="b">
        <f>IFERROR(__xludf.DUMMYFUNCTION("""COMPUTED_VALUE"""),TRUE)</f>
        <v>1</v>
      </c>
      <c r="N891" s="23" t="b">
        <f>IFERROR(__xludf.DUMMYFUNCTION("""COMPUTED_VALUE"""),FALSE)</f>
        <v>0</v>
      </c>
      <c r="O891" s="23">
        <f>IFERROR(__xludf.DUMMYFUNCTION("""COMPUTED_VALUE"""),75.602246110413)</f>
        <v>75.60224611</v>
      </c>
      <c r="P891" s="23">
        <f>IFERROR(__xludf.DUMMYFUNCTION("""COMPUTED_VALUE"""),97477.0)</f>
        <v>97477</v>
      </c>
      <c r="Q891" s="23">
        <f>IFERROR(__xludf.DUMMYFUNCTION("""COMPUTED_VALUE"""),128934.0)</f>
        <v>128934</v>
      </c>
    </row>
    <row r="892">
      <c r="A892" s="23">
        <f>IFERROR(__xludf.DUMMYFUNCTION("""COMPUTED_VALUE"""),927.0)</f>
        <v>927</v>
      </c>
      <c r="B892" s="23" t="str">
        <f>IFERROR(__xludf.DUMMYFUNCTION("""COMPUTED_VALUE"""),"Sum of Subsequence Widths")</f>
        <v>Sum of Subsequence Widths</v>
      </c>
      <c r="C892" s="23" t="str">
        <f>IFERROR(__xludf.DUMMYFUNCTION("""COMPUTED_VALUE"""),"sum-of-subsequence-widths")</f>
        <v>sum-of-subsequence-widths</v>
      </c>
      <c r="D892" s="23" t="b">
        <f>IFERROR(__xludf.DUMMYFUNCTION("""COMPUTED_VALUE"""),FALSE)</f>
        <v>0</v>
      </c>
      <c r="E892" s="23" t="str">
        <f>IFERROR(__xludf.DUMMYFUNCTION("""COMPUTED_VALUE"""),"Hard")</f>
        <v>Hard</v>
      </c>
      <c r="F892" s="23">
        <f>IFERROR(__xludf.DUMMYFUNCTION("""COMPUTED_VALUE"""),493.0)</f>
        <v>493</v>
      </c>
      <c r="G892" s="23">
        <f>IFERROR(__xludf.DUMMYFUNCTION("""COMPUTED_VALUE"""),142.0)</f>
        <v>142</v>
      </c>
      <c r="H892" s="23" t="str">
        <f>IFERROR(__xludf.DUMMYFUNCTION("""COMPUTED_VALUE"""),"Algorithms")</f>
        <v>Algorithms</v>
      </c>
      <c r="I892" s="23">
        <f>IFERROR(__xludf.DUMMYFUNCTION("""COMPUTED_VALUE"""),0.355)</f>
        <v>0.355</v>
      </c>
      <c r="J892" s="23">
        <f>IFERROR(__xludf.DUMMYFUNCTION("""COMPUTED_VALUE"""),891.0)</f>
        <v>891</v>
      </c>
      <c r="K892" s="23" t="b">
        <f>IFERROR(__xludf.DUMMYFUNCTION("""COMPUTED_VALUE"""),FALSE)</f>
        <v>0</v>
      </c>
      <c r="L892" s="23" t="str">
        <f>IFERROR(__xludf.DUMMYFUNCTION("""COMPUTED_VALUE"""),"Array;Math;Sorting;")</f>
        <v>Array;Math;Sorting;</v>
      </c>
      <c r="M892" s="23" t="b">
        <f>IFERROR(__xludf.DUMMYFUNCTION("""COMPUTED_VALUE"""),TRUE)</f>
        <v>1</v>
      </c>
      <c r="N892" s="23" t="b">
        <f>IFERROR(__xludf.DUMMYFUNCTION("""COMPUTED_VALUE"""),FALSE)</f>
        <v>0</v>
      </c>
      <c r="O892" s="23">
        <f>IFERROR(__xludf.DUMMYFUNCTION("""COMPUTED_VALUE"""),35.5474638773569)</f>
        <v>35.54746388</v>
      </c>
      <c r="P892" s="23">
        <f>IFERROR(__xludf.DUMMYFUNCTION("""COMPUTED_VALUE"""),15327.0)</f>
        <v>15327</v>
      </c>
      <c r="Q892" s="23">
        <f>IFERROR(__xludf.DUMMYFUNCTION("""COMPUTED_VALUE"""),43117.0)</f>
        <v>43117</v>
      </c>
    </row>
    <row r="893">
      <c r="A893" s="23">
        <f>IFERROR(__xludf.DUMMYFUNCTION("""COMPUTED_VALUE"""),928.0)</f>
        <v>928</v>
      </c>
      <c r="B893" s="23" t="str">
        <f>IFERROR(__xludf.DUMMYFUNCTION("""COMPUTED_VALUE"""),"Surface Area of 3D Shapes")</f>
        <v>Surface Area of 3D Shapes</v>
      </c>
      <c r="C893" s="23" t="str">
        <f>IFERROR(__xludf.DUMMYFUNCTION("""COMPUTED_VALUE"""),"surface-area-of-3d-shapes")</f>
        <v>surface-area-of-3d-shapes</v>
      </c>
      <c r="D893" s="23" t="b">
        <f>IFERROR(__xludf.DUMMYFUNCTION("""COMPUTED_VALUE"""),FALSE)</f>
        <v>0</v>
      </c>
      <c r="E893" s="23" t="str">
        <f>IFERROR(__xludf.DUMMYFUNCTION("""COMPUTED_VALUE"""),"Easy")</f>
        <v>Easy</v>
      </c>
      <c r="F893" s="23">
        <f>IFERROR(__xludf.DUMMYFUNCTION("""COMPUTED_VALUE"""),406.0)</f>
        <v>406</v>
      </c>
      <c r="G893" s="23">
        <f>IFERROR(__xludf.DUMMYFUNCTION("""COMPUTED_VALUE"""),569.0)</f>
        <v>569</v>
      </c>
      <c r="H893" s="23" t="str">
        <f>IFERROR(__xludf.DUMMYFUNCTION("""COMPUTED_VALUE"""),"Algorithms")</f>
        <v>Algorithms</v>
      </c>
      <c r="I893" s="23">
        <f>IFERROR(__xludf.DUMMYFUNCTION("""COMPUTED_VALUE"""),0.618)</f>
        <v>0.618</v>
      </c>
      <c r="J893" s="23">
        <f>IFERROR(__xludf.DUMMYFUNCTION("""COMPUTED_VALUE"""),892.0)</f>
        <v>892</v>
      </c>
      <c r="K893" s="23" t="b">
        <f>IFERROR(__xludf.DUMMYFUNCTION("""COMPUTED_VALUE"""),FALSE)</f>
        <v>0</v>
      </c>
      <c r="L893" s="23" t="str">
        <f>IFERROR(__xludf.DUMMYFUNCTION("""COMPUTED_VALUE"""),"Array;Math;Geometry;Matrix;")</f>
        <v>Array;Math;Geometry;Matrix;</v>
      </c>
      <c r="M893" s="23" t="b">
        <f>IFERROR(__xludf.DUMMYFUNCTION("""COMPUTED_VALUE"""),FALSE)</f>
        <v>0</v>
      </c>
      <c r="N893" s="23" t="b">
        <f>IFERROR(__xludf.DUMMYFUNCTION("""COMPUTED_VALUE"""),FALSE)</f>
        <v>0</v>
      </c>
      <c r="O893" s="23">
        <f>IFERROR(__xludf.DUMMYFUNCTION("""COMPUTED_VALUE"""),61.8371707657422)</f>
        <v>61.83717077</v>
      </c>
      <c r="P893" s="23">
        <f>IFERROR(__xludf.DUMMYFUNCTION("""COMPUTED_VALUE"""),28361.0)</f>
        <v>28361</v>
      </c>
      <c r="Q893" s="23">
        <f>IFERROR(__xludf.DUMMYFUNCTION("""COMPUTED_VALUE"""),45864.0)</f>
        <v>45864</v>
      </c>
    </row>
    <row r="894">
      <c r="A894" s="23">
        <f>IFERROR(__xludf.DUMMYFUNCTION("""COMPUTED_VALUE"""),929.0)</f>
        <v>929</v>
      </c>
      <c r="B894" s="23" t="str">
        <f>IFERROR(__xludf.DUMMYFUNCTION("""COMPUTED_VALUE"""),"Groups of Special-Equivalent Strings")</f>
        <v>Groups of Special-Equivalent Strings</v>
      </c>
      <c r="C894" s="23" t="str">
        <f>IFERROR(__xludf.DUMMYFUNCTION("""COMPUTED_VALUE"""),"groups-of-special-equivalent-strings")</f>
        <v>groups-of-special-equivalent-strings</v>
      </c>
      <c r="D894" s="23" t="b">
        <f>IFERROR(__xludf.DUMMYFUNCTION("""COMPUTED_VALUE"""),FALSE)</f>
        <v>0</v>
      </c>
      <c r="E894" s="23" t="str">
        <f>IFERROR(__xludf.DUMMYFUNCTION("""COMPUTED_VALUE"""),"Medium")</f>
        <v>Medium</v>
      </c>
      <c r="F894" s="23">
        <f>IFERROR(__xludf.DUMMYFUNCTION("""COMPUTED_VALUE"""),433.0)</f>
        <v>433</v>
      </c>
      <c r="G894" s="23">
        <f>IFERROR(__xludf.DUMMYFUNCTION("""COMPUTED_VALUE"""),1389.0)</f>
        <v>1389</v>
      </c>
      <c r="H894" s="23" t="str">
        <f>IFERROR(__xludf.DUMMYFUNCTION("""COMPUTED_VALUE"""),"Algorithms")</f>
        <v>Algorithms</v>
      </c>
      <c r="I894" s="23">
        <f>IFERROR(__xludf.DUMMYFUNCTION("""COMPUTED_VALUE"""),0.705)</f>
        <v>0.705</v>
      </c>
      <c r="J894" s="23">
        <f>IFERROR(__xludf.DUMMYFUNCTION("""COMPUTED_VALUE"""),893.0)</f>
        <v>893</v>
      </c>
      <c r="K894" s="23" t="b">
        <f>IFERROR(__xludf.DUMMYFUNCTION("""COMPUTED_VALUE"""),FALSE)</f>
        <v>0</v>
      </c>
      <c r="L894" s="23" t="str">
        <f>IFERROR(__xludf.DUMMYFUNCTION("""COMPUTED_VALUE"""),"Array;Hash Table;String;")</f>
        <v>Array;Hash Table;String;</v>
      </c>
      <c r="M894" s="23" t="b">
        <f>IFERROR(__xludf.DUMMYFUNCTION("""COMPUTED_VALUE"""),FALSE)</f>
        <v>0</v>
      </c>
      <c r="N894" s="23" t="b">
        <f>IFERROR(__xludf.DUMMYFUNCTION("""COMPUTED_VALUE"""),FALSE)</f>
        <v>0</v>
      </c>
      <c r="O894" s="23">
        <f>IFERROR(__xludf.DUMMYFUNCTION("""COMPUTED_VALUE"""),70.517552141447)</f>
        <v>70.51755214</v>
      </c>
      <c r="P894" s="23">
        <f>IFERROR(__xludf.DUMMYFUNCTION("""COMPUTED_VALUE"""),41080.0)</f>
        <v>41080</v>
      </c>
      <c r="Q894" s="23">
        <f>IFERROR(__xludf.DUMMYFUNCTION("""COMPUTED_VALUE"""),58255.0)</f>
        <v>58255</v>
      </c>
    </row>
    <row r="895">
      <c r="A895" s="23">
        <f>IFERROR(__xludf.DUMMYFUNCTION("""COMPUTED_VALUE"""),930.0)</f>
        <v>930</v>
      </c>
      <c r="B895" s="23" t="str">
        <f>IFERROR(__xludf.DUMMYFUNCTION("""COMPUTED_VALUE"""),"All Possible Full Binary Trees")</f>
        <v>All Possible Full Binary Trees</v>
      </c>
      <c r="C895" s="23" t="str">
        <f>IFERROR(__xludf.DUMMYFUNCTION("""COMPUTED_VALUE"""),"all-possible-full-binary-trees")</f>
        <v>all-possible-full-binary-trees</v>
      </c>
      <c r="D895" s="23" t="b">
        <f>IFERROR(__xludf.DUMMYFUNCTION("""COMPUTED_VALUE"""),FALSE)</f>
        <v>0</v>
      </c>
      <c r="E895" s="23" t="str">
        <f>IFERROR(__xludf.DUMMYFUNCTION("""COMPUTED_VALUE"""),"Medium")</f>
        <v>Medium</v>
      </c>
      <c r="F895" s="23">
        <f>IFERROR(__xludf.DUMMYFUNCTION("""COMPUTED_VALUE"""),2575.0)</f>
        <v>2575</v>
      </c>
      <c r="G895" s="23">
        <f>IFERROR(__xludf.DUMMYFUNCTION("""COMPUTED_VALUE"""),192.0)</f>
        <v>192</v>
      </c>
      <c r="H895" s="23" t="str">
        <f>IFERROR(__xludf.DUMMYFUNCTION("""COMPUTED_VALUE"""),"Algorithms")</f>
        <v>Algorithms</v>
      </c>
      <c r="I895" s="23">
        <f>IFERROR(__xludf.DUMMYFUNCTION("""COMPUTED_VALUE"""),0.795)</f>
        <v>0.795</v>
      </c>
      <c r="J895" s="23">
        <f>IFERROR(__xludf.DUMMYFUNCTION("""COMPUTED_VALUE"""),894.0)</f>
        <v>894</v>
      </c>
      <c r="K895" s="23" t="b">
        <f>IFERROR(__xludf.DUMMYFUNCTION("""COMPUTED_VALUE"""),FALSE)</f>
        <v>0</v>
      </c>
      <c r="L895" s="23" t="str">
        <f>IFERROR(__xludf.DUMMYFUNCTION("""COMPUTED_VALUE"""),"Dynamic Programming;Tree;Recursion;Memoization;Binary Tree;")</f>
        <v>Dynamic Programming;Tree;Recursion;Memoization;Binary Tree;</v>
      </c>
      <c r="M895" s="23" t="b">
        <f>IFERROR(__xludf.DUMMYFUNCTION("""COMPUTED_VALUE"""),TRUE)</f>
        <v>1</v>
      </c>
      <c r="N895" s="23" t="b">
        <f>IFERROR(__xludf.DUMMYFUNCTION("""COMPUTED_VALUE"""),FALSE)</f>
        <v>0</v>
      </c>
      <c r="O895" s="23">
        <f>IFERROR(__xludf.DUMMYFUNCTION("""COMPUTED_VALUE"""),79.461100063747)</f>
        <v>79.46110006</v>
      </c>
      <c r="P895" s="23">
        <f>IFERROR(__xludf.DUMMYFUNCTION("""COMPUTED_VALUE"""),83515.0)</f>
        <v>83515</v>
      </c>
      <c r="Q895" s="23">
        <f>IFERROR(__xludf.DUMMYFUNCTION("""COMPUTED_VALUE"""),105102.0)</f>
        <v>105102</v>
      </c>
    </row>
    <row r="896">
      <c r="A896" s="23">
        <f>IFERROR(__xludf.DUMMYFUNCTION("""COMPUTED_VALUE"""),931.0)</f>
        <v>931</v>
      </c>
      <c r="B896" s="23" t="str">
        <f>IFERROR(__xludf.DUMMYFUNCTION("""COMPUTED_VALUE"""),"Maximum Frequency Stack")</f>
        <v>Maximum Frequency Stack</v>
      </c>
      <c r="C896" s="23" t="str">
        <f>IFERROR(__xludf.DUMMYFUNCTION("""COMPUTED_VALUE"""),"maximum-frequency-stack")</f>
        <v>maximum-frequency-stack</v>
      </c>
      <c r="D896" s="23" t="b">
        <f>IFERROR(__xludf.DUMMYFUNCTION("""COMPUTED_VALUE"""),FALSE)</f>
        <v>0</v>
      </c>
      <c r="E896" s="23" t="str">
        <f>IFERROR(__xludf.DUMMYFUNCTION("""COMPUTED_VALUE"""),"Hard")</f>
        <v>Hard</v>
      </c>
      <c r="F896" s="23">
        <f>IFERROR(__xludf.DUMMYFUNCTION("""COMPUTED_VALUE"""),3605.0)</f>
        <v>3605</v>
      </c>
      <c r="G896" s="23">
        <f>IFERROR(__xludf.DUMMYFUNCTION("""COMPUTED_VALUE"""),54.0)</f>
        <v>54</v>
      </c>
      <c r="H896" s="23" t="str">
        <f>IFERROR(__xludf.DUMMYFUNCTION("""COMPUTED_VALUE"""),"Algorithms")</f>
        <v>Algorithms</v>
      </c>
      <c r="I896" s="23">
        <f>IFERROR(__xludf.DUMMYFUNCTION("""COMPUTED_VALUE"""),0.664)</f>
        <v>0.664</v>
      </c>
      <c r="J896" s="23">
        <f>IFERROR(__xludf.DUMMYFUNCTION("""COMPUTED_VALUE"""),895.0)</f>
        <v>895</v>
      </c>
      <c r="K896" s="23" t="b">
        <f>IFERROR(__xludf.DUMMYFUNCTION("""COMPUTED_VALUE"""),FALSE)</f>
        <v>0</v>
      </c>
      <c r="L896" s="23" t="str">
        <f>IFERROR(__xludf.DUMMYFUNCTION("""COMPUTED_VALUE"""),"Hash Table;Stack;Design;Ordered Set;")</f>
        <v>Hash Table;Stack;Design;Ordered Set;</v>
      </c>
      <c r="M896" s="23" t="b">
        <f>IFERROR(__xludf.DUMMYFUNCTION("""COMPUTED_VALUE"""),TRUE)</f>
        <v>1</v>
      </c>
      <c r="N896" s="23" t="b">
        <f>IFERROR(__xludf.DUMMYFUNCTION("""COMPUTED_VALUE"""),FALSE)</f>
        <v>0</v>
      </c>
      <c r="O896" s="23">
        <f>IFERROR(__xludf.DUMMYFUNCTION("""COMPUTED_VALUE"""),66.4198017271672)</f>
        <v>66.41980173</v>
      </c>
      <c r="P896" s="23">
        <f>IFERROR(__xludf.DUMMYFUNCTION("""COMPUTED_VALUE"""),124751.0)</f>
        <v>124751</v>
      </c>
      <c r="Q896" s="23">
        <f>IFERROR(__xludf.DUMMYFUNCTION("""COMPUTED_VALUE"""),187822.0)</f>
        <v>187822</v>
      </c>
    </row>
    <row r="897">
      <c r="A897" s="23">
        <f>IFERROR(__xludf.DUMMYFUNCTION("""COMPUTED_VALUE"""),932.0)</f>
        <v>932</v>
      </c>
      <c r="B897" s="23" t="str">
        <f>IFERROR(__xludf.DUMMYFUNCTION("""COMPUTED_VALUE"""),"Monotonic Array")</f>
        <v>Monotonic Array</v>
      </c>
      <c r="C897" s="23" t="str">
        <f>IFERROR(__xludf.DUMMYFUNCTION("""COMPUTED_VALUE"""),"monotonic-array")</f>
        <v>monotonic-array</v>
      </c>
      <c r="D897" s="23" t="b">
        <f>IFERROR(__xludf.DUMMYFUNCTION("""COMPUTED_VALUE"""),FALSE)</f>
        <v>0</v>
      </c>
      <c r="E897" s="23" t="str">
        <f>IFERROR(__xludf.DUMMYFUNCTION("""COMPUTED_VALUE"""),"Easy")</f>
        <v>Easy</v>
      </c>
      <c r="F897" s="23">
        <f>IFERROR(__xludf.DUMMYFUNCTION("""COMPUTED_VALUE"""),1493.0)</f>
        <v>1493</v>
      </c>
      <c r="G897" s="23">
        <f>IFERROR(__xludf.DUMMYFUNCTION("""COMPUTED_VALUE"""),55.0)</f>
        <v>55</v>
      </c>
      <c r="H897" s="23" t="str">
        <f>IFERROR(__xludf.DUMMYFUNCTION("""COMPUTED_VALUE"""),"Algorithms")</f>
        <v>Algorithms</v>
      </c>
      <c r="I897" s="23">
        <f>IFERROR(__xludf.DUMMYFUNCTION("""COMPUTED_VALUE"""),0.584)</f>
        <v>0.584</v>
      </c>
      <c r="J897" s="23">
        <f>IFERROR(__xludf.DUMMYFUNCTION("""COMPUTED_VALUE"""),896.0)</f>
        <v>896</v>
      </c>
      <c r="K897" s="23" t="b">
        <f>IFERROR(__xludf.DUMMYFUNCTION("""COMPUTED_VALUE"""),FALSE)</f>
        <v>0</v>
      </c>
      <c r="L897" s="23" t="str">
        <f>IFERROR(__xludf.DUMMYFUNCTION("""COMPUTED_VALUE"""),"Array;")</f>
        <v>Array;</v>
      </c>
      <c r="M897" s="23" t="b">
        <f>IFERROR(__xludf.DUMMYFUNCTION("""COMPUTED_VALUE"""),TRUE)</f>
        <v>1</v>
      </c>
      <c r="N897" s="23" t="b">
        <f>IFERROR(__xludf.DUMMYFUNCTION("""COMPUTED_VALUE"""),FALSE)</f>
        <v>0</v>
      </c>
      <c r="O897" s="23">
        <f>IFERROR(__xludf.DUMMYFUNCTION("""COMPUTED_VALUE"""),58.4362999547881)</f>
        <v>58.43629995</v>
      </c>
      <c r="P897" s="23">
        <f>IFERROR(__xludf.DUMMYFUNCTION("""COMPUTED_VALUE"""),204213.0)</f>
        <v>204213</v>
      </c>
      <c r="Q897" s="23">
        <f>IFERROR(__xludf.DUMMYFUNCTION("""COMPUTED_VALUE"""),349464.0)</f>
        <v>349464</v>
      </c>
    </row>
    <row r="898">
      <c r="A898" s="23">
        <f>IFERROR(__xludf.DUMMYFUNCTION("""COMPUTED_VALUE"""),933.0)</f>
        <v>933</v>
      </c>
      <c r="B898" s="23" t="str">
        <f>IFERROR(__xludf.DUMMYFUNCTION("""COMPUTED_VALUE"""),"Increasing Order Search Tree")</f>
        <v>Increasing Order Search Tree</v>
      </c>
      <c r="C898" s="23" t="str">
        <f>IFERROR(__xludf.DUMMYFUNCTION("""COMPUTED_VALUE"""),"increasing-order-search-tree")</f>
        <v>increasing-order-search-tree</v>
      </c>
      <c r="D898" s="23" t="b">
        <f>IFERROR(__xludf.DUMMYFUNCTION("""COMPUTED_VALUE"""),FALSE)</f>
        <v>0</v>
      </c>
      <c r="E898" s="23" t="str">
        <f>IFERROR(__xludf.DUMMYFUNCTION("""COMPUTED_VALUE"""),"Easy")</f>
        <v>Easy</v>
      </c>
      <c r="F898" s="23">
        <f>IFERROR(__xludf.DUMMYFUNCTION("""COMPUTED_VALUE"""),3181.0)</f>
        <v>3181</v>
      </c>
      <c r="G898" s="23">
        <f>IFERROR(__xludf.DUMMYFUNCTION("""COMPUTED_VALUE"""),629.0)</f>
        <v>629</v>
      </c>
      <c r="H898" s="23" t="str">
        <f>IFERROR(__xludf.DUMMYFUNCTION("""COMPUTED_VALUE"""),"Algorithms")</f>
        <v>Algorithms</v>
      </c>
      <c r="I898" s="23">
        <f>IFERROR(__xludf.DUMMYFUNCTION("""COMPUTED_VALUE"""),0.783)</f>
        <v>0.783</v>
      </c>
      <c r="J898" s="23">
        <f>IFERROR(__xludf.DUMMYFUNCTION("""COMPUTED_VALUE"""),897.0)</f>
        <v>897</v>
      </c>
      <c r="K898" s="23" t="b">
        <f>IFERROR(__xludf.DUMMYFUNCTION("""COMPUTED_VALUE"""),FALSE)</f>
        <v>0</v>
      </c>
      <c r="L898" s="23" t="str">
        <f>IFERROR(__xludf.DUMMYFUNCTION("""COMPUTED_VALUE"""),"Stack;Tree;Depth-First Search;Binary Search Tree;Binary Tree;")</f>
        <v>Stack;Tree;Depth-First Search;Binary Search Tree;Binary Tree;</v>
      </c>
      <c r="M898" s="23" t="b">
        <f>IFERROR(__xludf.DUMMYFUNCTION("""COMPUTED_VALUE"""),TRUE)</f>
        <v>1</v>
      </c>
      <c r="N898" s="23" t="b">
        <f>IFERROR(__xludf.DUMMYFUNCTION("""COMPUTED_VALUE"""),FALSE)</f>
        <v>0</v>
      </c>
      <c r="O898" s="23">
        <f>IFERROR(__xludf.DUMMYFUNCTION("""COMPUTED_VALUE"""),78.292546305055)</f>
        <v>78.29254631</v>
      </c>
      <c r="P898" s="23">
        <f>IFERROR(__xludf.DUMMYFUNCTION("""COMPUTED_VALUE"""),211054.0)</f>
        <v>211054</v>
      </c>
      <c r="Q898" s="23">
        <f>IFERROR(__xludf.DUMMYFUNCTION("""COMPUTED_VALUE"""),269571.0)</f>
        <v>269571</v>
      </c>
    </row>
    <row r="899">
      <c r="A899" s="23">
        <f>IFERROR(__xludf.DUMMYFUNCTION("""COMPUTED_VALUE"""),934.0)</f>
        <v>934</v>
      </c>
      <c r="B899" s="23" t="str">
        <f>IFERROR(__xludf.DUMMYFUNCTION("""COMPUTED_VALUE"""),"Bitwise ORs of Subarrays")</f>
        <v>Bitwise ORs of Subarrays</v>
      </c>
      <c r="C899" s="23" t="str">
        <f>IFERROR(__xludf.DUMMYFUNCTION("""COMPUTED_VALUE"""),"bitwise-ors-of-subarrays")</f>
        <v>bitwise-ors-of-subarrays</v>
      </c>
      <c r="D899" s="23" t="b">
        <f>IFERROR(__xludf.DUMMYFUNCTION("""COMPUTED_VALUE"""),FALSE)</f>
        <v>0</v>
      </c>
      <c r="E899" s="23" t="str">
        <f>IFERROR(__xludf.DUMMYFUNCTION("""COMPUTED_VALUE"""),"Medium")</f>
        <v>Medium</v>
      </c>
      <c r="F899" s="23">
        <f>IFERROR(__xludf.DUMMYFUNCTION("""COMPUTED_VALUE"""),951.0)</f>
        <v>951</v>
      </c>
      <c r="G899" s="23">
        <f>IFERROR(__xludf.DUMMYFUNCTION("""COMPUTED_VALUE"""),176.0)</f>
        <v>176</v>
      </c>
      <c r="H899" s="23" t="str">
        <f>IFERROR(__xludf.DUMMYFUNCTION("""COMPUTED_VALUE"""),"Algorithms")</f>
        <v>Algorithms</v>
      </c>
      <c r="I899" s="23">
        <f>IFERROR(__xludf.DUMMYFUNCTION("""COMPUTED_VALUE"""),0.363)</f>
        <v>0.363</v>
      </c>
      <c r="J899" s="23">
        <f>IFERROR(__xludf.DUMMYFUNCTION("""COMPUTED_VALUE"""),898.0)</f>
        <v>898</v>
      </c>
      <c r="K899" s="23" t="b">
        <f>IFERROR(__xludf.DUMMYFUNCTION("""COMPUTED_VALUE"""),FALSE)</f>
        <v>0</v>
      </c>
      <c r="L899" s="23" t="str">
        <f>IFERROR(__xludf.DUMMYFUNCTION("""COMPUTED_VALUE"""),"Array;Dynamic Programming;Bit Manipulation;")</f>
        <v>Array;Dynamic Programming;Bit Manipulation;</v>
      </c>
      <c r="M899" s="23" t="b">
        <f>IFERROR(__xludf.DUMMYFUNCTION("""COMPUTED_VALUE"""),FALSE)</f>
        <v>0</v>
      </c>
      <c r="N899" s="23" t="b">
        <f>IFERROR(__xludf.DUMMYFUNCTION("""COMPUTED_VALUE"""),FALSE)</f>
        <v>0</v>
      </c>
      <c r="O899" s="23">
        <f>IFERROR(__xludf.DUMMYFUNCTION("""COMPUTED_VALUE"""),36.2613334076127)</f>
        <v>36.26133341</v>
      </c>
      <c r="P899" s="23">
        <f>IFERROR(__xludf.DUMMYFUNCTION("""COMPUTED_VALUE"""),26036.0)</f>
        <v>26036</v>
      </c>
      <c r="Q899" s="23">
        <f>IFERROR(__xludf.DUMMYFUNCTION("""COMPUTED_VALUE"""),71801.0)</f>
        <v>71801</v>
      </c>
    </row>
    <row r="900">
      <c r="A900" s="23">
        <f>IFERROR(__xludf.DUMMYFUNCTION("""COMPUTED_VALUE"""),935.0)</f>
        <v>935</v>
      </c>
      <c r="B900" s="23" t="str">
        <f>IFERROR(__xludf.DUMMYFUNCTION("""COMPUTED_VALUE"""),"Orderly Queue")</f>
        <v>Orderly Queue</v>
      </c>
      <c r="C900" s="23" t="str">
        <f>IFERROR(__xludf.DUMMYFUNCTION("""COMPUTED_VALUE"""),"orderly-queue")</f>
        <v>orderly-queue</v>
      </c>
      <c r="D900" s="23" t="b">
        <f>IFERROR(__xludf.DUMMYFUNCTION("""COMPUTED_VALUE"""),FALSE)</f>
        <v>0</v>
      </c>
      <c r="E900" s="23" t="str">
        <f>IFERROR(__xludf.DUMMYFUNCTION("""COMPUTED_VALUE"""),"Hard")</f>
        <v>Hard</v>
      </c>
      <c r="F900" s="23">
        <f>IFERROR(__xludf.DUMMYFUNCTION("""COMPUTED_VALUE"""),558.0)</f>
        <v>558</v>
      </c>
      <c r="G900" s="23">
        <f>IFERROR(__xludf.DUMMYFUNCTION("""COMPUTED_VALUE"""),355.0)</f>
        <v>355</v>
      </c>
      <c r="H900" s="23" t="str">
        <f>IFERROR(__xludf.DUMMYFUNCTION("""COMPUTED_VALUE"""),"Algorithms")</f>
        <v>Algorithms</v>
      </c>
      <c r="I900" s="23">
        <f>IFERROR(__xludf.DUMMYFUNCTION("""COMPUTED_VALUE"""),0.585)</f>
        <v>0.585</v>
      </c>
      <c r="J900" s="23">
        <f>IFERROR(__xludf.DUMMYFUNCTION("""COMPUTED_VALUE"""),899.0)</f>
        <v>899</v>
      </c>
      <c r="K900" s="23" t="b">
        <f>IFERROR(__xludf.DUMMYFUNCTION("""COMPUTED_VALUE"""),FALSE)</f>
        <v>0</v>
      </c>
      <c r="L900" s="23" t="str">
        <f>IFERROR(__xludf.DUMMYFUNCTION("""COMPUTED_VALUE"""),"Math;String;Sorting;")</f>
        <v>Math;String;Sorting;</v>
      </c>
      <c r="M900" s="23" t="b">
        <f>IFERROR(__xludf.DUMMYFUNCTION("""COMPUTED_VALUE"""),TRUE)</f>
        <v>1</v>
      </c>
      <c r="N900" s="23" t="b">
        <f>IFERROR(__xludf.DUMMYFUNCTION("""COMPUTED_VALUE"""),FALSE)</f>
        <v>0</v>
      </c>
      <c r="O900" s="23">
        <f>IFERROR(__xludf.DUMMYFUNCTION("""COMPUTED_VALUE"""),58.5183671616037)</f>
        <v>58.51836716</v>
      </c>
      <c r="P900" s="23">
        <f>IFERROR(__xludf.DUMMYFUNCTION("""COMPUTED_VALUE"""),25775.0)</f>
        <v>25775</v>
      </c>
      <c r="Q900" s="23">
        <f>IFERROR(__xludf.DUMMYFUNCTION("""COMPUTED_VALUE"""),44046.0)</f>
        <v>44046</v>
      </c>
    </row>
    <row r="901">
      <c r="A901" s="23">
        <f>IFERROR(__xludf.DUMMYFUNCTION("""COMPUTED_VALUE"""),936.0)</f>
        <v>936</v>
      </c>
      <c r="B901" s="23" t="str">
        <f>IFERROR(__xludf.DUMMYFUNCTION("""COMPUTED_VALUE"""),"RLE Iterator")</f>
        <v>RLE Iterator</v>
      </c>
      <c r="C901" s="23" t="str">
        <f>IFERROR(__xludf.DUMMYFUNCTION("""COMPUTED_VALUE"""),"rle-iterator")</f>
        <v>rle-iterator</v>
      </c>
      <c r="D901" s="23" t="b">
        <f>IFERROR(__xludf.DUMMYFUNCTION("""COMPUTED_VALUE"""),FALSE)</f>
        <v>0</v>
      </c>
      <c r="E901" s="23" t="str">
        <f>IFERROR(__xludf.DUMMYFUNCTION("""COMPUTED_VALUE"""),"Medium")</f>
        <v>Medium</v>
      </c>
      <c r="F901" s="23">
        <f>IFERROR(__xludf.DUMMYFUNCTION("""COMPUTED_VALUE"""),521.0)</f>
        <v>521</v>
      </c>
      <c r="G901" s="23">
        <f>IFERROR(__xludf.DUMMYFUNCTION("""COMPUTED_VALUE"""),144.0)</f>
        <v>144</v>
      </c>
      <c r="H901" s="23" t="str">
        <f>IFERROR(__xludf.DUMMYFUNCTION("""COMPUTED_VALUE"""),"Algorithms")</f>
        <v>Algorithms</v>
      </c>
      <c r="I901" s="23">
        <f>IFERROR(__xludf.DUMMYFUNCTION("""COMPUTED_VALUE"""),0.587)</f>
        <v>0.587</v>
      </c>
      <c r="J901" s="23">
        <f>IFERROR(__xludf.DUMMYFUNCTION("""COMPUTED_VALUE"""),900.0)</f>
        <v>900</v>
      </c>
      <c r="K901" s="23" t="b">
        <f>IFERROR(__xludf.DUMMYFUNCTION("""COMPUTED_VALUE"""),FALSE)</f>
        <v>0</v>
      </c>
      <c r="L901" s="23" t="str">
        <f>IFERROR(__xludf.DUMMYFUNCTION("""COMPUTED_VALUE"""),"Array;Design;Counting;Iterator;")</f>
        <v>Array;Design;Counting;Iterator;</v>
      </c>
      <c r="M901" s="23" t="b">
        <f>IFERROR(__xludf.DUMMYFUNCTION("""COMPUTED_VALUE"""),FALSE)</f>
        <v>0</v>
      </c>
      <c r="N901" s="23" t="b">
        <f>IFERROR(__xludf.DUMMYFUNCTION("""COMPUTED_VALUE"""),FALSE)</f>
        <v>0</v>
      </c>
      <c r="O901" s="23">
        <f>IFERROR(__xludf.DUMMYFUNCTION("""COMPUTED_VALUE"""),58.702010759225)</f>
        <v>58.70201076</v>
      </c>
      <c r="P901" s="23">
        <f>IFERROR(__xludf.DUMMYFUNCTION("""COMPUTED_VALUE"""),51177.0)</f>
        <v>51177</v>
      </c>
      <c r="Q901" s="23">
        <f>IFERROR(__xludf.DUMMYFUNCTION("""COMPUTED_VALUE"""),87181.0)</f>
        <v>87181</v>
      </c>
    </row>
    <row r="902">
      <c r="A902" s="23">
        <f>IFERROR(__xludf.DUMMYFUNCTION("""COMPUTED_VALUE"""),937.0)</f>
        <v>937</v>
      </c>
      <c r="B902" s="23" t="str">
        <f>IFERROR(__xludf.DUMMYFUNCTION("""COMPUTED_VALUE"""),"Online Stock Span")</f>
        <v>Online Stock Span</v>
      </c>
      <c r="C902" s="23" t="str">
        <f>IFERROR(__xludf.DUMMYFUNCTION("""COMPUTED_VALUE"""),"online-stock-span")</f>
        <v>online-stock-span</v>
      </c>
      <c r="D902" s="23" t="b">
        <f>IFERROR(__xludf.DUMMYFUNCTION("""COMPUTED_VALUE"""),FALSE)</f>
        <v>0</v>
      </c>
      <c r="E902" s="23" t="str">
        <f>IFERROR(__xludf.DUMMYFUNCTION("""COMPUTED_VALUE"""),"Medium")</f>
        <v>Medium</v>
      </c>
      <c r="F902" s="23">
        <f>IFERROR(__xludf.DUMMYFUNCTION("""COMPUTED_VALUE"""),2604.0)</f>
        <v>2604</v>
      </c>
      <c r="G902" s="23">
        <f>IFERROR(__xludf.DUMMYFUNCTION("""COMPUTED_VALUE"""),207.0)</f>
        <v>207</v>
      </c>
      <c r="H902" s="23" t="str">
        <f>IFERROR(__xludf.DUMMYFUNCTION("""COMPUTED_VALUE"""),"Algorithms")</f>
        <v>Algorithms</v>
      </c>
      <c r="I902" s="23">
        <f>IFERROR(__xludf.DUMMYFUNCTION("""COMPUTED_VALUE"""),0.631)</f>
        <v>0.631</v>
      </c>
      <c r="J902" s="23">
        <f>IFERROR(__xludf.DUMMYFUNCTION("""COMPUTED_VALUE"""),901.0)</f>
        <v>901</v>
      </c>
      <c r="K902" s="23" t="b">
        <f>IFERROR(__xludf.DUMMYFUNCTION("""COMPUTED_VALUE"""),FALSE)</f>
        <v>0</v>
      </c>
      <c r="L902" s="23" t="str">
        <f>IFERROR(__xludf.DUMMYFUNCTION("""COMPUTED_VALUE"""),"Stack;Design;Monotonic Stack;Data Stream;")</f>
        <v>Stack;Design;Monotonic Stack;Data Stream;</v>
      </c>
      <c r="M902" s="23" t="b">
        <f>IFERROR(__xludf.DUMMYFUNCTION("""COMPUTED_VALUE"""),FALSE)</f>
        <v>0</v>
      </c>
      <c r="N902" s="23" t="b">
        <f>IFERROR(__xludf.DUMMYFUNCTION("""COMPUTED_VALUE"""),FALSE)</f>
        <v>0</v>
      </c>
      <c r="O902" s="23">
        <f>IFERROR(__xludf.DUMMYFUNCTION("""COMPUTED_VALUE"""),63.0763410681512)</f>
        <v>63.07634107</v>
      </c>
      <c r="P902" s="23">
        <f>IFERROR(__xludf.DUMMYFUNCTION("""COMPUTED_VALUE"""),123380.0)</f>
        <v>123380</v>
      </c>
      <c r="Q902" s="23">
        <f>IFERROR(__xludf.DUMMYFUNCTION("""COMPUTED_VALUE"""),195605.0)</f>
        <v>195605</v>
      </c>
    </row>
    <row r="903">
      <c r="A903" s="23">
        <f>IFERROR(__xludf.DUMMYFUNCTION("""COMPUTED_VALUE"""),938.0)</f>
        <v>938</v>
      </c>
      <c r="B903" s="23" t="str">
        <f>IFERROR(__xludf.DUMMYFUNCTION("""COMPUTED_VALUE"""),"Numbers At Most N Given Digit Set")</f>
        <v>Numbers At Most N Given Digit Set</v>
      </c>
      <c r="C903" s="23" t="str">
        <f>IFERROR(__xludf.DUMMYFUNCTION("""COMPUTED_VALUE"""),"numbers-at-most-n-given-digit-set")</f>
        <v>numbers-at-most-n-given-digit-set</v>
      </c>
      <c r="D903" s="23" t="b">
        <f>IFERROR(__xludf.DUMMYFUNCTION("""COMPUTED_VALUE"""),FALSE)</f>
        <v>0</v>
      </c>
      <c r="E903" s="23" t="str">
        <f>IFERROR(__xludf.DUMMYFUNCTION("""COMPUTED_VALUE"""),"Hard")</f>
        <v>Hard</v>
      </c>
      <c r="F903" s="23">
        <f>IFERROR(__xludf.DUMMYFUNCTION("""COMPUTED_VALUE"""),1044.0)</f>
        <v>1044</v>
      </c>
      <c r="G903" s="23">
        <f>IFERROR(__xludf.DUMMYFUNCTION("""COMPUTED_VALUE"""),88.0)</f>
        <v>88</v>
      </c>
      <c r="H903" s="23" t="str">
        <f>IFERROR(__xludf.DUMMYFUNCTION("""COMPUTED_VALUE"""),"Algorithms")</f>
        <v>Algorithms</v>
      </c>
      <c r="I903" s="23">
        <f>IFERROR(__xludf.DUMMYFUNCTION("""COMPUTED_VALUE"""),0.409)</f>
        <v>0.409</v>
      </c>
      <c r="J903" s="23">
        <f>IFERROR(__xludf.DUMMYFUNCTION("""COMPUTED_VALUE"""),902.0)</f>
        <v>902</v>
      </c>
      <c r="K903" s="23" t="b">
        <f>IFERROR(__xludf.DUMMYFUNCTION("""COMPUTED_VALUE"""),FALSE)</f>
        <v>0</v>
      </c>
      <c r="L903" s="23" t="str">
        <f>IFERROR(__xludf.DUMMYFUNCTION("""COMPUTED_VALUE"""),"Array;Math;Binary Search;Dynamic Programming;")</f>
        <v>Array;Math;Binary Search;Dynamic Programming;</v>
      </c>
      <c r="M903" s="23" t="b">
        <f>IFERROR(__xludf.DUMMYFUNCTION("""COMPUTED_VALUE"""),TRUE)</f>
        <v>1</v>
      </c>
      <c r="N903" s="23" t="b">
        <f>IFERROR(__xludf.DUMMYFUNCTION("""COMPUTED_VALUE"""),FALSE)</f>
        <v>0</v>
      </c>
      <c r="O903" s="23">
        <f>IFERROR(__xludf.DUMMYFUNCTION("""COMPUTED_VALUE"""),40.9383560852126)</f>
        <v>40.93835609</v>
      </c>
      <c r="P903" s="23">
        <f>IFERROR(__xludf.DUMMYFUNCTION("""COMPUTED_VALUE"""),35417.0)</f>
        <v>35417</v>
      </c>
      <c r="Q903" s="23">
        <f>IFERROR(__xludf.DUMMYFUNCTION("""COMPUTED_VALUE"""),86513.0)</f>
        <v>86513</v>
      </c>
    </row>
    <row r="904">
      <c r="A904" s="23">
        <f>IFERROR(__xludf.DUMMYFUNCTION("""COMPUTED_VALUE"""),939.0)</f>
        <v>939</v>
      </c>
      <c r="B904" s="23" t="str">
        <f>IFERROR(__xludf.DUMMYFUNCTION("""COMPUTED_VALUE"""),"Valid Permutations for DI Sequence")</f>
        <v>Valid Permutations for DI Sequence</v>
      </c>
      <c r="C904" s="23" t="str">
        <f>IFERROR(__xludf.DUMMYFUNCTION("""COMPUTED_VALUE"""),"valid-permutations-for-di-sequence")</f>
        <v>valid-permutations-for-di-sequence</v>
      </c>
      <c r="D904" s="23" t="b">
        <f>IFERROR(__xludf.DUMMYFUNCTION("""COMPUTED_VALUE"""),FALSE)</f>
        <v>0</v>
      </c>
      <c r="E904" s="23" t="str">
        <f>IFERROR(__xludf.DUMMYFUNCTION("""COMPUTED_VALUE"""),"Hard")</f>
        <v>Hard</v>
      </c>
      <c r="F904" s="23">
        <f>IFERROR(__xludf.DUMMYFUNCTION("""COMPUTED_VALUE"""),451.0)</f>
        <v>451</v>
      </c>
      <c r="G904" s="23">
        <f>IFERROR(__xludf.DUMMYFUNCTION("""COMPUTED_VALUE"""),35.0)</f>
        <v>35</v>
      </c>
      <c r="H904" s="23" t="str">
        <f>IFERROR(__xludf.DUMMYFUNCTION("""COMPUTED_VALUE"""),"Algorithms")</f>
        <v>Algorithms</v>
      </c>
      <c r="I904" s="23">
        <f>IFERROR(__xludf.DUMMYFUNCTION("""COMPUTED_VALUE"""),0.57)</f>
        <v>0.57</v>
      </c>
      <c r="J904" s="23">
        <f>IFERROR(__xludf.DUMMYFUNCTION("""COMPUTED_VALUE"""),903.0)</f>
        <v>903</v>
      </c>
      <c r="K904" s="23" t="b">
        <f>IFERROR(__xludf.DUMMYFUNCTION("""COMPUTED_VALUE"""),FALSE)</f>
        <v>0</v>
      </c>
      <c r="L904" s="23" t="str">
        <f>IFERROR(__xludf.DUMMYFUNCTION("""COMPUTED_VALUE"""),"Dynamic Programming;")</f>
        <v>Dynamic Programming;</v>
      </c>
      <c r="M904" s="23" t="b">
        <f>IFERROR(__xludf.DUMMYFUNCTION("""COMPUTED_VALUE"""),FALSE)</f>
        <v>0</v>
      </c>
      <c r="N904" s="23" t="b">
        <f>IFERROR(__xludf.DUMMYFUNCTION("""COMPUTED_VALUE"""),FALSE)</f>
        <v>0</v>
      </c>
      <c r="O904" s="23">
        <f>IFERROR(__xludf.DUMMYFUNCTION("""COMPUTED_VALUE"""),56.9932125487681)</f>
        <v>56.99321255</v>
      </c>
      <c r="P904" s="23">
        <f>IFERROR(__xludf.DUMMYFUNCTION("""COMPUTED_VALUE"""),10664.0)</f>
        <v>10664</v>
      </c>
      <c r="Q904" s="23">
        <f>IFERROR(__xludf.DUMMYFUNCTION("""COMPUTED_VALUE"""),18711.0)</f>
        <v>18711</v>
      </c>
    </row>
    <row r="905">
      <c r="A905" s="23">
        <f>IFERROR(__xludf.DUMMYFUNCTION("""COMPUTED_VALUE"""),940.0)</f>
        <v>940</v>
      </c>
      <c r="B905" s="23" t="str">
        <f>IFERROR(__xludf.DUMMYFUNCTION("""COMPUTED_VALUE"""),"Fruit Into Baskets")</f>
        <v>Fruit Into Baskets</v>
      </c>
      <c r="C905" s="23" t="str">
        <f>IFERROR(__xludf.DUMMYFUNCTION("""COMPUTED_VALUE"""),"fruit-into-baskets")</f>
        <v>fruit-into-baskets</v>
      </c>
      <c r="D905" s="23" t="b">
        <f>IFERROR(__xludf.DUMMYFUNCTION("""COMPUTED_VALUE"""),FALSE)</f>
        <v>0</v>
      </c>
      <c r="E905" s="23" t="str">
        <f>IFERROR(__xludf.DUMMYFUNCTION("""COMPUTED_VALUE"""),"Medium")</f>
        <v>Medium</v>
      </c>
      <c r="F905" s="23">
        <f>IFERROR(__xludf.DUMMYFUNCTION("""COMPUTED_VALUE"""),968.0)</f>
        <v>968</v>
      </c>
      <c r="G905" s="23">
        <f>IFERROR(__xludf.DUMMYFUNCTION("""COMPUTED_VALUE"""),76.0)</f>
        <v>76</v>
      </c>
      <c r="H905" s="23" t="str">
        <f>IFERROR(__xludf.DUMMYFUNCTION("""COMPUTED_VALUE"""),"Algorithms")</f>
        <v>Algorithms</v>
      </c>
      <c r="I905" s="23">
        <f>IFERROR(__xludf.DUMMYFUNCTION("""COMPUTED_VALUE"""),0.428)</f>
        <v>0.428</v>
      </c>
      <c r="J905" s="23">
        <f>IFERROR(__xludf.DUMMYFUNCTION("""COMPUTED_VALUE"""),904.0)</f>
        <v>904</v>
      </c>
      <c r="K905" s="23" t="b">
        <f>IFERROR(__xludf.DUMMYFUNCTION("""COMPUTED_VALUE"""),FALSE)</f>
        <v>0</v>
      </c>
      <c r="L905" s="23" t="str">
        <f>IFERROR(__xludf.DUMMYFUNCTION("""COMPUTED_VALUE"""),"Array;Hash Table;Sliding Window;")</f>
        <v>Array;Hash Table;Sliding Window;</v>
      </c>
      <c r="M905" s="23" t="b">
        <f>IFERROR(__xludf.DUMMYFUNCTION("""COMPUTED_VALUE"""),FALSE)</f>
        <v>0</v>
      </c>
      <c r="N905" s="23" t="b">
        <f>IFERROR(__xludf.DUMMYFUNCTION("""COMPUTED_VALUE"""),FALSE)</f>
        <v>0</v>
      </c>
      <c r="O905" s="23">
        <f>IFERROR(__xludf.DUMMYFUNCTION("""COMPUTED_VALUE"""),42.7809944921487)</f>
        <v>42.78099449</v>
      </c>
      <c r="P905" s="23">
        <f>IFERROR(__xludf.DUMMYFUNCTION("""COMPUTED_VALUE"""),200081.0)</f>
        <v>200081</v>
      </c>
      <c r="Q905" s="23">
        <f>IFERROR(__xludf.DUMMYFUNCTION("""COMPUTED_VALUE"""),467687.0)</f>
        <v>467687</v>
      </c>
    </row>
    <row r="906">
      <c r="A906" s="23">
        <f>IFERROR(__xludf.DUMMYFUNCTION("""COMPUTED_VALUE"""),941.0)</f>
        <v>941</v>
      </c>
      <c r="B906" s="23" t="str">
        <f>IFERROR(__xludf.DUMMYFUNCTION("""COMPUTED_VALUE"""),"Sort Array By Parity")</f>
        <v>Sort Array By Parity</v>
      </c>
      <c r="C906" s="23" t="str">
        <f>IFERROR(__xludf.DUMMYFUNCTION("""COMPUTED_VALUE"""),"sort-array-by-parity")</f>
        <v>sort-array-by-parity</v>
      </c>
      <c r="D906" s="23" t="b">
        <f>IFERROR(__xludf.DUMMYFUNCTION("""COMPUTED_VALUE"""),FALSE)</f>
        <v>0</v>
      </c>
      <c r="E906" s="23" t="str">
        <f>IFERROR(__xludf.DUMMYFUNCTION("""COMPUTED_VALUE"""),"Easy")</f>
        <v>Easy</v>
      </c>
      <c r="F906" s="23">
        <f>IFERROR(__xludf.DUMMYFUNCTION("""COMPUTED_VALUE"""),2656.0)</f>
        <v>2656</v>
      </c>
      <c r="G906" s="23">
        <f>IFERROR(__xludf.DUMMYFUNCTION("""COMPUTED_VALUE"""),111.0)</f>
        <v>111</v>
      </c>
      <c r="H906" s="23" t="str">
        <f>IFERROR(__xludf.DUMMYFUNCTION("""COMPUTED_VALUE"""),"Algorithms")</f>
        <v>Algorithms</v>
      </c>
      <c r="I906" s="23">
        <f>IFERROR(__xludf.DUMMYFUNCTION("""COMPUTED_VALUE"""),0.748)</f>
        <v>0.748</v>
      </c>
      <c r="J906" s="23">
        <f>IFERROR(__xludf.DUMMYFUNCTION("""COMPUTED_VALUE"""),905.0)</f>
        <v>905</v>
      </c>
      <c r="K906" s="23" t="b">
        <f>IFERROR(__xludf.DUMMYFUNCTION("""COMPUTED_VALUE"""),FALSE)</f>
        <v>0</v>
      </c>
      <c r="L906" s="23" t="str">
        <f>IFERROR(__xludf.DUMMYFUNCTION("""COMPUTED_VALUE"""),"Array;Two Pointers;Sorting;")</f>
        <v>Array;Two Pointers;Sorting;</v>
      </c>
      <c r="M906" s="23" t="b">
        <f>IFERROR(__xludf.DUMMYFUNCTION("""COMPUTED_VALUE"""),TRUE)</f>
        <v>1</v>
      </c>
      <c r="N906" s="23" t="b">
        <f>IFERROR(__xludf.DUMMYFUNCTION("""COMPUTED_VALUE"""),FALSE)</f>
        <v>0</v>
      </c>
      <c r="O906" s="23">
        <f>IFERROR(__xludf.DUMMYFUNCTION("""COMPUTED_VALUE"""),74.8148211491264)</f>
        <v>74.81482115</v>
      </c>
      <c r="P906" s="23">
        <f>IFERROR(__xludf.DUMMYFUNCTION("""COMPUTED_VALUE"""),437441.0)</f>
        <v>437441</v>
      </c>
      <c r="Q906" s="23">
        <f>IFERROR(__xludf.DUMMYFUNCTION("""COMPUTED_VALUE"""),584698.0)</f>
        <v>584698</v>
      </c>
    </row>
    <row r="907">
      <c r="A907" s="23">
        <f>IFERROR(__xludf.DUMMYFUNCTION("""COMPUTED_VALUE"""),942.0)</f>
        <v>942</v>
      </c>
      <c r="B907" s="23" t="str">
        <f>IFERROR(__xludf.DUMMYFUNCTION("""COMPUTED_VALUE"""),"Super Palindromes")</f>
        <v>Super Palindromes</v>
      </c>
      <c r="C907" s="23" t="str">
        <f>IFERROR(__xludf.DUMMYFUNCTION("""COMPUTED_VALUE"""),"super-palindromes")</f>
        <v>super-palindromes</v>
      </c>
      <c r="D907" s="23" t="b">
        <f>IFERROR(__xludf.DUMMYFUNCTION("""COMPUTED_VALUE"""),FALSE)</f>
        <v>0</v>
      </c>
      <c r="E907" s="23" t="str">
        <f>IFERROR(__xludf.DUMMYFUNCTION("""COMPUTED_VALUE"""),"Hard")</f>
        <v>Hard</v>
      </c>
      <c r="F907" s="23">
        <f>IFERROR(__xludf.DUMMYFUNCTION("""COMPUTED_VALUE"""),301.0)</f>
        <v>301</v>
      </c>
      <c r="G907" s="23">
        <f>IFERROR(__xludf.DUMMYFUNCTION("""COMPUTED_VALUE"""),378.0)</f>
        <v>378</v>
      </c>
      <c r="H907" s="23" t="str">
        <f>IFERROR(__xludf.DUMMYFUNCTION("""COMPUTED_VALUE"""),"Algorithms")</f>
        <v>Algorithms</v>
      </c>
      <c r="I907" s="23">
        <f>IFERROR(__xludf.DUMMYFUNCTION("""COMPUTED_VALUE"""),0.394)</f>
        <v>0.394</v>
      </c>
      <c r="J907" s="23">
        <f>IFERROR(__xludf.DUMMYFUNCTION("""COMPUTED_VALUE"""),906.0)</f>
        <v>906</v>
      </c>
      <c r="K907" s="23" t="b">
        <f>IFERROR(__xludf.DUMMYFUNCTION("""COMPUTED_VALUE"""),FALSE)</f>
        <v>0</v>
      </c>
      <c r="L907" s="23" t="str">
        <f>IFERROR(__xludf.DUMMYFUNCTION("""COMPUTED_VALUE"""),"Math;Enumeration;")</f>
        <v>Math;Enumeration;</v>
      </c>
      <c r="M907" s="23" t="b">
        <f>IFERROR(__xludf.DUMMYFUNCTION("""COMPUTED_VALUE"""),TRUE)</f>
        <v>1</v>
      </c>
      <c r="N907" s="23" t="b">
        <f>IFERROR(__xludf.DUMMYFUNCTION("""COMPUTED_VALUE"""),FALSE)</f>
        <v>0</v>
      </c>
      <c r="O907" s="23">
        <f>IFERROR(__xludf.DUMMYFUNCTION("""COMPUTED_VALUE"""),39.3779526111652)</f>
        <v>39.37795261</v>
      </c>
      <c r="P907" s="23">
        <f>IFERROR(__xludf.DUMMYFUNCTION("""COMPUTED_VALUE"""),21422.0)</f>
        <v>21422</v>
      </c>
      <c r="Q907" s="23">
        <f>IFERROR(__xludf.DUMMYFUNCTION("""COMPUTED_VALUE"""),54401.0)</f>
        <v>54401</v>
      </c>
    </row>
    <row r="908">
      <c r="A908" s="23">
        <f>IFERROR(__xludf.DUMMYFUNCTION("""COMPUTED_VALUE"""),943.0)</f>
        <v>943</v>
      </c>
      <c r="B908" s="23" t="str">
        <f>IFERROR(__xludf.DUMMYFUNCTION("""COMPUTED_VALUE"""),"Sum of Subarray Minimums")</f>
        <v>Sum of Subarray Minimums</v>
      </c>
      <c r="C908" s="23" t="str">
        <f>IFERROR(__xludf.DUMMYFUNCTION("""COMPUTED_VALUE"""),"sum-of-subarray-minimums")</f>
        <v>sum-of-subarray-minimums</v>
      </c>
      <c r="D908" s="23" t="b">
        <f>IFERROR(__xludf.DUMMYFUNCTION("""COMPUTED_VALUE"""),FALSE)</f>
        <v>0</v>
      </c>
      <c r="E908" s="23" t="str">
        <f>IFERROR(__xludf.DUMMYFUNCTION("""COMPUTED_VALUE"""),"Medium")</f>
        <v>Medium</v>
      </c>
      <c r="F908" s="23">
        <f>IFERROR(__xludf.DUMMYFUNCTION("""COMPUTED_VALUE"""),3410.0)</f>
        <v>3410</v>
      </c>
      <c r="G908" s="23">
        <f>IFERROR(__xludf.DUMMYFUNCTION("""COMPUTED_VALUE"""),228.0)</f>
        <v>228</v>
      </c>
      <c r="H908" s="23" t="str">
        <f>IFERROR(__xludf.DUMMYFUNCTION("""COMPUTED_VALUE"""),"Algorithms")</f>
        <v>Algorithms</v>
      </c>
      <c r="I908" s="23">
        <f>IFERROR(__xludf.DUMMYFUNCTION("""COMPUTED_VALUE"""),0.338)</f>
        <v>0.338</v>
      </c>
      <c r="J908" s="23">
        <f>IFERROR(__xludf.DUMMYFUNCTION("""COMPUTED_VALUE"""),907.0)</f>
        <v>907</v>
      </c>
      <c r="K908" s="23" t="b">
        <f>IFERROR(__xludf.DUMMYFUNCTION("""COMPUTED_VALUE"""),FALSE)</f>
        <v>0</v>
      </c>
      <c r="L908" s="23" t="str">
        <f>IFERROR(__xludf.DUMMYFUNCTION("""COMPUTED_VALUE"""),"Array;Dynamic Programming;Stack;Monotonic Stack;")</f>
        <v>Array;Dynamic Programming;Stack;Monotonic Stack;</v>
      </c>
      <c r="M908" s="23" t="b">
        <f>IFERROR(__xludf.DUMMYFUNCTION("""COMPUTED_VALUE"""),FALSE)</f>
        <v>0</v>
      </c>
      <c r="N908" s="23" t="b">
        <f>IFERROR(__xludf.DUMMYFUNCTION("""COMPUTED_VALUE"""),FALSE)</f>
        <v>0</v>
      </c>
      <c r="O908" s="23">
        <f>IFERROR(__xludf.DUMMYFUNCTION("""COMPUTED_VALUE"""),33.8248561066705)</f>
        <v>33.82485611</v>
      </c>
      <c r="P908" s="23">
        <f>IFERROR(__xludf.DUMMYFUNCTION("""COMPUTED_VALUE"""),74987.0)</f>
        <v>74987</v>
      </c>
      <c r="Q908" s="23">
        <f>IFERROR(__xludf.DUMMYFUNCTION("""COMPUTED_VALUE"""),221690.0)</f>
        <v>221690</v>
      </c>
    </row>
    <row r="909">
      <c r="A909" s="23">
        <f>IFERROR(__xludf.DUMMYFUNCTION("""COMPUTED_VALUE"""),944.0)</f>
        <v>944</v>
      </c>
      <c r="B909" s="23" t="str">
        <f>IFERROR(__xludf.DUMMYFUNCTION("""COMPUTED_VALUE"""),"Smallest Range I")</f>
        <v>Smallest Range I</v>
      </c>
      <c r="C909" s="23" t="str">
        <f>IFERROR(__xludf.DUMMYFUNCTION("""COMPUTED_VALUE"""),"smallest-range-i")</f>
        <v>smallest-range-i</v>
      </c>
      <c r="D909" s="23" t="b">
        <f>IFERROR(__xludf.DUMMYFUNCTION("""COMPUTED_VALUE"""),FALSE)</f>
        <v>0</v>
      </c>
      <c r="E909" s="23" t="str">
        <f>IFERROR(__xludf.DUMMYFUNCTION("""COMPUTED_VALUE"""),"Easy")</f>
        <v>Easy</v>
      </c>
      <c r="F909" s="23">
        <f>IFERROR(__xludf.DUMMYFUNCTION("""COMPUTED_VALUE"""),427.0)</f>
        <v>427</v>
      </c>
      <c r="G909" s="23">
        <f>IFERROR(__xludf.DUMMYFUNCTION("""COMPUTED_VALUE"""),1606.0)</f>
        <v>1606</v>
      </c>
      <c r="H909" s="23" t="str">
        <f>IFERROR(__xludf.DUMMYFUNCTION("""COMPUTED_VALUE"""),"Algorithms")</f>
        <v>Algorithms</v>
      </c>
      <c r="I909" s="23">
        <f>IFERROR(__xludf.DUMMYFUNCTION("""COMPUTED_VALUE"""),0.673)</f>
        <v>0.673</v>
      </c>
      <c r="J909" s="23">
        <f>IFERROR(__xludf.DUMMYFUNCTION("""COMPUTED_VALUE"""),908.0)</f>
        <v>908</v>
      </c>
      <c r="K909" s="23" t="b">
        <f>IFERROR(__xludf.DUMMYFUNCTION("""COMPUTED_VALUE"""),FALSE)</f>
        <v>0</v>
      </c>
      <c r="L909" s="23" t="str">
        <f>IFERROR(__xludf.DUMMYFUNCTION("""COMPUTED_VALUE"""),"Array;Math;")</f>
        <v>Array;Math;</v>
      </c>
      <c r="M909" s="23" t="b">
        <f>IFERROR(__xludf.DUMMYFUNCTION("""COMPUTED_VALUE"""),FALSE)</f>
        <v>0</v>
      </c>
      <c r="N909" s="23" t="b">
        <f>IFERROR(__xludf.DUMMYFUNCTION("""COMPUTED_VALUE"""),FALSE)</f>
        <v>0</v>
      </c>
      <c r="O909" s="23">
        <f>IFERROR(__xludf.DUMMYFUNCTION("""COMPUTED_VALUE"""),67.2595424138512)</f>
        <v>67.25954241</v>
      </c>
      <c r="P909" s="23">
        <f>IFERROR(__xludf.DUMMYFUNCTION("""COMPUTED_VALUE"""),59824.0)</f>
        <v>59824</v>
      </c>
      <c r="Q909" s="23">
        <f>IFERROR(__xludf.DUMMYFUNCTION("""COMPUTED_VALUE"""),88945.0)</f>
        <v>88945</v>
      </c>
    </row>
    <row r="910">
      <c r="A910" s="23">
        <f>IFERROR(__xludf.DUMMYFUNCTION("""COMPUTED_VALUE"""),945.0)</f>
        <v>945</v>
      </c>
      <c r="B910" s="23" t="str">
        <f>IFERROR(__xludf.DUMMYFUNCTION("""COMPUTED_VALUE"""),"Snakes and Ladders")</f>
        <v>Snakes and Ladders</v>
      </c>
      <c r="C910" s="23" t="str">
        <f>IFERROR(__xludf.DUMMYFUNCTION("""COMPUTED_VALUE"""),"snakes-and-ladders")</f>
        <v>snakes-and-ladders</v>
      </c>
      <c r="D910" s="23" t="b">
        <f>IFERROR(__xludf.DUMMYFUNCTION("""COMPUTED_VALUE"""),FALSE)</f>
        <v>0</v>
      </c>
      <c r="E910" s="23" t="str">
        <f>IFERROR(__xludf.DUMMYFUNCTION("""COMPUTED_VALUE"""),"Medium")</f>
        <v>Medium</v>
      </c>
      <c r="F910" s="23">
        <f>IFERROR(__xludf.DUMMYFUNCTION("""COMPUTED_VALUE"""),637.0)</f>
        <v>637</v>
      </c>
      <c r="G910" s="23">
        <f>IFERROR(__xludf.DUMMYFUNCTION("""COMPUTED_VALUE"""),161.0)</f>
        <v>161</v>
      </c>
      <c r="H910" s="23" t="str">
        <f>IFERROR(__xludf.DUMMYFUNCTION("""COMPUTED_VALUE"""),"Algorithms")</f>
        <v>Algorithms</v>
      </c>
      <c r="I910" s="23">
        <f>IFERROR(__xludf.DUMMYFUNCTION("""COMPUTED_VALUE"""),0.405)</f>
        <v>0.405</v>
      </c>
      <c r="J910" s="23">
        <f>IFERROR(__xludf.DUMMYFUNCTION("""COMPUTED_VALUE"""),909.0)</f>
        <v>909</v>
      </c>
      <c r="K910" s="23" t="b">
        <f>IFERROR(__xludf.DUMMYFUNCTION("""COMPUTED_VALUE"""),FALSE)</f>
        <v>0</v>
      </c>
      <c r="L910" s="23" t="str">
        <f>IFERROR(__xludf.DUMMYFUNCTION("""COMPUTED_VALUE"""),"Array;Breadth-First Search;Matrix;")</f>
        <v>Array;Breadth-First Search;Matrix;</v>
      </c>
      <c r="M910" s="23" t="b">
        <f>IFERROR(__xludf.DUMMYFUNCTION("""COMPUTED_VALUE"""),FALSE)</f>
        <v>0</v>
      </c>
      <c r="N910" s="23" t="b">
        <f>IFERROR(__xludf.DUMMYFUNCTION("""COMPUTED_VALUE"""),FALSE)</f>
        <v>0</v>
      </c>
      <c r="O910" s="23">
        <f>IFERROR(__xludf.DUMMYFUNCTION("""COMPUTED_VALUE"""),40.5205095050757)</f>
        <v>40.52050951</v>
      </c>
      <c r="P910" s="23">
        <f>IFERROR(__xludf.DUMMYFUNCTION("""COMPUTED_VALUE"""),73644.0)</f>
        <v>73644</v>
      </c>
      <c r="Q910" s="23">
        <f>IFERROR(__xludf.DUMMYFUNCTION("""COMPUTED_VALUE"""),181745.0)</f>
        <v>181745</v>
      </c>
    </row>
    <row r="911">
      <c r="A911" s="23">
        <f>IFERROR(__xludf.DUMMYFUNCTION("""COMPUTED_VALUE"""),946.0)</f>
        <v>946</v>
      </c>
      <c r="B911" s="23" t="str">
        <f>IFERROR(__xludf.DUMMYFUNCTION("""COMPUTED_VALUE"""),"Smallest Range II")</f>
        <v>Smallest Range II</v>
      </c>
      <c r="C911" s="23" t="str">
        <f>IFERROR(__xludf.DUMMYFUNCTION("""COMPUTED_VALUE"""),"smallest-range-ii")</f>
        <v>smallest-range-ii</v>
      </c>
      <c r="D911" s="23" t="b">
        <f>IFERROR(__xludf.DUMMYFUNCTION("""COMPUTED_VALUE"""),FALSE)</f>
        <v>0</v>
      </c>
      <c r="E911" s="23" t="str">
        <f>IFERROR(__xludf.DUMMYFUNCTION("""COMPUTED_VALUE"""),"Medium")</f>
        <v>Medium</v>
      </c>
      <c r="F911" s="23">
        <f>IFERROR(__xludf.DUMMYFUNCTION("""COMPUTED_VALUE"""),1086.0)</f>
        <v>1086</v>
      </c>
      <c r="G911" s="23">
        <f>IFERROR(__xludf.DUMMYFUNCTION("""COMPUTED_VALUE"""),354.0)</f>
        <v>354</v>
      </c>
      <c r="H911" s="23" t="str">
        <f>IFERROR(__xludf.DUMMYFUNCTION("""COMPUTED_VALUE"""),"Algorithms")</f>
        <v>Algorithms</v>
      </c>
      <c r="I911" s="23">
        <f>IFERROR(__xludf.DUMMYFUNCTION("""COMPUTED_VALUE"""),0.328)</f>
        <v>0.328</v>
      </c>
      <c r="J911" s="23">
        <f>IFERROR(__xludf.DUMMYFUNCTION("""COMPUTED_VALUE"""),910.0)</f>
        <v>910</v>
      </c>
      <c r="K911" s="23" t="b">
        <f>IFERROR(__xludf.DUMMYFUNCTION("""COMPUTED_VALUE"""),FALSE)</f>
        <v>0</v>
      </c>
      <c r="L911" s="23" t="str">
        <f>IFERROR(__xludf.DUMMYFUNCTION("""COMPUTED_VALUE"""),"Array;Math;Greedy;Sorting;")</f>
        <v>Array;Math;Greedy;Sorting;</v>
      </c>
      <c r="M911" s="23" t="b">
        <f>IFERROR(__xludf.DUMMYFUNCTION("""COMPUTED_VALUE"""),TRUE)</f>
        <v>1</v>
      </c>
      <c r="N911" s="23" t="b">
        <f>IFERROR(__xludf.DUMMYFUNCTION("""COMPUTED_VALUE"""),FALSE)</f>
        <v>0</v>
      </c>
      <c r="O911" s="23">
        <f>IFERROR(__xludf.DUMMYFUNCTION("""COMPUTED_VALUE"""),32.7703333759351)</f>
        <v>32.77033338</v>
      </c>
      <c r="P911" s="23">
        <f>IFERROR(__xludf.DUMMYFUNCTION("""COMPUTED_VALUE"""),33333.0)</f>
        <v>33333</v>
      </c>
      <c r="Q911" s="23">
        <f>IFERROR(__xludf.DUMMYFUNCTION("""COMPUTED_VALUE"""),101713.0)</f>
        <v>101713</v>
      </c>
    </row>
    <row r="912">
      <c r="A912" s="23">
        <f>IFERROR(__xludf.DUMMYFUNCTION("""COMPUTED_VALUE"""),947.0)</f>
        <v>947</v>
      </c>
      <c r="B912" s="23" t="str">
        <f>IFERROR(__xludf.DUMMYFUNCTION("""COMPUTED_VALUE"""),"Online Election")</f>
        <v>Online Election</v>
      </c>
      <c r="C912" s="23" t="str">
        <f>IFERROR(__xludf.DUMMYFUNCTION("""COMPUTED_VALUE"""),"online-election")</f>
        <v>online-election</v>
      </c>
      <c r="D912" s="23" t="b">
        <f>IFERROR(__xludf.DUMMYFUNCTION("""COMPUTED_VALUE"""),FALSE)</f>
        <v>0</v>
      </c>
      <c r="E912" s="23" t="str">
        <f>IFERROR(__xludf.DUMMYFUNCTION("""COMPUTED_VALUE"""),"Medium")</f>
        <v>Medium</v>
      </c>
      <c r="F912" s="23">
        <f>IFERROR(__xludf.DUMMYFUNCTION("""COMPUTED_VALUE"""),680.0)</f>
        <v>680</v>
      </c>
      <c r="G912" s="23">
        <f>IFERROR(__xludf.DUMMYFUNCTION("""COMPUTED_VALUE"""),508.0)</f>
        <v>508</v>
      </c>
      <c r="H912" s="23" t="str">
        <f>IFERROR(__xludf.DUMMYFUNCTION("""COMPUTED_VALUE"""),"Algorithms")</f>
        <v>Algorithms</v>
      </c>
      <c r="I912" s="23">
        <f>IFERROR(__xludf.DUMMYFUNCTION("""COMPUTED_VALUE"""),0.515)</f>
        <v>0.515</v>
      </c>
      <c r="J912" s="23">
        <f>IFERROR(__xludf.DUMMYFUNCTION("""COMPUTED_VALUE"""),911.0)</f>
        <v>911</v>
      </c>
      <c r="K912" s="23" t="b">
        <f>IFERROR(__xludf.DUMMYFUNCTION("""COMPUTED_VALUE"""),FALSE)</f>
        <v>0</v>
      </c>
      <c r="L912" s="23" t="str">
        <f>IFERROR(__xludf.DUMMYFUNCTION("""COMPUTED_VALUE"""),"Array;Hash Table;Binary Search;Design;")</f>
        <v>Array;Hash Table;Binary Search;Design;</v>
      </c>
      <c r="M912" s="23" t="b">
        <f>IFERROR(__xludf.DUMMYFUNCTION("""COMPUTED_VALUE"""),TRUE)</f>
        <v>1</v>
      </c>
      <c r="N912" s="23" t="b">
        <f>IFERROR(__xludf.DUMMYFUNCTION("""COMPUTED_VALUE"""),FALSE)</f>
        <v>0</v>
      </c>
      <c r="O912" s="23">
        <f>IFERROR(__xludf.DUMMYFUNCTION("""COMPUTED_VALUE"""),51.5401032883642)</f>
        <v>51.54010329</v>
      </c>
      <c r="P912" s="23">
        <f>IFERROR(__xludf.DUMMYFUNCTION("""COMPUTED_VALUE"""),39121.0)</f>
        <v>39121</v>
      </c>
      <c r="Q912" s="23">
        <f>IFERROR(__xludf.DUMMYFUNCTION("""COMPUTED_VALUE"""),75904.0)</f>
        <v>75904</v>
      </c>
    </row>
    <row r="913">
      <c r="A913" s="23">
        <f>IFERROR(__xludf.DUMMYFUNCTION("""COMPUTED_VALUE"""),948.0)</f>
        <v>948</v>
      </c>
      <c r="B913" s="23" t="str">
        <f>IFERROR(__xludf.DUMMYFUNCTION("""COMPUTED_VALUE"""),"Sort an Array")</f>
        <v>Sort an Array</v>
      </c>
      <c r="C913" s="23" t="str">
        <f>IFERROR(__xludf.DUMMYFUNCTION("""COMPUTED_VALUE"""),"sort-an-array")</f>
        <v>sort-an-array</v>
      </c>
      <c r="D913" s="23" t="b">
        <f>IFERROR(__xludf.DUMMYFUNCTION("""COMPUTED_VALUE"""),FALSE)</f>
        <v>0</v>
      </c>
      <c r="E913" s="23" t="str">
        <f>IFERROR(__xludf.DUMMYFUNCTION("""COMPUTED_VALUE"""),"Medium")</f>
        <v>Medium</v>
      </c>
      <c r="F913" s="23">
        <f>IFERROR(__xludf.DUMMYFUNCTION("""COMPUTED_VALUE"""),2062.0)</f>
        <v>2062</v>
      </c>
      <c r="G913" s="23">
        <f>IFERROR(__xludf.DUMMYFUNCTION("""COMPUTED_VALUE"""),518.0)</f>
        <v>518</v>
      </c>
      <c r="H913" s="23" t="str">
        <f>IFERROR(__xludf.DUMMYFUNCTION("""COMPUTED_VALUE"""),"Algorithms")</f>
        <v>Algorithms</v>
      </c>
      <c r="I913" s="23">
        <f>IFERROR(__xludf.DUMMYFUNCTION("""COMPUTED_VALUE"""),0.614)</f>
        <v>0.614</v>
      </c>
      <c r="J913" s="23">
        <f>IFERROR(__xludf.DUMMYFUNCTION("""COMPUTED_VALUE"""),912.0)</f>
        <v>912</v>
      </c>
      <c r="K913" s="23" t="b">
        <f>IFERROR(__xludf.DUMMYFUNCTION("""COMPUTED_VALUE"""),FALSE)</f>
        <v>0</v>
      </c>
      <c r="L913" s="23" t="str">
        <f>IFERROR(__xludf.DUMMYFUNCTION("""COMPUTED_VALUE"""),"Array;Divide and Conquer;Sorting;Heap (Priority Queue);Merge Sort;Bucket Sort;Radix Sort;Counting Sort;")</f>
        <v>Array;Divide and Conquer;Sorting;Heap (Priority Queue);Merge Sort;Bucket Sort;Radix Sort;Counting Sort;</v>
      </c>
      <c r="M913" s="23" t="b">
        <f>IFERROR(__xludf.DUMMYFUNCTION("""COMPUTED_VALUE"""),FALSE)</f>
        <v>0</v>
      </c>
      <c r="N913" s="23" t="b">
        <f>IFERROR(__xludf.DUMMYFUNCTION("""COMPUTED_VALUE"""),FALSE)</f>
        <v>0</v>
      </c>
      <c r="O913" s="23">
        <f>IFERROR(__xludf.DUMMYFUNCTION("""COMPUTED_VALUE"""),61.4498360501049)</f>
        <v>61.44983605</v>
      </c>
      <c r="P913" s="23">
        <f>IFERROR(__xludf.DUMMYFUNCTION("""COMPUTED_VALUE"""),260491.0)</f>
        <v>260491</v>
      </c>
      <c r="Q913" s="23">
        <f>IFERROR(__xludf.DUMMYFUNCTION("""COMPUTED_VALUE"""),423909.0)</f>
        <v>423909</v>
      </c>
    </row>
    <row r="914">
      <c r="A914" s="23">
        <f>IFERROR(__xludf.DUMMYFUNCTION("""COMPUTED_VALUE"""),949.0)</f>
        <v>949</v>
      </c>
      <c r="B914" s="23" t="str">
        <f>IFERROR(__xludf.DUMMYFUNCTION("""COMPUTED_VALUE"""),"Cat and Mouse")</f>
        <v>Cat and Mouse</v>
      </c>
      <c r="C914" s="23" t="str">
        <f>IFERROR(__xludf.DUMMYFUNCTION("""COMPUTED_VALUE"""),"cat-and-mouse")</f>
        <v>cat-and-mouse</v>
      </c>
      <c r="D914" s="23" t="b">
        <f>IFERROR(__xludf.DUMMYFUNCTION("""COMPUTED_VALUE"""),FALSE)</f>
        <v>0</v>
      </c>
      <c r="E914" s="23" t="str">
        <f>IFERROR(__xludf.DUMMYFUNCTION("""COMPUTED_VALUE"""),"Hard")</f>
        <v>Hard</v>
      </c>
      <c r="F914" s="23">
        <f>IFERROR(__xludf.DUMMYFUNCTION("""COMPUTED_VALUE"""),622.0)</f>
        <v>622</v>
      </c>
      <c r="G914" s="23">
        <f>IFERROR(__xludf.DUMMYFUNCTION("""COMPUTED_VALUE"""),111.0)</f>
        <v>111</v>
      </c>
      <c r="H914" s="23" t="str">
        <f>IFERROR(__xludf.DUMMYFUNCTION("""COMPUTED_VALUE"""),"Algorithms")</f>
        <v>Algorithms</v>
      </c>
      <c r="I914" s="23">
        <f>IFERROR(__xludf.DUMMYFUNCTION("""COMPUTED_VALUE"""),0.357)</f>
        <v>0.357</v>
      </c>
      <c r="J914" s="23">
        <f>IFERROR(__xludf.DUMMYFUNCTION("""COMPUTED_VALUE"""),913.0)</f>
        <v>913</v>
      </c>
      <c r="K914" s="23" t="b">
        <f>IFERROR(__xludf.DUMMYFUNCTION("""COMPUTED_VALUE"""),FALSE)</f>
        <v>0</v>
      </c>
      <c r="L914" s="23" t="str">
        <f>IFERROR(__xludf.DUMMYFUNCTION("""COMPUTED_VALUE"""),"Math;Dynamic Programming;Breadth-First Search;Graph;Memoization;Game Theory;")</f>
        <v>Math;Dynamic Programming;Breadth-First Search;Graph;Memoization;Game Theory;</v>
      </c>
      <c r="M914" s="23" t="b">
        <f>IFERROR(__xludf.DUMMYFUNCTION("""COMPUTED_VALUE"""),TRUE)</f>
        <v>1</v>
      </c>
      <c r="N914" s="23" t="b">
        <f>IFERROR(__xludf.DUMMYFUNCTION("""COMPUTED_VALUE"""),FALSE)</f>
        <v>0</v>
      </c>
      <c r="O914" s="23">
        <f>IFERROR(__xludf.DUMMYFUNCTION("""COMPUTED_VALUE"""),35.7263595093209)</f>
        <v>35.72635951</v>
      </c>
      <c r="P914" s="23">
        <f>IFERROR(__xludf.DUMMYFUNCTION("""COMPUTED_VALUE"""),14795.0)</f>
        <v>14795</v>
      </c>
      <c r="Q914" s="23">
        <f>IFERROR(__xludf.DUMMYFUNCTION("""COMPUTED_VALUE"""),41412.0)</f>
        <v>41412</v>
      </c>
    </row>
    <row r="915">
      <c r="A915" s="23">
        <f>IFERROR(__xludf.DUMMYFUNCTION("""COMPUTED_VALUE"""),950.0)</f>
        <v>950</v>
      </c>
      <c r="B915" s="23" t="str">
        <f>IFERROR(__xludf.DUMMYFUNCTION("""COMPUTED_VALUE"""),"X of a Kind in a Deck of Cards")</f>
        <v>X of a Kind in a Deck of Cards</v>
      </c>
      <c r="C915" s="23" t="str">
        <f>IFERROR(__xludf.DUMMYFUNCTION("""COMPUTED_VALUE"""),"x-of-a-kind-in-a-deck-of-cards")</f>
        <v>x-of-a-kind-in-a-deck-of-cards</v>
      </c>
      <c r="D915" s="23" t="b">
        <f>IFERROR(__xludf.DUMMYFUNCTION("""COMPUTED_VALUE"""),FALSE)</f>
        <v>0</v>
      </c>
      <c r="E915" s="23" t="str">
        <f>IFERROR(__xludf.DUMMYFUNCTION("""COMPUTED_VALUE"""),"Easy")</f>
        <v>Easy</v>
      </c>
      <c r="F915" s="23">
        <f>IFERROR(__xludf.DUMMYFUNCTION("""COMPUTED_VALUE"""),1241.0)</f>
        <v>1241</v>
      </c>
      <c r="G915" s="23">
        <f>IFERROR(__xludf.DUMMYFUNCTION("""COMPUTED_VALUE"""),305.0)</f>
        <v>305</v>
      </c>
      <c r="H915" s="23" t="str">
        <f>IFERROR(__xludf.DUMMYFUNCTION("""COMPUTED_VALUE"""),"Algorithms")</f>
        <v>Algorithms</v>
      </c>
      <c r="I915" s="23">
        <f>IFERROR(__xludf.DUMMYFUNCTION("""COMPUTED_VALUE"""),0.33)</f>
        <v>0.33</v>
      </c>
      <c r="J915" s="23">
        <f>IFERROR(__xludf.DUMMYFUNCTION("""COMPUTED_VALUE"""),914.0)</f>
        <v>914</v>
      </c>
      <c r="K915" s="23" t="b">
        <f>IFERROR(__xludf.DUMMYFUNCTION("""COMPUTED_VALUE"""),FALSE)</f>
        <v>0</v>
      </c>
      <c r="L915" s="23" t="str">
        <f>IFERROR(__xludf.DUMMYFUNCTION("""COMPUTED_VALUE"""),"Array;Hash Table;Math;Counting;Number Theory;")</f>
        <v>Array;Hash Table;Math;Counting;Number Theory;</v>
      </c>
      <c r="M915" s="23" t="b">
        <f>IFERROR(__xludf.DUMMYFUNCTION("""COMPUTED_VALUE"""),TRUE)</f>
        <v>1</v>
      </c>
      <c r="N915" s="23" t="b">
        <f>IFERROR(__xludf.DUMMYFUNCTION("""COMPUTED_VALUE"""),FALSE)</f>
        <v>0</v>
      </c>
      <c r="O915" s="23">
        <f>IFERROR(__xludf.DUMMYFUNCTION("""COMPUTED_VALUE"""),32.9591099049364)</f>
        <v>32.9591099</v>
      </c>
      <c r="P915" s="23">
        <f>IFERROR(__xludf.DUMMYFUNCTION("""COMPUTED_VALUE"""),85253.0)</f>
        <v>85253</v>
      </c>
      <c r="Q915" s="23">
        <f>IFERROR(__xludf.DUMMYFUNCTION("""COMPUTED_VALUE"""),258661.0)</f>
        <v>258661</v>
      </c>
    </row>
    <row r="916">
      <c r="A916" s="23">
        <f>IFERROR(__xludf.DUMMYFUNCTION("""COMPUTED_VALUE"""),951.0)</f>
        <v>951</v>
      </c>
      <c r="B916" s="23" t="str">
        <f>IFERROR(__xludf.DUMMYFUNCTION("""COMPUTED_VALUE"""),"Partition Array into Disjoint Intervals")</f>
        <v>Partition Array into Disjoint Intervals</v>
      </c>
      <c r="C916" s="23" t="str">
        <f>IFERROR(__xludf.DUMMYFUNCTION("""COMPUTED_VALUE"""),"partition-array-into-disjoint-intervals")</f>
        <v>partition-array-into-disjoint-intervals</v>
      </c>
      <c r="D916" s="23" t="b">
        <f>IFERROR(__xludf.DUMMYFUNCTION("""COMPUTED_VALUE"""),FALSE)</f>
        <v>0</v>
      </c>
      <c r="E916" s="23" t="str">
        <f>IFERROR(__xludf.DUMMYFUNCTION("""COMPUTED_VALUE"""),"Medium")</f>
        <v>Medium</v>
      </c>
      <c r="F916" s="23">
        <f>IFERROR(__xludf.DUMMYFUNCTION("""COMPUTED_VALUE"""),1166.0)</f>
        <v>1166</v>
      </c>
      <c r="G916" s="23">
        <f>IFERROR(__xludf.DUMMYFUNCTION("""COMPUTED_VALUE"""),59.0)</f>
        <v>59</v>
      </c>
      <c r="H916" s="23" t="str">
        <f>IFERROR(__xludf.DUMMYFUNCTION("""COMPUTED_VALUE"""),"Algorithms")</f>
        <v>Algorithms</v>
      </c>
      <c r="I916" s="23">
        <f>IFERROR(__xludf.DUMMYFUNCTION("""COMPUTED_VALUE"""),0.484)</f>
        <v>0.484</v>
      </c>
      <c r="J916" s="23">
        <f>IFERROR(__xludf.DUMMYFUNCTION("""COMPUTED_VALUE"""),915.0)</f>
        <v>915</v>
      </c>
      <c r="K916" s="23" t="b">
        <f>IFERROR(__xludf.DUMMYFUNCTION("""COMPUTED_VALUE"""),FALSE)</f>
        <v>0</v>
      </c>
      <c r="L916" s="23" t="str">
        <f>IFERROR(__xludf.DUMMYFUNCTION("""COMPUTED_VALUE"""),"Array;")</f>
        <v>Array;</v>
      </c>
      <c r="M916" s="23" t="b">
        <f>IFERROR(__xludf.DUMMYFUNCTION("""COMPUTED_VALUE"""),TRUE)</f>
        <v>1</v>
      </c>
      <c r="N916" s="23" t="b">
        <f>IFERROR(__xludf.DUMMYFUNCTION("""COMPUTED_VALUE"""),FALSE)</f>
        <v>0</v>
      </c>
      <c r="O916" s="23">
        <f>IFERROR(__xludf.DUMMYFUNCTION("""COMPUTED_VALUE"""),48.3904823415436)</f>
        <v>48.39048234</v>
      </c>
      <c r="P916" s="23">
        <f>IFERROR(__xludf.DUMMYFUNCTION("""COMPUTED_VALUE"""),65933.0)</f>
        <v>65933</v>
      </c>
      <c r="Q916" s="23">
        <f>IFERROR(__xludf.DUMMYFUNCTION("""COMPUTED_VALUE"""),136252.0)</f>
        <v>136252</v>
      </c>
    </row>
    <row r="917">
      <c r="A917" s="23">
        <f>IFERROR(__xludf.DUMMYFUNCTION("""COMPUTED_VALUE"""),952.0)</f>
        <v>952</v>
      </c>
      <c r="B917" s="23" t="str">
        <f>IFERROR(__xludf.DUMMYFUNCTION("""COMPUTED_VALUE"""),"Word Subsets")</f>
        <v>Word Subsets</v>
      </c>
      <c r="C917" s="23" t="str">
        <f>IFERROR(__xludf.DUMMYFUNCTION("""COMPUTED_VALUE"""),"word-subsets")</f>
        <v>word-subsets</v>
      </c>
      <c r="D917" s="23" t="b">
        <f>IFERROR(__xludf.DUMMYFUNCTION("""COMPUTED_VALUE"""),FALSE)</f>
        <v>0</v>
      </c>
      <c r="E917" s="23" t="str">
        <f>IFERROR(__xludf.DUMMYFUNCTION("""COMPUTED_VALUE"""),"Medium")</f>
        <v>Medium</v>
      </c>
      <c r="F917" s="23">
        <f>IFERROR(__xludf.DUMMYFUNCTION("""COMPUTED_VALUE"""),949.0)</f>
        <v>949</v>
      </c>
      <c r="G917" s="23">
        <f>IFERROR(__xludf.DUMMYFUNCTION("""COMPUTED_VALUE"""),126.0)</f>
        <v>126</v>
      </c>
      <c r="H917" s="23" t="str">
        <f>IFERROR(__xludf.DUMMYFUNCTION("""COMPUTED_VALUE"""),"Algorithms")</f>
        <v>Algorithms</v>
      </c>
      <c r="I917" s="23">
        <f>IFERROR(__xludf.DUMMYFUNCTION("""COMPUTED_VALUE"""),0.527)</f>
        <v>0.527</v>
      </c>
      <c r="J917" s="23">
        <f>IFERROR(__xludf.DUMMYFUNCTION("""COMPUTED_VALUE"""),916.0)</f>
        <v>916</v>
      </c>
      <c r="K917" s="23" t="b">
        <f>IFERROR(__xludf.DUMMYFUNCTION("""COMPUTED_VALUE"""),FALSE)</f>
        <v>0</v>
      </c>
      <c r="L917" s="23" t="str">
        <f>IFERROR(__xludf.DUMMYFUNCTION("""COMPUTED_VALUE"""),"Array;Hash Table;String;")</f>
        <v>Array;Hash Table;String;</v>
      </c>
      <c r="M917" s="23" t="b">
        <f>IFERROR(__xludf.DUMMYFUNCTION("""COMPUTED_VALUE"""),TRUE)</f>
        <v>1</v>
      </c>
      <c r="N917" s="23" t="b">
        <f>IFERROR(__xludf.DUMMYFUNCTION("""COMPUTED_VALUE"""),FALSE)</f>
        <v>0</v>
      </c>
      <c r="O917" s="23">
        <f>IFERROR(__xludf.DUMMYFUNCTION("""COMPUTED_VALUE"""),52.6531645035793)</f>
        <v>52.6531645</v>
      </c>
      <c r="P917" s="23">
        <f>IFERROR(__xludf.DUMMYFUNCTION("""COMPUTED_VALUE"""),49940.0)</f>
        <v>49940</v>
      </c>
      <c r="Q917" s="23">
        <f>IFERROR(__xludf.DUMMYFUNCTION("""COMPUTED_VALUE"""),94848.0)</f>
        <v>94848</v>
      </c>
    </row>
    <row r="918">
      <c r="A918" s="23">
        <f>IFERROR(__xludf.DUMMYFUNCTION("""COMPUTED_VALUE"""),953.0)</f>
        <v>953</v>
      </c>
      <c r="B918" s="23" t="str">
        <f>IFERROR(__xludf.DUMMYFUNCTION("""COMPUTED_VALUE"""),"Reverse Only Letters")</f>
        <v>Reverse Only Letters</v>
      </c>
      <c r="C918" s="23" t="str">
        <f>IFERROR(__xludf.DUMMYFUNCTION("""COMPUTED_VALUE"""),"reverse-only-letters")</f>
        <v>reverse-only-letters</v>
      </c>
      <c r="D918" s="23" t="b">
        <f>IFERROR(__xludf.DUMMYFUNCTION("""COMPUTED_VALUE"""),FALSE)</f>
        <v>0</v>
      </c>
      <c r="E918" s="23" t="str">
        <f>IFERROR(__xludf.DUMMYFUNCTION("""COMPUTED_VALUE"""),"Easy")</f>
        <v>Easy</v>
      </c>
      <c r="F918" s="23">
        <f>IFERROR(__xludf.DUMMYFUNCTION("""COMPUTED_VALUE"""),1429.0)</f>
        <v>1429</v>
      </c>
      <c r="G918" s="23">
        <f>IFERROR(__xludf.DUMMYFUNCTION("""COMPUTED_VALUE"""),52.0)</f>
        <v>52</v>
      </c>
      <c r="H918" s="23" t="str">
        <f>IFERROR(__xludf.DUMMYFUNCTION("""COMPUTED_VALUE"""),"Algorithms")</f>
        <v>Algorithms</v>
      </c>
      <c r="I918" s="23">
        <f>IFERROR(__xludf.DUMMYFUNCTION("""COMPUTED_VALUE"""),0.61)</f>
        <v>0.61</v>
      </c>
      <c r="J918" s="23">
        <f>IFERROR(__xludf.DUMMYFUNCTION("""COMPUTED_VALUE"""),917.0)</f>
        <v>917</v>
      </c>
      <c r="K918" s="23" t="b">
        <f>IFERROR(__xludf.DUMMYFUNCTION("""COMPUTED_VALUE"""),FALSE)</f>
        <v>0</v>
      </c>
      <c r="L918" s="23" t="str">
        <f>IFERROR(__xludf.DUMMYFUNCTION("""COMPUTED_VALUE"""),"Two Pointers;String;")</f>
        <v>Two Pointers;String;</v>
      </c>
      <c r="M918" s="23" t="b">
        <f>IFERROR(__xludf.DUMMYFUNCTION("""COMPUTED_VALUE"""),TRUE)</f>
        <v>1</v>
      </c>
      <c r="N918" s="23" t="b">
        <f>IFERROR(__xludf.DUMMYFUNCTION("""COMPUTED_VALUE"""),FALSE)</f>
        <v>0</v>
      </c>
      <c r="O918" s="23">
        <f>IFERROR(__xludf.DUMMYFUNCTION("""COMPUTED_VALUE"""),61.0032094610128)</f>
        <v>61.00320946</v>
      </c>
      <c r="P918" s="23">
        <f>IFERROR(__xludf.DUMMYFUNCTION("""COMPUTED_VALUE"""),132671.0)</f>
        <v>132671</v>
      </c>
      <c r="Q918" s="23">
        <f>IFERROR(__xludf.DUMMYFUNCTION("""COMPUTED_VALUE"""),217482.0)</f>
        <v>217482</v>
      </c>
    </row>
    <row r="919">
      <c r="A919" s="23">
        <f>IFERROR(__xludf.DUMMYFUNCTION("""COMPUTED_VALUE"""),954.0)</f>
        <v>954</v>
      </c>
      <c r="B919" s="23" t="str">
        <f>IFERROR(__xludf.DUMMYFUNCTION("""COMPUTED_VALUE"""),"Maximum Sum Circular Subarray")</f>
        <v>Maximum Sum Circular Subarray</v>
      </c>
      <c r="C919" s="23" t="str">
        <f>IFERROR(__xludf.DUMMYFUNCTION("""COMPUTED_VALUE"""),"maximum-sum-circular-subarray")</f>
        <v>maximum-sum-circular-subarray</v>
      </c>
      <c r="D919" s="23" t="b">
        <f>IFERROR(__xludf.DUMMYFUNCTION("""COMPUTED_VALUE"""),FALSE)</f>
        <v>0</v>
      </c>
      <c r="E919" s="23" t="str">
        <f>IFERROR(__xludf.DUMMYFUNCTION("""COMPUTED_VALUE"""),"Medium")</f>
        <v>Medium</v>
      </c>
      <c r="F919" s="23">
        <f>IFERROR(__xludf.DUMMYFUNCTION("""COMPUTED_VALUE"""),3084.0)</f>
        <v>3084</v>
      </c>
      <c r="G919" s="23">
        <f>IFERROR(__xludf.DUMMYFUNCTION("""COMPUTED_VALUE"""),140.0)</f>
        <v>140</v>
      </c>
      <c r="H919" s="23" t="str">
        <f>IFERROR(__xludf.DUMMYFUNCTION("""COMPUTED_VALUE"""),"Algorithms")</f>
        <v>Algorithms</v>
      </c>
      <c r="I919" s="23">
        <f>IFERROR(__xludf.DUMMYFUNCTION("""COMPUTED_VALUE"""),0.371)</f>
        <v>0.371</v>
      </c>
      <c r="J919" s="23">
        <f>IFERROR(__xludf.DUMMYFUNCTION("""COMPUTED_VALUE"""),918.0)</f>
        <v>918</v>
      </c>
      <c r="K919" s="23" t="b">
        <f>IFERROR(__xludf.DUMMYFUNCTION("""COMPUTED_VALUE"""),FALSE)</f>
        <v>0</v>
      </c>
      <c r="L919" s="23" t="str">
        <f>IFERROR(__xludf.DUMMYFUNCTION("""COMPUTED_VALUE"""),"Array;Divide and Conquer;Dynamic Programming;Queue;Monotonic Queue;")</f>
        <v>Array;Divide and Conquer;Dynamic Programming;Queue;Monotonic Queue;</v>
      </c>
      <c r="M919" s="23" t="b">
        <f>IFERROR(__xludf.DUMMYFUNCTION("""COMPUTED_VALUE"""),TRUE)</f>
        <v>1</v>
      </c>
      <c r="N919" s="23" t="b">
        <f>IFERROR(__xludf.DUMMYFUNCTION("""COMPUTED_VALUE"""),FALSE)</f>
        <v>0</v>
      </c>
      <c r="O919" s="23">
        <f>IFERROR(__xludf.DUMMYFUNCTION("""COMPUTED_VALUE"""),37.1491625717484)</f>
        <v>37.14916257</v>
      </c>
      <c r="P919" s="23">
        <f>IFERROR(__xludf.DUMMYFUNCTION("""COMPUTED_VALUE"""),115138.0)</f>
        <v>115138</v>
      </c>
      <c r="Q919" s="23">
        <f>IFERROR(__xludf.DUMMYFUNCTION("""COMPUTED_VALUE"""),309935.0)</f>
        <v>309935</v>
      </c>
    </row>
    <row r="920">
      <c r="A920" s="23">
        <f>IFERROR(__xludf.DUMMYFUNCTION("""COMPUTED_VALUE"""),955.0)</f>
        <v>955</v>
      </c>
      <c r="B920" s="23" t="str">
        <f>IFERROR(__xludf.DUMMYFUNCTION("""COMPUTED_VALUE"""),"Complete Binary Tree Inserter")</f>
        <v>Complete Binary Tree Inserter</v>
      </c>
      <c r="C920" s="23" t="str">
        <f>IFERROR(__xludf.DUMMYFUNCTION("""COMPUTED_VALUE"""),"complete-binary-tree-inserter")</f>
        <v>complete-binary-tree-inserter</v>
      </c>
      <c r="D920" s="23" t="b">
        <f>IFERROR(__xludf.DUMMYFUNCTION("""COMPUTED_VALUE"""),FALSE)</f>
        <v>0</v>
      </c>
      <c r="E920" s="23" t="str">
        <f>IFERROR(__xludf.DUMMYFUNCTION("""COMPUTED_VALUE"""),"Medium")</f>
        <v>Medium</v>
      </c>
      <c r="F920" s="23">
        <f>IFERROR(__xludf.DUMMYFUNCTION("""COMPUTED_VALUE"""),764.0)</f>
        <v>764</v>
      </c>
      <c r="G920" s="23">
        <f>IFERROR(__xludf.DUMMYFUNCTION("""COMPUTED_VALUE"""),82.0)</f>
        <v>82</v>
      </c>
      <c r="H920" s="23" t="str">
        <f>IFERROR(__xludf.DUMMYFUNCTION("""COMPUTED_VALUE"""),"Algorithms")</f>
        <v>Algorithms</v>
      </c>
      <c r="I920" s="23">
        <f>IFERROR(__xludf.DUMMYFUNCTION("""COMPUTED_VALUE"""),0.641)</f>
        <v>0.641</v>
      </c>
      <c r="J920" s="23">
        <f>IFERROR(__xludf.DUMMYFUNCTION("""COMPUTED_VALUE"""),919.0)</f>
        <v>919</v>
      </c>
      <c r="K920" s="23" t="b">
        <f>IFERROR(__xludf.DUMMYFUNCTION("""COMPUTED_VALUE"""),FALSE)</f>
        <v>0</v>
      </c>
      <c r="L920" s="23" t="str">
        <f>IFERROR(__xludf.DUMMYFUNCTION("""COMPUTED_VALUE"""),"Tree;Breadth-First Search;Design;Binary Tree;")</f>
        <v>Tree;Breadth-First Search;Design;Binary Tree;</v>
      </c>
      <c r="M920" s="23" t="b">
        <f>IFERROR(__xludf.DUMMYFUNCTION("""COMPUTED_VALUE"""),TRUE)</f>
        <v>1</v>
      </c>
      <c r="N920" s="23" t="b">
        <f>IFERROR(__xludf.DUMMYFUNCTION("""COMPUTED_VALUE"""),FALSE)</f>
        <v>0</v>
      </c>
      <c r="O920" s="23">
        <f>IFERROR(__xludf.DUMMYFUNCTION("""COMPUTED_VALUE"""),64.0568153501121)</f>
        <v>64.05681535</v>
      </c>
      <c r="P920" s="23">
        <f>IFERROR(__xludf.DUMMYFUNCTION("""COMPUTED_VALUE"""),38559.0)</f>
        <v>38559</v>
      </c>
      <c r="Q920" s="23">
        <f>IFERROR(__xludf.DUMMYFUNCTION("""COMPUTED_VALUE"""),60195.0)</f>
        <v>60195</v>
      </c>
    </row>
    <row r="921">
      <c r="A921" s="23">
        <f>IFERROR(__xludf.DUMMYFUNCTION("""COMPUTED_VALUE"""),956.0)</f>
        <v>956</v>
      </c>
      <c r="B921" s="23" t="str">
        <f>IFERROR(__xludf.DUMMYFUNCTION("""COMPUTED_VALUE"""),"Number of Music Playlists")</f>
        <v>Number of Music Playlists</v>
      </c>
      <c r="C921" s="23" t="str">
        <f>IFERROR(__xludf.DUMMYFUNCTION("""COMPUTED_VALUE"""),"number-of-music-playlists")</f>
        <v>number-of-music-playlists</v>
      </c>
      <c r="D921" s="23" t="b">
        <f>IFERROR(__xludf.DUMMYFUNCTION("""COMPUTED_VALUE"""),FALSE)</f>
        <v>0</v>
      </c>
      <c r="E921" s="23" t="str">
        <f>IFERROR(__xludf.DUMMYFUNCTION("""COMPUTED_VALUE"""),"Hard")</f>
        <v>Hard</v>
      </c>
      <c r="F921" s="23">
        <f>IFERROR(__xludf.DUMMYFUNCTION("""COMPUTED_VALUE"""),726.0)</f>
        <v>726</v>
      </c>
      <c r="G921" s="23">
        <f>IFERROR(__xludf.DUMMYFUNCTION("""COMPUTED_VALUE"""),68.0)</f>
        <v>68</v>
      </c>
      <c r="H921" s="23" t="str">
        <f>IFERROR(__xludf.DUMMYFUNCTION("""COMPUTED_VALUE"""),"Algorithms")</f>
        <v>Algorithms</v>
      </c>
      <c r="I921" s="23">
        <f>IFERROR(__xludf.DUMMYFUNCTION("""COMPUTED_VALUE"""),0.499)</f>
        <v>0.499</v>
      </c>
      <c r="J921" s="23">
        <f>IFERROR(__xludf.DUMMYFUNCTION("""COMPUTED_VALUE"""),920.0)</f>
        <v>920</v>
      </c>
      <c r="K921" s="23" t="b">
        <f>IFERROR(__xludf.DUMMYFUNCTION("""COMPUTED_VALUE"""),FALSE)</f>
        <v>0</v>
      </c>
      <c r="L921" s="23" t="str">
        <f>IFERROR(__xludf.DUMMYFUNCTION("""COMPUTED_VALUE"""),"Math;Dynamic Programming;Combinatorics;")</f>
        <v>Math;Dynamic Programming;Combinatorics;</v>
      </c>
      <c r="M921" s="23" t="b">
        <f>IFERROR(__xludf.DUMMYFUNCTION("""COMPUTED_VALUE"""),TRUE)</f>
        <v>1</v>
      </c>
      <c r="N921" s="23" t="b">
        <f>IFERROR(__xludf.DUMMYFUNCTION("""COMPUTED_VALUE"""),FALSE)</f>
        <v>0</v>
      </c>
      <c r="O921" s="23">
        <f>IFERROR(__xludf.DUMMYFUNCTION("""COMPUTED_VALUE"""),49.9080465897278)</f>
        <v>49.90804659</v>
      </c>
      <c r="P921" s="23">
        <f>IFERROR(__xludf.DUMMYFUNCTION("""COMPUTED_VALUE"""),18725.0)</f>
        <v>18725</v>
      </c>
      <c r="Q921" s="23">
        <f>IFERROR(__xludf.DUMMYFUNCTION("""COMPUTED_VALUE"""),37519.0)</f>
        <v>37519</v>
      </c>
    </row>
    <row r="922">
      <c r="A922" s="23">
        <f>IFERROR(__xludf.DUMMYFUNCTION("""COMPUTED_VALUE"""),957.0)</f>
        <v>957</v>
      </c>
      <c r="B922" s="23" t="str">
        <f>IFERROR(__xludf.DUMMYFUNCTION("""COMPUTED_VALUE"""),"Minimum Add to Make Parentheses Valid")</f>
        <v>Minimum Add to Make Parentheses Valid</v>
      </c>
      <c r="C922" s="23" t="str">
        <f>IFERROR(__xludf.DUMMYFUNCTION("""COMPUTED_VALUE"""),"minimum-add-to-make-parentheses-valid")</f>
        <v>minimum-add-to-make-parentheses-valid</v>
      </c>
      <c r="D922" s="23" t="b">
        <f>IFERROR(__xludf.DUMMYFUNCTION("""COMPUTED_VALUE"""),FALSE)</f>
        <v>0</v>
      </c>
      <c r="E922" s="23" t="str">
        <f>IFERROR(__xludf.DUMMYFUNCTION("""COMPUTED_VALUE"""),"Medium")</f>
        <v>Medium</v>
      </c>
      <c r="F922" s="23">
        <f>IFERROR(__xludf.DUMMYFUNCTION("""COMPUTED_VALUE"""),2490.0)</f>
        <v>2490</v>
      </c>
      <c r="G922" s="23">
        <f>IFERROR(__xludf.DUMMYFUNCTION("""COMPUTED_VALUE"""),143.0)</f>
        <v>143</v>
      </c>
      <c r="H922" s="23" t="str">
        <f>IFERROR(__xludf.DUMMYFUNCTION("""COMPUTED_VALUE"""),"Algorithms")</f>
        <v>Algorithms</v>
      </c>
      <c r="I922" s="23">
        <f>IFERROR(__xludf.DUMMYFUNCTION("""COMPUTED_VALUE"""),0.771)</f>
        <v>0.771</v>
      </c>
      <c r="J922" s="23">
        <f>IFERROR(__xludf.DUMMYFUNCTION("""COMPUTED_VALUE"""),921.0)</f>
        <v>921</v>
      </c>
      <c r="K922" s="23" t="b">
        <f>IFERROR(__xludf.DUMMYFUNCTION("""COMPUTED_VALUE"""),FALSE)</f>
        <v>0</v>
      </c>
      <c r="L922" s="23" t="str">
        <f>IFERROR(__xludf.DUMMYFUNCTION("""COMPUTED_VALUE"""),"String;Stack;Greedy;")</f>
        <v>String;Stack;Greedy;</v>
      </c>
      <c r="M922" s="23" t="b">
        <f>IFERROR(__xludf.DUMMYFUNCTION("""COMPUTED_VALUE"""),TRUE)</f>
        <v>1</v>
      </c>
      <c r="N922" s="23" t="b">
        <f>IFERROR(__xludf.DUMMYFUNCTION("""COMPUTED_VALUE"""),FALSE)</f>
        <v>0</v>
      </c>
      <c r="O922" s="23">
        <f>IFERROR(__xludf.DUMMYFUNCTION("""COMPUTED_VALUE"""),77.1037577873596)</f>
        <v>77.10375779</v>
      </c>
      <c r="P922" s="23">
        <f>IFERROR(__xludf.DUMMYFUNCTION("""COMPUTED_VALUE"""),205819.0)</f>
        <v>205819</v>
      </c>
      <c r="Q922" s="23">
        <f>IFERROR(__xludf.DUMMYFUNCTION("""COMPUTED_VALUE"""),266938.0)</f>
        <v>266938</v>
      </c>
    </row>
    <row r="923">
      <c r="A923" s="23">
        <f>IFERROR(__xludf.DUMMYFUNCTION("""COMPUTED_VALUE"""),958.0)</f>
        <v>958</v>
      </c>
      <c r="B923" s="23" t="str">
        <f>IFERROR(__xludf.DUMMYFUNCTION("""COMPUTED_VALUE"""),"Sort Array By Parity II")</f>
        <v>Sort Array By Parity II</v>
      </c>
      <c r="C923" s="23" t="str">
        <f>IFERROR(__xludf.DUMMYFUNCTION("""COMPUTED_VALUE"""),"sort-array-by-parity-ii")</f>
        <v>sort-array-by-parity-ii</v>
      </c>
      <c r="D923" s="23" t="b">
        <f>IFERROR(__xludf.DUMMYFUNCTION("""COMPUTED_VALUE"""),FALSE)</f>
        <v>0</v>
      </c>
      <c r="E923" s="23" t="str">
        <f>IFERROR(__xludf.DUMMYFUNCTION("""COMPUTED_VALUE"""),"Easy")</f>
        <v>Easy</v>
      </c>
      <c r="F923" s="23">
        <f>IFERROR(__xludf.DUMMYFUNCTION("""COMPUTED_VALUE"""),1722.0)</f>
        <v>1722</v>
      </c>
      <c r="G923" s="23">
        <f>IFERROR(__xludf.DUMMYFUNCTION("""COMPUTED_VALUE"""),70.0)</f>
        <v>70</v>
      </c>
      <c r="H923" s="23" t="str">
        <f>IFERROR(__xludf.DUMMYFUNCTION("""COMPUTED_VALUE"""),"Algorithms")</f>
        <v>Algorithms</v>
      </c>
      <c r="I923" s="23">
        <f>IFERROR(__xludf.DUMMYFUNCTION("""COMPUTED_VALUE"""),0.706)</f>
        <v>0.706</v>
      </c>
      <c r="J923" s="23">
        <f>IFERROR(__xludf.DUMMYFUNCTION("""COMPUTED_VALUE"""),922.0)</f>
        <v>922</v>
      </c>
      <c r="K923" s="23" t="b">
        <f>IFERROR(__xludf.DUMMYFUNCTION("""COMPUTED_VALUE"""),FALSE)</f>
        <v>0</v>
      </c>
      <c r="L923" s="23" t="str">
        <f>IFERROR(__xludf.DUMMYFUNCTION("""COMPUTED_VALUE"""),"Array;Two Pointers;Sorting;")</f>
        <v>Array;Two Pointers;Sorting;</v>
      </c>
      <c r="M923" s="23" t="b">
        <f>IFERROR(__xludf.DUMMYFUNCTION("""COMPUTED_VALUE"""),TRUE)</f>
        <v>1</v>
      </c>
      <c r="N923" s="23" t="b">
        <f>IFERROR(__xludf.DUMMYFUNCTION("""COMPUTED_VALUE"""),TRUE)</f>
        <v>1</v>
      </c>
      <c r="O923" s="23">
        <f>IFERROR(__xludf.DUMMYFUNCTION("""COMPUTED_VALUE"""),70.6125127888346)</f>
        <v>70.61251279</v>
      </c>
      <c r="P923" s="23">
        <f>IFERROR(__xludf.DUMMYFUNCTION("""COMPUTED_VALUE"""),182896.0)</f>
        <v>182896</v>
      </c>
      <c r="Q923" s="23">
        <f>IFERROR(__xludf.DUMMYFUNCTION("""COMPUTED_VALUE"""),259014.0)</f>
        <v>259014</v>
      </c>
    </row>
    <row r="924">
      <c r="A924" s="23">
        <f>IFERROR(__xludf.DUMMYFUNCTION("""COMPUTED_VALUE"""),959.0)</f>
        <v>959</v>
      </c>
      <c r="B924" s="23" t="str">
        <f>IFERROR(__xludf.DUMMYFUNCTION("""COMPUTED_VALUE"""),"3Sum With Multiplicity")</f>
        <v>3Sum With Multiplicity</v>
      </c>
      <c r="C924" s="23" t="str">
        <f>IFERROR(__xludf.DUMMYFUNCTION("""COMPUTED_VALUE"""),"3sum-with-multiplicity")</f>
        <v>3sum-with-multiplicity</v>
      </c>
      <c r="D924" s="23" t="b">
        <f>IFERROR(__xludf.DUMMYFUNCTION("""COMPUTED_VALUE"""),FALSE)</f>
        <v>0</v>
      </c>
      <c r="E924" s="23" t="str">
        <f>IFERROR(__xludf.DUMMYFUNCTION("""COMPUTED_VALUE"""),"Medium")</f>
        <v>Medium</v>
      </c>
      <c r="F924" s="23">
        <f>IFERROR(__xludf.DUMMYFUNCTION("""COMPUTED_VALUE"""),2202.0)</f>
        <v>2202</v>
      </c>
      <c r="G924" s="23">
        <f>IFERROR(__xludf.DUMMYFUNCTION("""COMPUTED_VALUE"""),265.0)</f>
        <v>265</v>
      </c>
      <c r="H924" s="23" t="str">
        <f>IFERROR(__xludf.DUMMYFUNCTION("""COMPUTED_VALUE"""),"Algorithms")</f>
        <v>Algorithms</v>
      </c>
      <c r="I924" s="23">
        <f>IFERROR(__xludf.DUMMYFUNCTION("""COMPUTED_VALUE"""),0.454)</f>
        <v>0.454</v>
      </c>
      <c r="J924" s="23">
        <f>IFERROR(__xludf.DUMMYFUNCTION("""COMPUTED_VALUE"""),923.0)</f>
        <v>923</v>
      </c>
      <c r="K924" s="23" t="b">
        <f>IFERROR(__xludf.DUMMYFUNCTION("""COMPUTED_VALUE"""),FALSE)</f>
        <v>0</v>
      </c>
      <c r="L924" s="23" t="str">
        <f>IFERROR(__xludf.DUMMYFUNCTION("""COMPUTED_VALUE"""),"Array;Hash Table;Two Pointers;Sorting;Counting;")</f>
        <v>Array;Hash Table;Two Pointers;Sorting;Counting;</v>
      </c>
      <c r="M924" s="23" t="b">
        <f>IFERROR(__xludf.DUMMYFUNCTION("""COMPUTED_VALUE"""),TRUE)</f>
        <v>1</v>
      </c>
      <c r="N924" s="23" t="b">
        <f>IFERROR(__xludf.DUMMYFUNCTION("""COMPUTED_VALUE"""),FALSE)</f>
        <v>0</v>
      </c>
      <c r="O924" s="23">
        <f>IFERROR(__xludf.DUMMYFUNCTION("""COMPUTED_VALUE"""),45.4260222107383)</f>
        <v>45.42602221</v>
      </c>
      <c r="P924" s="23">
        <f>IFERROR(__xludf.DUMMYFUNCTION("""COMPUTED_VALUE"""),86143.0)</f>
        <v>86143</v>
      </c>
      <c r="Q924" s="23">
        <f>IFERROR(__xludf.DUMMYFUNCTION("""COMPUTED_VALUE"""),189634.0)</f>
        <v>189634</v>
      </c>
    </row>
    <row r="925">
      <c r="A925" s="23">
        <f>IFERROR(__xludf.DUMMYFUNCTION("""COMPUTED_VALUE"""),960.0)</f>
        <v>960</v>
      </c>
      <c r="B925" s="23" t="str">
        <f>IFERROR(__xludf.DUMMYFUNCTION("""COMPUTED_VALUE"""),"Minimize Malware Spread")</f>
        <v>Minimize Malware Spread</v>
      </c>
      <c r="C925" s="23" t="str">
        <f>IFERROR(__xludf.DUMMYFUNCTION("""COMPUTED_VALUE"""),"minimize-malware-spread")</f>
        <v>minimize-malware-spread</v>
      </c>
      <c r="D925" s="23" t="b">
        <f>IFERROR(__xludf.DUMMYFUNCTION("""COMPUTED_VALUE"""),FALSE)</f>
        <v>0</v>
      </c>
      <c r="E925" s="23" t="str">
        <f>IFERROR(__xludf.DUMMYFUNCTION("""COMPUTED_VALUE"""),"Hard")</f>
        <v>Hard</v>
      </c>
      <c r="F925" s="23">
        <f>IFERROR(__xludf.DUMMYFUNCTION("""COMPUTED_VALUE"""),610.0)</f>
        <v>610</v>
      </c>
      <c r="G925" s="23">
        <f>IFERROR(__xludf.DUMMYFUNCTION("""COMPUTED_VALUE"""),411.0)</f>
        <v>411</v>
      </c>
      <c r="H925" s="23" t="str">
        <f>IFERROR(__xludf.DUMMYFUNCTION("""COMPUTED_VALUE"""),"Algorithms")</f>
        <v>Algorithms</v>
      </c>
      <c r="I925" s="23">
        <f>IFERROR(__xludf.DUMMYFUNCTION("""COMPUTED_VALUE"""),0.419)</f>
        <v>0.419</v>
      </c>
      <c r="J925" s="23">
        <f>IFERROR(__xludf.DUMMYFUNCTION("""COMPUTED_VALUE"""),924.0)</f>
        <v>924</v>
      </c>
      <c r="K925" s="23" t="b">
        <f>IFERROR(__xludf.DUMMYFUNCTION("""COMPUTED_VALUE"""),FALSE)</f>
        <v>0</v>
      </c>
      <c r="L925" s="23" t="str">
        <f>IFERROR(__xludf.DUMMYFUNCTION("""COMPUTED_VALUE"""),"Array;Depth-First Search;Breadth-First Search;Union Find;Matrix;")</f>
        <v>Array;Depth-First Search;Breadth-First Search;Union Find;Matrix;</v>
      </c>
      <c r="M925" s="23" t="b">
        <f>IFERROR(__xludf.DUMMYFUNCTION("""COMPUTED_VALUE"""),TRUE)</f>
        <v>1</v>
      </c>
      <c r="N925" s="23" t="b">
        <f>IFERROR(__xludf.DUMMYFUNCTION("""COMPUTED_VALUE"""),FALSE)</f>
        <v>0</v>
      </c>
      <c r="O925" s="23">
        <f>IFERROR(__xludf.DUMMYFUNCTION("""COMPUTED_VALUE"""),41.90627302091)</f>
        <v>41.90627302</v>
      </c>
      <c r="P925" s="23">
        <f>IFERROR(__xludf.DUMMYFUNCTION("""COMPUTED_VALUE"""),36976.0)</f>
        <v>36976</v>
      </c>
      <c r="Q925" s="23">
        <f>IFERROR(__xludf.DUMMYFUNCTION("""COMPUTED_VALUE"""),88235.0)</f>
        <v>88235</v>
      </c>
    </row>
    <row r="926">
      <c r="A926" s="23">
        <f>IFERROR(__xludf.DUMMYFUNCTION("""COMPUTED_VALUE"""),961.0)</f>
        <v>961</v>
      </c>
      <c r="B926" s="23" t="str">
        <f>IFERROR(__xludf.DUMMYFUNCTION("""COMPUTED_VALUE"""),"Long Pressed Name")</f>
        <v>Long Pressed Name</v>
      </c>
      <c r="C926" s="23" t="str">
        <f>IFERROR(__xludf.DUMMYFUNCTION("""COMPUTED_VALUE"""),"long-pressed-name")</f>
        <v>long-pressed-name</v>
      </c>
      <c r="D926" s="23" t="b">
        <f>IFERROR(__xludf.DUMMYFUNCTION("""COMPUTED_VALUE"""),FALSE)</f>
        <v>0</v>
      </c>
      <c r="E926" s="23" t="str">
        <f>IFERROR(__xludf.DUMMYFUNCTION("""COMPUTED_VALUE"""),"Easy")</f>
        <v>Easy</v>
      </c>
      <c r="F926" s="23">
        <f>IFERROR(__xludf.DUMMYFUNCTION("""COMPUTED_VALUE"""),1594.0)</f>
        <v>1594</v>
      </c>
      <c r="G926" s="23">
        <f>IFERROR(__xludf.DUMMYFUNCTION("""COMPUTED_VALUE"""),240.0)</f>
        <v>240</v>
      </c>
      <c r="H926" s="23" t="str">
        <f>IFERROR(__xludf.DUMMYFUNCTION("""COMPUTED_VALUE"""),"Algorithms")</f>
        <v>Algorithms</v>
      </c>
      <c r="I926" s="23">
        <f>IFERROR(__xludf.DUMMYFUNCTION("""COMPUTED_VALUE"""),0.347)</f>
        <v>0.347</v>
      </c>
      <c r="J926" s="23">
        <f>IFERROR(__xludf.DUMMYFUNCTION("""COMPUTED_VALUE"""),925.0)</f>
        <v>925</v>
      </c>
      <c r="K926" s="23" t="b">
        <f>IFERROR(__xludf.DUMMYFUNCTION("""COMPUTED_VALUE"""),FALSE)</f>
        <v>0</v>
      </c>
      <c r="L926" s="23" t="str">
        <f>IFERROR(__xludf.DUMMYFUNCTION("""COMPUTED_VALUE"""),"Two Pointers;String;")</f>
        <v>Two Pointers;String;</v>
      </c>
      <c r="M926" s="23" t="b">
        <f>IFERROR(__xludf.DUMMYFUNCTION("""COMPUTED_VALUE"""),FALSE)</f>
        <v>0</v>
      </c>
      <c r="N926" s="23" t="b">
        <f>IFERROR(__xludf.DUMMYFUNCTION("""COMPUTED_VALUE"""),FALSE)</f>
        <v>0</v>
      </c>
      <c r="O926" s="23">
        <f>IFERROR(__xludf.DUMMYFUNCTION("""COMPUTED_VALUE"""),34.6675562318916)</f>
        <v>34.66755623</v>
      </c>
      <c r="P926" s="23">
        <f>IFERROR(__xludf.DUMMYFUNCTION("""COMPUTED_VALUE"""),92492.0)</f>
        <v>92492</v>
      </c>
      <c r="Q926" s="23">
        <f>IFERROR(__xludf.DUMMYFUNCTION("""COMPUTED_VALUE"""),266796.0)</f>
        <v>266796</v>
      </c>
    </row>
    <row r="927">
      <c r="A927" s="23">
        <f>IFERROR(__xludf.DUMMYFUNCTION("""COMPUTED_VALUE"""),962.0)</f>
        <v>962</v>
      </c>
      <c r="B927" s="23" t="str">
        <f>IFERROR(__xludf.DUMMYFUNCTION("""COMPUTED_VALUE"""),"Flip String to Monotone Increasing")</f>
        <v>Flip String to Monotone Increasing</v>
      </c>
      <c r="C927" s="23" t="str">
        <f>IFERROR(__xludf.DUMMYFUNCTION("""COMPUTED_VALUE"""),"flip-string-to-monotone-increasing")</f>
        <v>flip-string-to-monotone-increasing</v>
      </c>
      <c r="D927" s="23" t="b">
        <f>IFERROR(__xludf.DUMMYFUNCTION("""COMPUTED_VALUE"""),FALSE)</f>
        <v>0</v>
      </c>
      <c r="E927" s="23" t="str">
        <f>IFERROR(__xludf.DUMMYFUNCTION("""COMPUTED_VALUE"""),"Medium")</f>
        <v>Medium</v>
      </c>
      <c r="F927" s="23">
        <f>IFERROR(__xludf.DUMMYFUNCTION("""COMPUTED_VALUE"""),1933.0)</f>
        <v>1933</v>
      </c>
      <c r="G927" s="23">
        <f>IFERROR(__xludf.DUMMYFUNCTION("""COMPUTED_VALUE"""),86.0)</f>
        <v>86</v>
      </c>
      <c r="H927" s="23" t="str">
        <f>IFERROR(__xludf.DUMMYFUNCTION("""COMPUTED_VALUE"""),"Algorithms")</f>
        <v>Algorithms</v>
      </c>
      <c r="I927" s="23">
        <f>IFERROR(__xludf.DUMMYFUNCTION("""COMPUTED_VALUE"""),0.588)</f>
        <v>0.588</v>
      </c>
      <c r="J927" s="23">
        <f>IFERROR(__xludf.DUMMYFUNCTION("""COMPUTED_VALUE"""),926.0)</f>
        <v>926</v>
      </c>
      <c r="K927" s="23" t="b">
        <f>IFERROR(__xludf.DUMMYFUNCTION("""COMPUTED_VALUE"""),FALSE)</f>
        <v>0</v>
      </c>
      <c r="L927" s="23" t="str">
        <f>IFERROR(__xludf.DUMMYFUNCTION("""COMPUTED_VALUE"""),"String;Dynamic Programming;")</f>
        <v>String;Dynamic Programming;</v>
      </c>
      <c r="M927" s="23" t="b">
        <f>IFERROR(__xludf.DUMMYFUNCTION("""COMPUTED_VALUE"""),TRUE)</f>
        <v>1</v>
      </c>
      <c r="N927" s="23" t="b">
        <f>IFERROR(__xludf.DUMMYFUNCTION("""COMPUTED_VALUE"""),FALSE)</f>
        <v>0</v>
      </c>
      <c r="O927" s="23">
        <f>IFERROR(__xludf.DUMMYFUNCTION("""COMPUTED_VALUE"""),58.7545214585981)</f>
        <v>58.75452146</v>
      </c>
      <c r="P927" s="23">
        <f>IFERROR(__xludf.DUMMYFUNCTION("""COMPUTED_VALUE"""),90150.0)</f>
        <v>90150</v>
      </c>
      <c r="Q927" s="23">
        <f>IFERROR(__xludf.DUMMYFUNCTION("""COMPUTED_VALUE"""),153435.0)</f>
        <v>153435</v>
      </c>
    </row>
    <row r="928">
      <c r="A928" s="23">
        <f>IFERROR(__xludf.DUMMYFUNCTION("""COMPUTED_VALUE"""),963.0)</f>
        <v>963</v>
      </c>
      <c r="B928" s="23" t="str">
        <f>IFERROR(__xludf.DUMMYFUNCTION("""COMPUTED_VALUE"""),"Three Equal Parts")</f>
        <v>Three Equal Parts</v>
      </c>
      <c r="C928" s="23" t="str">
        <f>IFERROR(__xludf.DUMMYFUNCTION("""COMPUTED_VALUE"""),"three-equal-parts")</f>
        <v>three-equal-parts</v>
      </c>
      <c r="D928" s="23" t="b">
        <f>IFERROR(__xludf.DUMMYFUNCTION("""COMPUTED_VALUE"""),FALSE)</f>
        <v>0</v>
      </c>
      <c r="E928" s="23" t="str">
        <f>IFERROR(__xludf.DUMMYFUNCTION("""COMPUTED_VALUE"""),"Hard")</f>
        <v>Hard</v>
      </c>
      <c r="F928" s="23">
        <f>IFERROR(__xludf.DUMMYFUNCTION("""COMPUTED_VALUE"""),678.0)</f>
        <v>678</v>
      </c>
      <c r="G928" s="23">
        <f>IFERROR(__xludf.DUMMYFUNCTION("""COMPUTED_VALUE"""),105.0)</f>
        <v>105</v>
      </c>
      <c r="H928" s="23" t="str">
        <f>IFERROR(__xludf.DUMMYFUNCTION("""COMPUTED_VALUE"""),"Algorithms")</f>
        <v>Algorithms</v>
      </c>
      <c r="I928" s="23">
        <f>IFERROR(__xludf.DUMMYFUNCTION("""COMPUTED_VALUE"""),0.394)</f>
        <v>0.394</v>
      </c>
      <c r="J928" s="23">
        <f>IFERROR(__xludf.DUMMYFUNCTION("""COMPUTED_VALUE"""),927.0)</f>
        <v>927</v>
      </c>
      <c r="K928" s="23" t="b">
        <f>IFERROR(__xludf.DUMMYFUNCTION("""COMPUTED_VALUE"""),FALSE)</f>
        <v>0</v>
      </c>
      <c r="L928" s="23" t="str">
        <f>IFERROR(__xludf.DUMMYFUNCTION("""COMPUTED_VALUE"""),"Array;Math;")</f>
        <v>Array;Math;</v>
      </c>
      <c r="M928" s="23" t="b">
        <f>IFERROR(__xludf.DUMMYFUNCTION("""COMPUTED_VALUE"""),TRUE)</f>
        <v>1</v>
      </c>
      <c r="N928" s="23" t="b">
        <f>IFERROR(__xludf.DUMMYFUNCTION("""COMPUTED_VALUE"""),FALSE)</f>
        <v>0</v>
      </c>
      <c r="O928" s="23">
        <f>IFERROR(__xludf.DUMMYFUNCTION("""COMPUTED_VALUE"""),39.3797667629571)</f>
        <v>39.37976676</v>
      </c>
      <c r="P928" s="23">
        <f>IFERROR(__xludf.DUMMYFUNCTION("""COMPUTED_VALUE"""),25765.0)</f>
        <v>25765</v>
      </c>
      <c r="Q928" s="23">
        <f>IFERROR(__xludf.DUMMYFUNCTION("""COMPUTED_VALUE"""),65427.0)</f>
        <v>65427</v>
      </c>
    </row>
    <row r="929">
      <c r="A929" s="23">
        <f>IFERROR(__xludf.DUMMYFUNCTION("""COMPUTED_VALUE"""),964.0)</f>
        <v>964</v>
      </c>
      <c r="B929" s="23" t="str">
        <f>IFERROR(__xludf.DUMMYFUNCTION("""COMPUTED_VALUE"""),"Minimize Malware Spread II")</f>
        <v>Minimize Malware Spread II</v>
      </c>
      <c r="C929" s="23" t="str">
        <f>IFERROR(__xludf.DUMMYFUNCTION("""COMPUTED_VALUE"""),"minimize-malware-spread-ii")</f>
        <v>minimize-malware-spread-ii</v>
      </c>
      <c r="D929" s="23" t="b">
        <f>IFERROR(__xludf.DUMMYFUNCTION("""COMPUTED_VALUE"""),FALSE)</f>
        <v>0</v>
      </c>
      <c r="E929" s="23" t="str">
        <f>IFERROR(__xludf.DUMMYFUNCTION("""COMPUTED_VALUE"""),"Hard")</f>
        <v>Hard</v>
      </c>
      <c r="F929" s="23">
        <f>IFERROR(__xludf.DUMMYFUNCTION("""COMPUTED_VALUE"""),422.0)</f>
        <v>422</v>
      </c>
      <c r="G929" s="23">
        <f>IFERROR(__xludf.DUMMYFUNCTION("""COMPUTED_VALUE"""),69.0)</f>
        <v>69</v>
      </c>
      <c r="H929" s="23" t="str">
        <f>IFERROR(__xludf.DUMMYFUNCTION("""COMPUTED_VALUE"""),"Algorithms")</f>
        <v>Algorithms</v>
      </c>
      <c r="I929" s="23">
        <f>IFERROR(__xludf.DUMMYFUNCTION("""COMPUTED_VALUE"""),0.422)</f>
        <v>0.422</v>
      </c>
      <c r="J929" s="23">
        <f>IFERROR(__xludf.DUMMYFUNCTION("""COMPUTED_VALUE"""),928.0)</f>
        <v>928</v>
      </c>
      <c r="K929" s="23" t="b">
        <f>IFERROR(__xludf.DUMMYFUNCTION("""COMPUTED_VALUE"""),FALSE)</f>
        <v>0</v>
      </c>
      <c r="L929" s="23" t="str">
        <f>IFERROR(__xludf.DUMMYFUNCTION("""COMPUTED_VALUE"""),"Array;Depth-First Search;Breadth-First Search;Union Find;Matrix;")</f>
        <v>Array;Depth-First Search;Breadth-First Search;Union Find;Matrix;</v>
      </c>
      <c r="M929" s="23" t="b">
        <f>IFERROR(__xludf.DUMMYFUNCTION("""COMPUTED_VALUE"""),TRUE)</f>
        <v>1</v>
      </c>
      <c r="N929" s="23" t="b">
        <f>IFERROR(__xludf.DUMMYFUNCTION("""COMPUTED_VALUE"""),FALSE)</f>
        <v>0</v>
      </c>
      <c r="O929" s="23">
        <f>IFERROR(__xludf.DUMMYFUNCTION("""COMPUTED_VALUE"""),42.234535229904)</f>
        <v>42.23453523</v>
      </c>
      <c r="P929" s="23">
        <f>IFERROR(__xludf.DUMMYFUNCTION("""COMPUTED_VALUE"""),15321.0)</f>
        <v>15321</v>
      </c>
      <c r="Q929" s="23">
        <f>IFERROR(__xludf.DUMMYFUNCTION("""COMPUTED_VALUE"""),36276.0)</f>
        <v>36276</v>
      </c>
    </row>
    <row r="930">
      <c r="A930" s="23">
        <f>IFERROR(__xludf.DUMMYFUNCTION("""COMPUTED_VALUE"""),965.0)</f>
        <v>965</v>
      </c>
      <c r="B930" s="23" t="str">
        <f>IFERROR(__xludf.DUMMYFUNCTION("""COMPUTED_VALUE"""),"Unique Email Addresses")</f>
        <v>Unique Email Addresses</v>
      </c>
      <c r="C930" s="23" t="str">
        <f>IFERROR(__xludf.DUMMYFUNCTION("""COMPUTED_VALUE"""),"unique-email-addresses")</f>
        <v>unique-email-addresses</v>
      </c>
      <c r="D930" s="23" t="b">
        <f>IFERROR(__xludf.DUMMYFUNCTION("""COMPUTED_VALUE"""),FALSE)</f>
        <v>0</v>
      </c>
      <c r="E930" s="23" t="str">
        <f>IFERROR(__xludf.DUMMYFUNCTION("""COMPUTED_VALUE"""),"Easy")</f>
        <v>Easy</v>
      </c>
      <c r="F930" s="23">
        <f>IFERROR(__xludf.DUMMYFUNCTION("""COMPUTED_VALUE"""),1764.0)</f>
        <v>1764</v>
      </c>
      <c r="G930" s="23">
        <f>IFERROR(__xludf.DUMMYFUNCTION("""COMPUTED_VALUE"""),244.0)</f>
        <v>244</v>
      </c>
      <c r="H930" s="23" t="str">
        <f>IFERROR(__xludf.DUMMYFUNCTION("""COMPUTED_VALUE"""),"Algorithms")</f>
        <v>Algorithms</v>
      </c>
      <c r="I930" s="23">
        <f>IFERROR(__xludf.DUMMYFUNCTION("""COMPUTED_VALUE"""),0.674)</f>
        <v>0.674</v>
      </c>
      <c r="J930" s="23">
        <f>IFERROR(__xludf.DUMMYFUNCTION("""COMPUTED_VALUE"""),929.0)</f>
        <v>929</v>
      </c>
      <c r="K930" s="23" t="b">
        <f>IFERROR(__xludf.DUMMYFUNCTION("""COMPUTED_VALUE"""),FALSE)</f>
        <v>0</v>
      </c>
      <c r="L930" s="23" t="str">
        <f>IFERROR(__xludf.DUMMYFUNCTION("""COMPUTED_VALUE"""),"Array;Hash Table;String;")</f>
        <v>Array;Hash Table;String;</v>
      </c>
      <c r="M930" s="23" t="b">
        <f>IFERROR(__xludf.DUMMYFUNCTION("""COMPUTED_VALUE"""),TRUE)</f>
        <v>1</v>
      </c>
      <c r="N930" s="23" t="b">
        <f>IFERROR(__xludf.DUMMYFUNCTION("""COMPUTED_VALUE"""),FALSE)</f>
        <v>0</v>
      </c>
      <c r="O930" s="23">
        <f>IFERROR(__xludf.DUMMYFUNCTION("""COMPUTED_VALUE"""),67.3644626347161)</f>
        <v>67.36446263</v>
      </c>
      <c r="P930" s="23">
        <f>IFERROR(__xludf.DUMMYFUNCTION("""COMPUTED_VALUE"""),352720.0)</f>
        <v>352720</v>
      </c>
      <c r="Q930" s="23">
        <f>IFERROR(__xludf.DUMMYFUNCTION("""COMPUTED_VALUE"""),523600.0)</f>
        <v>523600</v>
      </c>
    </row>
    <row r="931">
      <c r="A931" s="23">
        <f>IFERROR(__xludf.DUMMYFUNCTION("""COMPUTED_VALUE"""),966.0)</f>
        <v>966</v>
      </c>
      <c r="B931" s="23" t="str">
        <f>IFERROR(__xludf.DUMMYFUNCTION("""COMPUTED_VALUE"""),"Binary Subarrays With Sum")</f>
        <v>Binary Subarrays With Sum</v>
      </c>
      <c r="C931" s="23" t="str">
        <f>IFERROR(__xludf.DUMMYFUNCTION("""COMPUTED_VALUE"""),"binary-subarrays-with-sum")</f>
        <v>binary-subarrays-with-sum</v>
      </c>
      <c r="D931" s="23" t="b">
        <f>IFERROR(__xludf.DUMMYFUNCTION("""COMPUTED_VALUE"""),FALSE)</f>
        <v>0</v>
      </c>
      <c r="E931" s="23" t="str">
        <f>IFERROR(__xludf.DUMMYFUNCTION("""COMPUTED_VALUE"""),"Medium")</f>
        <v>Medium</v>
      </c>
      <c r="F931" s="23">
        <f>IFERROR(__xludf.DUMMYFUNCTION("""COMPUTED_VALUE"""),1324.0)</f>
        <v>1324</v>
      </c>
      <c r="G931" s="23">
        <f>IFERROR(__xludf.DUMMYFUNCTION("""COMPUTED_VALUE"""),44.0)</f>
        <v>44</v>
      </c>
      <c r="H931" s="23" t="str">
        <f>IFERROR(__xludf.DUMMYFUNCTION("""COMPUTED_VALUE"""),"Algorithms")</f>
        <v>Algorithms</v>
      </c>
      <c r="I931" s="23">
        <f>IFERROR(__xludf.DUMMYFUNCTION("""COMPUTED_VALUE"""),0.488)</f>
        <v>0.488</v>
      </c>
      <c r="J931" s="23">
        <f>IFERROR(__xludf.DUMMYFUNCTION("""COMPUTED_VALUE"""),930.0)</f>
        <v>930</v>
      </c>
      <c r="K931" s="23" t="b">
        <f>IFERROR(__xludf.DUMMYFUNCTION("""COMPUTED_VALUE"""),FALSE)</f>
        <v>0</v>
      </c>
      <c r="L931" s="23" t="str">
        <f>IFERROR(__xludf.DUMMYFUNCTION("""COMPUTED_VALUE"""),"Array;Hash Table;Sliding Window;Prefix Sum;")</f>
        <v>Array;Hash Table;Sliding Window;Prefix Sum;</v>
      </c>
      <c r="M931" s="23" t="b">
        <f>IFERROR(__xludf.DUMMYFUNCTION("""COMPUTED_VALUE"""),TRUE)</f>
        <v>1</v>
      </c>
      <c r="N931" s="23" t="b">
        <f>IFERROR(__xludf.DUMMYFUNCTION("""COMPUTED_VALUE"""),FALSE)</f>
        <v>0</v>
      </c>
      <c r="O931" s="23">
        <f>IFERROR(__xludf.DUMMYFUNCTION("""COMPUTED_VALUE"""),48.7834223162779)</f>
        <v>48.78342232</v>
      </c>
      <c r="P931" s="23">
        <f>IFERROR(__xludf.DUMMYFUNCTION("""COMPUTED_VALUE"""),45412.0)</f>
        <v>45412</v>
      </c>
      <c r="Q931" s="23">
        <f>IFERROR(__xludf.DUMMYFUNCTION("""COMPUTED_VALUE"""),93089.0)</f>
        <v>93089</v>
      </c>
    </row>
    <row r="932">
      <c r="A932" s="23">
        <f>IFERROR(__xludf.DUMMYFUNCTION("""COMPUTED_VALUE"""),967.0)</f>
        <v>967</v>
      </c>
      <c r="B932" s="23" t="str">
        <f>IFERROR(__xludf.DUMMYFUNCTION("""COMPUTED_VALUE"""),"Minimum Falling Path Sum")</f>
        <v>Minimum Falling Path Sum</v>
      </c>
      <c r="C932" s="23" t="str">
        <f>IFERROR(__xludf.DUMMYFUNCTION("""COMPUTED_VALUE"""),"minimum-falling-path-sum")</f>
        <v>minimum-falling-path-sum</v>
      </c>
      <c r="D932" s="23" t="b">
        <f>IFERROR(__xludf.DUMMYFUNCTION("""COMPUTED_VALUE"""),FALSE)</f>
        <v>0</v>
      </c>
      <c r="E932" s="23" t="str">
        <f>IFERROR(__xludf.DUMMYFUNCTION("""COMPUTED_VALUE"""),"Medium")</f>
        <v>Medium</v>
      </c>
      <c r="F932" s="23">
        <f>IFERROR(__xludf.DUMMYFUNCTION("""COMPUTED_VALUE"""),2249.0)</f>
        <v>2249</v>
      </c>
      <c r="G932" s="23">
        <f>IFERROR(__xludf.DUMMYFUNCTION("""COMPUTED_VALUE"""),92.0)</f>
        <v>92</v>
      </c>
      <c r="H932" s="23" t="str">
        <f>IFERROR(__xludf.DUMMYFUNCTION("""COMPUTED_VALUE"""),"Algorithms")</f>
        <v>Algorithms</v>
      </c>
      <c r="I932" s="23">
        <f>IFERROR(__xludf.DUMMYFUNCTION("""COMPUTED_VALUE"""),0.674)</f>
        <v>0.674</v>
      </c>
      <c r="J932" s="23">
        <f>IFERROR(__xludf.DUMMYFUNCTION("""COMPUTED_VALUE"""),931.0)</f>
        <v>931</v>
      </c>
      <c r="K932" s="23" t="b">
        <f>IFERROR(__xludf.DUMMYFUNCTION("""COMPUTED_VALUE"""),FALSE)</f>
        <v>0</v>
      </c>
      <c r="L932" s="23" t="str">
        <f>IFERROR(__xludf.DUMMYFUNCTION("""COMPUTED_VALUE"""),"Array;Dynamic Programming;Matrix;")</f>
        <v>Array;Dynamic Programming;Matrix;</v>
      </c>
      <c r="M932" s="23" t="b">
        <f>IFERROR(__xludf.DUMMYFUNCTION("""COMPUTED_VALUE"""),FALSE)</f>
        <v>0</v>
      </c>
      <c r="N932" s="23" t="b">
        <f>IFERROR(__xludf.DUMMYFUNCTION("""COMPUTED_VALUE"""),FALSE)</f>
        <v>0</v>
      </c>
      <c r="O932" s="23">
        <f>IFERROR(__xludf.DUMMYFUNCTION("""COMPUTED_VALUE"""),67.350092048742)</f>
        <v>67.35009205</v>
      </c>
      <c r="P932" s="23">
        <f>IFERROR(__xludf.DUMMYFUNCTION("""COMPUTED_VALUE"""),122921.0)</f>
        <v>122921</v>
      </c>
      <c r="Q932" s="23">
        <f>IFERROR(__xludf.DUMMYFUNCTION("""COMPUTED_VALUE"""),182510.0)</f>
        <v>182510</v>
      </c>
    </row>
    <row r="933">
      <c r="A933" s="23">
        <f>IFERROR(__xludf.DUMMYFUNCTION("""COMPUTED_VALUE"""),968.0)</f>
        <v>968</v>
      </c>
      <c r="B933" s="23" t="str">
        <f>IFERROR(__xludf.DUMMYFUNCTION("""COMPUTED_VALUE"""),"Beautiful Array")</f>
        <v>Beautiful Array</v>
      </c>
      <c r="C933" s="23" t="str">
        <f>IFERROR(__xludf.DUMMYFUNCTION("""COMPUTED_VALUE"""),"beautiful-array")</f>
        <v>beautiful-array</v>
      </c>
      <c r="D933" s="23" t="b">
        <f>IFERROR(__xludf.DUMMYFUNCTION("""COMPUTED_VALUE"""),FALSE)</f>
        <v>0</v>
      </c>
      <c r="E933" s="23" t="str">
        <f>IFERROR(__xludf.DUMMYFUNCTION("""COMPUTED_VALUE"""),"Medium")</f>
        <v>Medium</v>
      </c>
      <c r="F933" s="23">
        <f>IFERROR(__xludf.DUMMYFUNCTION("""COMPUTED_VALUE"""),808.0)</f>
        <v>808</v>
      </c>
      <c r="G933" s="23">
        <f>IFERROR(__xludf.DUMMYFUNCTION("""COMPUTED_VALUE"""),1206.0)</f>
        <v>1206</v>
      </c>
      <c r="H933" s="23" t="str">
        <f>IFERROR(__xludf.DUMMYFUNCTION("""COMPUTED_VALUE"""),"Algorithms")</f>
        <v>Algorithms</v>
      </c>
      <c r="I933" s="23">
        <f>IFERROR(__xludf.DUMMYFUNCTION("""COMPUTED_VALUE"""),0.647)</f>
        <v>0.647</v>
      </c>
      <c r="J933" s="23">
        <f>IFERROR(__xludf.DUMMYFUNCTION("""COMPUTED_VALUE"""),932.0)</f>
        <v>932</v>
      </c>
      <c r="K933" s="23" t="b">
        <f>IFERROR(__xludf.DUMMYFUNCTION("""COMPUTED_VALUE"""),FALSE)</f>
        <v>0</v>
      </c>
      <c r="L933" s="23" t="str">
        <f>IFERROR(__xludf.DUMMYFUNCTION("""COMPUTED_VALUE"""),"Array;Math;Divide and Conquer;")</f>
        <v>Array;Math;Divide and Conquer;</v>
      </c>
      <c r="M933" s="23" t="b">
        <f>IFERROR(__xludf.DUMMYFUNCTION("""COMPUTED_VALUE"""),TRUE)</f>
        <v>1</v>
      </c>
      <c r="N933" s="23" t="b">
        <f>IFERROR(__xludf.DUMMYFUNCTION("""COMPUTED_VALUE"""),FALSE)</f>
        <v>0</v>
      </c>
      <c r="O933" s="23">
        <f>IFERROR(__xludf.DUMMYFUNCTION("""COMPUTED_VALUE"""),64.739873954891)</f>
        <v>64.73987395</v>
      </c>
      <c r="P933" s="23">
        <f>IFERROR(__xludf.DUMMYFUNCTION("""COMPUTED_VALUE"""),35851.0)</f>
        <v>35851</v>
      </c>
      <c r="Q933" s="23">
        <f>IFERROR(__xludf.DUMMYFUNCTION("""COMPUTED_VALUE"""),55377.0)</f>
        <v>55377</v>
      </c>
    </row>
    <row r="934">
      <c r="A934" s="23">
        <f>IFERROR(__xludf.DUMMYFUNCTION("""COMPUTED_VALUE"""),969.0)</f>
        <v>969</v>
      </c>
      <c r="B934" s="23" t="str">
        <f>IFERROR(__xludf.DUMMYFUNCTION("""COMPUTED_VALUE"""),"Number of Recent Calls")</f>
        <v>Number of Recent Calls</v>
      </c>
      <c r="C934" s="23" t="str">
        <f>IFERROR(__xludf.DUMMYFUNCTION("""COMPUTED_VALUE"""),"number-of-recent-calls")</f>
        <v>number-of-recent-calls</v>
      </c>
      <c r="D934" s="23" t="b">
        <f>IFERROR(__xludf.DUMMYFUNCTION("""COMPUTED_VALUE"""),FALSE)</f>
        <v>0</v>
      </c>
      <c r="E934" s="23" t="str">
        <f>IFERROR(__xludf.DUMMYFUNCTION("""COMPUTED_VALUE"""),"Easy")</f>
        <v>Easy</v>
      </c>
      <c r="F934" s="23">
        <f>IFERROR(__xludf.DUMMYFUNCTION("""COMPUTED_VALUE"""),737.0)</f>
        <v>737</v>
      </c>
      <c r="G934" s="23">
        <f>IFERROR(__xludf.DUMMYFUNCTION("""COMPUTED_VALUE"""),2431.0)</f>
        <v>2431</v>
      </c>
      <c r="H934" s="23" t="str">
        <f>IFERROR(__xludf.DUMMYFUNCTION("""COMPUTED_VALUE"""),"Algorithms")</f>
        <v>Algorithms</v>
      </c>
      <c r="I934" s="23">
        <f>IFERROR(__xludf.DUMMYFUNCTION("""COMPUTED_VALUE"""),0.731)</f>
        <v>0.731</v>
      </c>
      <c r="J934" s="23">
        <f>IFERROR(__xludf.DUMMYFUNCTION("""COMPUTED_VALUE"""),933.0)</f>
        <v>933</v>
      </c>
      <c r="K934" s="23" t="b">
        <f>IFERROR(__xludf.DUMMYFUNCTION("""COMPUTED_VALUE"""),FALSE)</f>
        <v>0</v>
      </c>
      <c r="L934" s="23" t="str">
        <f>IFERROR(__xludf.DUMMYFUNCTION("""COMPUTED_VALUE"""),"Design;Queue;Data Stream;")</f>
        <v>Design;Queue;Data Stream;</v>
      </c>
      <c r="M934" s="23" t="b">
        <f>IFERROR(__xludf.DUMMYFUNCTION("""COMPUTED_VALUE"""),TRUE)</f>
        <v>1</v>
      </c>
      <c r="N934" s="23" t="b">
        <f>IFERROR(__xludf.DUMMYFUNCTION("""COMPUTED_VALUE"""),FALSE)</f>
        <v>0</v>
      </c>
      <c r="O934" s="23">
        <f>IFERROR(__xludf.DUMMYFUNCTION("""COMPUTED_VALUE"""),73.087462269458)</f>
        <v>73.08746227</v>
      </c>
      <c r="P934" s="23">
        <f>IFERROR(__xludf.DUMMYFUNCTION("""COMPUTED_VALUE"""),120826.0)</f>
        <v>120826</v>
      </c>
      <c r="Q934" s="23">
        <f>IFERROR(__xludf.DUMMYFUNCTION("""COMPUTED_VALUE"""),165317.0)</f>
        <v>165317</v>
      </c>
    </row>
    <row r="935">
      <c r="A935" s="23">
        <f>IFERROR(__xludf.DUMMYFUNCTION("""COMPUTED_VALUE"""),971.0)</f>
        <v>971</v>
      </c>
      <c r="B935" s="23" t="str">
        <f>IFERROR(__xludf.DUMMYFUNCTION("""COMPUTED_VALUE"""),"Shortest Bridge")</f>
        <v>Shortest Bridge</v>
      </c>
      <c r="C935" s="23" t="str">
        <f>IFERROR(__xludf.DUMMYFUNCTION("""COMPUTED_VALUE"""),"shortest-bridge")</f>
        <v>shortest-bridge</v>
      </c>
      <c r="D935" s="23" t="b">
        <f>IFERROR(__xludf.DUMMYFUNCTION("""COMPUTED_VALUE"""),FALSE)</f>
        <v>0</v>
      </c>
      <c r="E935" s="23" t="str">
        <f>IFERROR(__xludf.DUMMYFUNCTION("""COMPUTED_VALUE"""),"Medium")</f>
        <v>Medium</v>
      </c>
      <c r="F935" s="23">
        <f>IFERROR(__xludf.DUMMYFUNCTION("""COMPUTED_VALUE"""),2511.0)</f>
        <v>2511</v>
      </c>
      <c r="G935" s="23">
        <f>IFERROR(__xludf.DUMMYFUNCTION("""COMPUTED_VALUE"""),128.0)</f>
        <v>128</v>
      </c>
      <c r="H935" s="23" t="str">
        <f>IFERROR(__xludf.DUMMYFUNCTION("""COMPUTED_VALUE"""),"Algorithms")</f>
        <v>Algorithms</v>
      </c>
      <c r="I935" s="23">
        <f>IFERROR(__xludf.DUMMYFUNCTION("""COMPUTED_VALUE"""),0.527)</f>
        <v>0.527</v>
      </c>
      <c r="J935" s="23">
        <f>IFERROR(__xludf.DUMMYFUNCTION("""COMPUTED_VALUE"""),934.0)</f>
        <v>934</v>
      </c>
      <c r="K935" s="23" t="b">
        <f>IFERROR(__xludf.DUMMYFUNCTION("""COMPUTED_VALUE"""),FALSE)</f>
        <v>0</v>
      </c>
      <c r="L935" s="23" t="str">
        <f>IFERROR(__xludf.DUMMYFUNCTION("""COMPUTED_VALUE"""),"Array;Depth-First Search;Breadth-First Search;Matrix;")</f>
        <v>Array;Depth-First Search;Breadth-First Search;Matrix;</v>
      </c>
      <c r="M935" s="23" t="b">
        <f>IFERROR(__xludf.DUMMYFUNCTION("""COMPUTED_VALUE"""),FALSE)</f>
        <v>0</v>
      </c>
      <c r="N935" s="23" t="b">
        <f>IFERROR(__xludf.DUMMYFUNCTION("""COMPUTED_VALUE"""),FALSE)</f>
        <v>0</v>
      </c>
      <c r="O935" s="23">
        <f>IFERROR(__xludf.DUMMYFUNCTION("""COMPUTED_VALUE"""),52.7463124439736)</f>
        <v>52.74631244</v>
      </c>
      <c r="P935" s="23">
        <f>IFERROR(__xludf.DUMMYFUNCTION("""COMPUTED_VALUE"""),90614.0)</f>
        <v>90614</v>
      </c>
      <c r="Q935" s="23">
        <f>IFERROR(__xludf.DUMMYFUNCTION("""COMPUTED_VALUE"""),171792.0)</f>
        <v>171792</v>
      </c>
    </row>
    <row r="936">
      <c r="A936" s="23">
        <f>IFERROR(__xludf.DUMMYFUNCTION("""COMPUTED_VALUE"""),972.0)</f>
        <v>972</v>
      </c>
      <c r="B936" s="23" t="str">
        <f>IFERROR(__xludf.DUMMYFUNCTION("""COMPUTED_VALUE"""),"Knight Dialer")</f>
        <v>Knight Dialer</v>
      </c>
      <c r="C936" s="23" t="str">
        <f>IFERROR(__xludf.DUMMYFUNCTION("""COMPUTED_VALUE"""),"knight-dialer")</f>
        <v>knight-dialer</v>
      </c>
      <c r="D936" s="23" t="b">
        <f>IFERROR(__xludf.DUMMYFUNCTION("""COMPUTED_VALUE"""),FALSE)</f>
        <v>0</v>
      </c>
      <c r="E936" s="23" t="str">
        <f>IFERROR(__xludf.DUMMYFUNCTION("""COMPUTED_VALUE"""),"Medium")</f>
        <v>Medium</v>
      </c>
      <c r="F936" s="23">
        <f>IFERROR(__xludf.DUMMYFUNCTION("""COMPUTED_VALUE"""),1436.0)</f>
        <v>1436</v>
      </c>
      <c r="G936" s="23">
        <f>IFERROR(__xludf.DUMMYFUNCTION("""COMPUTED_VALUE"""),348.0)</f>
        <v>348</v>
      </c>
      <c r="H936" s="23" t="str">
        <f>IFERROR(__xludf.DUMMYFUNCTION("""COMPUTED_VALUE"""),"Algorithms")</f>
        <v>Algorithms</v>
      </c>
      <c r="I936" s="23">
        <f>IFERROR(__xludf.DUMMYFUNCTION("""COMPUTED_VALUE"""),0.49)</f>
        <v>0.49</v>
      </c>
      <c r="J936" s="23">
        <f>IFERROR(__xludf.DUMMYFUNCTION("""COMPUTED_VALUE"""),935.0)</f>
        <v>935</v>
      </c>
      <c r="K936" s="23" t="b">
        <f>IFERROR(__xludf.DUMMYFUNCTION("""COMPUTED_VALUE"""),FALSE)</f>
        <v>0</v>
      </c>
      <c r="L936" s="23" t="str">
        <f>IFERROR(__xludf.DUMMYFUNCTION("""COMPUTED_VALUE"""),"Dynamic Programming;")</f>
        <v>Dynamic Programming;</v>
      </c>
      <c r="M936" s="23" t="b">
        <f>IFERROR(__xludf.DUMMYFUNCTION("""COMPUTED_VALUE"""),FALSE)</f>
        <v>0</v>
      </c>
      <c r="N936" s="23" t="b">
        <f>IFERROR(__xludf.DUMMYFUNCTION("""COMPUTED_VALUE"""),FALSE)</f>
        <v>0</v>
      </c>
      <c r="O936" s="23">
        <f>IFERROR(__xludf.DUMMYFUNCTION("""COMPUTED_VALUE"""),49.0082842624232)</f>
        <v>49.00828426</v>
      </c>
      <c r="P936" s="23">
        <f>IFERROR(__xludf.DUMMYFUNCTION("""COMPUTED_VALUE"""),77734.0)</f>
        <v>77734</v>
      </c>
      <c r="Q936" s="23">
        <f>IFERROR(__xludf.DUMMYFUNCTION("""COMPUTED_VALUE"""),158614.0)</f>
        <v>158614</v>
      </c>
    </row>
    <row r="937">
      <c r="A937" s="23">
        <f>IFERROR(__xludf.DUMMYFUNCTION("""COMPUTED_VALUE"""),973.0)</f>
        <v>973</v>
      </c>
      <c r="B937" s="23" t="str">
        <f>IFERROR(__xludf.DUMMYFUNCTION("""COMPUTED_VALUE"""),"Stamping The Sequence")</f>
        <v>Stamping The Sequence</v>
      </c>
      <c r="C937" s="23" t="str">
        <f>IFERROR(__xludf.DUMMYFUNCTION("""COMPUTED_VALUE"""),"stamping-the-sequence")</f>
        <v>stamping-the-sequence</v>
      </c>
      <c r="D937" s="23" t="b">
        <f>IFERROR(__xludf.DUMMYFUNCTION("""COMPUTED_VALUE"""),FALSE)</f>
        <v>0</v>
      </c>
      <c r="E937" s="23" t="str">
        <f>IFERROR(__xludf.DUMMYFUNCTION("""COMPUTED_VALUE"""),"Hard")</f>
        <v>Hard</v>
      </c>
      <c r="F937" s="23">
        <f>IFERROR(__xludf.DUMMYFUNCTION("""COMPUTED_VALUE"""),535.0)</f>
        <v>535</v>
      </c>
      <c r="G937" s="23">
        <f>IFERROR(__xludf.DUMMYFUNCTION("""COMPUTED_VALUE"""),126.0)</f>
        <v>126</v>
      </c>
      <c r="H937" s="23" t="str">
        <f>IFERROR(__xludf.DUMMYFUNCTION("""COMPUTED_VALUE"""),"Algorithms")</f>
        <v>Algorithms</v>
      </c>
      <c r="I937" s="23">
        <f>IFERROR(__xludf.DUMMYFUNCTION("""COMPUTED_VALUE"""),0.536)</f>
        <v>0.536</v>
      </c>
      <c r="J937" s="23">
        <f>IFERROR(__xludf.DUMMYFUNCTION("""COMPUTED_VALUE"""),936.0)</f>
        <v>936</v>
      </c>
      <c r="K937" s="23" t="b">
        <f>IFERROR(__xludf.DUMMYFUNCTION("""COMPUTED_VALUE"""),FALSE)</f>
        <v>0</v>
      </c>
      <c r="L937" s="23" t="str">
        <f>IFERROR(__xludf.DUMMYFUNCTION("""COMPUTED_VALUE"""),"String;Stack;Greedy;Queue;")</f>
        <v>String;Stack;Greedy;Queue;</v>
      </c>
      <c r="M937" s="23" t="b">
        <f>IFERROR(__xludf.DUMMYFUNCTION("""COMPUTED_VALUE"""),TRUE)</f>
        <v>1</v>
      </c>
      <c r="N937" s="23" t="b">
        <f>IFERROR(__xludf.DUMMYFUNCTION("""COMPUTED_VALUE"""),FALSE)</f>
        <v>0</v>
      </c>
      <c r="O937" s="23">
        <f>IFERROR(__xludf.DUMMYFUNCTION("""COMPUTED_VALUE"""),53.5754115180443)</f>
        <v>53.57541152</v>
      </c>
      <c r="P937" s="23">
        <f>IFERROR(__xludf.DUMMYFUNCTION("""COMPUTED_VALUE"""),24020.0)</f>
        <v>24020</v>
      </c>
      <c r="Q937" s="23">
        <f>IFERROR(__xludf.DUMMYFUNCTION("""COMPUTED_VALUE"""),44834.0)</f>
        <v>44834</v>
      </c>
    </row>
    <row r="938">
      <c r="A938" s="23">
        <f>IFERROR(__xludf.DUMMYFUNCTION("""COMPUTED_VALUE"""),974.0)</f>
        <v>974</v>
      </c>
      <c r="B938" s="23" t="str">
        <f>IFERROR(__xludf.DUMMYFUNCTION("""COMPUTED_VALUE"""),"Reorder Data in Log Files")</f>
        <v>Reorder Data in Log Files</v>
      </c>
      <c r="C938" s="23" t="str">
        <f>IFERROR(__xludf.DUMMYFUNCTION("""COMPUTED_VALUE"""),"reorder-data-in-log-files")</f>
        <v>reorder-data-in-log-files</v>
      </c>
      <c r="D938" s="23" t="b">
        <f>IFERROR(__xludf.DUMMYFUNCTION("""COMPUTED_VALUE"""),FALSE)</f>
        <v>0</v>
      </c>
      <c r="E938" s="23" t="str">
        <f>IFERROR(__xludf.DUMMYFUNCTION("""COMPUTED_VALUE"""),"Easy")</f>
        <v>Easy</v>
      </c>
      <c r="F938" s="23">
        <f>IFERROR(__xludf.DUMMYFUNCTION("""COMPUTED_VALUE"""),1657.0)</f>
        <v>1657</v>
      </c>
      <c r="G938" s="23">
        <f>IFERROR(__xludf.DUMMYFUNCTION("""COMPUTED_VALUE"""),3873.0)</f>
        <v>3873</v>
      </c>
      <c r="H938" s="23" t="str">
        <f>IFERROR(__xludf.DUMMYFUNCTION("""COMPUTED_VALUE"""),"Algorithms")</f>
        <v>Algorithms</v>
      </c>
      <c r="I938" s="23">
        <f>IFERROR(__xludf.DUMMYFUNCTION("""COMPUTED_VALUE"""),0.56)</f>
        <v>0.56</v>
      </c>
      <c r="J938" s="23">
        <f>IFERROR(__xludf.DUMMYFUNCTION("""COMPUTED_VALUE"""),937.0)</f>
        <v>937</v>
      </c>
      <c r="K938" s="23" t="b">
        <f>IFERROR(__xludf.DUMMYFUNCTION("""COMPUTED_VALUE"""),FALSE)</f>
        <v>0</v>
      </c>
      <c r="L938" s="23" t="str">
        <f>IFERROR(__xludf.DUMMYFUNCTION("""COMPUTED_VALUE"""),"Array;String;Sorting;")</f>
        <v>Array;String;Sorting;</v>
      </c>
      <c r="M938" s="23" t="b">
        <f>IFERROR(__xludf.DUMMYFUNCTION("""COMPUTED_VALUE"""),TRUE)</f>
        <v>1</v>
      </c>
      <c r="N938" s="23" t="b">
        <f>IFERROR(__xludf.DUMMYFUNCTION("""COMPUTED_VALUE"""),FALSE)</f>
        <v>0</v>
      </c>
      <c r="O938" s="23">
        <f>IFERROR(__xludf.DUMMYFUNCTION("""COMPUTED_VALUE"""),55.983785552326)</f>
        <v>55.98378555</v>
      </c>
      <c r="P938" s="23">
        <f>IFERROR(__xludf.DUMMYFUNCTION("""COMPUTED_VALUE"""),294301.0)</f>
        <v>294301</v>
      </c>
      <c r="Q938" s="23">
        <f>IFERROR(__xludf.DUMMYFUNCTION("""COMPUTED_VALUE"""),525695.0)</f>
        <v>525695</v>
      </c>
    </row>
    <row r="939">
      <c r="A939" s="23">
        <f>IFERROR(__xludf.DUMMYFUNCTION("""COMPUTED_VALUE"""),975.0)</f>
        <v>975</v>
      </c>
      <c r="B939" s="23" t="str">
        <f>IFERROR(__xludf.DUMMYFUNCTION("""COMPUTED_VALUE"""),"Range Sum of BST")</f>
        <v>Range Sum of BST</v>
      </c>
      <c r="C939" s="23" t="str">
        <f>IFERROR(__xludf.DUMMYFUNCTION("""COMPUTED_VALUE"""),"range-sum-of-bst")</f>
        <v>range-sum-of-bst</v>
      </c>
      <c r="D939" s="23" t="b">
        <f>IFERROR(__xludf.DUMMYFUNCTION("""COMPUTED_VALUE"""),FALSE)</f>
        <v>0</v>
      </c>
      <c r="E939" s="23" t="str">
        <f>IFERROR(__xludf.DUMMYFUNCTION("""COMPUTED_VALUE"""),"Easy")</f>
        <v>Easy</v>
      </c>
      <c r="F939" s="23">
        <f>IFERROR(__xludf.DUMMYFUNCTION("""COMPUTED_VALUE"""),4081.0)</f>
        <v>4081</v>
      </c>
      <c r="G939" s="23">
        <f>IFERROR(__xludf.DUMMYFUNCTION("""COMPUTED_VALUE"""),333.0)</f>
        <v>333</v>
      </c>
      <c r="H939" s="23" t="str">
        <f>IFERROR(__xludf.DUMMYFUNCTION("""COMPUTED_VALUE"""),"Algorithms")</f>
        <v>Algorithms</v>
      </c>
      <c r="I939" s="23">
        <f>IFERROR(__xludf.DUMMYFUNCTION("""COMPUTED_VALUE"""),0.851)</f>
        <v>0.851</v>
      </c>
      <c r="J939" s="23">
        <f>IFERROR(__xludf.DUMMYFUNCTION("""COMPUTED_VALUE"""),938.0)</f>
        <v>938</v>
      </c>
      <c r="K939" s="23" t="b">
        <f>IFERROR(__xludf.DUMMYFUNCTION("""COMPUTED_VALUE"""),FALSE)</f>
        <v>0</v>
      </c>
      <c r="L939" s="23" t="str">
        <f>IFERROR(__xludf.DUMMYFUNCTION("""COMPUTED_VALUE"""),"Tree;Depth-First Search;Binary Search Tree;Binary Tree;")</f>
        <v>Tree;Depth-First Search;Binary Search Tree;Binary Tree;</v>
      </c>
      <c r="M939" s="23" t="b">
        <f>IFERROR(__xludf.DUMMYFUNCTION("""COMPUTED_VALUE"""),TRUE)</f>
        <v>1</v>
      </c>
      <c r="N939" s="23" t="b">
        <f>IFERROR(__xludf.DUMMYFUNCTION("""COMPUTED_VALUE"""),TRUE)</f>
        <v>1</v>
      </c>
      <c r="O939" s="23">
        <f>IFERROR(__xludf.DUMMYFUNCTION("""COMPUTED_VALUE"""),85.0970403125017)</f>
        <v>85.09704031</v>
      </c>
      <c r="P939" s="23">
        <f>IFERROR(__xludf.DUMMYFUNCTION("""COMPUTED_VALUE"""),607358.0)</f>
        <v>607358</v>
      </c>
      <c r="Q939" s="23">
        <f>IFERROR(__xludf.DUMMYFUNCTION("""COMPUTED_VALUE"""),713724.0)</f>
        <v>713724</v>
      </c>
    </row>
    <row r="940">
      <c r="A940" s="23">
        <f>IFERROR(__xludf.DUMMYFUNCTION("""COMPUTED_VALUE"""),976.0)</f>
        <v>976</v>
      </c>
      <c r="B940" s="23" t="str">
        <f>IFERROR(__xludf.DUMMYFUNCTION("""COMPUTED_VALUE"""),"Minimum Area Rectangle")</f>
        <v>Minimum Area Rectangle</v>
      </c>
      <c r="C940" s="23" t="str">
        <f>IFERROR(__xludf.DUMMYFUNCTION("""COMPUTED_VALUE"""),"minimum-area-rectangle")</f>
        <v>minimum-area-rectangle</v>
      </c>
      <c r="D940" s="23" t="b">
        <f>IFERROR(__xludf.DUMMYFUNCTION("""COMPUTED_VALUE"""),FALSE)</f>
        <v>0</v>
      </c>
      <c r="E940" s="23" t="str">
        <f>IFERROR(__xludf.DUMMYFUNCTION("""COMPUTED_VALUE"""),"Medium")</f>
        <v>Medium</v>
      </c>
      <c r="F940" s="23">
        <f>IFERROR(__xludf.DUMMYFUNCTION("""COMPUTED_VALUE"""),1439.0)</f>
        <v>1439</v>
      </c>
      <c r="G940" s="23">
        <f>IFERROR(__xludf.DUMMYFUNCTION("""COMPUTED_VALUE"""),224.0)</f>
        <v>224</v>
      </c>
      <c r="H940" s="23" t="str">
        <f>IFERROR(__xludf.DUMMYFUNCTION("""COMPUTED_VALUE"""),"Algorithms")</f>
        <v>Algorithms</v>
      </c>
      <c r="I940" s="23">
        <f>IFERROR(__xludf.DUMMYFUNCTION("""COMPUTED_VALUE"""),0.535)</f>
        <v>0.535</v>
      </c>
      <c r="J940" s="23">
        <f>IFERROR(__xludf.DUMMYFUNCTION("""COMPUTED_VALUE"""),939.0)</f>
        <v>939</v>
      </c>
      <c r="K940" s="23" t="b">
        <f>IFERROR(__xludf.DUMMYFUNCTION("""COMPUTED_VALUE"""),FALSE)</f>
        <v>0</v>
      </c>
      <c r="L940" s="23" t="str">
        <f>IFERROR(__xludf.DUMMYFUNCTION("""COMPUTED_VALUE"""),"Array;Hash Table;Math;Geometry;Sorting;")</f>
        <v>Array;Hash Table;Math;Geometry;Sorting;</v>
      </c>
      <c r="M940" s="23" t="b">
        <f>IFERROR(__xludf.DUMMYFUNCTION("""COMPUTED_VALUE"""),FALSE)</f>
        <v>0</v>
      </c>
      <c r="N940" s="23" t="b">
        <f>IFERROR(__xludf.DUMMYFUNCTION("""COMPUTED_VALUE"""),FALSE)</f>
        <v>0</v>
      </c>
      <c r="O940" s="23">
        <f>IFERROR(__xludf.DUMMYFUNCTION("""COMPUTED_VALUE"""),53.5335513926058)</f>
        <v>53.53355139</v>
      </c>
      <c r="P940" s="23">
        <f>IFERROR(__xludf.DUMMYFUNCTION("""COMPUTED_VALUE"""),102618.0)</f>
        <v>102618</v>
      </c>
      <c r="Q940" s="23">
        <f>IFERROR(__xludf.DUMMYFUNCTION("""COMPUTED_VALUE"""),191689.0)</f>
        <v>191689</v>
      </c>
    </row>
    <row r="941">
      <c r="A941" s="23">
        <f>IFERROR(__xludf.DUMMYFUNCTION("""COMPUTED_VALUE"""),977.0)</f>
        <v>977</v>
      </c>
      <c r="B941" s="23" t="str">
        <f>IFERROR(__xludf.DUMMYFUNCTION("""COMPUTED_VALUE"""),"Distinct Subsequences II")</f>
        <v>Distinct Subsequences II</v>
      </c>
      <c r="C941" s="23" t="str">
        <f>IFERROR(__xludf.DUMMYFUNCTION("""COMPUTED_VALUE"""),"distinct-subsequences-ii")</f>
        <v>distinct-subsequences-ii</v>
      </c>
      <c r="D941" s="23" t="b">
        <f>IFERROR(__xludf.DUMMYFUNCTION("""COMPUTED_VALUE"""),FALSE)</f>
        <v>0</v>
      </c>
      <c r="E941" s="23" t="str">
        <f>IFERROR(__xludf.DUMMYFUNCTION("""COMPUTED_VALUE"""),"Hard")</f>
        <v>Hard</v>
      </c>
      <c r="F941" s="23">
        <f>IFERROR(__xludf.DUMMYFUNCTION("""COMPUTED_VALUE"""),1083.0)</f>
        <v>1083</v>
      </c>
      <c r="G941" s="23">
        <f>IFERROR(__xludf.DUMMYFUNCTION("""COMPUTED_VALUE"""),27.0)</f>
        <v>27</v>
      </c>
      <c r="H941" s="23" t="str">
        <f>IFERROR(__xludf.DUMMYFUNCTION("""COMPUTED_VALUE"""),"Algorithms")</f>
        <v>Algorithms</v>
      </c>
      <c r="I941" s="23">
        <f>IFERROR(__xludf.DUMMYFUNCTION("""COMPUTED_VALUE"""),0.443)</f>
        <v>0.443</v>
      </c>
      <c r="J941" s="23">
        <f>IFERROR(__xludf.DUMMYFUNCTION("""COMPUTED_VALUE"""),940.0)</f>
        <v>940</v>
      </c>
      <c r="K941" s="23" t="b">
        <f>IFERROR(__xludf.DUMMYFUNCTION("""COMPUTED_VALUE"""),FALSE)</f>
        <v>0</v>
      </c>
      <c r="L941" s="23" t="str">
        <f>IFERROR(__xludf.DUMMYFUNCTION("""COMPUTED_VALUE"""),"String;Dynamic Programming;")</f>
        <v>String;Dynamic Programming;</v>
      </c>
      <c r="M941" s="23" t="b">
        <f>IFERROR(__xludf.DUMMYFUNCTION("""COMPUTED_VALUE"""),TRUE)</f>
        <v>1</v>
      </c>
      <c r="N941" s="23" t="b">
        <f>IFERROR(__xludf.DUMMYFUNCTION("""COMPUTED_VALUE"""),FALSE)</f>
        <v>0</v>
      </c>
      <c r="O941" s="23">
        <f>IFERROR(__xludf.DUMMYFUNCTION("""COMPUTED_VALUE"""),44.2851013268202)</f>
        <v>44.28510133</v>
      </c>
      <c r="P941" s="23">
        <f>IFERROR(__xludf.DUMMYFUNCTION("""COMPUTED_VALUE"""),26835.0)</f>
        <v>26835</v>
      </c>
      <c r="Q941" s="23">
        <f>IFERROR(__xludf.DUMMYFUNCTION("""COMPUTED_VALUE"""),60596.0)</f>
        <v>60596</v>
      </c>
    </row>
    <row r="942">
      <c r="A942" s="23">
        <f>IFERROR(__xludf.DUMMYFUNCTION("""COMPUTED_VALUE"""),978.0)</f>
        <v>978</v>
      </c>
      <c r="B942" s="23" t="str">
        <f>IFERROR(__xludf.DUMMYFUNCTION("""COMPUTED_VALUE"""),"Valid Mountain Array")</f>
        <v>Valid Mountain Array</v>
      </c>
      <c r="C942" s="23" t="str">
        <f>IFERROR(__xludf.DUMMYFUNCTION("""COMPUTED_VALUE"""),"valid-mountain-array")</f>
        <v>valid-mountain-array</v>
      </c>
      <c r="D942" s="23" t="b">
        <f>IFERROR(__xludf.DUMMYFUNCTION("""COMPUTED_VALUE"""),FALSE)</f>
        <v>0</v>
      </c>
      <c r="E942" s="23" t="str">
        <f>IFERROR(__xludf.DUMMYFUNCTION("""COMPUTED_VALUE"""),"Easy")</f>
        <v>Easy</v>
      </c>
      <c r="F942" s="23">
        <f>IFERROR(__xludf.DUMMYFUNCTION("""COMPUTED_VALUE"""),2115.0)</f>
        <v>2115</v>
      </c>
      <c r="G942" s="23">
        <f>IFERROR(__xludf.DUMMYFUNCTION("""COMPUTED_VALUE"""),144.0)</f>
        <v>144</v>
      </c>
      <c r="H942" s="23" t="str">
        <f>IFERROR(__xludf.DUMMYFUNCTION("""COMPUTED_VALUE"""),"Algorithms")</f>
        <v>Algorithms</v>
      </c>
      <c r="I942" s="23">
        <f>IFERROR(__xludf.DUMMYFUNCTION("""COMPUTED_VALUE"""),0.337)</f>
        <v>0.337</v>
      </c>
      <c r="J942" s="23">
        <f>IFERROR(__xludf.DUMMYFUNCTION("""COMPUTED_VALUE"""),941.0)</f>
        <v>941</v>
      </c>
      <c r="K942" s="23" t="b">
        <f>IFERROR(__xludf.DUMMYFUNCTION("""COMPUTED_VALUE"""),FALSE)</f>
        <v>0</v>
      </c>
      <c r="L942" s="23" t="str">
        <f>IFERROR(__xludf.DUMMYFUNCTION("""COMPUTED_VALUE"""),"Array;")</f>
        <v>Array;</v>
      </c>
      <c r="M942" s="23" t="b">
        <f>IFERROR(__xludf.DUMMYFUNCTION("""COMPUTED_VALUE"""),TRUE)</f>
        <v>1</v>
      </c>
      <c r="N942" s="23" t="b">
        <f>IFERROR(__xludf.DUMMYFUNCTION("""COMPUTED_VALUE"""),FALSE)</f>
        <v>0</v>
      </c>
      <c r="O942" s="23">
        <f>IFERROR(__xludf.DUMMYFUNCTION("""COMPUTED_VALUE"""),33.7416914486011)</f>
        <v>33.74169145</v>
      </c>
      <c r="P942" s="23">
        <f>IFERROR(__xludf.DUMMYFUNCTION("""COMPUTED_VALUE"""),289555.0)</f>
        <v>289555</v>
      </c>
      <c r="Q942" s="23">
        <f>IFERROR(__xludf.DUMMYFUNCTION("""COMPUTED_VALUE"""),858148.0)</f>
        <v>858148</v>
      </c>
    </row>
    <row r="943">
      <c r="A943" s="23">
        <f>IFERROR(__xludf.DUMMYFUNCTION("""COMPUTED_VALUE"""),979.0)</f>
        <v>979</v>
      </c>
      <c r="B943" s="23" t="str">
        <f>IFERROR(__xludf.DUMMYFUNCTION("""COMPUTED_VALUE"""),"DI String Match")</f>
        <v>DI String Match</v>
      </c>
      <c r="C943" s="23" t="str">
        <f>IFERROR(__xludf.DUMMYFUNCTION("""COMPUTED_VALUE"""),"di-string-match")</f>
        <v>di-string-match</v>
      </c>
      <c r="D943" s="23" t="b">
        <f>IFERROR(__xludf.DUMMYFUNCTION("""COMPUTED_VALUE"""),FALSE)</f>
        <v>0</v>
      </c>
      <c r="E943" s="23" t="str">
        <f>IFERROR(__xludf.DUMMYFUNCTION("""COMPUTED_VALUE"""),"Easy")</f>
        <v>Easy</v>
      </c>
      <c r="F943" s="23">
        <f>IFERROR(__xludf.DUMMYFUNCTION("""COMPUTED_VALUE"""),1660.0)</f>
        <v>1660</v>
      </c>
      <c r="G943" s="23">
        <f>IFERROR(__xludf.DUMMYFUNCTION("""COMPUTED_VALUE"""),659.0)</f>
        <v>659</v>
      </c>
      <c r="H943" s="23" t="str">
        <f>IFERROR(__xludf.DUMMYFUNCTION("""COMPUTED_VALUE"""),"Algorithms")</f>
        <v>Algorithms</v>
      </c>
      <c r="I943" s="23">
        <f>IFERROR(__xludf.DUMMYFUNCTION("""COMPUTED_VALUE"""),0.758)</f>
        <v>0.758</v>
      </c>
      <c r="J943" s="23">
        <f>IFERROR(__xludf.DUMMYFUNCTION("""COMPUTED_VALUE"""),942.0)</f>
        <v>942</v>
      </c>
      <c r="K943" s="23" t="b">
        <f>IFERROR(__xludf.DUMMYFUNCTION("""COMPUTED_VALUE"""),FALSE)</f>
        <v>0</v>
      </c>
      <c r="L943" s="23" t="str">
        <f>IFERROR(__xludf.DUMMYFUNCTION("""COMPUTED_VALUE"""),"Array;Math;Two Pointers;String;Greedy;")</f>
        <v>Array;Math;Two Pointers;String;Greedy;</v>
      </c>
      <c r="M943" s="23" t="b">
        <f>IFERROR(__xludf.DUMMYFUNCTION("""COMPUTED_VALUE"""),TRUE)</f>
        <v>1</v>
      </c>
      <c r="N943" s="23" t="b">
        <f>IFERROR(__xludf.DUMMYFUNCTION("""COMPUTED_VALUE"""),FALSE)</f>
        <v>0</v>
      </c>
      <c r="O943" s="23">
        <f>IFERROR(__xludf.DUMMYFUNCTION("""COMPUTED_VALUE"""),75.819307853313)</f>
        <v>75.81930785</v>
      </c>
      <c r="P943" s="23">
        <f>IFERROR(__xludf.DUMMYFUNCTION("""COMPUTED_VALUE"""),105772.0)</f>
        <v>105772</v>
      </c>
      <c r="Q943" s="23">
        <f>IFERROR(__xludf.DUMMYFUNCTION("""COMPUTED_VALUE"""),139506.0)</f>
        <v>139506</v>
      </c>
    </row>
    <row r="944">
      <c r="A944" s="23">
        <f>IFERROR(__xludf.DUMMYFUNCTION("""COMPUTED_VALUE"""),980.0)</f>
        <v>980</v>
      </c>
      <c r="B944" s="23" t="str">
        <f>IFERROR(__xludf.DUMMYFUNCTION("""COMPUTED_VALUE"""),"Find the Shortest Superstring")</f>
        <v>Find the Shortest Superstring</v>
      </c>
      <c r="C944" s="23" t="str">
        <f>IFERROR(__xludf.DUMMYFUNCTION("""COMPUTED_VALUE"""),"find-the-shortest-superstring")</f>
        <v>find-the-shortest-superstring</v>
      </c>
      <c r="D944" s="23" t="b">
        <f>IFERROR(__xludf.DUMMYFUNCTION("""COMPUTED_VALUE"""),FALSE)</f>
        <v>0</v>
      </c>
      <c r="E944" s="23" t="str">
        <f>IFERROR(__xludf.DUMMYFUNCTION("""COMPUTED_VALUE"""),"Hard")</f>
        <v>Hard</v>
      </c>
      <c r="F944" s="23">
        <f>IFERROR(__xludf.DUMMYFUNCTION("""COMPUTED_VALUE"""),1006.0)</f>
        <v>1006</v>
      </c>
      <c r="G944" s="23">
        <f>IFERROR(__xludf.DUMMYFUNCTION("""COMPUTED_VALUE"""),126.0)</f>
        <v>126</v>
      </c>
      <c r="H944" s="23" t="str">
        <f>IFERROR(__xludf.DUMMYFUNCTION("""COMPUTED_VALUE"""),"Algorithms")</f>
        <v>Algorithms</v>
      </c>
      <c r="I944" s="23">
        <f>IFERROR(__xludf.DUMMYFUNCTION("""COMPUTED_VALUE"""),0.454)</f>
        <v>0.454</v>
      </c>
      <c r="J944" s="23">
        <f>IFERROR(__xludf.DUMMYFUNCTION("""COMPUTED_VALUE"""),943.0)</f>
        <v>943</v>
      </c>
      <c r="K944" s="23" t="b">
        <f>IFERROR(__xludf.DUMMYFUNCTION("""COMPUTED_VALUE"""),FALSE)</f>
        <v>0</v>
      </c>
      <c r="L944" s="23" t="str">
        <f>IFERROR(__xludf.DUMMYFUNCTION("""COMPUTED_VALUE"""),"Array;String;Dynamic Programming;Bit Manipulation;Bitmask;")</f>
        <v>Array;String;Dynamic Programming;Bit Manipulation;Bitmask;</v>
      </c>
      <c r="M944" s="23" t="b">
        <f>IFERROR(__xludf.DUMMYFUNCTION("""COMPUTED_VALUE"""),TRUE)</f>
        <v>1</v>
      </c>
      <c r="N944" s="23" t="b">
        <f>IFERROR(__xludf.DUMMYFUNCTION("""COMPUTED_VALUE"""),FALSE)</f>
        <v>0</v>
      </c>
      <c r="O944" s="23">
        <f>IFERROR(__xludf.DUMMYFUNCTION("""COMPUTED_VALUE"""),45.4007312402066)</f>
        <v>45.40073124</v>
      </c>
      <c r="P944" s="23">
        <f>IFERROR(__xludf.DUMMYFUNCTION("""COMPUTED_VALUE"""),23469.0)</f>
        <v>23469</v>
      </c>
      <c r="Q944" s="23">
        <f>IFERROR(__xludf.DUMMYFUNCTION("""COMPUTED_VALUE"""),51693.0)</f>
        <v>51693</v>
      </c>
    </row>
    <row r="945">
      <c r="A945" s="23">
        <f>IFERROR(__xludf.DUMMYFUNCTION("""COMPUTED_VALUE"""),981.0)</f>
        <v>981</v>
      </c>
      <c r="B945" s="23" t="str">
        <f>IFERROR(__xludf.DUMMYFUNCTION("""COMPUTED_VALUE"""),"Delete Columns to Make Sorted")</f>
        <v>Delete Columns to Make Sorted</v>
      </c>
      <c r="C945" s="23" t="str">
        <f>IFERROR(__xludf.DUMMYFUNCTION("""COMPUTED_VALUE"""),"delete-columns-to-make-sorted")</f>
        <v>delete-columns-to-make-sorted</v>
      </c>
      <c r="D945" s="23" t="b">
        <f>IFERROR(__xludf.DUMMYFUNCTION("""COMPUTED_VALUE"""),FALSE)</f>
        <v>0</v>
      </c>
      <c r="E945" s="23" t="str">
        <f>IFERROR(__xludf.DUMMYFUNCTION("""COMPUTED_VALUE"""),"Easy")</f>
        <v>Easy</v>
      </c>
      <c r="F945" s="23">
        <f>IFERROR(__xludf.DUMMYFUNCTION("""COMPUTED_VALUE"""),348.0)</f>
        <v>348</v>
      </c>
      <c r="G945" s="23">
        <f>IFERROR(__xludf.DUMMYFUNCTION("""COMPUTED_VALUE"""),2008.0)</f>
        <v>2008</v>
      </c>
      <c r="H945" s="23" t="str">
        <f>IFERROR(__xludf.DUMMYFUNCTION("""COMPUTED_VALUE"""),"Algorithms")</f>
        <v>Algorithms</v>
      </c>
      <c r="I945" s="23">
        <f>IFERROR(__xludf.DUMMYFUNCTION("""COMPUTED_VALUE"""),0.699)</f>
        <v>0.699</v>
      </c>
      <c r="J945" s="23">
        <f>IFERROR(__xludf.DUMMYFUNCTION("""COMPUTED_VALUE"""),944.0)</f>
        <v>944</v>
      </c>
      <c r="K945" s="23" t="b">
        <f>IFERROR(__xludf.DUMMYFUNCTION("""COMPUTED_VALUE"""),FALSE)</f>
        <v>0</v>
      </c>
      <c r="L945" s="23" t="str">
        <f>IFERROR(__xludf.DUMMYFUNCTION("""COMPUTED_VALUE"""),"Array;String;")</f>
        <v>Array;String;</v>
      </c>
      <c r="M945" s="23" t="b">
        <f>IFERROR(__xludf.DUMMYFUNCTION("""COMPUTED_VALUE"""),FALSE)</f>
        <v>0</v>
      </c>
      <c r="N945" s="23" t="b">
        <f>IFERROR(__xludf.DUMMYFUNCTION("""COMPUTED_VALUE"""),FALSE)</f>
        <v>0</v>
      </c>
      <c r="O945" s="23">
        <f>IFERROR(__xludf.DUMMYFUNCTION("""COMPUTED_VALUE"""),69.9098946655949)</f>
        <v>69.90989467</v>
      </c>
      <c r="P945" s="23">
        <f>IFERROR(__xludf.DUMMYFUNCTION("""COMPUTED_VALUE"""),66104.0)</f>
        <v>66104</v>
      </c>
      <c r="Q945" s="23">
        <f>IFERROR(__xludf.DUMMYFUNCTION("""COMPUTED_VALUE"""),94556.0)</f>
        <v>94556</v>
      </c>
    </row>
    <row r="946">
      <c r="A946" s="23">
        <f>IFERROR(__xludf.DUMMYFUNCTION("""COMPUTED_VALUE"""),982.0)</f>
        <v>982</v>
      </c>
      <c r="B946" s="23" t="str">
        <f>IFERROR(__xludf.DUMMYFUNCTION("""COMPUTED_VALUE"""),"Minimum Increment to Make Array Unique")</f>
        <v>Minimum Increment to Make Array Unique</v>
      </c>
      <c r="C946" s="23" t="str">
        <f>IFERROR(__xludf.DUMMYFUNCTION("""COMPUTED_VALUE"""),"minimum-increment-to-make-array-unique")</f>
        <v>minimum-increment-to-make-array-unique</v>
      </c>
      <c r="D946" s="23" t="b">
        <f>IFERROR(__xludf.DUMMYFUNCTION("""COMPUTED_VALUE"""),FALSE)</f>
        <v>0</v>
      </c>
      <c r="E946" s="23" t="str">
        <f>IFERROR(__xludf.DUMMYFUNCTION("""COMPUTED_VALUE"""),"Medium")</f>
        <v>Medium</v>
      </c>
      <c r="F946" s="23">
        <f>IFERROR(__xludf.DUMMYFUNCTION("""COMPUTED_VALUE"""),1039.0)</f>
        <v>1039</v>
      </c>
      <c r="G946" s="23">
        <f>IFERROR(__xludf.DUMMYFUNCTION("""COMPUTED_VALUE"""),44.0)</f>
        <v>44</v>
      </c>
      <c r="H946" s="23" t="str">
        <f>IFERROR(__xludf.DUMMYFUNCTION("""COMPUTED_VALUE"""),"Algorithms")</f>
        <v>Algorithms</v>
      </c>
      <c r="I946" s="23">
        <f>IFERROR(__xludf.DUMMYFUNCTION("""COMPUTED_VALUE"""),0.491)</f>
        <v>0.491</v>
      </c>
      <c r="J946" s="23">
        <f>IFERROR(__xludf.DUMMYFUNCTION("""COMPUTED_VALUE"""),945.0)</f>
        <v>945</v>
      </c>
      <c r="K946" s="23" t="b">
        <f>IFERROR(__xludf.DUMMYFUNCTION("""COMPUTED_VALUE"""),FALSE)</f>
        <v>0</v>
      </c>
      <c r="L946" s="23" t="str">
        <f>IFERROR(__xludf.DUMMYFUNCTION("""COMPUTED_VALUE"""),"Array;Greedy;Sorting;Counting;")</f>
        <v>Array;Greedy;Sorting;Counting;</v>
      </c>
      <c r="M946" s="23" t="b">
        <f>IFERROR(__xludf.DUMMYFUNCTION("""COMPUTED_VALUE"""),TRUE)</f>
        <v>1</v>
      </c>
      <c r="N946" s="23" t="b">
        <f>IFERROR(__xludf.DUMMYFUNCTION("""COMPUTED_VALUE"""),FALSE)</f>
        <v>0</v>
      </c>
      <c r="O946" s="23">
        <f>IFERROR(__xludf.DUMMYFUNCTION("""COMPUTED_VALUE"""),49.0700828657426)</f>
        <v>49.07008287</v>
      </c>
      <c r="P946" s="23">
        <f>IFERROR(__xludf.DUMMYFUNCTION("""COMPUTED_VALUE"""),52821.0)</f>
        <v>52821</v>
      </c>
      <c r="Q946" s="23">
        <f>IFERROR(__xludf.DUMMYFUNCTION("""COMPUTED_VALUE"""),107644.0)</f>
        <v>107644</v>
      </c>
    </row>
    <row r="947">
      <c r="A947" s="23">
        <f>IFERROR(__xludf.DUMMYFUNCTION("""COMPUTED_VALUE"""),983.0)</f>
        <v>983</v>
      </c>
      <c r="B947" s="23" t="str">
        <f>IFERROR(__xludf.DUMMYFUNCTION("""COMPUTED_VALUE"""),"Validate Stack Sequences")</f>
        <v>Validate Stack Sequences</v>
      </c>
      <c r="C947" s="23" t="str">
        <f>IFERROR(__xludf.DUMMYFUNCTION("""COMPUTED_VALUE"""),"validate-stack-sequences")</f>
        <v>validate-stack-sequences</v>
      </c>
      <c r="D947" s="23" t="b">
        <f>IFERROR(__xludf.DUMMYFUNCTION("""COMPUTED_VALUE"""),FALSE)</f>
        <v>0</v>
      </c>
      <c r="E947" s="23" t="str">
        <f>IFERROR(__xludf.DUMMYFUNCTION("""COMPUTED_VALUE"""),"Medium")</f>
        <v>Medium</v>
      </c>
      <c r="F947" s="23">
        <f>IFERROR(__xludf.DUMMYFUNCTION("""COMPUTED_VALUE"""),3531.0)</f>
        <v>3531</v>
      </c>
      <c r="G947" s="23">
        <f>IFERROR(__xludf.DUMMYFUNCTION("""COMPUTED_VALUE"""),62.0)</f>
        <v>62</v>
      </c>
      <c r="H947" s="23" t="str">
        <f>IFERROR(__xludf.DUMMYFUNCTION("""COMPUTED_VALUE"""),"Algorithms")</f>
        <v>Algorithms</v>
      </c>
      <c r="I947" s="23">
        <f>IFERROR(__xludf.DUMMYFUNCTION("""COMPUTED_VALUE"""),0.676)</f>
        <v>0.676</v>
      </c>
      <c r="J947" s="23">
        <f>IFERROR(__xludf.DUMMYFUNCTION("""COMPUTED_VALUE"""),946.0)</f>
        <v>946</v>
      </c>
      <c r="K947" s="23" t="b">
        <f>IFERROR(__xludf.DUMMYFUNCTION("""COMPUTED_VALUE"""),FALSE)</f>
        <v>0</v>
      </c>
      <c r="L947" s="23" t="str">
        <f>IFERROR(__xludf.DUMMYFUNCTION("""COMPUTED_VALUE"""),"Array;Stack;Simulation;")</f>
        <v>Array;Stack;Simulation;</v>
      </c>
      <c r="M947" s="23" t="b">
        <f>IFERROR(__xludf.DUMMYFUNCTION("""COMPUTED_VALUE"""),TRUE)</f>
        <v>1</v>
      </c>
      <c r="N947" s="23" t="b">
        <f>IFERROR(__xludf.DUMMYFUNCTION("""COMPUTED_VALUE"""),FALSE)</f>
        <v>0</v>
      </c>
      <c r="O947" s="23">
        <f>IFERROR(__xludf.DUMMYFUNCTION("""COMPUTED_VALUE"""),67.582712827205)</f>
        <v>67.58271283</v>
      </c>
      <c r="P947" s="23">
        <f>IFERROR(__xludf.DUMMYFUNCTION("""COMPUTED_VALUE"""),176079.0)</f>
        <v>176079</v>
      </c>
      <c r="Q947" s="23">
        <f>IFERROR(__xludf.DUMMYFUNCTION("""COMPUTED_VALUE"""),260539.0)</f>
        <v>260539</v>
      </c>
    </row>
    <row r="948">
      <c r="A948" s="23">
        <f>IFERROR(__xludf.DUMMYFUNCTION("""COMPUTED_VALUE"""),984.0)</f>
        <v>984</v>
      </c>
      <c r="B948" s="23" t="str">
        <f>IFERROR(__xludf.DUMMYFUNCTION("""COMPUTED_VALUE"""),"Most Stones Removed with Same Row or Column")</f>
        <v>Most Stones Removed with Same Row or Column</v>
      </c>
      <c r="C948" s="23" t="str">
        <f>IFERROR(__xludf.DUMMYFUNCTION("""COMPUTED_VALUE"""),"most-stones-removed-with-same-row-or-column")</f>
        <v>most-stones-removed-with-same-row-or-column</v>
      </c>
      <c r="D948" s="23" t="b">
        <f>IFERROR(__xludf.DUMMYFUNCTION("""COMPUTED_VALUE"""),FALSE)</f>
        <v>0</v>
      </c>
      <c r="E948" s="23" t="str">
        <f>IFERROR(__xludf.DUMMYFUNCTION("""COMPUTED_VALUE"""),"Medium")</f>
        <v>Medium</v>
      </c>
      <c r="F948" s="23">
        <f>IFERROR(__xludf.DUMMYFUNCTION("""COMPUTED_VALUE"""),2384.0)</f>
        <v>2384</v>
      </c>
      <c r="G948" s="23">
        <f>IFERROR(__xludf.DUMMYFUNCTION("""COMPUTED_VALUE"""),507.0)</f>
        <v>507</v>
      </c>
      <c r="H948" s="23" t="str">
        <f>IFERROR(__xludf.DUMMYFUNCTION("""COMPUTED_VALUE"""),"Algorithms")</f>
        <v>Algorithms</v>
      </c>
      <c r="I948" s="23">
        <f>IFERROR(__xludf.DUMMYFUNCTION("""COMPUTED_VALUE"""),0.563)</f>
        <v>0.563</v>
      </c>
      <c r="J948" s="23">
        <f>IFERROR(__xludf.DUMMYFUNCTION("""COMPUTED_VALUE"""),947.0)</f>
        <v>947</v>
      </c>
      <c r="K948" s="23" t="b">
        <f>IFERROR(__xludf.DUMMYFUNCTION("""COMPUTED_VALUE"""),FALSE)</f>
        <v>0</v>
      </c>
      <c r="L948" s="23" t="str">
        <f>IFERROR(__xludf.DUMMYFUNCTION("""COMPUTED_VALUE"""),"Depth-First Search;Union Find;Graph;")</f>
        <v>Depth-First Search;Union Find;Graph;</v>
      </c>
      <c r="M948" s="23" t="b">
        <f>IFERROR(__xludf.DUMMYFUNCTION("""COMPUTED_VALUE"""),FALSE)</f>
        <v>0</v>
      </c>
      <c r="N948" s="23" t="b">
        <f>IFERROR(__xludf.DUMMYFUNCTION("""COMPUTED_VALUE"""),FALSE)</f>
        <v>0</v>
      </c>
      <c r="O948" s="23">
        <f>IFERROR(__xludf.DUMMYFUNCTION("""COMPUTED_VALUE"""),56.2895589473625)</f>
        <v>56.28955895</v>
      </c>
      <c r="P948" s="23">
        <f>IFERROR(__xludf.DUMMYFUNCTION("""COMPUTED_VALUE"""),100939.0)</f>
        <v>100939</v>
      </c>
      <c r="Q948" s="23">
        <f>IFERROR(__xludf.DUMMYFUNCTION("""COMPUTED_VALUE"""),179321.0)</f>
        <v>179321</v>
      </c>
    </row>
    <row r="949">
      <c r="A949" s="23">
        <f>IFERROR(__xludf.DUMMYFUNCTION("""COMPUTED_VALUE"""),985.0)</f>
        <v>985</v>
      </c>
      <c r="B949" s="23" t="str">
        <f>IFERROR(__xludf.DUMMYFUNCTION("""COMPUTED_VALUE"""),"Bag of Tokens")</f>
        <v>Bag of Tokens</v>
      </c>
      <c r="C949" s="23" t="str">
        <f>IFERROR(__xludf.DUMMYFUNCTION("""COMPUTED_VALUE"""),"bag-of-tokens")</f>
        <v>bag-of-tokens</v>
      </c>
      <c r="D949" s="23" t="b">
        <f>IFERROR(__xludf.DUMMYFUNCTION("""COMPUTED_VALUE"""),FALSE)</f>
        <v>0</v>
      </c>
      <c r="E949" s="23" t="str">
        <f>IFERROR(__xludf.DUMMYFUNCTION("""COMPUTED_VALUE"""),"Medium")</f>
        <v>Medium</v>
      </c>
      <c r="F949" s="23">
        <f>IFERROR(__xludf.DUMMYFUNCTION("""COMPUTED_VALUE"""),682.0)</f>
        <v>682</v>
      </c>
      <c r="G949" s="23">
        <f>IFERROR(__xludf.DUMMYFUNCTION("""COMPUTED_VALUE"""),293.0)</f>
        <v>293</v>
      </c>
      <c r="H949" s="23" t="str">
        <f>IFERROR(__xludf.DUMMYFUNCTION("""COMPUTED_VALUE"""),"Algorithms")</f>
        <v>Algorithms</v>
      </c>
      <c r="I949" s="23">
        <f>IFERROR(__xludf.DUMMYFUNCTION("""COMPUTED_VALUE"""),0.462)</f>
        <v>0.462</v>
      </c>
      <c r="J949" s="23">
        <f>IFERROR(__xludf.DUMMYFUNCTION("""COMPUTED_VALUE"""),948.0)</f>
        <v>948</v>
      </c>
      <c r="K949" s="23" t="b">
        <f>IFERROR(__xludf.DUMMYFUNCTION("""COMPUTED_VALUE"""),FALSE)</f>
        <v>0</v>
      </c>
      <c r="L949" s="23" t="str">
        <f>IFERROR(__xludf.DUMMYFUNCTION("""COMPUTED_VALUE"""),"Array;Two Pointers;Greedy;Sorting;")</f>
        <v>Array;Two Pointers;Greedy;Sorting;</v>
      </c>
      <c r="M949" s="23" t="b">
        <f>IFERROR(__xludf.DUMMYFUNCTION("""COMPUTED_VALUE"""),TRUE)</f>
        <v>1</v>
      </c>
      <c r="N949" s="23" t="b">
        <f>IFERROR(__xludf.DUMMYFUNCTION("""COMPUTED_VALUE"""),FALSE)</f>
        <v>0</v>
      </c>
      <c r="O949" s="23">
        <f>IFERROR(__xludf.DUMMYFUNCTION("""COMPUTED_VALUE"""),46.2422205920632)</f>
        <v>46.24222059</v>
      </c>
      <c r="P949" s="23">
        <f>IFERROR(__xludf.DUMMYFUNCTION("""COMPUTED_VALUE"""),39083.0)</f>
        <v>39083</v>
      </c>
      <c r="Q949" s="23">
        <f>IFERROR(__xludf.DUMMYFUNCTION("""COMPUTED_VALUE"""),84518.0)</f>
        <v>84518</v>
      </c>
    </row>
    <row r="950">
      <c r="A950" s="23">
        <f>IFERROR(__xludf.DUMMYFUNCTION("""COMPUTED_VALUE"""),986.0)</f>
        <v>986</v>
      </c>
      <c r="B950" s="23" t="str">
        <f>IFERROR(__xludf.DUMMYFUNCTION("""COMPUTED_VALUE"""),"Largest Time for Given Digits")</f>
        <v>Largest Time for Given Digits</v>
      </c>
      <c r="C950" s="23" t="str">
        <f>IFERROR(__xludf.DUMMYFUNCTION("""COMPUTED_VALUE"""),"largest-time-for-given-digits")</f>
        <v>largest-time-for-given-digits</v>
      </c>
      <c r="D950" s="23" t="b">
        <f>IFERROR(__xludf.DUMMYFUNCTION("""COMPUTED_VALUE"""),FALSE)</f>
        <v>0</v>
      </c>
      <c r="E950" s="23" t="str">
        <f>IFERROR(__xludf.DUMMYFUNCTION("""COMPUTED_VALUE"""),"Medium")</f>
        <v>Medium</v>
      </c>
      <c r="F950" s="23">
        <f>IFERROR(__xludf.DUMMYFUNCTION("""COMPUTED_VALUE"""),547.0)</f>
        <v>547</v>
      </c>
      <c r="G950" s="23">
        <f>IFERROR(__xludf.DUMMYFUNCTION("""COMPUTED_VALUE"""),902.0)</f>
        <v>902</v>
      </c>
      <c r="H950" s="23" t="str">
        <f>IFERROR(__xludf.DUMMYFUNCTION("""COMPUTED_VALUE"""),"Algorithms")</f>
        <v>Algorithms</v>
      </c>
      <c r="I950" s="23">
        <f>IFERROR(__xludf.DUMMYFUNCTION("""COMPUTED_VALUE"""),0.354)</f>
        <v>0.354</v>
      </c>
      <c r="J950" s="23">
        <f>IFERROR(__xludf.DUMMYFUNCTION("""COMPUTED_VALUE"""),949.0)</f>
        <v>949</v>
      </c>
      <c r="K950" s="23" t="b">
        <f>IFERROR(__xludf.DUMMYFUNCTION("""COMPUTED_VALUE"""),FALSE)</f>
        <v>0</v>
      </c>
      <c r="L950" s="23" t="str">
        <f>IFERROR(__xludf.DUMMYFUNCTION("""COMPUTED_VALUE"""),"String;Enumeration;")</f>
        <v>String;Enumeration;</v>
      </c>
      <c r="M950" s="23" t="b">
        <f>IFERROR(__xludf.DUMMYFUNCTION("""COMPUTED_VALUE"""),TRUE)</f>
        <v>1</v>
      </c>
      <c r="N950" s="23" t="b">
        <f>IFERROR(__xludf.DUMMYFUNCTION("""COMPUTED_VALUE"""),FALSE)</f>
        <v>0</v>
      </c>
      <c r="O950" s="23">
        <f>IFERROR(__xludf.DUMMYFUNCTION("""COMPUTED_VALUE"""),35.4313322986031)</f>
        <v>35.4313323</v>
      </c>
      <c r="P950" s="23">
        <f>IFERROR(__xludf.DUMMYFUNCTION("""COMPUTED_VALUE"""),70767.0)</f>
        <v>70767</v>
      </c>
      <c r="Q950" s="23">
        <f>IFERROR(__xludf.DUMMYFUNCTION("""COMPUTED_VALUE"""),199730.0)</f>
        <v>199730</v>
      </c>
    </row>
    <row r="951">
      <c r="A951" s="23">
        <f>IFERROR(__xludf.DUMMYFUNCTION("""COMPUTED_VALUE"""),987.0)</f>
        <v>987</v>
      </c>
      <c r="B951" s="23" t="str">
        <f>IFERROR(__xludf.DUMMYFUNCTION("""COMPUTED_VALUE"""),"Reveal Cards In Increasing Order")</f>
        <v>Reveal Cards In Increasing Order</v>
      </c>
      <c r="C951" s="23" t="str">
        <f>IFERROR(__xludf.DUMMYFUNCTION("""COMPUTED_VALUE"""),"reveal-cards-in-increasing-order")</f>
        <v>reveal-cards-in-increasing-order</v>
      </c>
      <c r="D951" s="23" t="b">
        <f>IFERROR(__xludf.DUMMYFUNCTION("""COMPUTED_VALUE"""),FALSE)</f>
        <v>0</v>
      </c>
      <c r="E951" s="23" t="str">
        <f>IFERROR(__xludf.DUMMYFUNCTION("""COMPUTED_VALUE"""),"Medium")</f>
        <v>Medium</v>
      </c>
      <c r="F951" s="23">
        <f>IFERROR(__xludf.DUMMYFUNCTION("""COMPUTED_VALUE"""),1811.0)</f>
        <v>1811</v>
      </c>
      <c r="G951" s="23">
        <f>IFERROR(__xludf.DUMMYFUNCTION("""COMPUTED_VALUE"""),278.0)</f>
        <v>278</v>
      </c>
      <c r="H951" s="23" t="str">
        <f>IFERROR(__xludf.DUMMYFUNCTION("""COMPUTED_VALUE"""),"Algorithms")</f>
        <v>Algorithms</v>
      </c>
      <c r="I951" s="23">
        <f>IFERROR(__xludf.DUMMYFUNCTION("""COMPUTED_VALUE"""),0.771)</f>
        <v>0.771</v>
      </c>
      <c r="J951" s="23">
        <f>IFERROR(__xludf.DUMMYFUNCTION("""COMPUTED_VALUE"""),950.0)</f>
        <v>950</v>
      </c>
      <c r="K951" s="23" t="b">
        <f>IFERROR(__xludf.DUMMYFUNCTION("""COMPUTED_VALUE"""),FALSE)</f>
        <v>0</v>
      </c>
      <c r="L951" s="23" t="str">
        <f>IFERROR(__xludf.DUMMYFUNCTION("""COMPUTED_VALUE"""),"Array;Queue;Sorting;Simulation;")</f>
        <v>Array;Queue;Sorting;Simulation;</v>
      </c>
      <c r="M951" s="23" t="b">
        <f>IFERROR(__xludf.DUMMYFUNCTION("""COMPUTED_VALUE"""),TRUE)</f>
        <v>1</v>
      </c>
      <c r="N951" s="23" t="b">
        <f>IFERROR(__xludf.DUMMYFUNCTION("""COMPUTED_VALUE"""),FALSE)</f>
        <v>0</v>
      </c>
      <c r="O951" s="23">
        <f>IFERROR(__xludf.DUMMYFUNCTION("""COMPUTED_VALUE"""),77.1017040843927)</f>
        <v>77.10170408</v>
      </c>
      <c r="P951" s="23">
        <f>IFERROR(__xludf.DUMMYFUNCTION("""COMPUTED_VALUE"""),57009.0)</f>
        <v>57009</v>
      </c>
      <c r="Q951" s="23">
        <f>IFERROR(__xludf.DUMMYFUNCTION("""COMPUTED_VALUE"""),73940.0)</f>
        <v>73940</v>
      </c>
    </row>
    <row r="952">
      <c r="A952" s="23">
        <f>IFERROR(__xludf.DUMMYFUNCTION("""COMPUTED_VALUE"""),988.0)</f>
        <v>988</v>
      </c>
      <c r="B952" s="23" t="str">
        <f>IFERROR(__xludf.DUMMYFUNCTION("""COMPUTED_VALUE"""),"Flip Equivalent Binary Trees")</f>
        <v>Flip Equivalent Binary Trees</v>
      </c>
      <c r="C952" s="23" t="str">
        <f>IFERROR(__xludf.DUMMYFUNCTION("""COMPUTED_VALUE"""),"flip-equivalent-binary-trees")</f>
        <v>flip-equivalent-binary-trees</v>
      </c>
      <c r="D952" s="23" t="b">
        <f>IFERROR(__xludf.DUMMYFUNCTION("""COMPUTED_VALUE"""),FALSE)</f>
        <v>0</v>
      </c>
      <c r="E952" s="23" t="str">
        <f>IFERROR(__xludf.DUMMYFUNCTION("""COMPUTED_VALUE"""),"Medium")</f>
        <v>Medium</v>
      </c>
      <c r="F952" s="23">
        <f>IFERROR(__xludf.DUMMYFUNCTION("""COMPUTED_VALUE"""),1613.0)</f>
        <v>1613</v>
      </c>
      <c r="G952" s="23">
        <f>IFERROR(__xludf.DUMMYFUNCTION("""COMPUTED_VALUE"""),72.0)</f>
        <v>72</v>
      </c>
      <c r="H952" s="23" t="str">
        <f>IFERROR(__xludf.DUMMYFUNCTION("""COMPUTED_VALUE"""),"Algorithms")</f>
        <v>Algorithms</v>
      </c>
      <c r="I952" s="23">
        <f>IFERROR(__xludf.DUMMYFUNCTION("""COMPUTED_VALUE"""),0.667)</f>
        <v>0.667</v>
      </c>
      <c r="J952" s="23">
        <f>IFERROR(__xludf.DUMMYFUNCTION("""COMPUTED_VALUE"""),951.0)</f>
        <v>951</v>
      </c>
      <c r="K952" s="23" t="b">
        <f>IFERROR(__xludf.DUMMYFUNCTION("""COMPUTED_VALUE"""),FALSE)</f>
        <v>0</v>
      </c>
      <c r="L952" s="23" t="str">
        <f>IFERROR(__xludf.DUMMYFUNCTION("""COMPUTED_VALUE"""),"Tree;Depth-First Search;Binary Tree;")</f>
        <v>Tree;Depth-First Search;Binary Tree;</v>
      </c>
      <c r="M952" s="23" t="b">
        <f>IFERROR(__xludf.DUMMYFUNCTION("""COMPUTED_VALUE"""),TRUE)</f>
        <v>1</v>
      </c>
      <c r="N952" s="23" t="b">
        <f>IFERROR(__xludf.DUMMYFUNCTION("""COMPUTED_VALUE"""),FALSE)</f>
        <v>0</v>
      </c>
      <c r="O952" s="23">
        <f>IFERROR(__xludf.DUMMYFUNCTION("""COMPUTED_VALUE"""),66.6582902253058)</f>
        <v>66.65829023</v>
      </c>
      <c r="P952" s="23">
        <f>IFERROR(__xludf.DUMMYFUNCTION("""COMPUTED_VALUE"""),108757.0)</f>
        <v>108757</v>
      </c>
      <c r="Q952" s="23">
        <f>IFERROR(__xludf.DUMMYFUNCTION("""COMPUTED_VALUE"""),163156.0)</f>
        <v>163156</v>
      </c>
    </row>
    <row r="953">
      <c r="A953" s="23">
        <f>IFERROR(__xludf.DUMMYFUNCTION("""COMPUTED_VALUE"""),989.0)</f>
        <v>989</v>
      </c>
      <c r="B953" s="23" t="str">
        <f>IFERROR(__xludf.DUMMYFUNCTION("""COMPUTED_VALUE"""),"Largest Component Size by Common Factor")</f>
        <v>Largest Component Size by Common Factor</v>
      </c>
      <c r="C953" s="23" t="str">
        <f>IFERROR(__xludf.DUMMYFUNCTION("""COMPUTED_VALUE"""),"largest-component-size-by-common-factor")</f>
        <v>largest-component-size-by-common-factor</v>
      </c>
      <c r="D953" s="23" t="b">
        <f>IFERROR(__xludf.DUMMYFUNCTION("""COMPUTED_VALUE"""),FALSE)</f>
        <v>0</v>
      </c>
      <c r="E953" s="23" t="str">
        <f>IFERROR(__xludf.DUMMYFUNCTION("""COMPUTED_VALUE"""),"Hard")</f>
        <v>Hard</v>
      </c>
      <c r="F953" s="23">
        <f>IFERROR(__xludf.DUMMYFUNCTION("""COMPUTED_VALUE"""),1242.0)</f>
        <v>1242</v>
      </c>
      <c r="G953" s="23">
        <f>IFERROR(__xludf.DUMMYFUNCTION("""COMPUTED_VALUE"""),86.0)</f>
        <v>86</v>
      </c>
      <c r="H953" s="23" t="str">
        <f>IFERROR(__xludf.DUMMYFUNCTION("""COMPUTED_VALUE"""),"Algorithms")</f>
        <v>Algorithms</v>
      </c>
      <c r="I953" s="23">
        <f>IFERROR(__xludf.DUMMYFUNCTION("""COMPUTED_VALUE"""),0.402)</f>
        <v>0.402</v>
      </c>
      <c r="J953" s="23">
        <f>IFERROR(__xludf.DUMMYFUNCTION("""COMPUTED_VALUE"""),952.0)</f>
        <v>952</v>
      </c>
      <c r="K953" s="23" t="b">
        <f>IFERROR(__xludf.DUMMYFUNCTION("""COMPUTED_VALUE"""),FALSE)</f>
        <v>0</v>
      </c>
      <c r="L953" s="23" t="str">
        <f>IFERROR(__xludf.DUMMYFUNCTION("""COMPUTED_VALUE"""),"Array;Math;Union Find;")</f>
        <v>Array;Math;Union Find;</v>
      </c>
      <c r="M953" s="23" t="b">
        <f>IFERROR(__xludf.DUMMYFUNCTION("""COMPUTED_VALUE"""),TRUE)</f>
        <v>1</v>
      </c>
      <c r="N953" s="23" t="b">
        <f>IFERROR(__xludf.DUMMYFUNCTION("""COMPUTED_VALUE"""),FALSE)</f>
        <v>0</v>
      </c>
      <c r="O953" s="23">
        <f>IFERROR(__xludf.DUMMYFUNCTION("""COMPUTED_VALUE"""),40.2267249516582)</f>
        <v>40.22672495</v>
      </c>
      <c r="P953" s="23">
        <f>IFERROR(__xludf.DUMMYFUNCTION("""COMPUTED_VALUE"""),43895.0)</f>
        <v>43895</v>
      </c>
      <c r="Q953" s="23">
        <f>IFERROR(__xludf.DUMMYFUNCTION("""COMPUTED_VALUE"""),109119.0)</f>
        <v>109119</v>
      </c>
    </row>
    <row r="954">
      <c r="A954" s="23">
        <f>IFERROR(__xludf.DUMMYFUNCTION("""COMPUTED_VALUE"""),990.0)</f>
        <v>990</v>
      </c>
      <c r="B954" s="23" t="str">
        <f>IFERROR(__xludf.DUMMYFUNCTION("""COMPUTED_VALUE"""),"Verifying an Alien Dictionary")</f>
        <v>Verifying an Alien Dictionary</v>
      </c>
      <c r="C954" s="23" t="str">
        <f>IFERROR(__xludf.DUMMYFUNCTION("""COMPUTED_VALUE"""),"verifying-an-alien-dictionary")</f>
        <v>verifying-an-alien-dictionary</v>
      </c>
      <c r="D954" s="23" t="b">
        <f>IFERROR(__xludf.DUMMYFUNCTION("""COMPUTED_VALUE"""),FALSE)</f>
        <v>0</v>
      </c>
      <c r="E954" s="23" t="str">
        <f>IFERROR(__xludf.DUMMYFUNCTION("""COMPUTED_VALUE"""),"Easy")</f>
        <v>Easy</v>
      </c>
      <c r="F954" s="23">
        <f>IFERROR(__xludf.DUMMYFUNCTION("""COMPUTED_VALUE"""),2773.0)</f>
        <v>2773</v>
      </c>
      <c r="G954" s="23">
        <f>IFERROR(__xludf.DUMMYFUNCTION("""COMPUTED_VALUE"""),921.0)</f>
        <v>921</v>
      </c>
      <c r="H954" s="23" t="str">
        <f>IFERROR(__xludf.DUMMYFUNCTION("""COMPUTED_VALUE"""),"Algorithms")</f>
        <v>Algorithms</v>
      </c>
      <c r="I954" s="23">
        <f>IFERROR(__xludf.DUMMYFUNCTION("""COMPUTED_VALUE"""),0.525)</f>
        <v>0.525</v>
      </c>
      <c r="J954" s="23">
        <f>IFERROR(__xludf.DUMMYFUNCTION("""COMPUTED_VALUE"""),953.0)</f>
        <v>953</v>
      </c>
      <c r="K954" s="23" t="b">
        <f>IFERROR(__xludf.DUMMYFUNCTION("""COMPUTED_VALUE"""),FALSE)</f>
        <v>0</v>
      </c>
      <c r="L954" s="23" t="str">
        <f>IFERROR(__xludf.DUMMYFUNCTION("""COMPUTED_VALUE"""),"Array;Hash Table;String;")</f>
        <v>Array;Hash Table;String;</v>
      </c>
      <c r="M954" s="23" t="b">
        <f>IFERROR(__xludf.DUMMYFUNCTION("""COMPUTED_VALUE"""),TRUE)</f>
        <v>1</v>
      </c>
      <c r="N954" s="23" t="b">
        <f>IFERROR(__xludf.DUMMYFUNCTION("""COMPUTED_VALUE"""),FALSE)</f>
        <v>0</v>
      </c>
      <c r="O954" s="23">
        <f>IFERROR(__xludf.DUMMYFUNCTION("""COMPUTED_VALUE"""),52.5250354514402)</f>
        <v>52.52503545</v>
      </c>
      <c r="P954" s="23">
        <f>IFERROR(__xludf.DUMMYFUNCTION("""COMPUTED_VALUE"""),347065.0)</f>
        <v>347065</v>
      </c>
      <c r="Q954" s="23">
        <f>IFERROR(__xludf.DUMMYFUNCTION("""COMPUTED_VALUE"""),660761.0)</f>
        <v>660761</v>
      </c>
    </row>
    <row r="955">
      <c r="A955" s="23">
        <f>IFERROR(__xludf.DUMMYFUNCTION("""COMPUTED_VALUE"""),991.0)</f>
        <v>991</v>
      </c>
      <c r="B955" s="23" t="str">
        <f>IFERROR(__xludf.DUMMYFUNCTION("""COMPUTED_VALUE"""),"Array of Doubled Pairs")</f>
        <v>Array of Doubled Pairs</v>
      </c>
      <c r="C955" s="23" t="str">
        <f>IFERROR(__xludf.DUMMYFUNCTION("""COMPUTED_VALUE"""),"array-of-doubled-pairs")</f>
        <v>array-of-doubled-pairs</v>
      </c>
      <c r="D955" s="23" t="b">
        <f>IFERROR(__xludf.DUMMYFUNCTION("""COMPUTED_VALUE"""),FALSE)</f>
        <v>0</v>
      </c>
      <c r="E955" s="23" t="str">
        <f>IFERROR(__xludf.DUMMYFUNCTION("""COMPUTED_VALUE"""),"Medium")</f>
        <v>Medium</v>
      </c>
      <c r="F955" s="23">
        <f>IFERROR(__xludf.DUMMYFUNCTION("""COMPUTED_VALUE"""),1084.0)</f>
        <v>1084</v>
      </c>
      <c r="G955" s="23">
        <f>IFERROR(__xludf.DUMMYFUNCTION("""COMPUTED_VALUE"""),127.0)</f>
        <v>127</v>
      </c>
      <c r="H955" s="23" t="str">
        <f>IFERROR(__xludf.DUMMYFUNCTION("""COMPUTED_VALUE"""),"Algorithms")</f>
        <v>Algorithms</v>
      </c>
      <c r="I955" s="23">
        <f>IFERROR(__xludf.DUMMYFUNCTION("""COMPUTED_VALUE"""),0.387)</f>
        <v>0.387</v>
      </c>
      <c r="J955" s="23">
        <f>IFERROR(__xludf.DUMMYFUNCTION("""COMPUTED_VALUE"""),954.0)</f>
        <v>954</v>
      </c>
      <c r="K955" s="23" t="b">
        <f>IFERROR(__xludf.DUMMYFUNCTION("""COMPUTED_VALUE"""),FALSE)</f>
        <v>0</v>
      </c>
      <c r="L955" s="23" t="str">
        <f>IFERROR(__xludf.DUMMYFUNCTION("""COMPUTED_VALUE"""),"Array;Hash Table;Greedy;Sorting;")</f>
        <v>Array;Hash Table;Greedy;Sorting;</v>
      </c>
      <c r="M955" s="23" t="b">
        <f>IFERROR(__xludf.DUMMYFUNCTION("""COMPUTED_VALUE"""),TRUE)</f>
        <v>1</v>
      </c>
      <c r="N955" s="23" t="b">
        <f>IFERROR(__xludf.DUMMYFUNCTION("""COMPUTED_VALUE"""),FALSE)</f>
        <v>0</v>
      </c>
      <c r="O955" s="23">
        <f>IFERROR(__xludf.DUMMYFUNCTION("""COMPUTED_VALUE"""),38.6793228815371)</f>
        <v>38.67932288</v>
      </c>
      <c r="P955" s="23">
        <f>IFERROR(__xludf.DUMMYFUNCTION("""COMPUTED_VALUE"""),70535.0)</f>
        <v>70535</v>
      </c>
      <c r="Q955" s="23">
        <f>IFERROR(__xludf.DUMMYFUNCTION("""COMPUTED_VALUE"""),182360.0)</f>
        <v>182360</v>
      </c>
    </row>
    <row r="956">
      <c r="A956" s="23">
        <f>IFERROR(__xludf.DUMMYFUNCTION("""COMPUTED_VALUE"""),992.0)</f>
        <v>992</v>
      </c>
      <c r="B956" s="23" t="str">
        <f>IFERROR(__xludf.DUMMYFUNCTION("""COMPUTED_VALUE"""),"Delete Columns to Make Sorted II")</f>
        <v>Delete Columns to Make Sorted II</v>
      </c>
      <c r="C956" s="23" t="str">
        <f>IFERROR(__xludf.DUMMYFUNCTION("""COMPUTED_VALUE"""),"delete-columns-to-make-sorted-ii")</f>
        <v>delete-columns-to-make-sorted-ii</v>
      </c>
      <c r="D956" s="23" t="b">
        <f>IFERROR(__xludf.DUMMYFUNCTION("""COMPUTED_VALUE"""),FALSE)</f>
        <v>0</v>
      </c>
      <c r="E956" s="23" t="str">
        <f>IFERROR(__xludf.DUMMYFUNCTION("""COMPUTED_VALUE"""),"Medium")</f>
        <v>Medium</v>
      </c>
      <c r="F956" s="23">
        <f>IFERROR(__xludf.DUMMYFUNCTION("""COMPUTED_VALUE"""),448.0)</f>
        <v>448</v>
      </c>
      <c r="G956" s="23">
        <f>IFERROR(__xludf.DUMMYFUNCTION("""COMPUTED_VALUE"""),69.0)</f>
        <v>69</v>
      </c>
      <c r="H956" s="23" t="str">
        <f>IFERROR(__xludf.DUMMYFUNCTION("""COMPUTED_VALUE"""),"Algorithms")</f>
        <v>Algorithms</v>
      </c>
      <c r="I956" s="23">
        <f>IFERROR(__xludf.DUMMYFUNCTION("""COMPUTED_VALUE"""),0.342)</f>
        <v>0.342</v>
      </c>
      <c r="J956" s="23">
        <f>IFERROR(__xludf.DUMMYFUNCTION("""COMPUTED_VALUE"""),955.0)</f>
        <v>955</v>
      </c>
      <c r="K956" s="23" t="b">
        <f>IFERROR(__xludf.DUMMYFUNCTION("""COMPUTED_VALUE"""),FALSE)</f>
        <v>0</v>
      </c>
      <c r="L956" s="23" t="str">
        <f>IFERROR(__xludf.DUMMYFUNCTION("""COMPUTED_VALUE"""),"Array;String;Greedy;")</f>
        <v>Array;String;Greedy;</v>
      </c>
      <c r="M956" s="23" t="b">
        <f>IFERROR(__xludf.DUMMYFUNCTION("""COMPUTED_VALUE"""),FALSE)</f>
        <v>0</v>
      </c>
      <c r="N956" s="23" t="b">
        <f>IFERROR(__xludf.DUMMYFUNCTION("""COMPUTED_VALUE"""),FALSE)</f>
        <v>0</v>
      </c>
      <c r="O956" s="23">
        <f>IFERROR(__xludf.DUMMYFUNCTION("""COMPUTED_VALUE"""),34.2233930923623)</f>
        <v>34.22339309</v>
      </c>
      <c r="P956" s="23">
        <f>IFERROR(__xludf.DUMMYFUNCTION("""COMPUTED_VALUE"""),15329.0)</f>
        <v>15329</v>
      </c>
      <c r="Q956" s="23">
        <f>IFERROR(__xludf.DUMMYFUNCTION("""COMPUTED_VALUE"""),44791.0)</f>
        <v>44791</v>
      </c>
    </row>
    <row r="957">
      <c r="A957" s="23">
        <f>IFERROR(__xludf.DUMMYFUNCTION("""COMPUTED_VALUE"""),993.0)</f>
        <v>993</v>
      </c>
      <c r="B957" s="23" t="str">
        <f>IFERROR(__xludf.DUMMYFUNCTION("""COMPUTED_VALUE"""),"Tallest Billboard")</f>
        <v>Tallest Billboard</v>
      </c>
      <c r="C957" s="23" t="str">
        <f>IFERROR(__xludf.DUMMYFUNCTION("""COMPUTED_VALUE"""),"tallest-billboard")</f>
        <v>tallest-billboard</v>
      </c>
      <c r="D957" s="23" t="b">
        <f>IFERROR(__xludf.DUMMYFUNCTION("""COMPUTED_VALUE"""),FALSE)</f>
        <v>0</v>
      </c>
      <c r="E957" s="23" t="str">
        <f>IFERROR(__xludf.DUMMYFUNCTION("""COMPUTED_VALUE"""),"Hard")</f>
        <v>Hard</v>
      </c>
      <c r="F957" s="23">
        <f>IFERROR(__xludf.DUMMYFUNCTION("""COMPUTED_VALUE"""),657.0)</f>
        <v>657</v>
      </c>
      <c r="G957" s="23">
        <f>IFERROR(__xludf.DUMMYFUNCTION("""COMPUTED_VALUE"""),24.0)</f>
        <v>24</v>
      </c>
      <c r="H957" s="23" t="str">
        <f>IFERROR(__xludf.DUMMYFUNCTION("""COMPUTED_VALUE"""),"Algorithms")</f>
        <v>Algorithms</v>
      </c>
      <c r="I957" s="23">
        <f>IFERROR(__xludf.DUMMYFUNCTION("""COMPUTED_VALUE"""),0.399)</f>
        <v>0.399</v>
      </c>
      <c r="J957" s="23">
        <f>IFERROR(__xludf.DUMMYFUNCTION("""COMPUTED_VALUE"""),956.0)</f>
        <v>956</v>
      </c>
      <c r="K957" s="23" t="b">
        <f>IFERROR(__xludf.DUMMYFUNCTION("""COMPUTED_VALUE"""),FALSE)</f>
        <v>0</v>
      </c>
      <c r="L957" s="23" t="str">
        <f>IFERROR(__xludf.DUMMYFUNCTION("""COMPUTED_VALUE"""),"Array;Dynamic Programming;")</f>
        <v>Array;Dynamic Programming;</v>
      </c>
      <c r="M957" s="23" t="b">
        <f>IFERROR(__xludf.DUMMYFUNCTION("""COMPUTED_VALUE"""),FALSE)</f>
        <v>0</v>
      </c>
      <c r="N957" s="23" t="b">
        <f>IFERROR(__xludf.DUMMYFUNCTION("""COMPUTED_VALUE"""),FALSE)</f>
        <v>0</v>
      </c>
      <c r="O957" s="23">
        <f>IFERROR(__xludf.DUMMYFUNCTION("""COMPUTED_VALUE"""),39.8971659423394)</f>
        <v>39.89716594</v>
      </c>
      <c r="P957" s="23">
        <f>IFERROR(__xludf.DUMMYFUNCTION("""COMPUTED_VALUE"""),13036.0)</f>
        <v>13036</v>
      </c>
      <c r="Q957" s="23">
        <f>IFERROR(__xludf.DUMMYFUNCTION("""COMPUTED_VALUE"""),32674.0)</f>
        <v>32674</v>
      </c>
    </row>
    <row r="958">
      <c r="A958" s="23">
        <f>IFERROR(__xludf.DUMMYFUNCTION("""COMPUTED_VALUE"""),994.0)</f>
        <v>994</v>
      </c>
      <c r="B958" s="23" t="str">
        <f>IFERROR(__xludf.DUMMYFUNCTION("""COMPUTED_VALUE"""),"Prison Cells After N Days")</f>
        <v>Prison Cells After N Days</v>
      </c>
      <c r="C958" s="23" t="str">
        <f>IFERROR(__xludf.DUMMYFUNCTION("""COMPUTED_VALUE"""),"prison-cells-after-n-days")</f>
        <v>prison-cells-after-n-days</v>
      </c>
      <c r="D958" s="23" t="b">
        <f>IFERROR(__xludf.DUMMYFUNCTION("""COMPUTED_VALUE"""),FALSE)</f>
        <v>0</v>
      </c>
      <c r="E958" s="23" t="str">
        <f>IFERROR(__xludf.DUMMYFUNCTION("""COMPUTED_VALUE"""),"Medium")</f>
        <v>Medium</v>
      </c>
      <c r="F958" s="23">
        <f>IFERROR(__xludf.DUMMYFUNCTION("""COMPUTED_VALUE"""),1227.0)</f>
        <v>1227</v>
      </c>
      <c r="G958" s="23">
        <f>IFERROR(__xludf.DUMMYFUNCTION("""COMPUTED_VALUE"""),1518.0)</f>
        <v>1518</v>
      </c>
      <c r="H958" s="23" t="str">
        <f>IFERROR(__xludf.DUMMYFUNCTION("""COMPUTED_VALUE"""),"Algorithms")</f>
        <v>Algorithms</v>
      </c>
      <c r="I958" s="23">
        <f>IFERROR(__xludf.DUMMYFUNCTION("""COMPUTED_VALUE"""),0.394)</f>
        <v>0.394</v>
      </c>
      <c r="J958" s="23">
        <f>IFERROR(__xludf.DUMMYFUNCTION("""COMPUTED_VALUE"""),957.0)</f>
        <v>957</v>
      </c>
      <c r="K958" s="23" t="b">
        <f>IFERROR(__xludf.DUMMYFUNCTION("""COMPUTED_VALUE"""),FALSE)</f>
        <v>0</v>
      </c>
      <c r="L958" s="23" t="str">
        <f>IFERROR(__xludf.DUMMYFUNCTION("""COMPUTED_VALUE"""),"Array;Hash Table;Math;Bit Manipulation;")</f>
        <v>Array;Hash Table;Math;Bit Manipulation;</v>
      </c>
      <c r="M958" s="23" t="b">
        <f>IFERROR(__xludf.DUMMYFUNCTION("""COMPUTED_VALUE"""),TRUE)</f>
        <v>1</v>
      </c>
      <c r="N958" s="23" t="b">
        <f>IFERROR(__xludf.DUMMYFUNCTION("""COMPUTED_VALUE"""),FALSE)</f>
        <v>0</v>
      </c>
      <c r="O958" s="23">
        <f>IFERROR(__xludf.DUMMYFUNCTION("""COMPUTED_VALUE"""),39.3771033880808)</f>
        <v>39.37710339</v>
      </c>
      <c r="P958" s="23">
        <f>IFERROR(__xludf.DUMMYFUNCTION("""COMPUTED_VALUE"""),140757.0)</f>
        <v>140757</v>
      </c>
      <c r="Q958" s="23">
        <f>IFERROR(__xludf.DUMMYFUNCTION("""COMPUTED_VALUE"""),357457.0)</f>
        <v>357457</v>
      </c>
    </row>
    <row r="959">
      <c r="A959" s="23">
        <f>IFERROR(__xludf.DUMMYFUNCTION("""COMPUTED_VALUE"""),998.0)</f>
        <v>998</v>
      </c>
      <c r="B959" s="23" t="str">
        <f>IFERROR(__xludf.DUMMYFUNCTION("""COMPUTED_VALUE"""),"Check Completeness of a Binary Tree")</f>
        <v>Check Completeness of a Binary Tree</v>
      </c>
      <c r="C959" s="23" t="str">
        <f>IFERROR(__xludf.DUMMYFUNCTION("""COMPUTED_VALUE"""),"check-completeness-of-a-binary-tree")</f>
        <v>check-completeness-of-a-binary-tree</v>
      </c>
      <c r="D959" s="23" t="b">
        <f>IFERROR(__xludf.DUMMYFUNCTION("""COMPUTED_VALUE"""),FALSE)</f>
        <v>0</v>
      </c>
      <c r="E959" s="23" t="str">
        <f>IFERROR(__xludf.DUMMYFUNCTION("""COMPUTED_VALUE"""),"Medium")</f>
        <v>Medium</v>
      </c>
      <c r="F959" s="23">
        <f>IFERROR(__xludf.DUMMYFUNCTION("""COMPUTED_VALUE"""),1912.0)</f>
        <v>1912</v>
      </c>
      <c r="G959" s="23">
        <f>IFERROR(__xludf.DUMMYFUNCTION("""COMPUTED_VALUE"""),28.0)</f>
        <v>28</v>
      </c>
      <c r="H959" s="23" t="str">
        <f>IFERROR(__xludf.DUMMYFUNCTION("""COMPUTED_VALUE"""),"Algorithms")</f>
        <v>Algorithms</v>
      </c>
      <c r="I959" s="23">
        <f>IFERROR(__xludf.DUMMYFUNCTION("""COMPUTED_VALUE"""),0.536)</f>
        <v>0.536</v>
      </c>
      <c r="J959" s="23">
        <f>IFERROR(__xludf.DUMMYFUNCTION("""COMPUTED_VALUE"""),958.0)</f>
        <v>958</v>
      </c>
      <c r="K959" s="23" t="b">
        <f>IFERROR(__xludf.DUMMYFUNCTION("""COMPUTED_VALUE"""),FALSE)</f>
        <v>0</v>
      </c>
      <c r="L959" s="23" t="str">
        <f>IFERROR(__xludf.DUMMYFUNCTION("""COMPUTED_VALUE"""),"Tree;Breadth-First Search;Binary Tree;")</f>
        <v>Tree;Breadth-First Search;Binary Tree;</v>
      </c>
      <c r="M959" s="23" t="b">
        <f>IFERROR(__xludf.DUMMYFUNCTION("""COMPUTED_VALUE"""),FALSE)</f>
        <v>0</v>
      </c>
      <c r="N959" s="23" t="b">
        <f>IFERROR(__xludf.DUMMYFUNCTION("""COMPUTED_VALUE"""),FALSE)</f>
        <v>0</v>
      </c>
      <c r="O959" s="23">
        <f>IFERROR(__xludf.DUMMYFUNCTION("""COMPUTED_VALUE"""),53.6338846128789)</f>
        <v>53.63388461</v>
      </c>
      <c r="P959" s="23">
        <f>IFERROR(__xludf.DUMMYFUNCTION("""COMPUTED_VALUE"""),115254.0)</f>
        <v>115254</v>
      </c>
      <c r="Q959" s="23">
        <f>IFERROR(__xludf.DUMMYFUNCTION("""COMPUTED_VALUE"""),214892.0)</f>
        <v>214892</v>
      </c>
    </row>
    <row r="960">
      <c r="A960" s="23">
        <f>IFERROR(__xludf.DUMMYFUNCTION("""COMPUTED_VALUE"""),999.0)</f>
        <v>999</v>
      </c>
      <c r="B960" s="23" t="str">
        <f>IFERROR(__xludf.DUMMYFUNCTION("""COMPUTED_VALUE"""),"Regions Cut By Slashes")</f>
        <v>Regions Cut By Slashes</v>
      </c>
      <c r="C960" s="23" t="str">
        <f>IFERROR(__xludf.DUMMYFUNCTION("""COMPUTED_VALUE"""),"regions-cut-by-slashes")</f>
        <v>regions-cut-by-slashes</v>
      </c>
      <c r="D960" s="23" t="b">
        <f>IFERROR(__xludf.DUMMYFUNCTION("""COMPUTED_VALUE"""),FALSE)</f>
        <v>0</v>
      </c>
      <c r="E960" s="23" t="str">
        <f>IFERROR(__xludf.DUMMYFUNCTION("""COMPUTED_VALUE"""),"Medium")</f>
        <v>Medium</v>
      </c>
      <c r="F960" s="23">
        <f>IFERROR(__xludf.DUMMYFUNCTION("""COMPUTED_VALUE"""),2057.0)</f>
        <v>2057</v>
      </c>
      <c r="G960" s="23">
        <f>IFERROR(__xludf.DUMMYFUNCTION("""COMPUTED_VALUE"""),398.0)</f>
        <v>398</v>
      </c>
      <c r="H960" s="23" t="str">
        <f>IFERROR(__xludf.DUMMYFUNCTION("""COMPUTED_VALUE"""),"Algorithms")</f>
        <v>Algorithms</v>
      </c>
      <c r="I960" s="23">
        <f>IFERROR(__xludf.DUMMYFUNCTION("""COMPUTED_VALUE"""),0.686)</f>
        <v>0.686</v>
      </c>
      <c r="J960" s="23">
        <f>IFERROR(__xludf.DUMMYFUNCTION("""COMPUTED_VALUE"""),959.0)</f>
        <v>959</v>
      </c>
      <c r="K960" s="23" t="b">
        <f>IFERROR(__xludf.DUMMYFUNCTION("""COMPUTED_VALUE"""),FALSE)</f>
        <v>0</v>
      </c>
      <c r="L960" s="23" t="str">
        <f>IFERROR(__xludf.DUMMYFUNCTION("""COMPUTED_VALUE"""),"Depth-First Search;Breadth-First Search;Union Find;Graph;")</f>
        <v>Depth-First Search;Breadth-First Search;Union Find;Graph;</v>
      </c>
      <c r="M960" s="23" t="b">
        <f>IFERROR(__xludf.DUMMYFUNCTION("""COMPUTED_VALUE"""),TRUE)</f>
        <v>1</v>
      </c>
      <c r="N960" s="23" t="b">
        <f>IFERROR(__xludf.DUMMYFUNCTION("""COMPUTED_VALUE"""),FALSE)</f>
        <v>0</v>
      </c>
      <c r="O960" s="23">
        <f>IFERROR(__xludf.DUMMYFUNCTION("""COMPUTED_VALUE"""),68.6314363143631)</f>
        <v>68.63143631</v>
      </c>
      <c r="P960" s="23">
        <f>IFERROR(__xludf.DUMMYFUNCTION("""COMPUTED_VALUE"""),36468.0)</f>
        <v>36468</v>
      </c>
      <c r="Q960" s="23">
        <f>IFERROR(__xludf.DUMMYFUNCTION("""COMPUTED_VALUE"""),53136.0)</f>
        <v>53136</v>
      </c>
    </row>
    <row r="961">
      <c r="A961" s="23">
        <f>IFERROR(__xludf.DUMMYFUNCTION("""COMPUTED_VALUE"""),1000.0)</f>
        <v>1000</v>
      </c>
      <c r="B961" s="23" t="str">
        <f>IFERROR(__xludf.DUMMYFUNCTION("""COMPUTED_VALUE"""),"Delete Columns to Make Sorted III")</f>
        <v>Delete Columns to Make Sorted III</v>
      </c>
      <c r="C961" s="23" t="str">
        <f>IFERROR(__xludf.DUMMYFUNCTION("""COMPUTED_VALUE"""),"delete-columns-to-make-sorted-iii")</f>
        <v>delete-columns-to-make-sorted-iii</v>
      </c>
      <c r="D961" s="23" t="b">
        <f>IFERROR(__xludf.DUMMYFUNCTION("""COMPUTED_VALUE"""),FALSE)</f>
        <v>0</v>
      </c>
      <c r="E961" s="23" t="str">
        <f>IFERROR(__xludf.DUMMYFUNCTION("""COMPUTED_VALUE"""),"Hard")</f>
        <v>Hard</v>
      </c>
      <c r="F961" s="23">
        <f>IFERROR(__xludf.DUMMYFUNCTION("""COMPUTED_VALUE"""),423.0)</f>
        <v>423</v>
      </c>
      <c r="G961" s="23">
        <f>IFERROR(__xludf.DUMMYFUNCTION("""COMPUTED_VALUE"""),11.0)</f>
        <v>11</v>
      </c>
      <c r="H961" s="23" t="str">
        <f>IFERROR(__xludf.DUMMYFUNCTION("""COMPUTED_VALUE"""),"Algorithms")</f>
        <v>Algorithms</v>
      </c>
      <c r="I961" s="23">
        <f>IFERROR(__xludf.DUMMYFUNCTION("""COMPUTED_VALUE"""),0.566)</f>
        <v>0.566</v>
      </c>
      <c r="J961" s="23">
        <f>IFERROR(__xludf.DUMMYFUNCTION("""COMPUTED_VALUE"""),960.0)</f>
        <v>960</v>
      </c>
      <c r="K961" s="23" t="b">
        <f>IFERROR(__xludf.DUMMYFUNCTION("""COMPUTED_VALUE"""),FALSE)</f>
        <v>0</v>
      </c>
      <c r="L961" s="23" t="str">
        <f>IFERROR(__xludf.DUMMYFUNCTION("""COMPUTED_VALUE"""),"Array;String;Dynamic Programming;")</f>
        <v>Array;String;Dynamic Programming;</v>
      </c>
      <c r="M961" s="23" t="b">
        <f>IFERROR(__xludf.DUMMYFUNCTION("""COMPUTED_VALUE"""),TRUE)</f>
        <v>1</v>
      </c>
      <c r="N961" s="23" t="b">
        <f>IFERROR(__xludf.DUMMYFUNCTION("""COMPUTED_VALUE"""),FALSE)</f>
        <v>0</v>
      </c>
      <c r="O961" s="23">
        <f>IFERROR(__xludf.DUMMYFUNCTION("""COMPUTED_VALUE"""),56.5618610819472)</f>
        <v>56.56186108</v>
      </c>
      <c r="P961" s="23">
        <f>IFERROR(__xludf.DUMMYFUNCTION("""COMPUTED_VALUE"""),10236.0)</f>
        <v>10236</v>
      </c>
      <c r="Q961" s="23">
        <f>IFERROR(__xludf.DUMMYFUNCTION("""COMPUTED_VALUE"""),18097.0)</f>
        <v>18097</v>
      </c>
    </row>
    <row r="962">
      <c r="A962" s="23">
        <f>IFERROR(__xludf.DUMMYFUNCTION("""COMPUTED_VALUE"""),1001.0)</f>
        <v>1001</v>
      </c>
      <c r="B962" s="23" t="str">
        <f>IFERROR(__xludf.DUMMYFUNCTION("""COMPUTED_VALUE"""),"N-Repeated Element in Size 2N Array")</f>
        <v>N-Repeated Element in Size 2N Array</v>
      </c>
      <c r="C962" s="23" t="str">
        <f>IFERROR(__xludf.DUMMYFUNCTION("""COMPUTED_VALUE"""),"n-repeated-element-in-size-2n-array")</f>
        <v>n-repeated-element-in-size-2n-array</v>
      </c>
      <c r="D962" s="23" t="b">
        <f>IFERROR(__xludf.DUMMYFUNCTION("""COMPUTED_VALUE"""),FALSE)</f>
        <v>0</v>
      </c>
      <c r="E962" s="23" t="str">
        <f>IFERROR(__xludf.DUMMYFUNCTION("""COMPUTED_VALUE"""),"Easy")</f>
        <v>Easy</v>
      </c>
      <c r="F962" s="23">
        <f>IFERROR(__xludf.DUMMYFUNCTION("""COMPUTED_VALUE"""),887.0)</f>
        <v>887</v>
      </c>
      <c r="G962" s="23">
        <f>IFERROR(__xludf.DUMMYFUNCTION("""COMPUTED_VALUE"""),294.0)</f>
        <v>294</v>
      </c>
      <c r="H962" s="23" t="str">
        <f>IFERROR(__xludf.DUMMYFUNCTION("""COMPUTED_VALUE"""),"Algorithms")</f>
        <v>Algorithms</v>
      </c>
      <c r="I962" s="23">
        <f>IFERROR(__xludf.DUMMYFUNCTION("""COMPUTED_VALUE"""),0.755)</f>
        <v>0.755</v>
      </c>
      <c r="J962" s="23">
        <f>IFERROR(__xludf.DUMMYFUNCTION("""COMPUTED_VALUE"""),961.0)</f>
        <v>961</v>
      </c>
      <c r="K962" s="23" t="b">
        <f>IFERROR(__xludf.DUMMYFUNCTION("""COMPUTED_VALUE"""),FALSE)</f>
        <v>0</v>
      </c>
      <c r="L962" s="23" t="str">
        <f>IFERROR(__xludf.DUMMYFUNCTION("""COMPUTED_VALUE"""),"Array;Hash Table;")</f>
        <v>Array;Hash Table;</v>
      </c>
      <c r="M962" s="23" t="b">
        <f>IFERROR(__xludf.DUMMYFUNCTION("""COMPUTED_VALUE"""),TRUE)</f>
        <v>1</v>
      </c>
      <c r="N962" s="23" t="b">
        <f>IFERROR(__xludf.DUMMYFUNCTION("""COMPUTED_VALUE"""),FALSE)</f>
        <v>0</v>
      </c>
      <c r="O962" s="23">
        <f>IFERROR(__xludf.DUMMYFUNCTION("""COMPUTED_VALUE"""),75.4565626998467)</f>
        <v>75.4565627</v>
      </c>
      <c r="P962" s="23">
        <f>IFERROR(__xludf.DUMMYFUNCTION("""COMPUTED_VALUE"""),175807.0)</f>
        <v>175807</v>
      </c>
      <c r="Q962" s="23">
        <f>IFERROR(__xludf.DUMMYFUNCTION("""COMPUTED_VALUE"""),232989.0)</f>
        <v>232989</v>
      </c>
    </row>
    <row r="963">
      <c r="A963" s="23">
        <f>IFERROR(__xludf.DUMMYFUNCTION("""COMPUTED_VALUE"""),1002.0)</f>
        <v>1002</v>
      </c>
      <c r="B963" s="23" t="str">
        <f>IFERROR(__xludf.DUMMYFUNCTION("""COMPUTED_VALUE"""),"Maximum Width Ramp")</f>
        <v>Maximum Width Ramp</v>
      </c>
      <c r="C963" s="23" t="str">
        <f>IFERROR(__xludf.DUMMYFUNCTION("""COMPUTED_VALUE"""),"maximum-width-ramp")</f>
        <v>maximum-width-ramp</v>
      </c>
      <c r="D963" s="23" t="b">
        <f>IFERROR(__xludf.DUMMYFUNCTION("""COMPUTED_VALUE"""),FALSE)</f>
        <v>0</v>
      </c>
      <c r="E963" s="23" t="str">
        <f>IFERROR(__xludf.DUMMYFUNCTION("""COMPUTED_VALUE"""),"Medium")</f>
        <v>Medium</v>
      </c>
      <c r="F963" s="23">
        <f>IFERROR(__xludf.DUMMYFUNCTION("""COMPUTED_VALUE"""),1134.0)</f>
        <v>1134</v>
      </c>
      <c r="G963" s="23">
        <f>IFERROR(__xludf.DUMMYFUNCTION("""COMPUTED_VALUE"""),35.0)</f>
        <v>35</v>
      </c>
      <c r="H963" s="23" t="str">
        <f>IFERROR(__xludf.DUMMYFUNCTION("""COMPUTED_VALUE"""),"Algorithms")</f>
        <v>Algorithms</v>
      </c>
      <c r="I963" s="23">
        <f>IFERROR(__xludf.DUMMYFUNCTION("""COMPUTED_VALUE"""),0.482)</f>
        <v>0.482</v>
      </c>
      <c r="J963" s="23">
        <f>IFERROR(__xludf.DUMMYFUNCTION("""COMPUTED_VALUE"""),962.0)</f>
        <v>962</v>
      </c>
      <c r="K963" s="23" t="b">
        <f>IFERROR(__xludf.DUMMYFUNCTION("""COMPUTED_VALUE"""),FALSE)</f>
        <v>0</v>
      </c>
      <c r="L963" s="23" t="str">
        <f>IFERROR(__xludf.DUMMYFUNCTION("""COMPUTED_VALUE"""),"Array;Stack;Monotonic Stack;")</f>
        <v>Array;Stack;Monotonic Stack;</v>
      </c>
      <c r="M963" s="23" t="b">
        <f>IFERROR(__xludf.DUMMYFUNCTION("""COMPUTED_VALUE"""),FALSE)</f>
        <v>0</v>
      </c>
      <c r="N963" s="23" t="b">
        <f>IFERROR(__xludf.DUMMYFUNCTION("""COMPUTED_VALUE"""),FALSE)</f>
        <v>0</v>
      </c>
      <c r="O963" s="23">
        <f>IFERROR(__xludf.DUMMYFUNCTION("""COMPUTED_VALUE"""),48.1961133579594)</f>
        <v>48.19611336</v>
      </c>
      <c r="P963" s="23">
        <f>IFERROR(__xludf.DUMMYFUNCTION("""COMPUTED_VALUE"""),33009.0)</f>
        <v>33009</v>
      </c>
      <c r="Q963" s="23">
        <f>IFERROR(__xludf.DUMMYFUNCTION("""COMPUTED_VALUE"""),68490.0)</f>
        <v>68490</v>
      </c>
    </row>
    <row r="964">
      <c r="A964" s="23">
        <f>IFERROR(__xludf.DUMMYFUNCTION("""COMPUTED_VALUE"""),1003.0)</f>
        <v>1003</v>
      </c>
      <c r="B964" s="23" t="str">
        <f>IFERROR(__xludf.DUMMYFUNCTION("""COMPUTED_VALUE"""),"Minimum Area Rectangle II")</f>
        <v>Minimum Area Rectangle II</v>
      </c>
      <c r="C964" s="23" t="str">
        <f>IFERROR(__xludf.DUMMYFUNCTION("""COMPUTED_VALUE"""),"minimum-area-rectangle-ii")</f>
        <v>minimum-area-rectangle-ii</v>
      </c>
      <c r="D964" s="23" t="b">
        <f>IFERROR(__xludf.DUMMYFUNCTION("""COMPUTED_VALUE"""),FALSE)</f>
        <v>0</v>
      </c>
      <c r="E964" s="23" t="str">
        <f>IFERROR(__xludf.DUMMYFUNCTION("""COMPUTED_VALUE"""),"Medium")</f>
        <v>Medium</v>
      </c>
      <c r="F964" s="23">
        <f>IFERROR(__xludf.DUMMYFUNCTION("""COMPUTED_VALUE"""),303.0)</f>
        <v>303</v>
      </c>
      <c r="G964" s="23">
        <f>IFERROR(__xludf.DUMMYFUNCTION("""COMPUTED_VALUE"""),403.0)</f>
        <v>403</v>
      </c>
      <c r="H964" s="23" t="str">
        <f>IFERROR(__xludf.DUMMYFUNCTION("""COMPUTED_VALUE"""),"Algorithms")</f>
        <v>Algorithms</v>
      </c>
      <c r="I964" s="23">
        <f>IFERROR(__xludf.DUMMYFUNCTION("""COMPUTED_VALUE"""),0.545)</f>
        <v>0.545</v>
      </c>
      <c r="J964" s="23">
        <f>IFERROR(__xludf.DUMMYFUNCTION("""COMPUTED_VALUE"""),963.0)</f>
        <v>963</v>
      </c>
      <c r="K964" s="23" t="b">
        <f>IFERROR(__xludf.DUMMYFUNCTION("""COMPUTED_VALUE"""),FALSE)</f>
        <v>0</v>
      </c>
      <c r="L964" s="23" t="str">
        <f>IFERROR(__xludf.DUMMYFUNCTION("""COMPUTED_VALUE"""),"Array;Math;Geometry;")</f>
        <v>Array;Math;Geometry;</v>
      </c>
      <c r="M964" s="23" t="b">
        <f>IFERROR(__xludf.DUMMYFUNCTION("""COMPUTED_VALUE"""),FALSE)</f>
        <v>0</v>
      </c>
      <c r="N964" s="23" t="b">
        <f>IFERROR(__xludf.DUMMYFUNCTION("""COMPUTED_VALUE"""),FALSE)</f>
        <v>0</v>
      </c>
      <c r="O964" s="23">
        <f>IFERROR(__xludf.DUMMYFUNCTION("""COMPUTED_VALUE"""),54.5146218248227)</f>
        <v>54.51462182</v>
      </c>
      <c r="P964" s="23">
        <f>IFERROR(__xludf.DUMMYFUNCTION("""COMPUTED_VALUE"""),22985.0)</f>
        <v>22985</v>
      </c>
      <c r="Q964" s="23">
        <f>IFERROR(__xludf.DUMMYFUNCTION("""COMPUTED_VALUE"""),42163.0)</f>
        <v>42163</v>
      </c>
    </row>
    <row r="965">
      <c r="A965" s="23">
        <f>IFERROR(__xludf.DUMMYFUNCTION("""COMPUTED_VALUE"""),1004.0)</f>
        <v>1004</v>
      </c>
      <c r="B965" s="23" t="str">
        <f>IFERROR(__xludf.DUMMYFUNCTION("""COMPUTED_VALUE"""),"Least Operators to Express Number")</f>
        <v>Least Operators to Express Number</v>
      </c>
      <c r="C965" s="23" t="str">
        <f>IFERROR(__xludf.DUMMYFUNCTION("""COMPUTED_VALUE"""),"least-operators-to-express-number")</f>
        <v>least-operators-to-express-number</v>
      </c>
      <c r="D965" s="23" t="b">
        <f>IFERROR(__xludf.DUMMYFUNCTION("""COMPUTED_VALUE"""),FALSE)</f>
        <v>0</v>
      </c>
      <c r="E965" s="23" t="str">
        <f>IFERROR(__xludf.DUMMYFUNCTION("""COMPUTED_VALUE"""),"Hard")</f>
        <v>Hard</v>
      </c>
      <c r="F965" s="23">
        <f>IFERROR(__xludf.DUMMYFUNCTION("""COMPUTED_VALUE"""),256.0)</f>
        <v>256</v>
      </c>
      <c r="G965" s="23">
        <f>IFERROR(__xludf.DUMMYFUNCTION("""COMPUTED_VALUE"""),65.0)</f>
        <v>65</v>
      </c>
      <c r="H965" s="23" t="str">
        <f>IFERROR(__xludf.DUMMYFUNCTION("""COMPUTED_VALUE"""),"Algorithms")</f>
        <v>Algorithms</v>
      </c>
      <c r="I965" s="23">
        <f>IFERROR(__xludf.DUMMYFUNCTION("""COMPUTED_VALUE"""),0.474)</f>
        <v>0.474</v>
      </c>
      <c r="J965" s="23">
        <f>IFERROR(__xludf.DUMMYFUNCTION("""COMPUTED_VALUE"""),964.0)</f>
        <v>964</v>
      </c>
      <c r="K965" s="23" t="b">
        <f>IFERROR(__xludf.DUMMYFUNCTION("""COMPUTED_VALUE"""),FALSE)</f>
        <v>0</v>
      </c>
      <c r="L965" s="23" t="str">
        <f>IFERROR(__xludf.DUMMYFUNCTION("""COMPUTED_VALUE"""),"Math;Dynamic Programming;")</f>
        <v>Math;Dynamic Programming;</v>
      </c>
      <c r="M965" s="23" t="b">
        <f>IFERROR(__xludf.DUMMYFUNCTION("""COMPUTED_VALUE"""),FALSE)</f>
        <v>0</v>
      </c>
      <c r="N965" s="23" t="b">
        <f>IFERROR(__xludf.DUMMYFUNCTION("""COMPUTED_VALUE"""),FALSE)</f>
        <v>0</v>
      </c>
      <c r="O965" s="23">
        <f>IFERROR(__xludf.DUMMYFUNCTION("""COMPUTED_VALUE"""),47.4405577736726)</f>
        <v>47.44055777</v>
      </c>
      <c r="P965" s="23">
        <f>IFERROR(__xludf.DUMMYFUNCTION("""COMPUTED_VALUE"""),7961.0)</f>
        <v>7961</v>
      </c>
      <c r="Q965" s="23">
        <f>IFERROR(__xludf.DUMMYFUNCTION("""COMPUTED_VALUE"""),16781.0)</f>
        <v>16781</v>
      </c>
    </row>
    <row r="966">
      <c r="A966" s="23">
        <f>IFERROR(__xludf.DUMMYFUNCTION("""COMPUTED_VALUE"""),1005.0)</f>
        <v>1005</v>
      </c>
      <c r="B966" s="23" t="str">
        <f>IFERROR(__xludf.DUMMYFUNCTION("""COMPUTED_VALUE"""),"Univalued Binary Tree")</f>
        <v>Univalued Binary Tree</v>
      </c>
      <c r="C966" s="23" t="str">
        <f>IFERROR(__xludf.DUMMYFUNCTION("""COMPUTED_VALUE"""),"univalued-binary-tree")</f>
        <v>univalued-binary-tree</v>
      </c>
      <c r="D966" s="23" t="b">
        <f>IFERROR(__xludf.DUMMYFUNCTION("""COMPUTED_VALUE"""),FALSE)</f>
        <v>0</v>
      </c>
      <c r="E966" s="23" t="str">
        <f>IFERROR(__xludf.DUMMYFUNCTION("""COMPUTED_VALUE"""),"Easy")</f>
        <v>Easy</v>
      </c>
      <c r="F966" s="23">
        <f>IFERROR(__xludf.DUMMYFUNCTION("""COMPUTED_VALUE"""),1274.0)</f>
        <v>1274</v>
      </c>
      <c r="G966" s="23">
        <f>IFERROR(__xludf.DUMMYFUNCTION("""COMPUTED_VALUE"""),56.0)</f>
        <v>56</v>
      </c>
      <c r="H966" s="23" t="str">
        <f>IFERROR(__xludf.DUMMYFUNCTION("""COMPUTED_VALUE"""),"Algorithms")</f>
        <v>Algorithms</v>
      </c>
      <c r="I966" s="23">
        <f>IFERROR(__xludf.DUMMYFUNCTION("""COMPUTED_VALUE"""),0.69)</f>
        <v>0.69</v>
      </c>
      <c r="J966" s="23">
        <f>IFERROR(__xludf.DUMMYFUNCTION("""COMPUTED_VALUE"""),965.0)</f>
        <v>965</v>
      </c>
      <c r="K966" s="23" t="b">
        <f>IFERROR(__xludf.DUMMYFUNCTION("""COMPUTED_VALUE"""),FALSE)</f>
        <v>0</v>
      </c>
      <c r="L966" s="23" t="str">
        <f>IFERROR(__xludf.DUMMYFUNCTION("""COMPUTED_VALUE"""),"Tree;Depth-First Search;Breadth-First Search;Binary Tree;")</f>
        <v>Tree;Depth-First Search;Breadth-First Search;Binary Tree;</v>
      </c>
      <c r="M966" s="23" t="b">
        <f>IFERROR(__xludf.DUMMYFUNCTION("""COMPUTED_VALUE"""),TRUE)</f>
        <v>1</v>
      </c>
      <c r="N966" s="23" t="b">
        <f>IFERROR(__xludf.DUMMYFUNCTION("""COMPUTED_VALUE"""),FALSE)</f>
        <v>0</v>
      </c>
      <c r="O966" s="23">
        <f>IFERROR(__xludf.DUMMYFUNCTION("""COMPUTED_VALUE"""),68.9699067514724)</f>
        <v>68.96990675</v>
      </c>
      <c r="P966" s="23">
        <f>IFERROR(__xludf.DUMMYFUNCTION("""COMPUTED_VALUE"""),158207.0)</f>
        <v>158207</v>
      </c>
      <c r="Q966" s="23">
        <f>IFERROR(__xludf.DUMMYFUNCTION("""COMPUTED_VALUE"""),229386.0)</f>
        <v>229386</v>
      </c>
    </row>
    <row r="967">
      <c r="A967" s="23">
        <f>IFERROR(__xludf.DUMMYFUNCTION("""COMPUTED_VALUE"""),1006.0)</f>
        <v>1006</v>
      </c>
      <c r="B967" s="23" t="str">
        <f>IFERROR(__xludf.DUMMYFUNCTION("""COMPUTED_VALUE"""),"Vowel Spellchecker")</f>
        <v>Vowel Spellchecker</v>
      </c>
      <c r="C967" s="23" t="str">
        <f>IFERROR(__xludf.DUMMYFUNCTION("""COMPUTED_VALUE"""),"vowel-spellchecker")</f>
        <v>vowel-spellchecker</v>
      </c>
      <c r="D967" s="23" t="b">
        <f>IFERROR(__xludf.DUMMYFUNCTION("""COMPUTED_VALUE"""),FALSE)</f>
        <v>0</v>
      </c>
      <c r="E967" s="23" t="str">
        <f>IFERROR(__xludf.DUMMYFUNCTION("""COMPUTED_VALUE"""),"Medium")</f>
        <v>Medium</v>
      </c>
      <c r="F967" s="23">
        <f>IFERROR(__xludf.DUMMYFUNCTION("""COMPUTED_VALUE"""),343.0)</f>
        <v>343</v>
      </c>
      <c r="G967" s="23">
        <f>IFERROR(__xludf.DUMMYFUNCTION("""COMPUTED_VALUE"""),715.0)</f>
        <v>715</v>
      </c>
      <c r="H967" s="23" t="str">
        <f>IFERROR(__xludf.DUMMYFUNCTION("""COMPUTED_VALUE"""),"Algorithms")</f>
        <v>Algorithms</v>
      </c>
      <c r="I967" s="23">
        <f>IFERROR(__xludf.DUMMYFUNCTION("""COMPUTED_VALUE"""),0.516)</f>
        <v>0.516</v>
      </c>
      <c r="J967" s="23">
        <f>IFERROR(__xludf.DUMMYFUNCTION("""COMPUTED_VALUE"""),966.0)</f>
        <v>966</v>
      </c>
      <c r="K967" s="23" t="b">
        <f>IFERROR(__xludf.DUMMYFUNCTION("""COMPUTED_VALUE"""),FALSE)</f>
        <v>0</v>
      </c>
      <c r="L967" s="23" t="str">
        <f>IFERROR(__xludf.DUMMYFUNCTION("""COMPUTED_VALUE"""),"Array;Hash Table;String;")</f>
        <v>Array;Hash Table;String;</v>
      </c>
      <c r="M967" s="23" t="b">
        <f>IFERROR(__xludf.DUMMYFUNCTION("""COMPUTED_VALUE"""),TRUE)</f>
        <v>1</v>
      </c>
      <c r="N967" s="23" t="b">
        <f>IFERROR(__xludf.DUMMYFUNCTION("""COMPUTED_VALUE"""),FALSE)</f>
        <v>0</v>
      </c>
      <c r="O967" s="23">
        <f>IFERROR(__xludf.DUMMYFUNCTION("""COMPUTED_VALUE"""),51.5921256872615)</f>
        <v>51.59212569</v>
      </c>
      <c r="P967" s="23">
        <f>IFERROR(__xludf.DUMMYFUNCTION("""COMPUTED_VALUE"""),35564.0)</f>
        <v>35564</v>
      </c>
      <c r="Q967" s="23">
        <f>IFERROR(__xludf.DUMMYFUNCTION("""COMPUTED_VALUE"""),68933.0)</f>
        <v>68933</v>
      </c>
    </row>
    <row r="968">
      <c r="A968" s="23">
        <f>IFERROR(__xludf.DUMMYFUNCTION("""COMPUTED_VALUE"""),1007.0)</f>
        <v>1007</v>
      </c>
      <c r="B968" s="23" t="str">
        <f>IFERROR(__xludf.DUMMYFUNCTION("""COMPUTED_VALUE"""),"Numbers With Same Consecutive Differences")</f>
        <v>Numbers With Same Consecutive Differences</v>
      </c>
      <c r="C968" s="23" t="str">
        <f>IFERROR(__xludf.DUMMYFUNCTION("""COMPUTED_VALUE"""),"numbers-with-same-consecutive-differences")</f>
        <v>numbers-with-same-consecutive-differences</v>
      </c>
      <c r="D968" s="23" t="b">
        <f>IFERROR(__xludf.DUMMYFUNCTION("""COMPUTED_VALUE"""),FALSE)</f>
        <v>0</v>
      </c>
      <c r="E968" s="23" t="str">
        <f>IFERROR(__xludf.DUMMYFUNCTION("""COMPUTED_VALUE"""),"Medium")</f>
        <v>Medium</v>
      </c>
      <c r="F968" s="23">
        <f>IFERROR(__xludf.DUMMYFUNCTION("""COMPUTED_VALUE"""),864.0)</f>
        <v>864</v>
      </c>
      <c r="G968" s="23">
        <f>IFERROR(__xludf.DUMMYFUNCTION("""COMPUTED_VALUE"""),131.0)</f>
        <v>131</v>
      </c>
      <c r="H968" s="23" t="str">
        <f>IFERROR(__xludf.DUMMYFUNCTION("""COMPUTED_VALUE"""),"Algorithms")</f>
        <v>Algorithms</v>
      </c>
      <c r="I968" s="23">
        <f>IFERROR(__xludf.DUMMYFUNCTION("""COMPUTED_VALUE"""),0.473)</f>
        <v>0.473</v>
      </c>
      <c r="J968" s="23">
        <f>IFERROR(__xludf.DUMMYFUNCTION("""COMPUTED_VALUE"""),967.0)</f>
        <v>967</v>
      </c>
      <c r="K968" s="23" t="b">
        <f>IFERROR(__xludf.DUMMYFUNCTION("""COMPUTED_VALUE"""),FALSE)</f>
        <v>0</v>
      </c>
      <c r="L968" s="23" t="str">
        <f>IFERROR(__xludf.DUMMYFUNCTION("""COMPUTED_VALUE"""),"Backtracking;Breadth-First Search;")</f>
        <v>Backtracking;Breadth-First Search;</v>
      </c>
      <c r="M968" s="23" t="b">
        <f>IFERROR(__xludf.DUMMYFUNCTION("""COMPUTED_VALUE"""),TRUE)</f>
        <v>1</v>
      </c>
      <c r="N968" s="23" t="b">
        <f>IFERROR(__xludf.DUMMYFUNCTION("""COMPUTED_VALUE"""),FALSE)</f>
        <v>0</v>
      </c>
      <c r="O968" s="23">
        <f>IFERROR(__xludf.DUMMYFUNCTION("""COMPUTED_VALUE"""),47.2867336702439)</f>
        <v>47.28673367</v>
      </c>
      <c r="P968" s="23">
        <f>IFERROR(__xludf.DUMMYFUNCTION("""COMPUTED_VALUE"""),49966.0)</f>
        <v>49966</v>
      </c>
      <c r="Q968" s="23">
        <f>IFERROR(__xludf.DUMMYFUNCTION("""COMPUTED_VALUE"""),105666.0)</f>
        <v>105666</v>
      </c>
    </row>
    <row r="969">
      <c r="A969" s="23">
        <f>IFERROR(__xludf.DUMMYFUNCTION("""COMPUTED_VALUE"""),1008.0)</f>
        <v>1008</v>
      </c>
      <c r="B969" s="23" t="str">
        <f>IFERROR(__xludf.DUMMYFUNCTION("""COMPUTED_VALUE"""),"Binary Tree Cameras")</f>
        <v>Binary Tree Cameras</v>
      </c>
      <c r="C969" s="23" t="str">
        <f>IFERROR(__xludf.DUMMYFUNCTION("""COMPUTED_VALUE"""),"binary-tree-cameras")</f>
        <v>binary-tree-cameras</v>
      </c>
      <c r="D969" s="23" t="b">
        <f>IFERROR(__xludf.DUMMYFUNCTION("""COMPUTED_VALUE"""),FALSE)</f>
        <v>0</v>
      </c>
      <c r="E969" s="23" t="str">
        <f>IFERROR(__xludf.DUMMYFUNCTION("""COMPUTED_VALUE"""),"Hard")</f>
        <v>Hard</v>
      </c>
      <c r="F969" s="23">
        <f>IFERROR(__xludf.DUMMYFUNCTION("""COMPUTED_VALUE"""),2628.0)</f>
        <v>2628</v>
      </c>
      <c r="G969" s="23">
        <f>IFERROR(__xludf.DUMMYFUNCTION("""COMPUTED_VALUE"""),33.0)</f>
        <v>33</v>
      </c>
      <c r="H969" s="23" t="str">
        <f>IFERROR(__xludf.DUMMYFUNCTION("""COMPUTED_VALUE"""),"Algorithms")</f>
        <v>Algorithms</v>
      </c>
      <c r="I969" s="23">
        <f>IFERROR(__xludf.DUMMYFUNCTION("""COMPUTED_VALUE"""),0.419)</f>
        <v>0.419</v>
      </c>
      <c r="J969" s="23">
        <f>IFERROR(__xludf.DUMMYFUNCTION("""COMPUTED_VALUE"""),968.0)</f>
        <v>968</v>
      </c>
      <c r="K969" s="23" t="b">
        <f>IFERROR(__xludf.DUMMYFUNCTION("""COMPUTED_VALUE"""),FALSE)</f>
        <v>0</v>
      </c>
      <c r="L969" s="23" t="str">
        <f>IFERROR(__xludf.DUMMYFUNCTION("""COMPUTED_VALUE"""),"Dynamic Programming;Tree;Depth-First Search;Binary Tree;")</f>
        <v>Dynamic Programming;Tree;Depth-First Search;Binary Tree;</v>
      </c>
      <c r="M969" s="23" t="b">
        <f>IFERROR(__xludf.DUMMYFUNCTION("""COMPUTED_VALUE"""),TRUE)</f>
        <v>1</v>
      </c>
      <c r="N969" s="23" t="b">
        <f>IFERROR(__xludf.DUMMYFUNCTION("""COMPUTED_VALUE"""),FALSE)</f>
        <v>0</v>
      </c>
      <c r="O969" s="23">
        <f>IFERROR(__xludf.DUMMYFUNCTION("""COMPUTED_VALUE"""),41.8917502129611)</f>
        <v>41.89175021</v>
      </c>
      <c r="P969" s="23">
        <f>IFERROR(__xludf.DUMMYFUNCTION("""COMPUTED_VALUE"""),63931.0)</f>
        <v>63931</v>
      </c>
      <c r="Q969" s="23">
        <f>IFERROR(__xludf.DUMMYFUNCTION("""COMPUTED_VALUE"""),152610.0)</f>
        <v>152610</v>
      </c>
    </row>
    <row r="970">
      <c r="A970" s="23">
        <f>IFERROR(__xludf.DUMMYFUNCTION("""COMPUTED_VALUE"""),1009.0)</f>
        <v>1009</v>
      </c>
      <c r="B970" s="23" t="str">
        <f>IFERROR(__xludf.DUMMYFUNCTION("""COMPUTED_VALUE"""),"Pancake Sorting")</f>
        <v>Pancake Sorting</v>
      </c>
      <c r="C970" s="23" t="str">
        <f>IFERROR(__xludf.DUMMYFUNCTION("""COMPUTED_VALUE"""),"pancake-sorting")</f>
        <v>pancake-sorting</v>
      </c>
      <c r="D970" s="23" t="b">
        <f>IFERROR(__xludf.DUMMYFUNCTION("""COMPUTED_VALUE"""),FALSE)</f>
        <v>0</v>
      </c>
      <c r="E970" s="23" t="str">
        <f>IFERROR(__xludf.DUMMYFUNCTION("""COMPUTED_VALUE"""),"Medium")</f>
        <v>Medium</v>
      </c>
      <c r="F970" s="23">
        <f>IFERROR(__xludf.DUMMYFUNCTION("""COMPUTED_VALUE"""),1072.0)</f>
        <v>1072</v>
      </c>
      <c r="G970" s="23">
        <f>IFERROR(__xludf.DUMMYFUNCTION("""COMPUTED_VALUE"""),1234.0)</f>
        <v>1234</v>
      </c>
      <c r="H970" s="23" t="str">
        <f>IFERROR(__xludf.DUMMYFUNCTION("""COMPUTED_VALUE"""),"Algorithms")</f>
        <v>Algorithms</v>
      </c>
      <c r="I970" s="23">
        <f>IFERROR(__xludf.DUMMYFUNCTION("""COMPUTED_VALUE"""),0.697)</f>
        <v>0.697</v>
      </c>
      <c r="J970" s="23">
        <f>IFERROR(__xludf.DUMMYFUNCTION("""COMPUTED_VALUE"""),969.0)</f>
        <v>969</v>
      </c>
      <c r="K970" s="23" t="b">
        <f>IFERROR(__xludf.DUMMYFUNCTION("""COMPUTED_VALUE"""),FALSE)</f>
        <v>0</v>
      </c>
      <c r="L970" s="23" t="str">
        <f>IFERROR(__xludf.DUMMYFUNCTION("""COMPUTED_VALUE"""),"Array;Two Pointers;Greedy;Sorting;")</f>
        <v>Array;Two Pointers;Greedy;Sorting;</v>
      </c>
      <c r="M970" s="23" t="b">
        <f>IFERROR(__xludf.DUMMYFUNCTION("""COMPUTED_VALUE"""),TRUE)</f>
        <v>1</v>
      </c>
      <c r="N970" s="23" t="b">
        <f>IFERROR(__xludf.DUMMYFUNCTION("""COMPUTED_VALUE"""),FALSE)</f>
        <v>0</v>
      </c>
      <c r="O970" s="23">
        <f>IFERROR(__xludf.DUMMYFUNCTION("""COMPUTED_VALUE"""),69.704505975377)</f>
        <v>69.70450598</v>
      </c>
      <c r="P970" s="23">
        <f>IFERROR(__xludf.DUMMYFUNCTION("""COMPUTED_VALUE"""),73433.0)</f>
        <v>73433</v>
      </c>
      <c r="Q970" s="23">
        <f>IFERROR(__xludf.DUMMYFUNCTION("""COMPUTED_VALUE"""),105349.0)</f>
        <v>105349</v>
      </c>
    </row>
    <row r="971">
      <c r="A971" s="23">
        <f>IFERROR(__xludf.DUMMYFUNCTION("""COMPUTED_VALUE"""),1010.0)</f>
        <v>1010</v>
      </c>
      <c r="B971" s="23" t="str">
        <f>IFERROR(__xludf.DUMMYFUNCTION("""COMPUTED_VALUE"""),"Powerful Integers")</f>
        <v>Powerful Integers</v>
      </c>
      <c r="C971" s="23" t="str">
        <f>IFERROR(__xludf.DUMMYFUNCTION("""COMPUTED_VALUE"""),"powerful-integers")</f>
        <v>powerful-integers</v>
      </c>
      <c r="D971" s="23" t="b">
        <f>IFERROR(__xludf.DUMMYFUNCTION("""COMPUTED_VALUE"""),FALSE)</f>
        <v>0</v>
      </c>
      <c r="E971" s="23" t="str">
        <f>IFERROR(__xludf.DUMMYFUNCTION("""COMPUTED_VALUE"""),"Medium")</f>
        <v>Medium</v>
      </c>
      <c r="F971" s="23">
        <f>IFERROR(__xludf.DUMMYFUNCTION("""COMPUTED_VALUE"""),242.0)</f>
        <v>242</v>
      </c>
      <c r="G971" s="23">
        <f>IFERROR(__xludf.DUMMYFUNCTION("""COMPUTED_VALUE"""),63.0)</f>
        <v>63</v>
      </c>
      <c r="H971" s="23" t="str">
        <f>IFERROR(__xludf.DUMMYFUNCTION("""COMPUTED_VALUE"""),"Algorithms")</f>
        <v>Algorithms</v>
      </c>
      <c r="I971" s="23">
        <f>IFERROR(__xludf.DUMMYFUNCTION("""COMPUTED_VALUE"""),0.436)</f>
        <v>0.436</v>
      </c>
      <c r="J971" s="23">
        <f>IFERROR(__xludf.DUMMYFUNCTION("""COMPUTED_VALUE"""),970.0)</f>
        <v>970</v>
      </c>
      <c r="K971" s="23" t="b">
        <f>IFERROR(__xludf.DUMMYFUNCTION("""COMPUTED_VALUE"""),FALSE)</f>
        <v>0</v>
      </c>
      <c r="L971" s="23" t="str">
        <f>IFERROR(__xludf.DUMMYFUNCTION("""COMPUTED_VALUE"""),"Hash Table;Math;")</f>
        <v>Hash Table;Math;</v>
      </c>
      <c r="M971" s="23" t="b">
        <f>IFERROR(__xludf.DUMMYFUNCTION("""COMPUTED_VALUE"""),TRUE)</f>
        <v>1</v>
      </c>
      <c r="N971" s="23" t="b">
        <f>IFERROR(__xludf.DUMMYFUNCTION("""COMPUTED_VALUE"""),FALSE)</f>
        <v>0</v>
      </c>
      <c r="O971" s="23">
        <f>IFERROR(__xludf.DUMMYFUNCTION("""COMPUTED_VALUE"""),43.5603563558284)</f>
        <v>43.56035636</v>
      </c>
      <c r="P971" s="23">
        <f>IFERROR(__xludf.DUMMYFUNCTION("""COMPUTED_VALUE"""),46255.0)</f>
        <v>46255</v>
      </c>
      <c r="Q971" s="23">
        <f>IFERROR(__xludf.DUMMYFUNCTION("""COMPUTED_VALUE"""),106186.0)</f>
        <v>106186</v>
      </c>
    </row>
    <row r="972">
      <c r="A972" s="23">
        <f>IFERROR(__xludf.DUMMYFUNCTION("""COMPUTED_VALUE"""),1011.0)</f>
        <v>1011</v>
      </c>
      <c r="B972" s="23" t="str">
        <f>IFERROR(__xludf.DUMMYFUNCTION("""COMPUTED_VALUE"""),"Flip Binary Tree To Match Preorder Traversal")</f>
        <v>Flip Binary Tree To Match Preorder Traversal</v>
      </c>
      <c r="C972" s="23" t="str">
        <f>IFERROR(__xludf.DUMMYFUNCTION("""COMPUTED_VALUE"""),"flip-binary-tree-to-match-preorder-traversal")</f>
        <v>flip-binary-tree-to-match-preorder-traversal</v>
      </c>
      <c r="D972" s="23" t="b">
        <f>IFERROR(__xludf.DUMMYFUNCTION("""COMPUTED_VALUE"""),FALSE)</f>
        <v>0</v>
      </c>
      <c r="E972" s="23" t="str">
        <f>IFERROR(__xludf.DUMMYFUNCTION("""COMPUTED_VALUE"""),"Medium")</f>
        <v>Medium</v>
      </c>
      <c r="F972" s="23">
        <f>IFERROR(__xludf.DUMMYFUNCTION("""COMPUTED_VALUE"""),709.0)</f>
        <v>709</v>
      </c>
      <c r="G972" s="23">
        <f>IFERROR(__xludf.DUMMYFUNCTION("""COMPUTED_VALUE"""),239.0)</f>
        <v>239</v>
      </c>
      <c r="H972" s="23" t="str">
        <f>IFERROR(__xludf.DUMMYFUNCTION("""COMPUTED_VALUE"""),"Algorithms")</f>
        <v>Algorithms</v>
      </c>
      <c r="I972" s="23">
        <f>IFERROR(__xludf.DUMMYFUNCTION("""COMPUTED_VALUE"""),0.499)</f>
        <v>0.499</v>
      </c>
      <c r="J972" s="23">
        <f>IFERROR(__xludf.DUMMYFUNCTION("""COMPUTED_VALUE"""),971.0)</f>
        <v>971</v>
      </c>
      <c r="K972" s="23" t="b">
        <f>IFERROR(__xludf.DUMMYFUNCTION("""COMPUTED_VALUE"""),FALSE)</f>
        <v>0</v>
      </c>
      <c r="L972" s="23" t="str">
        <f>IFERROR(__xludf.DUMMYFUNCTION("""COMPUTED_VALUE"""),"Tree;Depth-First Search;Binary Tree;")</f>
        <v>Tree;Depth-First Search;Binary Tree;</v>
      </c>
      <c r="M972" s="23" t="b">
        <f>IFERROR(__xludf.DUMMYFUNCTION("""COMPUTED_VALUE"""),TRUE)</f>
        <v>1</v>
      </c>
      <c r="N972" s="23" t="b">
        <f>IFERROR(__xludf.DUMMYFUNCTION("""COMPUTED_VALUE"""),FALSE)</f>
        <v>0</v>
      </c>
      <c r="O972" s="23">
        <f>IFERROR(__xludf.DUMMYFUNCTION("""COMPUTED_VALUE"""),49.8757994518044)</f>
        <v>49.87579945</v>
      </c>
      <c r="P972" s="23">
        <f>IFERROR(__xludf.DUMMYFUNCTION("""COMPUTED_VALUE"""),34937.0)</f>
        <v>34937</v>
      </c>
      <c r="Q972" s="23">
        <f>IFERROR(__xludf.DUMMYFUNCTION("""COMPUTED_VALUE"""),70048.0)</f>
        <v>70048</v>
      </c>
    </row>
    <row r="973">
      <c r="A973" s="23">
        <f>IFERROR(__xludf.DUMMYFUNCTION("""COMPUTED_VALUE"""),1012.0)</f>
        <v>1012</v>
      </c>
      <c r="B973" s="23" t="str">
        <f>IFERROR(__xludf.DUMMYFUNCTION("""COMPUTED_VALUE"""),"Equal Rational Numbers")</f>
        <v>Equal Rational Numbers</v>
      </c>
      <c r="C973" s="23" t="str">
        <f>IFERROR(__xludf.DUMMYFUNCTION("""COMPUTED_VALUE"""),"equal-rational-numbers")</f>
        <v>equal-rational-numbers</v>
      </c>
      <c r="D973" s="23" t="b">
        <f>IFERROR(__xludf.DUMMYFUNCTION("""COMPUTED_VALUE"""),FALSE)</f>
        <v>0</v>
      </c>
      <c r="E973" s="23" t="str">
        <f>IFERROR(__xludf.DUMMYFUNCTION("""COMPUTED_VALUE"""),"Hard")</f>
        <v>Hard</v>
      </c>
      <c r="F973" s="23">
        <f>IFERROR(__xludf.DUMMYFUNCTION("""COMPUTED_VALUE"""),68.0)</f>
        <v>68</v>
      </c>
      <c r="G973" s="23">
        <f>IFERROR(__xludf.DUMMYFUNCTION("""COMPUTED_VALUE"""),185.0)</f>
        <v>185</v>
      </c>
      <c r="H973" s="23" t="str">
        <f>IFERROR(__xludf.DUMMYFUNCTION("""COMPUTED_VALUE"""),"Algorithms")</f>
        <v>Algorithms</v>
      </c>
      <c r="I973" s="23">
        <f>IFERROR(__xludf.DUMMYFUNCTION("""COMPUTED_VALUE"""),0.425)</f>
        <v>0.425</v>
      </c>
      <c r="J973" s="23">
        <f>IFERROR(__xludf.DUMMYFUNCTION("""COMPUTED_VALUE"""),972.0)</f>
        <v>972</v>
      </c>
      <c r="K973" s="23" t="b">
        <f>IFERROR(__xludf.DUMMYFUNCTION("""COMPUTED_VALUE"""),FALSE)</f>
        <v>0</v>
      </c>
      <c r="L973" s="23" t="str">
        <f>IFERROR(__xludf.DUMMYFUNCTION("""COMPUTED_VALUE"""),"Math;String;")</f>
        <v>Math;String;</v>
      </c>
      <c r="M973" s="23" t="b">
        <f>IFERROR(__xludf.DUMMYFUNCTION("""COMPUTED_VALUE"""),TRUE)</f>
        <v>1</v>
      </c>
      <c r="N973" s="23" t="b">
        <f>IFERROR(__xludf.DUMMYFUNCTION("""COMPUTED_VALUE"""),FALSE)</f>
        <v>0</v>
      </c>
      <c r="O973" s="23">
        <f>IFERROR(__xludf.DUMMYFUNCTION("""COMPUTED_VALUE"""),42.505557319784)</f>
        <v>42.50555732</v>
      </c>
      <c r="P973" s="23">
        <f>IFERROR(__xludf.DUMMYFUNCTION("""COMPUTED_VALUE"""),5354.0)</f>
        <v>5354</v>
      </c>
      <c r="Q973" s="23">
        <f>IFERROR(__xludf.DUMMYFUNCTION("""COMPUTED_VALUE"""),12596.0)</f>
        <v>12596</v>
      </c>
    </row>
    <row r="974">
      <c r="A974" s="23">
        <f>IFERROR(__xludf.DUMMYFUNCTION("""COMPUTED_VALUE"""),1014.0)</f>
        <v>1014</v>
      </c>
      <c r="B974" s="23" t="str">
        <f>IFERROR(__xludf.DUMMYFUNCTION("""COMPUTED_VALUE"""),"K Closest Points to Origin")</f>
        <v>K Closest Points to Origin</v>
      </c>
      <c r="C974" s="23" t="str">
        <f>IFERROR(__xludf.DUMMYFUNCTION("""COMPUTED_VALUE"""),"k-closest-points-to-origin")</f>
        <v>k-closest-points-to-origin</v>
      </c>
      <c r="D974" s="23" t="b">
        <f>IFERROR(__xludf.DUMMYFUNCTION("""COMPUTED_VALUE"""),FALSE)</f>
        <v>0</v>
      </c>
      <c r="E974" s="23" t="str">
        <f>IFERROR(__xludf.DUMMYFUNCTION("""COMPUTED_VALUE"""),"Medium")</f>
        <v>Medium</v>
      </c>
      <c r="F974" s="23">
        <f>IFERROR(__xludf.DUMMYFUNCTION("""COMPUTED_VALUE"""),5421.0)</f>
        <v>5421</v>
      </c>
      <c r="G974" s="23">
        <f>IFERROR(__xludf.DUMMYFUNCTION("""COMPUTED_VALUE"""),206.0)</f>
        <v>206</v>
      </c>
      <c r="H974" s="23" t="str">
        <f>IFERROR(__xludf.DUMMYFUNCTION("""COMPUTED_VALUE"""),"Algorithms")</f>
        <v>Algorithms</v>
      </c>
      <c r="I974" s="23">
        <f>IFERROR(__xludf.DUMMYFUNCTION("""COMPUTED_VALUE"""),0.66)</f>
        <v>0.66</v>
      </c>
      <c r="J974" s="23">
        <f>IFERROR(__xludf.DUMMYFUNCTION("""COMPUTED_VALUE"""),973.0)</f>
        <v>973</v>
      </c>
      <c r="K974" s="23" t="b">
        <f>IFERROR(__xludf.DUMMYFUNCTION("""COMPUTED_VALUE"""),FALSE)</f>
        <v>0</v>
      </c>
      <c r="L974" s="23" t="str">
        <f>IFERROR(__xludf.DUMMYFUNCTION("""COMPUTED_VALUE"""),"Array;Math;Divide and Conquer;Geometry;Sorting;Heap (Priority Queue);Quickselect;")</f>
        <v>Array;Math;Divide and Conquer;Geometry;Sorting;Heap (Priority Queue);Quickselect;</v>
      </c>
      <c r="M974" s="23" t="b">
        <f>IFERROR(__xludf.DUMMYFUNCTION("""COMPUTED_VALUE"""),TRUE)</f>
        <v>1</v>
      </c>
      <c r="N974" s="23" t="b">
        <f>IFERROR(__xludf.DUMMYFUNCTION("""COMPUTED_VALUE"""),FALSE)</f>
        <v>0</v>
      </c>
      <c r="O974" s="23">
        <f>IFERROR(__xludf.DUMMYFUNCTION("""COMPUTED_VALUE"""),65.9657993249028)</f>
        <v>65.96579932</v>
      </c>
      <c r="P974" s="23">
        <f>IFERROR(__xludf.DUMMYFUNCTION("""COMPUTED_VALUE"""),745737.0)</f>
        <v>745737</v>
      </c>
      <c r="Q974" s="23">
        <f>IFERROR(__xludf.DUMMYFUNCTION("""COMPUTED_VALUE"""),1130495.0)</f>
        <v>1130495</v>
      </c>
    </row>
    <row r="975">
      <c r="A975" s="23">
        <f>IFERROR(__xludf.DUMMYFUNCTION("""COMPUTED_VALUE"""),1016.0)</f>
        <v>1016</v>
      </c>
      <c r="B975" s="23" t="str">
        <f>IFERROR(__xludf.DUMMYFUNCTION("""COMPUTED_VALUE"""),"Subarray Sums Divisible by K")</f>
        <v>Subarray Sums Divisible by K</v>
      </c>
      <c r="C975" s="23" t="str">
        <f>IFERROR(__xludf.DUMMYFUNCTION("""COMPUTED_VALUE"""),"subarray-sums-divisible-by-k")</f>
        <v>subarray-sums-divisible-by-k</v>
      </c>
      <c r="D975" s="23" t="b">
        <f>IFERROR(__xludf.DUMMYFUNCTION("""COMPUTED_VALUE"""),FALSE)</f>
        <v>0</v>
      </c>
      <c r="E975" s="23" t="str">
        <f>IFERROR(__xludf.DUMMYFUNCTION("""COMPUTED_VALUE"""),"Medium")</f>
        <v>Medium</v>
      </c>
      <c r="F975" s="23">
        <f>IFERROR(__xludf.DUMMYFUNCTION("""COMPUTED_VALUE"""),2738.0)</f>
        <v>2738</v>
      </c>
      <c r="G975" s="23">
        <f>IFERROR(__xludf.DUMMYFUNCTION("""COMPUTED_VALUE"""),133.0)</f>
        <v>133</v>
      </c>
      <c r="H975" s="23" t="str">
        <f>IFERROR(__xludf.DUMMYFUNCTION("""COMPUTED_VALUE"""),"Algorithms")</f>
        <v>Algorithms</v>
      </c>
      <c r="I975" s="23">
        <f>IFERROR(__xludf.DUMMYFUNCTION("""COMPUTED_VALUE"""),0.532)</f>
        <v>0.532</v>
      </c>
      <c r="J975" s="23">
        <f>IFERROR(__xludf.DUMMYFUNCTION("""COMPUTED_VALUE"""),974.0)</f>
        <v>974</v>
      </c>
      <c r="K975" s="23" t="b">
        <f>IFERROR(__xludf.DUMMYFUNCTION("""COMPUTED_VALUE"""),FALSE)</f>
        <v>0</v>
      </c>
      <c r="L975" s="23" t="str">
        <f>IFERROR(__xludf.DUMMYFUNCTION("""COMPUTED_VALUE"""),"Array;Hash Table;Prefix Sum;")</f>
        <v>Array;Hash Table;Prefix Sum;</v>
      </c>
      <c r="M975" s="23" t="b">
        <f>IFERROR(__xludf.DUMMYFUNCTION("""COMPUTED_VALUE"""),FALSE)</f>
        <v>0</v>
      </c>
      <c r="N975" s="23" t="b">
        <f>IFERROR(__xludf.DUMMYFUNCTION("""COMPUTED_VALUE"""),FALSE)</f>
        <v>0</v>
      </c>
      <c r="O975" s="23">
        <f>IFERROR(__xludf.DUMMYFUNCTION("""COMPUTED_VALUE"""),53.2452901045252)</f>
        <v>53.2452901</v>
      </c>
      <c r="P975" s="23">
        <f>IFERROR(__xludf.DUMMYFUNCTION("""COMPUTED_VALUE"""),93577.0)</f>
        <v>93577</v>
      </c>
      <c r="Q975" s="23">
        <f>IFERROR(__xludf.DUMMYFUNCTION("""COMPUTED_VALUE"""),175746.0)</f>
        <v>175746</v>
      </c>
    </row>
    <row r="976">
      <c r="A976" s="23">
        <f>IFERROR(__xludf.DUMMYFUNCTION("""COMPUTED_VALUE"""),1017.0)</f>
        <v>1017</v>
      </c>
      <c r="B976" s="23" t="str">
        <f>IFERROR(__xludf.DUMMYFUNCTION("""COMPUTED_VALUE"""),"Odd Even Jump")</f>
        <v>Odd Even Jump</v>
      </c>
      <c r="C976" s="23" t="str">
        <f>IFERROR(__xludf.DUMMYFUNCTION("""COMPUTED_VALUE"""),"odd-even-jump")</f>
        <v>odd-even-jump</v>
      </c>
      <c r="D976" s="23" t="b">
        <f>IFERROR(__xludf.DUMMYFUNCTION("""COMPUTED_VALUE"""),FALSE)</f>
        <v>0</v>
      </c>
      <c r="E976" s="23" t="str">
        <f>IFERROR(__xludf.DUMMYFUNCTION("""COMPUTED_VALUE"""),"Hard")</f>
        <v>Hard</v>
      </c>
      <c r="F976" s="23">
        <f>IFERROR(__xludf.DUMMYFUNCTION("""COMPUTED_VALUE"""),1330.0)</f>
        <v>1330</v>
      </c>
      <c r="G976" s="23">
        <f>IFERROR(__xludf.DUMMYFUNCTION("""COMPUTED_VALUE"""),372.0)</f>
        <v>372</v>
      </c>
      <c r="H976" s="23" t="str">
        <f>IFERROR(__xludf.DUMMYFUNCTION("""COMPUTED_VALUE"""),"Algorithms")</f>
        <v>Algorithms</v>
      </c>
      <c r="I976" s="23">
        <f>IFERROR(__xludf.DUMMYFUNCTION("""COMPUTED_VALUE"""),0.389)</f>
        <v>0.389</v>
      </c>
      <c r="J976" s="23">
        <f>IFERROR(__xludf.DUMMYFUNCTION("""COMPUTED_VALUE"""),975.0)</f>
        <v>975</v>
      </c>
      <c r="K976" s="23" t="b">
        <f>IFERROR(__xludf.DUMMYFUNCTION("""COMPUTED_VALUE"""),FALSE)</f>
        <v>0</v>
      </c>
      <c r="L976" s="23" t="str">
        <f>IFERROR(__xludf.DUMMYFUNCTION("""COMPUTED_VALUE"""),"Array;Dynamic Programming;Stack;Monotonic Stack;Ordered Set;")</f>
        <v>Array;Dynamic Programming;Stack;Monotonic Stack;Ordered Set;</v>
      </c>
      <c r="M976" s="23" t="b">
        <f>IFERROR(__xludf.DUMMYFUNCTION("""COMPUTED_VALUE"""),FALSE)</f>
        <v>0</v>
      </c>
      <c r="N976" s="23" t="b">
        <f>IFERROR(__xludf.DUMMYFUNCTION("""COMPUTED_VALUE"""),FALSE)</f>
        <v>0</v>
      </c>
      <c r="O976" s="23">
        <f>IFERROR(__xludf.DUMMYFUNCTION("""COMPUTED_VALUE"""),38.8976978503903)</f>
        <v>38.89769785</v>
      </c>
      <c r="P976" s="23">
        <f>IFERROR(__xludf.DUMMYFUNCTION("""COMPUTED_VALUE"""),58138.0)</f>
        <v>58138</v>
      </c>
      <c r="Q976" s="23">
        <f>IFERROR(__xludf.DUMMYFUNCTION("""COMPUTED_VALUE"""),149467.0)</f>
        <v>149467</v>
      </c>
    </row>
    <row r="977">
      <c r="A977" s="23">
        <f>IFERROR(__xludf.DUMMYFUNCTION("""COMPUTED_VALUE"""),1018.0)</f>
        <v>1018</v>
      </c>
      <c r="B977" s="23" t="str">
        <f>IFERROR(__xludf.DUMMYFUNCTION("""COMPUTED_VALUE"""),"Largest Perimeter Triangle")</f>
        <v>Largest Perimeter Triangle</v>
      </c>
      <c r="C977" s="23" t="str">
        <f>IFERROR(__xludf.DUMMYFUNCTION("""COMPUTED_VALUE"""),"largest-perimeter-triangle")</f>
        <v>largest-perimeter-triangle</v>
      </c>
      <c r="D977" s="23" t="b">
        <f>IFERROR(__xludf.DUMMYFUNCTION("""COMPUTED_VALUE"""),FALSE)</f>
        <v>0</v>
      </c>
      <c r="E977" s="23" t="str">
        <f>IFERROR(__xludf.DUMMYFUNCTION("""COMPUTED_VALUE"""),"Easy")</f>
        <v>Easy</v>
      </c>
      <c r="F977" s="23">
        <f>IFERROR(__xludf.DUMMYFUNCTION("""COMPUTED_VALUE"""),1092.0)</f>
        <v>1092</v>
      </c>
      <c r="G977" s="23">
        <f>IFERROR(__xludf.DUMMYFUNCTION("""COMPUTED_VALUE"""),122.0)</f>
        <v>122</v>
      </c>
      <c r="H977" s="23" t="str">
        <f>IFERROR(__xludf.DUMMYFUNCTION("""COMPUTED_VALUE"""),"Algorithms")</f>
        <v>Algorithms</v>
      </c>
      <c r="I977" s="23">
        <f>IFERROR(__xludf.DUMMYFUNCTION("""COMPUTED_VALUE"""),0.557)</f>
        <v>0.557</v>
      </c>
      <c r="J977" s="23">
        <f>IFERROR(__xludf.DUMMYFUNCTION("""COMPUTED_VALUE"""),976.0)</f>
        <v>976</v>
      </c>
      <c r="K977" s="23" t="b">
        <f>IFERROR(__xludf.DUMMYFUNCTION("""COMPUTED_VALUE"""),FALSE)</f>
        <v>0</v>
      </c>
      <c r="L977" s="23" t="str">
        <f>IFERROR(__xludf.DUMMYFUNCTION("""COMPUTED_VALUE"""),"Array;Math;Greedy;Sorting;")</f>
        <v>Array;Math;Greedy;Sorting;</v>
      </c>
      <c r="M977" s="23" t="b">
        <f>IFERROR(__xludf.DUMMYFUNCTION("""COMPUTED_VALUE"""),TRUE)</f>
        <v>1</v>
      </c>
      <c r="N977" s="23" t="b">
        <f>IFERROR(__xludf.DUMMYFUNCTION("""COMPUTED_VALUE"""),FALSE)</f>
        <v>0</v>
      </c>
      <c r="O977" s="23">
        <f>IFERROR(__xludf.DUMMYFUNCTION("""COMPUTED_VALUE"""),55.7020837573605)</f>
        <v>55.70208376</v>
      </c>
      <c r="P977" s="23">
        <f>IFERROR(__xludf.DUMMYFUNCTION("""COMPUTED_VALUE"""),79363.0)</f>
        <v>79363</v>
      </c>
      <c r="Q977" s="23">
        <f>IFERROR(__xludf.DUMMYFUNCTION("""COMPUTED_VALUE"""),142476.0)</f>
        <v>142476</v>
      </c>
    </row>
    <row r="978">
      <c r="A978" s="23">
        <f>IFERROR(__xludf.DUMMYFUNCTION("""COMPUTED_VALUE"""),1019.0)</f>
        <v>1019</v>
      </c>
      <c r="B978" s="23" t="str">
        <f>IFERROR(__xludf.DUMMYFUNCTION("""COMPUTED_VALUE"""),"Squares of a Sorted Array")</f>
        <v>Squares of a Sorted Array</v>
      </c>
      <c r="C978" s="23" t="str">
        <f>IFERROR(__xludf.DUMMYFUNCTION("""COMPUTED_VALUE"""),"squares-of-a-sorted-array")</f>
        <v>squares-of-a-sorted-array</v>
      </c>
      <c r="D978" s="23" t="b">
        <f>IFERROR(__xludf.DUMMYFUNCTION("""COMPUTED_VALUE"""),FALSE)</f>
        <v>0</v>
      </c>
      <c r="E978" s="23" t="str">
        <f>IFERROR(__xludf.DUMMYFUNCTION("""COMPUTED_VALUE"""),"Easy")</f>
        <v>Easy</v>
      </c>
      <c r="F978" s="23">
        <f>IFERROR(__xludf.DUMMYFUNCTION("""COMPUTED_VALUE"""),5192.0)</f>
        <v>5192</v>
      </c>
      <c r="G978" s="23">
        <f>IFERROR(__xludf.DUMMYFUNCTION("""COMPUTED_VALUE"""),152.0)</f>
        <v>152</v>
      </c>
      <c r="H978" s="23" t="str">
        <f>IFERROR(__xludf.DUMMYFUNCTION("""COMPUTED_VALUE"""),"Algorithms")</f>
        <v>Algorithms</v>
      </c>
      <c r="I978" s="23">
        <f>IFERROR(__xludf.DUMMYFUNCTION("""COMPUTED_VALUE"""),0.716)</f>
        <v>0.716</v>
      </c>
      <c r="J978" s="23">
        <f>IFERROR(__xludf.DUMMYFUNCTION("""COMPUTED_VALUE"""),977.0)</f>
        <v>977</v>
      </c>
      <c r="K978" s="23" t="b">
        <f>IFERROR(__xludf.DUMMYFUNCTION("""COMPUTED_VALUE"""),FALSE)</f>
        <v>0</v>
      </c>
      <c r="L978" s="23" t="str">
        <f>IFERROR(__xludf.DUMMYFUNCTION("""COMPUTED_VALUE"""),"Array;Two Pointers;Sorting;")</f>
        <v>Array;Two Pointers;Sorting;</v>
      </c>
      <c r="M978" s="23" t="b">
        <f>IFERROR(__xludf.DUMMYFUNCTION("""COMPUTED_VALUE"""),TRUE)</f>
        <v>1</v>
      </c>
      <c r="N978" s="23" t="b">
        <f>IFERROR(__xludf.DUMMYFUNCTION("""COMPUTED_VALUE"""),TRUE)</f>
        <v>1</v>
      </c>
      <c r="O978" s="23">
        <f>IFERROR(__xludf.DUMMYFUNCTION("""COMPUTED_VALUE"""),71.6299037375582)</f>
        <v>71.62990374</v>
      </c>
      <c r="P978" s="23">
        <f>IFERROR(__xludf.DUMMYFUNCTION("""COMPUTED_VALUE"""),963392.0)</f>
        <v>963392</v>
      </c>
      <c r="Q978" s="23">
        <f>IFERROR(__xludf.DUMMYFUNCTION("""COMPUTED_VALUE"""),1344959.0)</f>
        <v>1344959</v>
      </c>
    </row>
    <row r="979">
      <c r="A979" s="23">
        <f>IFERROR(__xludf.DUMMYFUNCTION("""COMPUTED_VALUE"""),1020.0)</f>
        <v>1020</v>
      </c>
      <c r="B979" s="23" t="str">
        <f>IFERROR(__xludf.DUMMYFUNCTION("""COMPUTED_VALUE"""),"Longest Turbulent Subarray")</f>
        <v>Longest Turbulent Subarray</v>
      </c>
      <c r="C979" s="23" t="str">
        <f>IFERROR(__xludf.DUMMYFUNCTION("""COMPUTED_VALUE"""),"longest-turbulent-subarray")</f>
        <v>longest-turbulent-subarray</v>
      </c>
      <c r="D979" s="23" t="b">
        <f>IFERROR(__xludf.DUMMYFUNCTION("""COMPUTED_VALUE"""),FALSE)</f>
        <v>0</v>
      </c>
      <c r="E979" s="23" t="str">
        <f>IFERROR(__xludf.DUMMYFUNCTION("""COMPUTED_VALUE"""),"Medium")</f>
        <v>Medium</v>
      </c>
      <c r="F979" s="23">
        <f>IFERROR(__xludf.DUMMYFUNCTION("""COMPUTED_VALUE"""),1274.0)</f>
        <v>1274</v>
      </c>
      <c r="G979" s="23">
        <f>IFERROR(__xludf.DUMMYFUNCTION("""COMPUTED_VALUE"""),166.0)</f>
        <v>166</v>
      </c>
      <c r="H979" s="23" t="str">
        <f>IFERROR(__xludf.DUMMYFUNCTION("""COMPUTED_VALUE"""),"Algorithms")</f>
        <v>Algorithms</v>
      </c>
      <c r="I979" s="23">
        <f>IFERROR(__xludf.DUMMYFUNCTION("""COMPUTED_VALUE"""),0.475)</f>
        <v>0.475</v>
      </c>
      <c r="J979" s="23">
        <f>IFERROR(__xludf.DUMMYFUNCTION("""COMPUTED_VALUE"""),978.0)</f>
        <v>978</v>
      </c>
      <c r="K979" s="23" t="b">
        <f>IFERROR(__xludf.DUMMYFUNCTION("""COMPUTED_VALUE"""),FALSE)</f>
        <v>0</v>
      </c>
      <c r="L979" s="23" t="str">
        <f>IFERROR(__xludf.DUMMYFUNCTION("""COMPUTED_VALUE"""),"Array;Dynamic Programming;Sliding Window;")</f>
        <v>Array;Dynamic Programming;Sliding Window;</v>
      </c>
      <c r="M979" s="23" t="b">
        <f>IFERROR(__xludf.DUMMYFUNCTION("""COMPUTED_VALUE"""),TRUE)</f>
        <v>1</v>
      </c>
      <c r="N979" s="23" t="b">
        <f>IFERROR(__xludf.DUMMYFUNCTION("""COMPUTED_VALUE"""),FALSE)</f>
        <v>0</v>
      </c>
      <c r="O979" s="23">
        <f>IFERROR(__xludf.DUMMYFUNCTION("""COMPUTED_VALUE"""),47.5260364710107)</f>
        <v>47.52603647</v>
      </c>
      <c r="P979" s="23">
        <f>IFERROR(__xludf.DUMMYFUNCTION("""COMPUTED_VALUE"""),71463.0)</f>
        <v>71463</v>
      </c>
      <c r="Q979" s="23">
        <f>IFERROR(__xludf.DUMMYFUNCTION("""COMPUTED_VALUE"""),150366.0)</f>
        <v>150366</v>
      </c>
    </row>
    <row r="980">
      <c r="A980" s="23">
        <f>IFERROR(__xludf.DUMMYFUNCTION("""COMPUTED_VALUE"""),1021.0)</f>
        <v>1021</v>
      </c>
      <c r="B980" s="23" t="str">
        <f>IFERROR(__xludf.DUMMYFUNCTION("""COMPUTED_VALUE"""),"Distribute Coins in Binary Tree")</f>
        <v>Distribute Coins in Binary Tree</v>
      </c>
      <c r="C980" s="23" t="str">
        <f>IFERROR(__xludf.DUMMYFUNCTION("""COMPUTED_VALUE"""),"distribute-coins-in-binary-tree")</f>
        <v>distribute-coins-in-binary-tree</v>
      </c>
      <c r="D980" s="23" t="b">
        <f>IFERROR(__xludf.DUMMYFUNCTION("""COMPUTED_VALUE"""),FALSE)</f>
        <v>0</v>
      </c>
      <c r="E980" s="23" t="str">
        <f>IFERROR(__xludf.DUMMYFUNCTION("""COMPUTED_VALUE"""),"Medium")</f>
        <v>Medium</v>
      </c>
      <c r="F980" s="23">
        <f>IFERROR(__xludf.DUMMYFUNCTION("""COMPUTED_VALUE"""),3607.0)</f>
        <v>3607</v>
      </c>
      <c r="G980" s="23">
        <f>IFERROR(__xludf.DUMMYFUNCTION("""COMPUTED_VALUE"""),120.0)</f>
        <v>120</v>
      </c>
      <c r="H980" s="23" t="str">
        <f>IFERROR(__xludf.DUMMYFUNCTION("""COMPUTED_VALUE"""),"Algorithms")</f>
        <v>Algorithms</v>
      </c>
      <c r="I980" s="23">
        <f>IFERROR(__xludf.DUMMYFUNCTION("""COMPUTED_VALUE"""),0.716)</f>
        <v>0.716</v>
      </c>
      <c r="J980" s="23">
        <f>IFERROR(__xludf.DUMMYFUNCTION("""COMPUTED_VALUE"""),979.0)</f>
        <v>979</v>
      </c>
      <c r="K980" s="23" t="b">
        <f>IFERROR(__xludf.DUMMYFUNCTION("""COMPUTED_VALUE"""),FALSE)</f>
        <v>0</v>
      </c>
      <c r="L980" s="23" t="str">
        <f>IFERROR(__xludf.DUMMYFUNCTION("""COMPUTED_VALUE"""),"Tree;Depth-First Search;Binary Tree;")</f>
        <v>Tree;Depth-First Search;Binary Tree;</v>
      </c>
      <c r="M980" s="23" t="b">
        <f>IFERROR(__xludf.DUMMYFUNCTION("""COMPUTED_VALUE"""),TRUE)</f>
        <v>1</v>
      </c>
      <c r="N980" s="23" t="b">
        <f>IFERROR(__xludf.DUMMYFUNCTION("""COMPUTED_VALUE"""),FALSE)</f>
        <v>0</v>
      </c>
      <c r="O980" s="23">
        <f>IFERROR(__xludf.DUMMYFUNCTION("""COMPUTED_VALUE"""),71.5640574984929)</f>
        <v>71.5640575</v>
      </c>
      <c r="P980" s="23">
        <f>IFERROR(__xludf.DUMMYFUNCTION("""COMPUTED_VALUE"""),84286.0)</f>
        <v>84286</v>
      </c>
      <c r="Q980" s="23">
        <f>IFERROR(__xludf.DUMMYFUNCTION("""COMPUTED_VALUE"""),117774.0)</f>
        <v>117774</v>
      </c>
    </row>
    <row r="981">
      <c r="A981" s="23">
        <f>IFERROR(__xludf.DUMMYFUNCTION("""COMPUTED_VALUE"""),1022.0)</f>
        <v>1022</v>
      </c>
      <c r="B981" s="23" t="str">
        <f>IFERROR(__xludf.DUMMYFUNCTION("""COMPUTED_VALUE"""),"Unique Paths III")</f>
        <v>Unique Paths III</v>
      </c>
      <c r="C981" s="23" t="str">
        <f>IFERROR(__xludf.DUMMYFUNCTION("""COMPUTED_VALUE"""),"unique-paths-iii")</f>
        <v>unique-paths-iii</v>
      </c>
      <c r="D981" s="23" t="b">
        <f>IFERROR(__xludf.DUMMYFUNCTION("""COMPUTED_VALUE"""),FALSE)</f>
        <v>0</v>
      </c>
      <c r="E981" s="23" t="str">
        <f>IFERROR(__xludf.DUMMYFUNCTION("""COMPUTED_VALUE"""),"Hard")</f>
        <v>Hard</v>
      </c>
      <c r="F981" s="23">
        <f>IFERROR(__xludf.DUMMYFUNCTION("""COMPUTED_VALUE"""),2772.0)</f>
        <v>2772</v>
      </c>
      <c r="G981" s="23">
        <f>IFERROR(__xludf.DUMMYFUNCTION("""COMPUTED_VALUE"""),132.0)</f>
        <v>132</v>
      </c>
      <c r="H981" s="23" t="str">
        <f>IFERROR(__xludf.DUMMYFUNCTION("""COMPUTED_VALUE"""),"Algorithms")</f>
        <v>Algorithms</v>
      </c>
      <c r="I981" s="23">
        <f>IFERROR(__xludf.DUMMYFUNCTION("""COMPUTED_VALUE"""),0.794)</f>
        <v>0.794</v>
      </c>
      <c r="J981" s="23">
        <f>IFERROR(__xludf.DUMMYFUNCTION("""COMPUTED_VALUE"""),980.0)</f>
        <v>980</v>
      </c>
      <c r="K981" s="23" t="b">
        <f>IFERROR(__xludf.DUMMYFUNCTION("""COMPUTED_VALUE"""),FALSE)</f>
        <v>0</v>
      </c>
      <c r="L981" s="23" t="str">
        <f>IFERROR(__xludf.DUMMYFUNCTION("""COMPUTED_VALUE"""),"Array;Backtracking;Bit Manipulation;Matrix;")</f>
        <v>Array;Backtracking;Bit Manipulation;Matrix;</v>
      </c>
      <c r="M981" s="23" t="b">
        <f>IFERROR(__xludf.DUMMYFUNCTION("""COMPUTED_VALUE"""),TRUE)</f>
        <v>1</v>
      </c>
      <c r="N981" s="23" t="b">
        <f>IFERROR(__xludf.DUMMYFUNCTION("""COMPUTED_VALUE"""),FALSE)</f>
        <v>0</v>
      </c>
      <c r="O981" s="23">
        <f>IFERROR(__xludf.DUMMYFUNCTION("""COMPUTED_VALUE"""),79.4255102467878)</f>
        <v>79.42551025</v>
      </c>
      <c r="P981" s="23">
        <f>IFERROR(__xludf.DUMMYFUNCTION("""COMPUTED_VALUE"""),113866.0)</f>
        <v>113866</v>
      </c>
      <c r="Q981" s="23">
        <f>IFERROR(__xludf.DUMMYFUNCTION("""COMPUTED_VALUE"""),143362.0)</f>
        <v>143362</v>
      </c>
    </row>
    <row r="982">
      <c r="A982" s="23">
        <f>IFERROR(__xludf.DUMMYFUNCTION("""COMPUTED_VALUE"""),1023.0)</f>
        <v>1023</v>
      </c>
      <c r="B982" s="23" t="str">
        <f>IFERROR(__xludf.DUMMYFUNCTION("""COMPUTED_VALUE"""),"Time Based Key-Value Store")</f>
        <v>Time Based Key-Value Store</v>
      </c>
      <c r="C982" s="23" t="str">
        <f>IFERROR(__xludf.DUMMYFUNCTION("""COMPUTED_VALUE"""),"time-based-key-value-store")</f>
        <v>time-based-key-value-store</v>
      </c>
      <c r="D982" s="23" t="b">
        <f>IFERROR(__xludf.DUMMYFUNCTION("""COMPUTED_VALUE"""),FALSE)</f>
        <v>0</v>
      </c>
      <c r="E982" s="23" t="str">
        <f>IFERROR(__xludf.DUMMYFUNCTION("""COMPUTED_VALUE"""),"Medium")</f>
        <v>Medium</v>
      </c>
      <c r="F982" s="23">
        <f>IFERROR(__xludf.DUMMYFUNCTION("""COMPUTED_VALUE"""),2046.0)</f>
        <v>2046</v>
      </c>
      <c r="G982" s="23">
        <f>IFERROR(__xludf.DUMMYFUNCTION("""COMPUTED_VALUE"""),209.0)</f>
        <v>209</v>
      </c>
      <c r="H982" s="23" t="str">
        <f>IFERROR(__xludf.DUMMYFUNCTION("""COMPUTED_VALUE"""),"Algorithms")</f>
        <v>Algorithms</v>
      </c>
      <c r="I982" s="23">
        <f>IFERROR(__xludf.DUMMYFUNCTION("""COMPUTED_VALUE"""),0.527)</f>
        <v>0.527</v>
      </c>
      <c r="J982" s="23">
        <f>IFERROR(__xludf.DUMMYFUNCTION("""COMPUTED_VALUE"""),981.0)</f>
        <v>981</v>
      </c>
      <c r="K982" s="23" t="b">
        <f>IFERROR(__xludf.DUMMYFUNCTION("""COMPUTED_VALUE"""),FALSE)</f>
        <v>0</v>
      </c>
      <c r="L982" s="23" t="str">
        <f>IFERROR(__xludf.DUMMYFUNCTION("""COMPUTED_VALUE"""),"Hash Table;String;Binary Search;Design;")</f>
        <v>Hash Table;String;Binary Search;Design;</v>
      </c>
      <c r="M982" s="23" t="b">
        <f>IFERROR(__xludf.DUMMYFUNCTION("""COMPUTED_VALUE"""),FALSE)</f>
        <v>0</v>
      </c>
      <c r="N982" s="23" t="b">
        <f>IFERROR(__xludf.DUMMYFUNCTION("""COMPUTED_VALUE"""),FALSE)</f>
        <v>0</v>
      </c>
      <c r="O982" s="23">
        <f>IFERROR(__xludf.DUMMYFUNCTION("""COMPUTED_VALUE"""),52.7179227283567)</f>
        <v>52.71792273</v>
      </c>
      <c r="P982" s="23">
        <f>IFERROR(__xludf.DUMMYFUNCTION("""COMPUTED_VALUE"""),176835.0)</f>
        <v>176835</v>
      </c>
      <c r="Q982" s="23">
        <f>IFERROR(__xludf.DUMMYFUNCTION("""COMPUTED_VALUE"""),335436.0)</f>
        <v>335436</v>
      </c>
    </row>
    <row r="983">
      <c r="A983" s="23">
        <f>IFERROR(__xludf.DUMMYFUNCTION("""COMPUTED_VALUE"""),1024.0)</f>
        <v>1024</v>
      </c>
      <c r="B983" s="23" t="str">
        <f>IFERROR(__xludf.DUMMYFUNCTION("""COMPUTED_VALUE"""),"Triples with Bitwise AND Equal To Zero")</f>
        <v>Triples with Bitwise AND Equal To Zero</v>
      </c>
      <c r="C983" s="23" t="str">
        <f>IFERROR(__xludf.DUMMYFUNCTION("""COMPUTED_VALUE"""),"triples-with-bitwise-and-equal-to-zero")</f>
        <v>triples-with-bitwise-and-equal-to-zero</v>
      </c>
      <c r="D983" s="23" t="b">
        <f>IFERROR(__xludf.DUMMYFUNCTION("""COMPUTED_VALUE"""),FALSE)</f>
        <v>0</v>
      </c>
      <c r="E983" s="23" t="str">
        <f>IFERROR(__xludf.DUMMYFUNCTION("""COMPUTED_VALUE"""),"Hard")</f>
        <v>Hard</v>
      </c>
      <c r="F983" s="23">
        <f>IFERROR(__xludf.DUMMYFUNCTION("""COMPUTED_VALUE"""),241.0)</f>
        <v>241</v>
      </c>
      <c r="G983" s="23">
        <f>IFERROR(__xludf.DUMMYFUNCTION("""COMPUTED_VALUE"""),181.0)</f>
        <v>181</v>
      </c>
      <c r="H983" s="23" t="str">
        <f>IFERROR(__xludf.DUMMYFUNCTION("""COMPUTED_VALUE"""),"Algorithms")</f>
        <v>Algorithms</v>
      </c>
      <c r="I983" s="23">
        <f>IFERROR(__xludf.DUMMYFUNCTION("""COMPUTED_VALUE"""),0.575)</f>
        <v>0.575</v>
      </c>
      <c r="J983" s="23">
        <f>IFERROR(__xludf.DUMMYFUNCTION("""COMPUTED_VALUE"""),982.0)</f>
        <v>982</v>
      </c>
      <c r="K983" s="23" t="b">
        <f>IFERROR(__xludf.DUMMYFUNCTION("""COMPUTED_VALUE"""),FALSE)</f>
        <v>0</v>
      </c>
      <c r="L983" s="23" t="str">
        <f>IFERROR(__xludf.DUMMYFUNCTION("""COMPUTED_VALUE"""),"Array;Hash Table;Bit Manipulation;")</f>
        <v>Array;Hash Table;Bit Manipulation;</v>
      </c>
      <c r="M983" s="23" t="b">
        <f>IFERROR(__xludf.DUMMYFUNCTION("""COMPUTED_VALUE"""),FALSE)</f>
        <v>0</v>
      </c>
      <c r="N983" s="23" t="b">
        <f>IFERROR(__xludf.DUMMYFUNCTION("""COMPUTED_VALUE"""),FALSE)</f>
        <v>0</v>
      </c>
      <c r="O983" s="23">
        <f>IFERROR(__xludf.DUMMYFUNCTION("""COMPUTED_VALUE"""),57.5131727512231)</f>
        <v>57.51317275</v>
      </c>
      <c r="P983" s="23">
        <f>IFERROR(__xludf.DUMMYFUNCTION("""COMPUTED_VALUE"""),12225.0)</f>
        <v>12225</v>
      </c>
      <c r="Q983" s="23">
        <f>IFERROR(__xludf.DUMMYFUNCTION("""COMPUTED_VALUE"""),21256.0)</f>
        <v>21256</v>
      </c>
    </row>
    <row r="984">
      <c r="A984" s="23">
        <f>IFERROR(__xludf.DUMMYFUNCTION("""COMPUTED_VALUE"""),1025.0)</f>
        <v>1025</v>
      </c>
      <c r="B984" s="23" t="str">
        <f>IFERROR(__xludf.DUMMYFUNCTION("""COMPUTED_VALUE"""),"Minimum Cost For Tickets")</f>
        <v>Minimum Cost For Tickets</v>
      </c>
      <c r="C984" s="23" t="str">
        <f>IFERROR(__xludf.DUMMYFUNCTION("""COMPUTED_VALUE"""),"minimum-cost-for-tickets")</f>
        <v>minimum-cost-for-tickets</v>
      </c>
      <c r="D984" s="23" t="b">
        <f>IFERROR(__xludf.DUMMYFUNCTION("""COMPUTED_VALUE"""),FALSE)</f>
        <v>0</v>
      </c>
      <c r="E984" s="23" t="str">
        <f>IFERROR(__xludf.DUMMYFUNCTION("""COMPUTED_VALUE"""),"Medium")</f>
        <v>Medium</v>
      </c>
      <c r="F984" s="23">
        <f>IFERROR(__xludf.DUMMYFUNCTION("""COMPUTED_VALUE"""),4391.0)</f>
        <v>4391</v>
      </c>
      <c r="G984" s="23">
        <f>IFERROR(__xludf.DUMMYFUNCTION("""COMPUTED_VALUE"""),74.0)</f>
        <v>74</v>
      </c>
      <c r="H984" s="23" t="str">
        <f>IFERROR(__xludf.DUMMYFUNCTION("""COMPUTED_VALUE"""),"Algorithms")</f>
        <v>Algorithms</v>
      </c>
      <c r="I984" s="23">
        <f>IFERROR(__xludf.DUMMYFUNCTION("""COMPUTED_VALUE"""),0.641)</f>
        <v>0.641</v>
      </c>
      <c r="J984" s="23">
        <f>IFERROR(__xludf.DUMMYFUNCTION("""COMPUTED_VALUE"""),983.0)</f>
        <v>983</v>
      </c>
      <c r="K984" s="23" t="b">
        <f>IFERROR(__xludf.DUMMYFUNCTION("""COMPUTED_VALUE"""),FALSE)</f>
        <v>0</v>
      </c>
      <c r="L984" s="23" t="str">
        <f>IFERROR(__xludf.DUMMYFUNCTION("""COMPUTED_VALUE"""),"Array;Dynamic Programming;")</f>
        <v>Array;Dynamic Programming;</v>
      </c>
      <c r="M984" s="23" t="b">
        <f>IFERROR(__xludf.DUMMYFUNCTION("""COMPUTED_VALUE"""),TRUE)</f>
        <v>1</v>
      </c>
      <c r="N984" s="23" t="b">
        <f>IFERROR(__xludf.DUMMYFUNCTION("""COMPUTED_VALUE"""),FALSE)</f>
        <v>0</v>
      </c>
      <c r="O984" s="23">
        <f>IFERROR(__xludf.DUMMYFUNCTION("""COMPUTED_VALUE"""),64.0707278100771)</f>
        <v>64.07072781</v>
      </c>
      <c r="P984" s="23">
        <f>IFERROR(__xludf.DUMMYFUNCTION("""COMPUTED_VALUE"""),151970.0)</f>
        <v>151970</v>
      </c>
      <c r="Q984" s="23">
        <f>IFERROR(__xludf.DUMMYFUNCTION("""COMPUTED_VALUE"""),237191.0)</f>
        <v>237191</v>
      </c>
    </row>
    <row r="985">
      <c r="A985" s="23">
        <f>IFERROR(__xludf.DUMMYFUNCTION("""COMPUTED_VALUE"""),1026.0)</f>
        <v>1026</v>
      </c>
      <c r="B985" s="23" t="str">
        <f>IFERROR(__xludf.DUMMYFUNCTION("""COMPUTED_VALUE"""),"String Without AAA or BBB")</f>
        <v>String Without AAA or BBB</v>
      </c>
      <c r="C985" s="23" t="str">
        <f>IFERROR(__xludf.DUMMYFUNCTION("""COMPUTED_VALUE"""),"string-without-aaa-or-bbb")</f>
        <v>string-without-aaa-or-bbb</v>
      </c>
      <c r="D985" s="23" t="b">
        <f>IFERROR(__xludf.DUMMYFUNCTION("""COMPUTED_VALUE"""),FALSE)</f>
        <v>0</v>
      </c>
      <c r="E985" s="23" t="str">
        <f>IFERROR(__xludf.DUMMYFUNCTION("""COMPUTED_VALUE"""),"Medium")</f>
        <v>Medium</v>
      </c>
      <c r="F985" s="23">
        <f>IFERROR(__xludf.DUMMYFUNCTION("""COMPUTED_VALUE"""),489.0)</f>
        <v>489</v>
      </c>
      <c r="G985" s="23">
        <f>IFERROR(__xludf.DUMMYFUNCTION("""COMPUTED_VALUE"""),330.0)</f>
        <v>330</v>
      </c>
      <c r="H985" s="23" t="str">
        <f>IFERROR(__xludf.DUMMYFUNCTION("""COMPUTED_VALUE"""),"Algorithms")</f>
        <v>Algorithms</v>
      </c>
      <c r="I985" s="23">
        <f>IFERROR(__xludf.DUMMYFUNCTION("""COMPUTED_VALUE"""),0.422)</f>
        <v>0.422</v>
      </c>
      <c r="J985" s="23">
        <f>IFERROR(__xludf.DUMMYFUNCTION("""COMPUTED_VALUE"""),984.0)</f>
        <v>984</v>
      </c>
      <c r="K985" s="23" t="b">
        <f>IFERROR(__xludf.DUMMYFUNCTION("""COMPUTED_VALUE"""),FALSE)</f>
        <v>0</v>
      </c>
      <c r="L985" s="23" t="str">
        <f>IFERROR(__xludf.DUMMYFUNCTION("""COMPUTED_VALUE"""),"String;Greedy;")</f>
        <v>String;Greedy;</v>
      </c>
      <c r="M985" s="23" t="b">
        <f>IFERROR(__xludf.DUMMYFUNCTION("""COMPUTED_VALUE"""),TRUE)</f>
        <v>1</v>
      </c>
      <c r="N985" s="23" t="b">
        <f>IFERROR(__xludf.DUMMYFUNCTION("""COMPUTED_VALUE"""),FALSE)</f>
        <v>0</v>
      </c>
      <c r="O985" s="23">
        <f>IFERROR(__xludf.DUMMYFUNCTION("""COMPUTED_VALUE"""),42.2322927580504)</f>
        <v>42.23229276</v>
      </c>
      <c r="P985" s="23">
        <f>IFERROR(__xludf.DUMMYFUNCTION("""COMPUTED_VALUE"""),33456.0)</f>
        <v>33456</v>
      </c>
      <c r="Q985" s="23">
        <f>IFERROR(__xludf.DUMMYFUNCTION("""COMPUTED_VALUE"""),79219.0)</f>
        <v>79219</v>
      </c>
    </row>
    <row r="986">
      <c r="A986" s="23">
        <f>IFERROR(__xludf.DUMMYFUNCTION("""COMPUTED_VALUE"""),1027.0)</f>
        <v>1027</v>
      </c>
      <c r="B986" s="23" t="str">
        <f>IFERROR(__xludf.DUMMYFUNCTION("""COMPUTED_VALUE"""),"Sum of Even Numbers After Queries")</f>
        <v>Sum of Even Numbers After Queries</v>
      </c>
      <c r="C986" s="23" t="str">
        <f>IFERROR(__xludf.DUMMYFUNCTION("""COMPUTED_VALUE"""),"sum-of-even-numbers-after-queries")</f>
        <v>sum-of-even-numbers-after-queries</v>
      </c>
      <c r="D986" s="23" t="b">
        <f>IFERROR(__xludf.DUMMYFUNCTION("""COMPUTED_VALUE"""),FALSE)</f>
        <v>0</v>
      </c>
      <c r="E986" s="23" t="str">
        <f>IFERROR(__xludf.DUMMYFUNCTION("""COMPUTED_VALUE"""),"Medium")</f>
        <v>Medium</v>
      </c>
      <c r="F986" s="23">
        <f>IFERROR(__xludf.DUMMYFUNCTION("""COMPUTED_VALUE"""),672.0)</f>
        <v>672</v>
      </c>
      <c r="G986" s="23">
        <f>IFERROR(__xludf.DUMMYFUNCTION("""COMPUTED_VALUE"""),213.0)</f>
        <v>213</v>
      </c>
      <c r="H986" s="23" t="str">
        <f>IFERROR(__xludf.DUMMYFUNCTION("""COMPUTED_VALUE"""),"Algorithms")</f>
        <v>Algorithms</v>
      </c>
      <c r="I986" s="23">
        <f>IFERROR(__xludf.DUMMYFUNCTION("""COMPUTED_VALUE"""),0.61)</f>
        <v>0.61</v>
      </c>
      <c r="J986" s="23">
        <f>IFERROR(__xludf.DUMMYFUNCTION("""COMPUTED_VALUE"""),985.0)</f>
        <v>985</v>
      </c>
      <c r="K986" s="23" t="b">
        <f>IFERROR(__xludf.DUMMYFUNCTION("""COMPUTED_VALUE"""),FALSE)</f>
        <v>0</v>
      </c>
      <c r="L986" s="23" t="str">
        <f>IFERROR(__xludf.DUMMYFUNCTION("""COMPUTED_VALUE"""),"Array;Simulation;")</f>
        <v>Array;Simulation;</v>
      </c>
      <c r="M986" s="23" t="b">
        <f>IFERROR(__xludf.DUMMYFUNCTION("""COMPUTED_VALUE"""),TRUE)</f>
        <v>1</v>
      </c>
      <c r="N986" s="23" t="b">
        <f>IFERROR(__xludf.DUMMYFUNCTION("""COMPUTED_VALUE"""),FALSE)</f>
        <v>0</v>
      </c>
      <c r="O986" s="23">
        <f>IFERROR(__xludf.DUMMYFUNCTION("""COMPUTED_VALUE"""),60.9617624223602)</f>
        <v>60.96176242</v>
      </c>
      <c r="P986" s="23">
        <f>IFERROR(__xludf.DUMMYFUNCTION("""COMPUTED_VALUE"""),62815.0)</f>
        <v>62815</v>
      </c>
      <c r="Q986" s="23">
        <f>IFERROR(__xludf.DUMMYFUNCTION("""COMPUTED_VALUE"""),103040.0)</f>
        <v>103040</v>
      </c>
    </row>
    <row r="987">
      <c r="A987" s="23">
        <f>IFERROR(__xludf.DUMMYFUNCTION("""COMPUTED_VALUE"""),1028.0)</f>
        <v>1028</v>
      </c>
      <c r="B987" s="23" t="str">
        <f>IFERROR(__xludf.DUMMYFUNCTION("""COMPUTED_VALUE"""),"Interval List Intersections")</f>
        <v>Interval List Intersections</v>
      </c>
      <c r="C987" s="23" t="str">
        <f>IFERROR(__xludf.DUMMYFUNCTION("""COMPUTED_VALUE"""),"interval-list-intersections")</f>
        <v>interval-list-intersections</v>
      </c>
      <c r="D987" s="23" t="b">
        <f>IFERROR(__xludf.DUMMYFUNCTION("""COMPUTED_VALUE"""),FALSE)</f>
        <v>0</v>
      </c>
      <c r="E987" s="23" t="str">
        <f>IFERROR(__xludf.DUMMYFUNCTION("""COMPUTED_VALUE"""),"Medium")</f>
        <v>Medium</v>
      </c>
      <c r="F987" s="23">
        <f>IFERROR(__xludf.DUMMYFUNCTION("""COMPUTED_VALUE"""),4131.0)</f>
        <v>4131</v>
      </c>
      <c r="G987" s="23">
        <f>IFERROR(__xludf.DUMMYFUNCTION("""COMPUTED_VALUE"""),85.0)</f>
        <v>85</v>
      </c>
      <c r="H987" s="23" t="str">
        <f>IFERROR(__xludf.DUMMYFUNCTION("""COMPUTED_VALUE"""),"Algorithms")</f>
        <v>Algorithms</v>
      </c>
      <c r="I987" s="23">
        <f>IFERROR(__xludf.DUMMYFUNCTION("""COMPUTED_VALUE"""),0.711)</f>
        <v>0.711</v>
      </c>
      <c r="J987" s="23">
        <f>IFERROR(__xludf.DUMMYFUNCTION("""COMPUTED_VALUE"""),986.0)</f>
        <v>986</v>
      </c>
      <c r="K987" s="23" t="b">
        <f>IFERROR(__xludf.DUMMYFUNCTION("""COMPUTED_VALUE"""),FALSE)</f>
        <v>0</v>
      </c>
      <c r="L987" s="23" t="str">
        <f>IFERROR(__xludf.DUMMYFUNCTION("""COMPUTED_VALUE"""),"Array;Two Pointers;")</f>
        <v>Array;Two Pointers;</v>
      </c>
      <c r="M987" s="23" t="b">
        <f>IFERROR(__xludf.DUMMYFUNCTION("""COMPUTED_VALUE"""),TRUE)</f>
        <v>1</v>
      </c>
      <c r="N987" s="23" t="b">
        <f>IFERROR(__xludf.DUMMYFUNCTION("""COMPUTED_VALUE"""),FALSE)</f>
        <v>0</v>
      </c>
      <c r="O987" s="23">
        <f>IFERROR(__xludf.DUMMYFUNCTION("""COMPUTED_VALUE"""),71.1209635457255)</f>
        <v>71.12096355</v>
      </c>
      <c r="P987" s="23">
        <f>IFERROR(__xludf.DUMMYFUNCTION("""COMPUTED_VALUE"""),296605.0)</f>
        <v>296605</v>
      </c>
      <c r="Q987" s="23">
        <f>IFERROR(__xludf.DUMMYFUNCTION("""COMPUTED_VALUE"""),417043.0)</f>
        <v>417043</v>
      </c>
    </row>
    <row r="988">
      <c r="A988" s="23">
        <f>IFERROR(__xludf.DUMMYFUNCTION("""COMPUTED_VALUE"""),1029.0)</f>
        <v>1029</v>
      </c>
      <c r="B988" s="23" t="str">
        <f>IFERROR(__xludf.DUMMYFUNCTION("""COMPUTED_VALUE"""),"Vertical Order Traversal of a Binary Tree")</f>
        <v>Vertical Order Traversal of a Binary Tree</v>
      </c>
      <c r="C988" s="23" t="str">
        <f>IFERROR(__xludf.DUMMYFUNCTION("""COMPUTED_VALUE"""),"vertical-order-traversal-of-a-binary-tree")</f>
        <v>vertical-order-traversal-of-a-binary-tree</v>
      </c>
      <c r="D988" s="23" t="b">
        <f>IFERROR(__xludf.DUMMYFUNCTION("""COMPUTED_VALUE"""),FALSE)</f>
        <v>0</v>
      </c>
      <c r="E988" s="23" t="str">
        <f>IFERROR(__xludf.DUMMYFUNCTION("""COMPUTED_VALUE"""),"Hard")</f>
        <v>Hard</v>
      </c>
      <c r="F988" s="23">
        <f>IFERROR(__xludf.DUMMYFUNCTION("""COMPUTED_VALUE"""),3173.0)</f>
        <v>3173</v>
      </c>
      <c r="G988" s="23">
        <f>IFERROR(__xludf.DUMMYFUNCTION("""COMPUTED_VALUE"""),3309.0)</f>
        <v>3309</v>
      </c>
      <c r="H988" s="23" t="str">
        <f>IFERROR(__xludf.DUMMYFUNCTION("""COMPUTED_VALUE"""),"Algorithms")</f>
        <v>Algorithms</v>
      </c>
      <c r="I988" s="23">
        <f>IFERROR(__xludf.DUMMYFUNCTION("""COMPUTED_VALUE"""),0.415)</f>
        <v>0.415</v>
      </c>
      <c r="J988" s="23">
        <f>IFERROR(__xludf.DUMMYFUNCTION("""COMPUTED_VALUE"""),987.0)</f>
        <v>987</v>
      </c>
      <c r="K988" s="23" t="b">
        <f>IFERROR(__xludf.DUMMYFUNCTION("""COMPUTED_VALUE"""),FALSE)</f>
        <v>0</v>
      </c>
      <c r="L988" s="23" t="str">
        <f>IFERROR(__xludf.DUMMYFUNCTION("""COMPUTED_VALUE"""),"Hash Table;Tree;Depth-First Search;Breadth-First Search;Binary Tree;")</f>
        <v>Hash Table;Tree;Depth-First Search;Breadth-First Search;Binary Tree;</v>
      </c>
      <c r="M988" s="23" t="b">
        <f>IFERROR(__xludf.DUMMYFUNCTION("""COMPUTED_VALUE"""),TRUE)</f>
        <v>1</v>
      </c>
      <c r="N988" s="23" t="b">
        <f>IFERROR(__xludf.DUMMYFUNCTION("""COMPUTED_VALUE"""),TRUE)</f>
        <v>1</v>
      </c>
      <c r="O988" s="23">
        <f>IFERROR(__xludf.DUMMYFUNCTION("""COMPUTED_VALUE"""),41.5208098731297)</f>
        <v>41.52080987</v>
      </c>
      <c r="P988" s="23">
        <f>IFERROR(__xludf.DUMMYFUNCTION("""COMPUTED_VALUE"""),218649.0)</f>
        <v>218649</v>
      </c>
      <c r="Q988" s="23">
        <f>IFERROR(__xludf.DUMMYFUNCTION("""COMPUTED_VALUE"""),526598.0)</f>
        <v>526598</v>
      </c>
    </row>
    <row r="989">
      <c r="A989" s="23">
        <f>IFERROR(__xludf.DUMMYFUNCTION("""COMPUTED_VALUE"""),1030.0)</f>
        <v>1030</v>
      </c>
      <c r="B989" s="23" t="str">
        <f>IFERROR(__xludf.DUMMYFUNCTION("""COMPUTED_VALUE"""),"Smallest String Starting From Leaf")</f>
        <v>Smallest String Starting From Leaf</v>
      </c>
      <c r="C989" s="23" t="str">
        <f>IFERROR(__xludf.DUMMYFUNCTION("""COMPUTED_VALUE"""),"smallest-string-starting-from-leaf")</f>
        <v>smallest-string-starting-from-leaf</v>
      </c>
      <c r="D989" s="23" t="b">
        <f>IFERROR(__xludf.DUMMYFUNCTION("""COMPUTED_VALUE"""),FALSE)</f>
        <v>0</v>
      </c>
      <c r="E989" s="23" t="str">
        <f>IFERROR(__xludf.DUMMYFUNCTION("""COMPUTED_VALUE"""),"Medium")</f>
        <v>Medium</v>
      </c>
      <c r="F989" s="23">
        <f>IFERROR(__xludf.DUMMYFUNCTION("""COMPUTED_VALUE"""),1069.0)</f>
        <v>1069</v>
      </c>
      <c r="G989" s="23">
        <f>IFERROR(__xludf.DUMMYFUNCTION("""COMPUTED_VALUE"""),170.0)</f>
        <v>170</v>
      </c>
      <c r="H989" s="23" t="str">
        <f>IFERROR(__xludf.DUMMYFUNCTION("""COMPUTED_VALUE"""),"Algorithms")</f>
        <v>Algorithms</v>
      </c>
      <c r="I989" s="23">
        <f>IFERROR(__xludf.DUMMYFUNCTION("""COMPUTED_VALUE"""),0.487)</f>
        <v>0.487</v>
      </c>
      <c r="J989" s="23">
        <f>IFERROR(__xludf.DUMMYFUNCTION("""COMPUTED_VALUE"""),988.0)</f>
        <v>988</v>
      </c>
      <c r="K989" s="23" t="b">
        <f>IFERROR(__xludf.DUMMYFUNCTION("""COMPUTED_VALUE"""),FALSE)</f>
        <v>0</v>
      </c>
      <c r="L989" s="23" t="str">
        <f>IFERROR(__xludf.DUMMYFUNCTION("""COMPUTED_VALUE"""),"String;Tree;Depth-First Search;Binary Tree;")</f>
        <v>String;Tree;Depth-First Search;Binary Tree;</v>
      </c>
      <c r="M989" s="23" t="b">
        <f>IFERROR(__xludf.DUMMYFUNCTION("""COMPUTED_VALUE"""),TRUE)</f>
        <v>1</v>
      </c>
      <c r="N989" s="23" t="b">
        <f>IFERROR(__xludf.DUMMYFUNCTION("""COMPUTED_VALUE"""),FALSE)</f>
        <v>0</v>
      </c>
      <c r="O989" s="23">
        <f>IFERROR(__xludf.DUMMYFUNCTION("""COMPUTED_VALUE"""),48.6775271975028)</f>
        <v>48.6775272</v>
      </c>
      <c r="P989" s="23">
        <f>IFERROR(__xludf.DUMMYFUNCTION("""COMPUTED_VALUE"""),52709.0)</f>
        <v>52709</v>
      </c>
      <c r="Q989" s="23">
        <f>IFERROR(__xludf.DUMMYFUNCTION("""COMPUTED_VALUE"""),108282.0)</f>
        <v>108282</v>
      </c>
    </row>
    <row r="990">
      <c r="A990" s="23">
        <f>IFERROR(__xludf.DUMMYFUNCTION("""COMPUTED_VALUE"""),1031.0)</f>
        <v>1031</v>
      </c>
      <c r="B990" s="23" t="str">
        <f>IFERROR(__xludf.DUMMYFUNCTION("""COMPUTED_VALUE"""),"Add to Array-Form of Integer")</f>
        <v>Add to Array-Form of Integer</v>
      </c>
      <c r="C990" s="23" t="str">
        <f>IFERROR(__xludf.DUMMYFUNCTION("""COMPUTED_VALUE"""),"add-to-array-form-of-integer")</f>
        <v>add-to-array-form-of-integer</v>
      </c>
      <c r="D990" s="23" t="b">
        <f>IFERROR(__xludf.DUMMYFUNCTION("""COMPUTED_VALUE"""),FALSE)</f>
        <v>0</v>
      </c>
      <c r="E990" s="23" t="str">
        <f>IFERROR(__xludf.DUMMYFUNCTION("""COMPUTED_VALUE"""),"Easy")</f>
        <v>Easy</v>
      </c>
      <c r="F990" s="23">
        <f>IFERROR(__xludf.DUMMYFUNCTION("""COMPUTED_VALUE"""),1211.0)</f>
        <v>1211</v>
      </c>
      <c r="G990" s="23">
        <f>IFERROR(__xludf.DUMMYFUNCTION("""COMPUTED_VALUE"""),146.0)</f>
        <v>146</v>
      </c>
      <c r="H990" s="23" t="str">
        <f>IFERROR(__xludf.DUMMYFUNCTION("""COMPUTED_VALUE"""),"Algorithms")</f>
        <v>Algorithms</v>
      </c>
      <c r="I990" s="23">
        <f>IFERROR(__xludf.DUMMYFUNCTION("""COMPUTED_VALUE"""),0.455)</f>
        <v>0.455</v>
      </c>
      <c r="J990" s="23">
        <f>IFERROR(__xludf.DUMMYFUNCTION("""COMPUTED_VALUE"""),989.0)</f>
        <v>989</v>
      </c>
      <c r="K990" s="23" t="b">
        <f>IFERROR(__xludf.DUMMYFUNCTION("""COMPUTED_VALUE"""),FALSE)</f>
        <v>0</v>
      </c>
      <c r="L990" s="23" t="str">
        <f>IFERROR(__xludf.DUMMYFUNCTION("""COMPUTED_VALUE"""),"Array;Math;")</f>
        <v>Array;Math;</v>
      </c>
      <c r="M990" s="23" t="b">
        <f>IFERROR(__xludf.DUMMYFUNCTION("""COMPUTED_VALUE"""),TRUE)</f>
        <v>1</v>
      </c>
      <c r="N990" s="23" t="b">
        <f>IFERROR(__xludf.DUMMYFUNCTION("""COMPUTED_VALUE"""),FALSE)</f>
        <v>0</v>
      </c>
      <c r="O990" s="23">
        <f>IFERROR(__xludf.DUMMYFUNCTION("""COMPUTED_VALUE"""),45.512284457527)</f>
        <v>45.51228446</v>
      </c>
      <c r="P990" s="23">
        <f>IFERROR(__xludf.DUMMYFUNCTION("""COMPUTED_VALUE"""),108845.0)</f>
        <v>108845</v>
      </c>
      <c r="Q990" s="23">
        <f>IFERROR(__xludf.DUMMYFUNCTION("""COMPUTED_VALUE"""),239157.0)</f>
        <v>239157</v>
      </c>
    </row>
    <row r="991">
      <c r="A991" s="23">
        <f>IFERROR(__xludf.DUMMYFUNCTION("""COMPUTED_VALUE"""),1032.0)</f>
        <v>1032</v>
      </c>
      <c r="B991" s="23" t="str">
        <f>IFERROR(__xludf.DUMMYFUNCTION("""COMPUTED_VALUE"""),"Satisfiability of Equality Equations")</f>
        <v>Satisfiability of Equality Equations</v>
      </c>
      <c r="C991" s="23" t="str">
        <f>IFERROR(__xludf.DUMMYFUNCTION("""COMPUTED_VALUE"""),"satisfiability-of-equality-equations")</f>
        <v>satisfiability-of-equality-equations</v>
      </c>
      <c r="D991" s="23" t="b">
        <f>IFERROR(__xludf.DUMMYFUNCTION("""COMPUTED_VALUE"""),FALSE)</f>
        <v>0</v>
      </c>
      <c r="E991" s="23" t="str">
        <f>IFERROR(__xludf.DUMMYFUNCTION("""COMPUTED_VALUE"""),"Medium")</f>
        <v>Medium</v>
      </c>
      <c r="F991" s="23">
        <f>IFERROR(__xludf.DUMMYFUNCTION("""COMPUTED_VALUE"""),1511.0)</f>
        <v>1511</v>
      </c>
      <c r="G991" s="23">
        <f>IFERROR(__xludf.DUMMYFUNCTION("""COMPUTED_VALUE"""),16.0)</f>
        <v>16</v>
      </c>
      <c r="H991" s="23" t="str">
        <f>IFERROR(__xludf.DUMMYFUNCTION("""COMPUTED_VALUE"""),"Algorithms")</f>
        <v>Algorithms</v>
      </c>
      <c r="I991" s="23">
        <f>IFERROR(__xludf.DUMMYFUNCTION("""COMPUTED_VALUE"""),0.5)</f>
        <v>0.5</v>
      </c>
      <c r="J991" s="23">
        <f>IFERROR(__xludf.DUMMYFUNCTION("""COMPUTED_VALUE"""),990.0)</f>
        <v>990</v>
      </c>
      <c r="K991" s="23" t="b">
        <f>IFERROR(__xludf.DUMMYFUNCTION("""COMPUTED_VALUE"""),FALSE)</f>
        <v>0</v>
      </c>
      <c r="L991" s="23" t="str">
        <f>IFERROR(__xludf.DUMMYFUNCTION("""COMPUTED_VALUE"""),"Array;String;Union Find;Graph;")</f>
        <v>Array;String;Union Find;Graph;</v>
      </c>
      <c r="M991" s="23" t="b">
        <f>IFERROR(__xludf.DUMMYFUNCTION("""COMPUTED_VALUE"""),TRUE)</f>
        <v>1</v>
      </c>
      <c r="N991" s="23" t="b">
        <f>IFERROR(__xludf.DUMMYFUNCTION("""COMPUTED_VALUE"""),FALSE)</f>
        <v>0</v>
      </c>
      <c r="O991" s="23">
        <f>IFERROR(__xludf.DUMMYFUNCTION("""COMPUTED_VALUE"""),49.9641584298363)</f>
        <v>49.96415843</v>
      </c>
      <c r="P991" s="23">
        <f>IFERROR(__xludf.DUMMYFUNCTION("""COMPUTED_VALUE"""),49488.0)</f>
        <v>49488</v>
      </c>
      <c r="Q991" s="23">
        <f>IFERROR(__xludf.DUMMYFUNCTION("""COMPUTED_VALUE"""),99045.0)</f>
        <v>99045</v>
      </c>
    </row>
    <row r="992">
      <c r="A992" s="23">
        <f>IFERROR(__xludf.DUMMYFUNCTION("""COMPUTED_VALUE"""),1033.0)</f>
        <v>1033</v>
      </c>
      <c r="B992" s="23" t="str">
        <f>IFERROR(__xludf.DUMMYFUNCTION("""COMPUTED_VALUE"""),"Broken Calculator")</f>
        <v>Broken Calculator</v>
      </c>
      <c r="C992" s="23" t="str">
        <f>IFERROR(__xludf.DUMMYFUNCTION("""COMPUTED_VALUE"""),"broken-calculator")</f>
        <v>broken-calculator</v>
      </c>
      <c r="D992" s="23" t="b">
        <f>IFERROR(__xludf.DUMMYFUNCTION("""COMPUTED_VALUE"""),FALSE)</f>
        <v>0</v>
      </c>
      <c r="E992" s="23" t="str">
        <f>IFERROR(__xludf.DUMMYFUNCTION("""COMPUTED_VALUE"""),"Medium")</f>
        <v>Medium</v>
      </c>
      <c r="F992" s="23">
        <f>IFERROR(__xludf.DUMMYFUNCTION("""COMPUTED_VALUE"""),2257.0)</f>
        <v>2257</v>
      </c>
      <c r="G992" s="23">
        <f>IFERROR(__xludf.DUMMYFUNCTION("""COMPUTED_VALUE"""),187.0)</f>
        <v>187</v>
      </c>
      <c r="H992" s="23" t="str">
        <f>IFERROR(__xludf.DUMMYFUNCTION("""COMPUTED_VALUE"""),"Algorithms")</f>
        <v>Algorithms</v>
      </c>
      <c r="I992" s="23">
        <f>IFERROR(__xludf.DUMMYFUNCTION("""COMPUTED_VALUE"""),0.542)</f>
        <v>0.542</v>
      </c>
      <c r="J992" s="23">
        <f>IFERROR(__xludf.DUMMYFUNCTION("""COMPUTED_VALUE"""),991.0)</f>
        <v>991</v>
      </c>
      <c r="K992" s="23" t="b">
        <f>IFERROR(__xludf.DUMMYFUNCTION("""COMPUTED_VALUE"""),FALSE)</f>
        <v>0</v>
      </c>
      <c r="L992" s="23" t="str">
        <f>IFERROR(__xludf.DUMMYFUNCTION("""COMPUTED_VALUE"""),"Math;Greedy;")</f>
        <v>Math;Greedy;</v>
      </c>
      <c r="M992" s="23" t="b">
        <f>IFERROR(__xludf.DUMMYFUNCTION("""COMPUTED_VALUE"""),TRUE)</f>
        <v>1</v>
      </c>
      <c r="N992" s="23" t="b">
        <f>IFERROR(__xludf.DUMMYFUNCTION("""COMPUTED_VALUE"""),FALSE)</f>
        <v>0</v>
      </c>
      <c r="O992" s="23">
        <f>IFERROR(__xludf.DUMMYFUNCTION("""COMPUTED_VALUE"""),54.1537644873042)</f>
        <v>54.15376449</v>
      </c>
      <c r="P992" s="23">
        <f>IFERROR(__xludf.DUMMYFUNCTION("""COMPUTED_VALUE"""),85694.0)</f>
        <v>85694</v>
      </c>
      <c r="Q992" s="23">
        <f>IFERROR(__xludf.DUMMYFUNCTION("""COMPUTED_VALUE"""),158242.0)</f>
        <v>158242</v>
      </c>
    </row>
    <row r="993">
      <c r="A993" s="23">
        <f>IFERROR(__xludf.DUMMYFUNCTION("""COMPUTED_VALUE"""),1034.0)</f>
        <v>1034</v>
      </c>
      <c r="B993" s="23" t="str">
        <f>IFERROR(__xludf.DUMMYFUNCTION("""COMPUTED_VALUE"""),"Subarrays with K Different Integers")</f>
        <v>Subarrays with K Different Integers</v>
      </c>
      <c r="C993" s="23" t="str">
        <f>IFERROR(__xludf.DUMMYFUNCTION("""COMPUTED_VALUE"""),"subarrays-with-k-different-integers")</f>
        <v>subarrays-with-k-different-integers</v>
      </c>
      <c r="D993" s="23" t="b">
        <f>IFERROR(__xludf.DUMMYFUNCTION("""COMPUTED_VALUE"""),FALSE)</f>
        <v>0</v>
      </c>
      <c r="E993" s="23" t="str">
        <f>IFERROR(__xludf.DUMMYFUNCTION("""COMPUTED_VALUE"""),"Hard")</f>
        <v>Hard</v>
      </c>
      <c r="F993" s="23">
        <f>IFERROR(__xludf.DUMMYFUNCTION("""COMPUTED_VALUE"""),2913.0)</f>
        <v>2913</v>
      </c>
      <c r="G993" s="23">
        <f>IFERROR(__xludf.DUMMYFUNCTION("""COMPUTED_VALUE"""),40.0)</f>
        <v>40</v>
      </c>
      <c r="H993" s="23" t="str">
        <f>IFERROR(__xludf.DUMMYFUNCTION("""COMPUTED_VALUE"""),"Algorithms")</f>
        <v>Algorithms</v>
      </c>
      <c r="I993" s="23">
        <f>IFERROR(__xludf.DUMMYFUNCTION("""COMPUTED_VALUE"""),0.534)</f>
        <v>0.534</v>
      </c>
      <c r="J993" s="23">
        <f>IFERROR(__xludf.DUMMYFUNCTION("""COMPUTED_VALUE"""),992.0)</f>
        <v>992</v>
      </c>
      <c r="K993" s="23" t="b">
        <f>IFERROR(__xludf.DUMMYFUNCTION("""COMPUTED_VALUE"""),FALSE)</f>
        <v>0</v>
      </c>
      <c r="L993" s="23" t="str">
        <f>IFERROR(__xludf.DUMMYFUNCTION("""COMPUTED_VALUE"""),"Array;Hash Table;Sliding Window;Counting;")</f>
        <v>Array;Hash Table;Sliding Window;Counting;</v>
      </c>
      <c r="M993" s="23" t="b">
        <f>IFERROR(__xludf.DUMMYFUNCTION("""COMPUTED_VALUE"""),FALSE)</f>
        <v>0</v>
      </c>
      <c r="N993" s="23" t="b">
        <f>IFERROR(__xludf.DUMMYFUNCTION("""COMPUTED_VALUE"""),FALSE)</f>
        <v>0</v>
      </c>
      <c r="O993" s="23">
        <f>IFERROR(__xludf.DUMMYFUNCTION("""COMPUTED_VALUE"""),53.3568545232656)</f>
        <v>53.35685452</v>
      </c>
      <c r="P993" s="23">
        <f>IFERROR(__xludf.DUMMYFUNCTION("""COMPUTED_VALUE"""),68205.0)</f>
        <v>68205</v>
      </c>
      <c r="Q993" s="23">
        <f>IFERROR(__xludf.DUMMYFUNCTION("""COMPUTED_VALUE"""),127828.0)</f>
        <v>127828</v>
      </c>
    </row>
    <row r="994">
      <c r="A994" s="23">
        <f>IFERROR(__xludf.DUMMYFUNCTION("""COMPUTED_VALUE"""),1035.0)</f>
        <v>1035</v>
      </c>
      <c r="B994" s="23" t="str">
        <f>IFERROR(__xludf.DUMMYFUNCTION("""COMPUTED_VALUE"""),"Cousins in Binary Tree")</f>
        <v>Cousins in Binary Tree</v>
      </c>
      <c r="C994" s="23" t="str">
        <f>IFERROR(__xludf.DUMMYFUNCTION("""COMPUTED_VALUE"""),"cousins-in-binary-tree")</f>
        <v>cousins-in-binary-tree</v>
      </c>
      <c r="D994" s="23" t="b">
        <f>IFERROR(__xludf.DUMMYFUNCTION("""COMPUTED_VALUE"""),FALSE)</f>
        <v>0</v>
      </c>
      <c r="E994" s="23" t="str">
        <f>IFERROR(__xludf.DUMMYFUNCTION("""COMPUTED_VALUE"""),"Easy")</f>
        <v>Easy</v>
      </c>
      <c r="F994" s="23">
        <f>IFERROR(__xludf.DUMMYFUNCTION("""COMPUTED_VALUE"""),2713.0)</f>
        <v>2713</v>
      </c>
      <c r="G994" s="23">
        <f>IFERROR(__xludf.DUMMYFUNCTION("""COMPUTED_VALUE"""),138.0)</f>
        <v>138</v>
      </c>
      <c r="H994" s="23" t="str">
        <f>IFERROR(__xludf.DUMMYFUNCTION("""COMPUTED_VALUE"""),"Algorithms")</f>
        <v>Algorithms</v>
      </c>
      <c r="I994" s="23">
        <f>IFERROR(__xludf.DUMMYFUNCTION("""COMPUTED_VALUE"""),0.538)</f>
        <v>0.538</v>
      </c>
      <c r="J994" s="23">
        <f>IFERROR(__xludf.DUMMYFUNCTION("""COMPUTED_VALUE"""),993.0)</f>
        <v>993</v>
      </c>
      <c r="K994" s="23" t="b">
        <f>IFERROR(__xludf.DUMMYFUNCTION("""COMPUTED_VALUE"""),FALSE)</f>
        <v>0</v>
      </c>
      <c r="L994" s="23" t="str">
        <f>IFERROR(__xludf.DUMMYFUNCTION("""COMPUTED_VALUE"""),"Tree;Depth-First Search;Breadth-First Search;Binary Tree;")</f>
        <v>Tree;Depth-First Search;Breadth-First Search;Binary Tree;</v>
      </c>
      <c r="M994" s="23" t="b">
        <f>IFERROR(__xludf.DUMMYFUNCTION("""COMPUTED_VALUE"""),TRUE)</f>
        <v>1</v>
      </c>
      <c r="N994" s="23" t="b">
        <f>IFERROR(__xludf.DUMMYFUNCTION("""COMPUTED_VALUE"""),FALSE)</f>
        <v>0</v>
      </c>
      <c r="O994" s="23">
        <f>IFERROR(__xludf.DUMMYFUNCTION("""COMPUTED_VALUE"""),53.8173554714293)</f>
        <v>53.81735547</v>
      </c>
      <c r="P994" s="23">
        <f>IFERROR(__xludf.DUMMYFUNCTION("""COMPUTED_VALUE"""),205563.0)</f>
        <v>205563</v>
      </c>
      <c r="Q994" s="23">
        <f>IFERROR(__xludf.DUMMYFUNCTION("""COMPUTED_VALUE"""),381962.0)</f>
        <v>381962</v>
      </c>
    </row>
    <row r="995">
      <c r="A995" s="23">
        <f>IFERROR(__xludf.DUMMYFUNCTION("""COMPUTED_VALUE"""),1036.0)</f>
        <v>1036</v>
      </c>
      <c r="B995" s="23" t="str">
        <f>IFERROR(__xludf.DUMMYFUNCTION("""COMPUTED_VALUE"""),"Rotting Oranges")</f>
        <v>Rotting Oranges</v>
      </c>
      <c r="C995" s="23" t="str">
        <f>IFERROR(__xludf.DUMMYFUNCTION("""COMPUTED_VALUE"""),"rotting-oranges")</f>
        <v>rotting-oranges</v>
      </c>
      <c r="D995" s="23" t="b">
        <f>IFERROR(__xludf.DUMMYFUNCTION("""COMPUTED_VALUE"""),FALSE)</f>
        <v>0</v>
      </c>
      <c r="E995" s="23" t="str">
        <f>IFERROR(__xludf.DUMMYFUNCTION("""COMPUTED_VALUE"""),"Medium")</f>
        <v>Medium</v>
      </c>
      <c r="F995" s="23">
        <f>IFERROR(__xludf.DUMMYFUNCTION("""COMPUTED_VALUE"""),6455.0)</f>
        <v>6455</v>
      </c>
      <c r="G995" s="23">
        <f>IFERROR(__xludf.DUMMYFUNCTION("""COMPUTED_VALUE"""),273.0)</f>
        <v>273</v>
      </c>
      <c r="H995" s="23" t="str">
        <f>IFERROR(__xludf.DUMMYFUNCTION("""COMPUTED_VALUE"""),"Algorithms")</f>
        <v>Algorithms</v>
      </c>
      <c r="I995" s="23">
        <f>IFERROR(__xludf.DUMMYFUNCTION("""COMPUTED_VALUE"""),0.517)</f>
        <v>0.517</v>
      </c>
      <c r="J995" s="23">
        <f>IFERROR(__xludf.DUMMYFUNCTION("""COMPUTED_VALUE"""),994.0)</f>
        <v>994</v>
      </c>
      <c r="K995" s="23" t="b">
        <f>IFERROR(__xludf.DUMMYFUNCTION("""COMPUTED_VALUE"""),FALSE)</f>
        <v>0</v>
      </c>
      <c r="L995" s="23" t="str">
        <f>IFERROR(__xludf.DUMMYFUNCTION("""COMPUTED_VALUE"""),"Array;Breadth-First Search;Matrix;")</f>
        <v>Array;Breadth-First Search;Matrix;</v>
      </c>
      <c r="M995" s="23" t="b">
        <f>IFERROR(__xludf.DUMMYFUNCTION("""COMPUTED_VALUE"""),TRUE)</f>
        <v>1</v>
      </c>
      <c r="N995" s="23" t="b">
        <f>IFERROR(__xludf.DUMMYFUNCTION("""COMPUTED_VALUE"""),FALSE)</f>
        <v>0</v>
      </c>
      <c r="O995" s="23">
        <f>IFERROR(__xludf.DUMMYFUNCTION("""COMPUTED_VALUE"""),51.7010421518879)</f>
        <v>51.70104215</v>
      </c>
      <c r="P995" s="23">
        <f>IFERROR(__xludf.DUMMYFUNCTION("""COMPUTED_VALUE"""),375146.0)</f>
        <v>375146</v>
      </c>
      <c r="Q995" s="23">
        <f>IFERROR(__xludf.DUMMYFUNCTION("""COMPUTED_VALUE"""),725608.0)</f>
        <v>725608</v>
      </c>
    </row>
    <row r="996">
      <c r="A996" s="23">
        <f>IFERROR(__xludf.DUMMYFUNCTION("""COMPUTED_VALUE"""),1037.0)</f>
        <v>1037</v>
      </c>
      <c r="B996" s="23" t="str">
        <f>IFERROR(__xludf.DUMMYFUNCTION("""COMPUTED_VALUE"""),"Minimum Number of K Consecutive Bit Flips")</f>
        <v>Minimum Number of K Consecutive Bit Flips</v>
      </c>
      <c r="C996" s="23" t="str">
        <f>IFERROR(__xludf.DUMMYFUNCTION("""COMPUTED_VALUE"""),"minimum-number-of-k-consecutive-bit-flips")</f>
        <v>minimum-number-of-k-consecutive-bit-flips</v>
      </c>
      <c r="D996" s="23" t="b">
        <f>IFERROR(__xludf.DUMMYFUNCTION("""COMPUTED_VALUE"""),FALSE)</f>
        <v>0</v>
      </c>
      <c r="E996" s="23" t="str">
        <f>IFERROR(__xludf.DUMMYFUNCTION("""COMPUTED_VALUE"""),"Hard")</f>
        <v>Hard</v>
      </c>
      <c r="F996" s="23">
        <f>IFERROR(__xludf.DUMMYFUNCTION("""COMPUTED_VALUE"""),799.0)</f>
        <v>799</v>
      </c>
      <c r="G996" s="23">
        <f>IFERROR(__xludf.DUMMYFUNCTION("""COMPUTED_VALUE"""),49.0)</f>
        <v>49</v>
      </c>
      <c r="H996" s="23" t="str">
        <f>IFERROR(__xludf.DUMMYFUNCTION("""COMPUTED_VALUE"""),"Algorithms")</f>
        <v>Algorithms</v>
      </c>
      <c r="I996" s="23">
        <f>IFERROR(__xludf.DUMMYFUNCTION("""COMPUTED_VALUE"""),0.508)</f>
        <v>0.508</v>
      </c>
      <c r="J996" s="23">
        <f>IFERROR(__xludf.DUMMYFUNCTION("""COMPUTED_VALUE"""),995.0)</f>
        <v>995</v>
      </c>
      <c r="K996" s="23" t="b">
        <f>IFERROR(__xludf.DUMMYFUNCTION("""COMPUTED_VALUE"""),FALSE)</f>
        <v>0</v>
      </c>
      <c r="L996" s="23" t="str">
        <f>IFERROR(__xludf.DUMMYFUNCTION("""COMPUTED_VALUE"""),"Array;Bit Manipulation;Sliding Window;Prefix Sum;")</f>
        <v>Array;Bit Manipulation;Sliding Window;Prefix Sum;</v>
      </c>
      <c r="M996" s="23" t="b">
        <f>IFERROR(__xludf.DUMMYFUNCTION("""COMPUTED_VALUE"""),FALSE)</f>
        <v>0</v>
      </c>
      <c r="N996" s="23" t="b">
        <f>IFERROR(__xludf.DUMMYFUNCTION("""COMPUTED_VALUE"""),FALSE)</f>
        <v>0</v>
      </c>
      <c r="O996" s="23">
        <f>IFERROR(__xludf.DUMMYFUNCTION("""COMPUTED_VALUE"""),50.7589170263979)</f>
        <v>50.75891703</v>
      </c>
      <c r="P996" s="23">
        <f>IFERROR(__xludf.DUMMYFUNCTION("""COMPUTED_VALUE"""),25516.0)</f>
        <v>25516</v>
      </c>
      <c r="Q996" s="23">
        <f>IFERROR(__xludf.DUMMYFUNCTION("""COMPUTED_VALUE"""),50269.0)</f>
        <v>50269</v>
      </c>
    </row>
    <row r="997">
      <c r="A997" s="23">
        <f>IFERROR(__xludf.DUMMYFUNCTION("""COMPUTED_VALUE"""),1038.0)</f>
        <v>1038</v>
      </c>
      <c r="B997" s="23" t="str">
        <f>IFERROR(__xludf.DUMMYFUNCTION("""COMPUTED_VALUE"""),"Number of Squareful Arrays")</f>
        <v>Number of Squareful Arrays</v>
      </c>
      <c r="C997" s="23" t="str">
        <f>IFERROR(__xludf.DUMMYFUNCTION("""COMPUTED_VALUE"""),"number-of-squareful-arrays")</f>
        <v>number-of-squareful-arrays</v>
      </c>
      <c r="D997" s="23" t="b">
        <f>IFERROR(__xludf.DUMMYFUNCTION("""COMPUTED_VALUE"""),FALSE)</f>
        <v>0</v>
      </c>
      <c r="E997" s="23" t="str">
        <f>IFERROR(__xludf.DUMMYFUNCTION("""COMPUTED_VALUE"""),"Hard")</f>
        <v>Hard</v>
      </c>
      <c r="F997" s="23">
        <f>IFERROR(__xludf.DUMMYFUNCTION("""COMPUTED_VALUE"""),662.0)</f>
        <v>662</v>
      </c>
      <c r="G997" s="23">
        <f>IFERROR(__xludf.DUMMYFUNCTION("""COMPUTED_VALUE"""),27.0)</f>
        <v>27</v>
      </c>
      <c r="H997" s="23" t="str">
        <f>IFERROR(__xludf.DUMMYFUNCTION("""COMPUTED_VALUE"""),"Algorithms")</f>
        <v>Algorithms</v>
      </c>
      <c r="I997" s="23">
        <f>IFERROR(__xludf.DUMMYFUNCTION("""COMPUTED_VALUE"""),0.491)</f>
        <v>0.491</v>
      </c>
      <c r="J997" s="23">
        <f>IFERROR(__xludf.DUMMYFUNCTION("""COMPUTED_VALUE"""),996.0)</f>
        <v>996</v>
      </c>
      <c r="K997" s="23" t="b">
        <f>IFERROR(__xludf.DUMMYFUNCTION("""COMPUTED_VALUE"""),FALSE)</f>
        <v>0</v>
      </c>
      <c r="L997" s="23" t="str">
        <f>IFERROR(__xludf.DUMMYFUNCTION("""COMPUTED_VALUE"""),"Array;Math;Dynamic Programming;Backtracking;Bit Manipulation;Bitmask;")</f>
        <v>Array;Math;Dynamic Programming;Backtracking;Bit Manipulation;Bitmask;</v>
      </c>
      <c r="M997" s="23" t="b">
        <f>IFERROR(__xludf.DUMMYFUNCTION("""COMPUTED_VALUE"""),FALSE)</f>
        <v>0</v>
      </c>
      <c r="N997" s="23" t="b">
        <f>IFERROR(__xludf.DUMMYFUNCTION("""COMPUTED_VALUE"""),FALSE)</f>
        <v>0</v>
      </c>
      <c r="O997" s="23">
        <f>IFERROR(__xludf.DUMMYFUNCTION("""COMPUTED_VALUE"""),49.099037807367)</f>
        <v>49.09903781</v>
      </c>
      <c r="P997" s="23">
        <f>IFERROR(__xludf.DUMMYFUNCTION("""COMPUTED_VALUE"""),25259.0)</f>
        <v>25259</v>
      </c>
      <c r="Q997" s="23">
        <f>IFERROR(__xludf.DUMMYFUNCTION("""COMPUTED_VALUE"""),51445.0)</f>
        <v>51445</v>
      </c>
    </row>
    <row r="998">
      <c r="A998" s="23">
        <f>IFERROR(__xludf.DUMMYFUNCTION("""COMPUTED_VALUE"""),1039.0)</f>
        <v>1039</v>
      </c>
      <c r="B998" s="23" t="str">
        <f>IFERROR(__xludf.DUMMYFUNCTION("""COMPUTED_VALUE"""),"Find the Town Judge")</f>
        <v>Find the Town Judge</v>
      </c>
      <c r="C998" s="23" t="str">
        <f>IFERROR(__xludf.DUMMYFUNCTION("""COMPUTED_VALUE"""),"find-the-town-judge")</f>
        <v>find-the-town-judge</v>
      </c>
      <c r="D998" s="23" t="b">
        <f>IFERROR(__xludf.DUMMYFUNCTION("""COMPUTED_VALUE"""),FALSE)</f>
        <v>0</v>
      </c>
      <c r="E998" s="23" t="str">
        <f>IFERROR(__xludf.DUMMYFUNCTION("""COMPUTED_VALUE"""),"Easy")</f>
        <v>Easy</v>
      </c>
      <c r="F998" s="23">
        <f>IFERROR(__xludf.DUMMYFUNCTION("""COMPUTED_VALUE"""),3337.0)</f>
        <v>3337</v>
      </c>
      <c r="G998" s="23">
        <f>IFERROR(__xludf.DUMMYFUNCTION("""COMPUTED_VALUE"""),260.0)</f>
        <v>260</v>
      </c>
      <c r="H998" s="23" t="str">
        <f>IFERROR(__xludf.DUMMYFUNCTION("""COMPUTED_VALUE"""),"Algorithms")</f>
        <v>Algorithms</v>
      </c>
      <c r="I998" s="23">
        <f>IFERROR(__xludf.DUMMYFUNCTION("""COMPUTED_VALUE"""),0.498)</f>
        <v>0.498</v>
      </c>
      <c r="J998" s="23">
        <f>IFERROR(__xludf.DUMMYFUNCTION("""COMPUTED_VALUE"""),997.0)</f>
        <v>997</v>
      </c>
      <c r="K998" s="23" t="b">
        <f>IFERROR(__xludf.DUMMYFUNCTION("""COMPUTED_VALUE"""),FALSE)</f>
        <v>0</v>
      </c>
      <c r="L998" s="23" t="str">
        <f>IFERROR(__xludf.DUMMYFUNCTION("""COMPUTED_VALUE"""),"Array;Hash Table;Graph;")</f>
        <v>Array;Hash Table;Graph;</v>
      </c>
      <c r="M998" s="23" t="b">
        <f>IFERROR(__xludf.DUMMYFUNCTION("""COMPUTED_VALUE"""),TRUE)</f>
        <v>1</v>
      </c>
      <c r="N998" s="23" t="b">
        <f>IFERROR(__xludf.DUMMYFUNCTION("""COMPUTED_VALUE"""),FALSE)</f>
        <v>0</v>
      </c>
      <c r="O998" s="23">
        <f>IFERROR(__xludf.DUMMYFUNCTION("""COMPUTED_VALUE"""),49.8009214128818)</f>
        <v>49.80092141</v>
      </c>
      <c r="P998" s="23">
        <f>IFERROR(__xludf.DUMMYFUNCTION("""COMPUTED_VALUE"""),272295.0)</f>
        <v>272295</v>
      </c>
      <c r="Q998" s="23">
        <f>IFERROR(__xludf.DUMMYFUNCTION("""COMPUTED_VALUE"""),546766.0)</f>
        <v>546766</v>
      </c>
    </row>
    <row r="999">
      <c r="A999" s="23">
        <f>IFERROR(__xludf.DUMMYFUNCTION("""COMPUTED_VALUE"""),1040.0)</f>
        <v>1040</v>
      </c>
      <c r="B999" s="23" t="str">
        <f>IFERROR(__xludf.DUMMYFUNCTION("""COMPUTED_VALUE"""),"Maximum Binary Tree II")</f>
        <v>Maximum Binary Tree II</v>
      </c>
      <c r="C999" s="23" t="str">
        <f>IFERROR(__xludf.DUMMYFUNCTION("""COMPUTED_VALUE"""),"maximum-binary-tree-ii")</f>
        <v>maximum-binary-tree-ii</v>
      </c>
      <c r="D999" s="23" t="b">
        <f>IFERROR(__xludf.DUMMYFUNCTION("""COMPUTED_VALUE"""),FALSE)</f>
        <v>0</v>
      </c>
      <c r="E999" s="23" t="str">
        <f>IFERROR(__xludf.DUMMYFUNCTION("""COMPUTED_VALUE"""),"Medium")</f>
        <v>Medium</v>
      </c>
      <c r="F999" s="23">
        <f>IFERROR(__xludf.DUMMYFUNCTION("""COMPUTED_VALUE"""),356.0)</f>
        <v>356</v>
      </c>
      <c r="G999" s="23">
        <f>IFERROR(__xludf.DUMMYFUNCTION("""COMPUTED_VALUE"""),646.0)</f>
        <v>646</v>
      </c>
      <c r="H999" s="23" t="str">
        <f>IFERROR(__xludf.DUMMYFUNCTION("""COMPUTED_VALUE"""),"Algorithms")</f>
        <v>Algorithms</v>
      </c>
      <c r="I999" s="23">
        <f>IFERROR(__xludf.DUMMYFUNCTION("""COMPUTED_VALUE"""),0.656)</f>
        <v>0.656</v>
      </c>
      <c r="J999" s="23">
        <f>IFERROR(__xludf.DUMMYFUNCTION("""COMPUTED_VALUE"""),998.0)</f>
        <v>998</v>
      </c>
      <c r="K999" s="23" t="b">
        <f>IFERROR(__xludf.DUMMYFUNCTION("""COMPUTED_VALUE"""),FALSE)</f>
        <v>0</v>
      </c>
      <c r="L999" s="23" t="str">
        <f>IFERROR(__xludf.DUMMYFUNCTION("""COMPUTED_VALUE"""),"Tree;Binary Tree;")</f>
        <v>Tree;Binary Tree;</v>
      </c>
      <c r="M999" s="23" t="b">
        <f>IFERROR(__xludf.DUMMYFUNCTION("""COMPUTED_VALUE"""),FALSE)</f>
        <v>0</v>
      </c>
      <c r="N999" s="23" t="b">
        <f>IFERROR(__xludf.DUMMYFUNCTION("""COMPUTED_VALUE"""),FALSE)</f>
        <v>0</v>
      </c>
      <c r="O999" s="23">
        <f>IFERROR(__xludf.DUMMYFUNCTION("""COMPUTED_VALUE"""),65.6202657394759)</f>
        <v>65.62026574</v>
      </c>
      <c r="P999" s="23">
        <f>IFERROR(__xludf.DUMMYFUNCTION("""COMPUTED_VALUE"""),26422.0)</f>
        <v>26422</v>
      </c>
      <c r="Q999" s="23">
        <f>IFERROR(__xludf.DUMMYFUNCTION("""COMPUTED_VALUE"""),40265.0)</f>
        <v>40265</v>
      </c>
    </row>
    <row r="1000">
      <c r="A1000" s="23">
        <f>IFERROR(__xludf.DUMMYFUNCTION("""COMPUTED_VALUE"""),1041.0)</f>
        <v>1041</v>
      </c>
      <c r="B1000" s="23" t="str">
        <f>IFERROR(__xludf.DUMMYFUNCTION("""COMPUTED_VALUE"""),"Available Captures for Rook")</f>
        <v>Available Captures for Rook</v>
      </c>
      <c r="C1000" s="23" t="str">
        <f>IFERROR(__xludf.DUMMYFUNCTION("""COMPUTED_VALUE"""),"available-captures-for-rook")</f>
        <v>available-captures-for-rook</v>
      </c>
      <c r="D1000" s="23" t="b">
        <f>IFERROR(__xludf.DUMMYFUNCTION("""COMPUTED_VALUE"""),FALSE)</f>
        <v>0</v>
      </c>
      <c r="E1000" s="23" t="str">
        <f>IFERROR(__xludf.DUMMYFUNCTION("""COMPUTED_VALUE"""),"Easy")</f>
        <v>Easy</v>
      </c>
      <c r="F1000" s="23">
        <f>IFERROR(__xludf.DUMMYFUNCTION("""COMPUTED_VALUE"""),446.0)</f>
        <v>446</v>
      </c>
      <c r="G1000" s="23">
        <f>IFERROR(__xludf.DUMMYFUNCTION("""COMPUTED_VALUE"""),560.0)</f>
        <v>560</v>
      </c>
      <c r="H1000" s="23" t="str">
        <f>IFERROR(__xludf.DUMMYFUNCTION("""COMPUTED_VALUE"""),"Algorithms")</f>
        <v>Algorithms</v>
      </c>
      <c r="I1000" s="23">
        <f>IFERROR(__xludf.DUMMYFUNCTION("""COMPUTED_VALUE"""),0.675)</f>
        <v>0.675</v>
      </c>
      <c r="J1000" s="23">
        <f>IFERROR(__xludf.DUMMYFUNCTION("""COMPUTED_VALUE"""),999.0)</f>
        <v>999</v>
      </c>
      <c r="K1000" s="23" t="b">
        <f>IFERROR(__xludf.DUMMYFUNCTION("""COMPUTED_VALUE"""),FALSE)</f>
        <v>0</v>
      </c>
      <c r="L1000" s="23" t="str">
        <f>IFERROR(__xludf.DUMMYFUNCTION("""COMPUTED_VALUE"""),"Array;Matrix;Simulation;")</f>
        <v>Array;Matrix;Simulation;</v>
      </c>
      <c r="M1000" s="23" t="b">
        <f>IFERROR(__xludf.DUMMYFUNCTION("""COMPUTED_VALUE"""),FALSE)</f>
        <v>0</v>
      </c>
      <c r="N1000" s="23" t="b">
        <f>IFERROR(__xludf.DUMMYFUNCTION("""COMPUTED_VALUE"""),FALSE)</f>
        <v>0</v>
      </c>
      <c r="O1000" s="23">
        <f>IFERROR(__xludf.DUMMYFUNCTION("""COMPUTED_VALUE"""),67.5392386549842)</f>
        <v>67.53923865</v>
      </c>
      <c r="P1000" s="23">
        <f>IFERROR(__xludf.DUMMYFUNCTION("""COMPUTED_VALUE"""),49873.0)</f>
        <v>49873</v>
      </c>
      <c r="Q1000" s="23">
        <f>IFERROR(__xludf.DUMMYFUNCTION("""COMPUTED_VALUE"""),73843.0)</f>
        <v>73843</v>
      </c>
    </row>
    <row r="1001">
      <c r="A1001" s="23">
        <f>IFERROR(__xludf.DUMMYFUNCTION("""COMPUTED_VALUE"""),1042.0)</f>
        <v>1042</v>
      </c>
      <c r="B1001" s="23" t="str">
        <f>IFERROR(__xludf.DUMMYFUNCTION("""COMPUTED_VALUE"""),"Minimum Cost to Merge Stones")</f>
        <v>Minimum Cost to Merge Stones</v>
      </c>
      <c r="C1001" s="23" t="str">
        <f>IFERROR(__xludf.DUMMYFUNCTION("""COMPUTED_VALUE"""),"minimum-cost-to-merge-stones")</f>
        <v>minimum-cost-to-merge-stones</v>
      </c>
      <c r="D1001" s="23" t="b">
        <f>IFERROR(__xludf.DUMMYFUNCTION("""COMPUTED_VALUE"""),FALSE)</f>
        <v>0</v>
      </c>
      <c r="E1001" s="23" t="str">
        <f>IFERROR(__xludf.DUMMYFUNCTION("""COMPUTED_VALUE"""),"Hard")</f>
        <v>Hard</v>
      </c>
      <c r="F1001" s="23">
        <f>IFERROR(__xludf.DUMMYFUNCTION("""COMPUTED_VALUE"""),1538.0)</f>
        <v>1538</v>
      </c>
      <c r="G1001" s="23">
        <f>IFERROR(__xludf.DUMMYFUNCTION("""COMPUTED_VALUE"""),81.0)</f>
        <v>81</v>
      </c>
      <c r="H1001" s="23" t="str">
        <f>IFERROR(__xludf.DUMMYFUNCTION("""COMPUTED_VALUE"""),"Algorithms")</f>
        <v>Algorithms</v>
      </c>
      <c r="I1001" s="23">
        <f>IFERROR(__xludf.DUMMYFUNCTION("""COMPUTED_VALUE"""),0.42)</f>
        <v>0.42</v>
      </c>
      <c r="J1001" s="23">
        <f>IFERROR(__xludf.DUMMYFUNCTION("""COMPUTED_VALUE"""),1000.0)</f>
        <v>1000</v>
      </c>
      <c r="K1001" s="23" t="b">
        <f>IFERROR(__xludf.DUMMYFUNCTION("""COMPUTED_VALUE"""),FALSE)</f>
        <v>0</v>
      </c>
      <c r="L1001" s="23" t="str">
        <f>IFERROR(__xludf.DUMMYFUNCTION("""COMPUTED_VALUE"""),"Array;Dynamic Programming;")</f>
        <v>Array;Dynamic Programming;</v>
      </c>
      <c r="M1001" s="23" t="b">
        <f>IFERROR(__xludf.DUMMYFUNCTION("""COMPUTED_VALUE"""),FALSE)</f>
        <v>0</v>
      </c>
      <c r="N1001" s="23" t="b">
        <f>IFERROR(__xludf.DUMMYFUNCTION("""COMPUTED_VALUE"""),FALSE)</f>
        <v>0</v>
      </c>
      <c r="O1001" s="23">
        <f>IFERROR(__xludf.DUMMYFUNCTION("""COMPUTED_VALUE"""),41.9506695714438)</f>
        <v>41.95066957</v>
      </c>
      <c r="P1001" s="23">
        <f>IFERROR(__xludf.DUMMYFUNCTION("""COMPUTED_VALUE"""),27536.0)</f>
        <v>27536</v>
      </c>
      <c r="Q1001" s="23">
        <f>IFERROR(__xludf.DUMMYFUNCTION("""COMPUTED_VALUE"""),65639.0)</f>
        <v>65639</v>
      </c>
    </row>
    <row r="1002">
      <c r="A1002" s="23">
        <f>IFERROR(__xludf.DUMMYFUNCTION("""COMPUTED_VALUE"""),1043.0)</f>
        <v>1043</v>
      </c>
      <c r="B1002" s="23" t="str">
        <f>IFERROR(__xludf.DUMMYFUNCTION("""COMPUTED_VALUE"""),"Grid Illumination")</f>
        <v>Grid Illumination</v>
      </c>
      <c r="C1002" s="23" t="str">
        <f>IFERROR(__xludf.DUMMYFUNCTION("""COMPUTED_VALUE"""),"grid-illumination")</f>
        <v>grid-illumination</v>
      </c>
      <c r="D1002" s="23" t="b">
        <f>IFERROR(__xludf.DUMMYFUNCTION("""COMPUTED_VALUE"""),FALSE)</f>
        <v>0</v>
      </c>
      <c r="E1002" s="23" t="str">
        <f>IFERROR(__xludf.DUMMYFUNCTION("""COMPUTED_VALUE"""),"Hard")</f>
        <v>Hard</v>
      </c>
      <c r="F1002" s="23">
        <f>IFERROR(__xludf.DUMMYFUNCTION("""COMPUTED_VALUE"""),394.0)</f>
        <v>394</v>
      </c>
      <c r="G1002" s="23">
        <f>IFERROR(__xludf.DUMMYFUNCTION("""COMPUTED_VALUE"""),104.0)</f>
        <v>104</v>
      </c>
      <c r="H1002" s="23" t="str">
        <f>IFERROR(__xludf.DUMMYFUNCTION("""COMPUTED_VALUE"""),"Algorithms")</f>
        <v>Algorithms</v>
      </c>
      <c r="I1002" s="23">
        <f>IFERROR(__xludf.DUMMYFUNCTION("""COMPUTED_VALUE"""),0.361)</f>
        <v>0.361</v>
      </c>
      <c r="J1002" s="23">
        <f>IFERROR(__xludf.DUMMYFUNCTION("""COMPUTED_VALUE"""),1001.0)</f>
        <v>1001</v>
      </c>
      <c r="K1002" s="23" t="b">
        <f>IFERROR(__xludf.DUMMYFUNCTION("""COMPUTED_VALUE"""),FALSE)</f>
        <v>0</v>
      </c>
      <c r="L1002" s="23" t="str">
        <f>IFERROR(__xludf.DUMMYFUNCTION("""COMPUTED_VALUE"""),"Array;Hash Table;")</f>
        <v>Array;Hash Table;</v>
      </c>
      <c r="M1002" s="23" t="b">
        <f>IFERROR(__xludf.DUMMYFUNCTION("""COMPUTED_VALUE"""),FALSE)</f>
        <v>0</v>
      </c>
      <c r="N1002" s="23" t="b">
        <f>IFERROR(__xludf.DUMMYFUNCTION("""COMPUTED_VALUE"""),FALSE)</f>
        <v>0</v>
      </c>
      <c r="O1002" s="23">
        <f>IFERROR(__xludf.DUMMYFUNCTION("""COMPUTED_VALUE"""),36.1400804450974)</f>
        <v>36.14008045</v>
      </c>
      <c r="P1002" s="23">
        <f>IFERROR(__xludf.DUMMYFUNCTION("""COMPUTED_VALUE"""),15005.0)</f>
        <v>15005</v>
      </c>
      <c r="Q1002" s="23">
        <f>IFERROR(__xludf.DUMMYFUNCTION("""COMPUTED_VALUE"""),41519.0)</f>
        <v>41519</v>
      </c>
    </row>
    <row r="1003">
      <c r="A1003" s="23">
        <f>IFERROR(__xludf.DUMMYFUNCTION("""COMPUTED_VALUE"""),1044.0)</f>
        <v>1044</v>
      </c>
      <c r="B1003" s="23" t="str">
        <f>IFERROR(__xludf.DUMMYFUNCTION("""COMPUTED_VALUE"""),"Find Common Characters")</f>
        <v>Find Common Characters</v>
      </c>
      <c r="C1003" s="23" t="str">
        <f>IFERROR(__xludf.DUMMYFUNCTION("""COMPUTED_VALUE"""),"find-common-characters")</f>
        <v>find-common-characters</v>
      </c>
      <c r="D1003" s="23" t="b">
        <f>IFERROR(__xludf.DUMMYFUNCTION("""COMPUTED_VALUE"""),FALSE)</f>
        <v>0</v>
      </c>
      <c r="E1003" s="23" t="str">
        <f>IFERROR(__xludf.DUMMYFUNCTION("""COMPUTED_VALUE"""),"Easy")</f>
        <v>Easy</v>
      </c>
      <c r="F1003" s="23">
        <f>IFERROR(__xludf.DUMMYFUNCTION("""COMPUTED_VALUE"""),2292.0)</f>
        <v>2292</v>
      </c>
      <c r="G1003" s="23">
        <f>IFERROR(__xludf.DUMMYFUNCTION("""COMPUTED_VALUE"""),185.0)</f>
        <v>185</v>
      </c>
      <c r="H1003" s="23" t="str">
        <f>IFERROR(__xludf.DUMMYFUNCTION("""COMPUTED_VALUE"""),"Algorithms")</f>
        <v>Algorithms</v>
      </c>
      <c r="I1003" s="23">
        <f>IFERROR(__xludf.DUMMYFUNCTION("""COMPUTED_VALUE"""),0.684)</f>
        <v>0.684</v>
      </c>
      <c r="J1003" s="23">
        <f>IFERROR(__xludf.DUMMYFUNCTION("""COMPUTED_VALUE"""),1002.0)</f>
        <v>1002</v>
      </c>
      <c r="K1003" s="23" t="b">
        <f>IFERROR(__xludf.DUMMYFUNCTION("""COMPUTED_VALUE"""),FALSE)</f>
        <v>0</v>
      </c>
      <c r="L1003" s="23" t="str">
        <f>IFERROR(__xludf.DUMMYFUNCTION("""COMPUTED_VALUE"""),"Array;Hash Table;String;")</f>
        <v>Array;Hash Table;String;</v>
      </c>
      <c r="M1003" s="23" t="b">
        <f>IFERROR(__xludf.DUMMYFUNCTION("""COMPUTED_VALUE"""),FALSE)</f>
        <v>0</v>
      </c>
      <c r="N1003" s="23" t="b">
        <f>IFERROR(__xludf.DUMMYFUNCTION("""COMPUTED_VALUE"""),FALSE)</f>
        <v>0</v>
      </c>
      <c r="O1003" s="23">
        <f>IFERROR(__xludf.DUMMYFUNCTION("""COMPUTED_VALUE"""),68.4134424330056)</f>
        <v>68.41344243</v>
      </c>
      <c r="P1003" s="23">
        <f>IFERROR(__xludf.DUMMYFUNCTION("""COMPUTED_VALUE"""),142889.0)</f>
        <v>142889</v>
      </c>
      <c r="Q1003" s="23">
        <f>IFERROR(__xludf.DUMMYFUNCTION("""COMPUTED_VALUE"""),208861.0)</f>
        <v>208861</v>
      </c>
    </row>
    <row r="1004">
      <c r="A1004" s="23">
        <f>IFERROR(__xludf.DUMMYFUNCTION("""COMPUTED_VALUE"""),1045.0)</f>
        <v>1045</v>
      </c>
      <c r="B1004" s="23" t="str">
        <f>IFERROR(__xludf.DUMMYFUNCTION("""COMPUTED_VALUE"""),"Check If Word Is Valid After Substitutions")</f>
        <v>Check If Word Is Valid After Substitutions</v>
      </c>
      <c r="C1004" s="23" t="str">
        <f>IFERROR(__xludf.DUMMYFUNCTION("""COMPUTED_VALUE"""),"check-if-word-is-valid-after-substitutions")</f>
        <v>check-if-word-is-valid-after-substitutions</v>
      </c>
      <c r="D1004" s="23" t="b">
        <f>IFERROR(__xludf.DUMMYFUNCTION("""COMPUTED_VALUE"""),FALSE)</f>
        <v>0</v>
      </c>
      <c r="E1004" s="23" t="str">
        <f>IFERROR(__xludf.DUMMYFUNCTION("""COMPUTED_VALUE"""),"Medium")</f>
        <v>Medium</v>
      </c>
      <c r="F1004" s="23">
        <f>IFERROR(__xludf.DUMMYFUNCTION("""COMPUTED_VALUE"""),593.0)</f>
        <v>593</v>
      </c>
      <c r="G1004" s="23">
        <f>IFERROR(__xludf.DUMMYFUNCTION("""COMPUTED_VALUE"""),438.0)</f>
        <v>438</v>
      </c>
      <c r="H1004" s="23" t="str">
        <f>IFERROR(__xludf.DUMMYFUNCTION("""COMPUTED_VALUE"""),"Algorithms")</f>
        <v>Algorithms</v>
      </c>
      <c r="I1004" s="23">
        <f>IFERROR(__xludf.DUMMYFUNCTION("""COMPUTED_VALUE"""),0.579)</f>
        <v>0.579</v>
      </c>
      <c r="J1004" s="23">
        <f>IFERROR(__xludf.DUMMYFUNCTION("""COMPUTED_VALUE"""),1003.0)</f>
        <v>1003</v>
      </c>
      <c r="K1004" s="23" t="b">
        <f>IFERROR(__xludf.DUMMYFUNCTION("""COMPUTED_VALUE"""),FALSE)</f>
        <v>0</v>
      </c>
      <c r="L1004" s="23" t="str">
        <f>IFERROR(__xludf.DUMMYFUNCTION("""COMPUTED_VALUE"""),"String;Stack;")</f>
        <v>String;Stack;</v>
      </c>
      <c r="M1004" s="23" t="b">
        <f>IFERROR(__xludf.DUMMYFUNCTION("""COMPUTED_VALUE"""),FALSE)</f>
        <v>0</v>
      </c>
      <c r="N1004" s="23" t="b">
        <f>IFERROR(__xludf.DUMMYFUNCTION("""COMPUTED_VALUE"""),FALSE)</f>
        <v>0</v>
      </c>
      <c r="O1004" s="23">
        <f>IFERROR(__xludf.DUMMYFUNCTION("""COMPUTED_VALUE"""),57.8742269787931)</f>
        <v>57.87422698</v>
      </c>
      <c r="P1004" s="23">
        <f>IFERROR(__xludf.DUMMYFUNCTION("""COMPUTED_VALUE"""),40990.0)</f>
        <v>40990</v>
      </c>
      <c r="Q1004" s="23">
        <f>IFERROR(__xludf.DUMMYFUNCTION("""COMPUTED_VALUE"""),70826.0)</f>
        <v>70826</v>
      </c>
    </row>
    <row r="1005">
      <c r="A1005" s="23">
        <f>IFERROR(__xludf.DUMMYFUNCTION("""COMPUTED_VALUE"""),1046.0)</f>
        <v>1046</v>
      </c>
      <c r="B1005" s="23" t="str">
        <f>IFERROR(__xludf.DUMMYFUNCTION("""COMPUTED_VALUE"""),"Max Consecutive Ones III")</f>
        <v>Max Consecutive Ones III</v>
      </c>
      <c r="C1005" s="23" t="str">
        <f>IFERROR(__xludf.DUMMYFUNCTION("""COMPUTED_VALUE"""),"max-consecutive-ones-iii")</f>
        <v>max-consecutive-ones-iii</v>
      </c>
      <c r="D1005" s="23" t="b">
        <f>IFERROR(__xludf.DUMMYFUNCTION("""COMPUTED_VALUE"""),FALSE)</f>
        <v>0</v>
      </c>
      <c r="E1005" s="23" t="str">
        <f>IFERROR(__xludf.DUMMYFUNCTION("""COMPUTED_VALUE"""),"Medium")</f>
        <v>Medium</v>
      </c>
      <c r="F1005" s="23">
        <f>IFERROR(__xludf.DUMMYFUNCTION("""COMPUTED_VALUE"""),4284.0)</f>
        <v>4284</v>
      </c>
      <c r="G1005" s="23">
        <f>IFERROR(__xludf.DUMMYFUNCTION("""COMPUTED_VALUE"""),56.0)</f>
        <v>56</v>
      </c>
      <c r="H1005" s="23" t="str">
        <f>IFERROR(__xludf.DUMMYFUNCTION("""COMPUTED_VALUE"""),"Algorithms")</f>
        <v>Algorithms</v>
      </c>
      <c r="I1005" s="23">
        <f>IFERROR(__xludf.DUMMYFUNCTION("""COMPUTED_VALUE"""),0.629)</f>
        <v>0.629</v>
      </c>
      <c r="J1005" s="23">
        <f>IFERROR(__xludf.DUMMYFUNCTION("""COMPUTED_VALUE"""),1004.0)</f>
        <v>1004</v>
      </c>
      <c r="K1005" s="23" t="b">
        <f>IFERROR(__xludf.DUMMYFUNCTION("""COMPUTED_VALUE"""),FALSE)</f>
        <v>0</v>
      </c>
      <c r="L1005" s="23" t="str">
        <f>IFERROR(__xludf.DUMMYFUNCTION("""COMPUTED_VALUE"""),"Array;Binary Search;Sliding Window;Prefix Sum;")</f>
        <v>Array;Binary Search;Sliding Window;Prefix Sum;</v>
      </c>
      <c r="M1005" s="23" t="b">
        <f>IFERROR(__xludf.DUMMYFUNCTION("""COMPUTED_VALUE"""),TRUE)</f>
        <v>1</v>
      </c>
      <c r="N1005" s="23" t="b">
        <f>IFERROR(__xludf.DUMMYFUNCTION("""COMPUTED_VALUE"""),FALSE)</f>
        <v>0</v>
      </c>
      <c r="O1005" s="23">
        <f>IFERROR(__xludf.DUMMYFUNCTION("""COMPUTED_VALUE"""),62.9272551699456)</f>
        <v>62.92725517</v>
      </c>
      <c r="P1005" s="23">
        <f>IFERROR(__xludf.DUMMYFUNCTION("""COMPUTED_VALUE"""),203967.0)</f>
        <v>203967</v>
      </c>
      <c r="Q1005" s="23">
        <f>IFERROR(__xludf.DUMMYFUNCTION("""COMPUTED_VALUE"""),324127.0)</f>
        <v>324127</v>
      </c>
    </row>
    <row r="1006">
      <c r="A1006" s="23">
        <f>IFERROR(__xludf.DUMMYFUNCTION("""COMPUTED_VALUE"""),1047.0)</f>
        <v>1047</v>
      </c>
      <c r="B1006" s="23" t="str">
        <f>IFERROR(__xludf.DUMMYFUNCTION("""COMPUTED_VALUE"""),"Maximize Sum Of Array After K Negations")</f>
        <v>Maximize Sum Of Array After K Negations</v>
      </c>
      <c r="C1006" s="23" t="str">
        <f>IFERROR(__xludf.DUMMYFUNCTION("""COMPUTED_VALUE"""),"maximize-sum-of-array-after-k-negations")</f>
        <v>maximize-sum-of-array-after-k-negations</v>
      </c>
      <c r="D1006" s="23" t="b">
        <f>IFERROR(__xludf.DUMMYFUNCTION("""COMPUTED_VALUE"""),FALSE)</f>
        <v>0</v>
      </c>
      <c r="E1006" s="23" t="str">
        <f>IFERROR(__xludf.DUMMYFUNCTION("""COMPUTED_VALUE"""),"Easy")</f>
        <v>Easy</v>
      </c>
      <c r="F1006" s="23">
        <f>IFERROR(__xludf.DUMMYFUNCTION("""COMPUTED_VALUE"""),961.0)</f>
        <v>961</v>
      </c>
      <c r="G1006" s="23">
        <f>IFERROR(__xludf.DUMMYFUNCTION("""COMPUTED_VALUE"""),79.0)</f>
        <v>79</v>
      </c>
      <c r="H1006" s="23" t="str">
        <f>IFERROR(__xludf.DUMMYFUNCTION("""COMPUTED_VALUE"""),"Algorithms")</f>
        <v>Algorithms</v>
      </c>
      <c r="I1006" s="23">
        <f>IFERROR(__xludf.DUMMYFUNCTION("""COMPUTED_VALUE"""),0.514)</f>
        <v>0.514</v>
      </c>
      <c r="J1006" s="23">
        <f>IFERROR(__xludf.DUMMYFUNCTION("""COMPUTED_VALUE"""),1005.0)</f>
        <v>1005</v>
      </c>
      <c r="K1006" s="23" t="b">
        <f>IFERROR(__xludf.DUMMYFUNCTION("""COMPUTED_VALUE"""),FALSE)</f>
        <v>0</v>
      </c>
      <c r="L1006" s="23" t="str">
        <f>IFERROR(__xludf.DUMMYFUNCTION("""COMPUTED_VALUE"""),"Array;Greedy;Sorting;")</f>
        <v>Array;Greedy;Sorting;</v>
      </c>
      <c r="M1006" s="23" t="b">
        <f>IFERROR(__xludf.DUMMYFUNCTION("""COMPUTED_VALUE"""),FALSE)</f>
        <v>0</v>
      </c>
      <c r="N1006" s="23" t="b">
        <f>IFERROR(__xludf.DUMMYFUNCTION("""COMPUTED_VALUE"""),FALSE)</f>
        <v>0</v>
      </c>
      <c r="O1006" s="23">
        <f>IFERROR(__xludf.DUMMYFUNCTION("""COMPUTED_VALUE"""),51.4118411248877)</f>
        <v>51.41184112</v>
      </c>
      <c r="P1006" s="23">
        <f>IFERROR(__xludf.DUMMYFUNCTION("""COMPUTED_VALUE"""),53821.0)</f>
        <v>53821</v>
      </c>
      <c r="Q1006" s="23">
        <f>IFERROR(__xludf.DUMMYFUNCTION("""COMPUTED_VALUE"""),104686.0)</f>
        <v>104686</v>
      </c>
    </row>
    <row r="1007">
      <c r="A1007" s="23">
        <f>IFERROR(__xludf.DUMMYFUNCTION("""COMPUTED_VALUE"""),1048.0)</f>
        <v>1048</v>
      </c>
      <c r="B1007" s="23" t="str">
        <f>IFERROR(__xludf.DUMMYFUNCTION("""COMPUTED_VALUE"""),"Clumsy Factorial")</f>
        <v>Clumsy Factorial</v>
      </c>
      <c r="C1007" s="23" t="str">
        <f>IFERROR(__xludf.DUMMYFUNCTION("""COMPUTED_VALUE"""),"clumsy-factorial")</f>
        <v>clumsy-factorial</v>
      </c>
      <c r="D1007" s="23" t="b">
        <f>IFERROR(__xludf.DUMMYFUNCTION("""COMPUTED_VALUE"""),FALSE)</f>
        <v>0</v>
      </c>
      <c r="E1007" s="23" t="str">
        <f>IFERROR(__xludf.DUMMYFUNCTION("""COMPUTED_VALUE"""),"Medium")</f>
        <v>Medium</v>
      </c>
      <c r="F1007" s="23">
        <f>IFERROR(__xludf.DUMMYFUNCTION("""COMPUTED_VALUE"""),189.0)</f>
        <v>189</v>
      </c>
      <c r="G1007" s="23">
        <f>IFERROR(__xludf.DUMMYFUNCTION("""COMPUTED_VALUE"""),229.0)</f>
        <v>229</v>
      </c>
      <c r="H1007" s="23" t="str">
        <f>IFERROR(__xludf.DUMMYFUNCTION("""COMPUTED_VALUE"""),"Algorithms")</f>
        <v>Algorithms</v>
      </c>
      <c r="I1007" s="23">
        <f>IFERROR(__xludf.DUMMYFUNCTION("""COMPUTED_VALUE"""),0.547)</f>
        <v>0.547</v>
      </c>
      <c r="J1007" s="23">
        <f>IFERROR(__xludf.DUMMYFUNCTION("""COMPUTED_VALUE"""),1006.0)</f>
        <v>1006</v>
      </c>
      <c r="K1007" s="23" t="b">
        <f>IFERROR(__xludf.DUMMYFUNCTION("""COMPUTED_VALUE"""),FALSE)</f>
        <v>0</v>
      </c>
      <c r="L1007" s="23" t="str">
        <f>IFERROR(__xludf.DUMMYFUNCTION("""COMPUTED_VALUE"""),"Math;Stack;Simulation;")</f>
        <v>Math;Stack;Simulation;</v>
      </c>
      <c r="M1007" s="23" t="b">
        <f>IFERROR(__xludf.DUMMYFUNCTION("""COMPUTED_VALUE"""),FALSE)</f>
        <v>0</v>
      </c>
      <c r="N1007" s="23" t="b">
        <f>IFERROR(__xludf.DUMMYFUNCTION("""COMPUTED_VALUE"""),FALSE)</f>
        <v>0</v>
      </c>
      <c r="O1007" s="23">
        <f>IFERROR(__xludf.DUMMYFUNCTION("""COMPUTED_VALUE"""),54.7053505383414)</f>
        <v>54.70535054</v>
      </c>
      <c r="P1007" s="23">
        <f>IFERROR(__xludf.DUMMYFUNCTION("""COMPUTED_VALUE"""),19968.0)</f>
        <v>19968</v>
      </c>
      <c r="Q1007" s="23">
        <f>IFERROR(__xludf.DUMMYFUNCTION("""COMPUTED_VALUE"""),36501.0)</f>
        <v>36501</v>
      </c>
    </row>
    <row r="1008">
      <c r="A1008" s="23">
        <f>IFERROR(__xludf.DUMMYFUNCTION("""COMPUTED_VALUE"""),1049.0)</f>
        <v>1049</v>
      </c>
      <c r="B1008" s="23" t="str">
        <f>IFERROR(__xludf.DUMMYFUNCTION("""COMPUTED_VALUE"""),"Minimum Domino Rotations For Equal Row")</f>
        <v>Minimum Domino Rotations For Equal Row</v>
      </c>
      <c r="C1008" s="23" t="str">
        <f>IFERROR(__xludf.DUMMYFUNCTION("""COMPUTED_VALUE"""),"minimum-domino-rotations-for-equal-row")</f>
        <v>minimum-domino-rotations-for-equal-row</v>
      </c>
      <c r="D1008" s="23" t="b">
        <f>IFERROR(__xludf.DUMMYFUNCTION("""COMPUTED_VALUE"""),FALSE)</f>
        <v>0</v>
      </c>
      <c r="E1008" s="23" t="str">
        <f>IFERROR(__xludf.DUMMYFUNCTION("""COMPUTED_VALUE"""),"Medium")</f>
        <v>Medium</v>
      </c>
      <c r="F1008" s="23">
        <f>IFERROR(__xludf.DUMMYFUNCTION("""COMPUTED_VALUE"""),2430.0)</f>
        <v>2430</v>
      </c>
      <c r="G1008" s="23">
        <f>IFERROR(__xludf.DUMMYFUNCTION("""COMPUTED_VALUE"""),240.0)</f>
        <v>240</v>
      </c>
      <c r="H1008" s="23" t="str">
        <f>IFERROR(__xludf.DUMMYFUNCTION("""COMPUTED_VALUE"""),"Algorithms")</f>
        <v>Algorithms</v>
      </c>
      <c r="I1008" s="23">
        <f>IFERROR(__xludf.DUMMYFUNCTION("""COMPUTED_VALUE"""),0.526)</f>
        <v>0.526</v>
      </c>
      <c r="J1008" s="23">
        <f>IFERROR(__xludf.DUMMYFUNCTION("""COMPUTED_VALUE"""),1007.0)</f>
        <v>1007</v>
      </c>
      <c r="K1008" s="23" t="b">
        <f>IFERROR(__xludf.DUMMYFUNCTION("""COMPUTED_VALUE"""),FALSE)</f>
        <v>0</v>
      </c>
      <c r="L1008" s="23" t="str">
        <f>IFERROR(__xludf.DUMMYFUNCTION("""COMPUTED_VALUE"""),"Array;Greedy;")</f>
        <v>Array;Greedy;</v>
      </c>
      <c r="M1008" s="23" t="b">
        <f>IFERROR(__xludf.DUMMYFUNCTION("""COMPUTED_VALUE"""),TRUE)</f>
        <v>1</v>
      </c>
      <c r="N1008" s="23" t="b">
        <f>IFERROR(__xludf.DUMMYFUNCTION("""COMPUTED_VALUE"""),FALSE)</f>
        <v>0</v>
      </c>
      <c r="O1008" s="23">
        <f>IFERROR(__xludf.DUMMYFUNCTION("""COMPUTED_VALUE"""),52.620217402844)</f>
        <v>52.6202174</v>
      </c>
      <c r="P1008" s="23">
        <f>IFERROR(__xludf.DUMMYFUNCTION("""COMPUTED_VALUE"""),178432.0)</f>
        <v>178432</v>
      </c>
      <c r="Q1008" s="23">
        <f>IFERROR(__xludf.DUMMYFUNCTION("""COMPUTED_VALUE"""),339093.0)</f>
        <v>339093</v>
      </c>
    </row>
    <row r="1009">
      <c r="A1009" s="23">
        <f>IFERROR(__xludf.DUMMYFUNCTION("""COMPUTED_VALUE"""),1050.0)</f>
        <v>1050</v>
      </c>
      <c r="B1009" s="23" t="str">
        <f>IFERROR(__xludf.DUMMYFUNCTION("""COMPUTED_VALUE"""),"Construct Binary Search Tree from Preorder Traversal")</f>
        <v>Construct Binary Search Tree from Preorder Traversal</v>
      </c>
      <c r="C1009" s="23" t="str">
        <f>IFERROR(__xludf.DUMMYFUNCTION("""COMPUTED_VALUE"""),"construct-binary-search-tree-from-preorder-traversal")</f>
        <v>construct-binary-search-tree-from-preorder-traversal</v>
      </c>
      <c r="D1009" s="23" t="b">
        <f>IFERROR(__xludf.DUMMYFUNCTION("""COMPUTED_VALUE"""),FALSE)</f>
        <v>0</v>
      </c>
      <c r="E1009" s="23" t="str">
        <f>IFERROR(__xludf.DUMMYFUNCTION("""COMPUTED_VALUE"""),"Medium")</f>
        <v>Medium</v>
      </c>
      <c r="F1009" s="23">
        <f>IFERROR(__xludf.DUMMYFUNCTION("""COMPUTED_VALUE"""),3593.0)</f>
        <v>3593</v>
      </c>
      <c r="G1009" s="23">
        <f>IFERROR(__xludf.DUMMYFUNCTION("""COMPUTED_VALUE"""),59.0)</f>
        <v>59</v>
      </c>
      <c r="H1009" s="23" t="str">
        <f>IFERROR(__xludf.DUMMYFUNCTION("""COMPUTED_VALUE"""),"Algorithms")</f>
        <v>Algorithms</v>
      </c>
      <c r="I1009" s="23">
        <f>IFERROR(__xludf.DUMMYFUNCTION("""COMPUTED_VALUE"""),0.802)</f>
        <v>0.802</v>
      </c>
      <c r="J1009" s="23">
        <f>IFERROR(__xludf.DUMMYFUNCTION("""COMPUTED_VALUE"""),1008.0)</f>
        <v>1008</v>
      </c>
      <c r="K1009" s="23" t="b">
        <f>IFERROR(__xludf.DUMMYFUNCTION("""COMPUTED_VALUE"""),FALSE)</f>
        <v>0</v>
      </c>
      <c r="L1009" s="23" t="str">
        <f>IFERROR(__xludf.DUMMYFUNCTION("""COMPUTED_VALUE"""),"Array;Stack;Tree;Binary Search Tree;Monotonic Stack;Binary Tree;")</f>
        <v>Array;Stack;Tree;Binary Search Tree;Monotonic Stack;Binary Tree;</v>
      </c>
      <c r="M1009" s="23" t="b">
        <f>IFERROR(__xludf.DUMMYFUNCTION("""COMPUTED_VALUE"""),TRUE)</f>
        <v>1</v>
      </c>
      <c r="N1009" s="23" t="b">
        <f>IFERROR(__xludf.DUMMYFUNCTION("""COMPUTED_VALUE"""),FALSE)</f>
        <v>0</v>
      </c>
      <c r="O1009" s="23">
        <f>IFERROR(__xludf.DUMMYFUNCTION("""COMPUTED_VALUE"""),80.242402453063)</f>
        <v>80.24240245</v>
      </c>
      <c r="P1009" s="23">
        <f>IFERROR(__xludf.DUMMYFUNCTION("""COMPUTED_VALUE"""),232118.0)</f>
        <v>232118</v>
      </c>
      <c r="Q1009" s="23">
        <f>IFERROR(__xludf.DUMMYFUNCTION("""COMPUTED_VALUE"""),289270.0)</f>
        <v>289270</v>
      </c>
    </row>
    <row r="1010">
      <c r="A1010" s="23">
        <f>IFERROR(__xludf.DUMMYFUNCTION("""COMPUTED_VALUE"""),1054.0)</f>
        <v>1054</v>
      </c>
      <c r="B1010" s="23" t="str">
        <f>IFERROR(__xludf.DUMMYFUNCTION("""COMPUTED_VALUE"""),"Complement of Base 10 Integer")</f>
        <v>Complement of Base 10 Integer</v>
      </c>
      <c r="C1010" s="23" t="str">
        <f>IFERROR(__xludf.DUMMYFUNCTION("""COMPUTED_VALUE"""),"complement-of-base-10-integer")</f>
        <v>complement-of-base-10-integer</v>
      </c>
      <c r="D1010" s="23" t="b">
        <f>IFERROR(__xludf.DUMMYFUNCTION("""COMPUTED_VALUE"""),FALSE)</f>
        <v>0</v>
      </c>
      <c r="E1010" s="23" t="str">
        <f>IFERROR(__xludf.DUMMYFUNCTION("""COMPUTED_VALUE"""),"Easy")</f>
        <v>Easy</v>
      </c>
      <c r="F1010" s="23">
        <f>IFERROR(__xludf.DUMMYFUNCTION("""COMPUTED_VALUE"""),1326.0)</f>
        <v>1326</v>
      </c>
      <c r="G1010" s="23">
        <f>IFERROR(__xludf.DUMMYFUNCTION("""COMPUTED_VALUE"""),71.0)</f>
        <v>71</v>
      </c>
      <c r="H1010" s="23" t="str">
        <f>IFERROR(__xludf.DUMMYFUNCTION("""COMPUTED_VALUE"""),"Algorithms")</f>
        <v>Algorithms</v>
      </c>
      <c r="I1010" s="23">
        <f>IFERROR(__xludf.DUMMYFUNCTION("""COMPUTED_VALUE"""),0.623)</f>
        <v>0.623</v>
      </c>
      <c r="J1010" s="23">
        <f>IFERROR(__xludf.DUMMYFUNCTION("""COMPUTED_VALUE"""),1009.0)</f>
        <v>1009</v>
      </c>
      <c r="K1010" s="23" t="b">
        <f>IFERROR(__xludf.DUMMYFUNCTION("""COMPUTED_VALUE"""),FALSE)</f>
        <v>0</v>
      </c>
      <c r="L1010" s="23" t="str">
        <f>IFERROR(__xludf.DUMMYFUNCTION("""COMPUTED_VALUE"""),"Bit Manipulation;")</f>
        <v>Bit Manipulation;</v>
      </c>
      <c r="M1010" s="23" t="b">
        <f>IFERROR(__xludf.DUMMYFUNCTION("""COMPUTED_VALUE"""),TRUE)</f>
        <v>1</v>
      </c>
      <c r="N1010" s="23" t="b">
        <f>IFERROR(__xludf.DUMMYFUNCTION("""COMPUTED_VALUE"""),FALSE)</f>
        <v>0</v>
      </c>
      <c r="O1010" s="23">
        <f>IFERROR(__xludf.DUMMYFUNCTION("""COMPUTED_VALUE"""),62.2592021812577)</f>
        <v>62.25920218</v>
      </c>
      <c r="P1010" s="23">
        <f>IFERROR(__xludf.DUMMYFUNCTION("""COMPUTED_VALUE"""),126044.0)</f>
        <v>126044</v>
      </c>
      <c r="Q1010" s="23">
        <f>IFERROR(__xludf.DUMMYFUNCTION("""COMPUTED_VALUE"""),202450.0)</f>
        <v>202450</v>
      </c>
    </row>
    <row r="1011">
      <c r="A1011" s="23">
        <f>IFERROR(__xludf.DUMMYFUNCTION("""COMPUTED_VALUE"""),1055.0)</f>
        <v>1055</v>
      </c>
      <c r="B1011" s="23" t="str">
        <f>IFERROR(__xludf.DUMMYFUNCTION("""COMPUTED_VALUE"""),"Pairs of Songs With Total Durations Divisible by 60")</f>
        <v>Pairs of Songs With Total Durations Divisible by 60</v>
      </c>
      <c r="C1011" s="23" t="str">
        <f>IFERROR(__xludf.DUMMYFUNCTION("""COMPUTED_VALUE"""),"pairs-of-songs-with-total-durations-divisible-by-60")</f>
        <v>pairs-of-songs-with-total-durations-divisible-by-60</v>
      </c>
      <c r="D1011" s="23" t="b">
        <f>IFERROR(__xludf.DUMMYFUNCTION("""COMPUTED_VALUE"""),FALSE)</f>
        <v>0</v>
      </c>
      <c r="E1011" s="23" t="str">
        <f>IFERROR(__xludf.DUMMYFUNCTION("""COMPUTED_VALUE"""),"Medium")</f>
        <v>Medium</v>
      </c>
      <c r="F1011" s="23">
        <f>IFERROR(__xludf.DUMMYFUNCTION("""COMPUTED_VALUE"""),3094.0)</f>
        <v>3094</v>
      </c>
      <c r="G1011" s="23">
        <f>IFERROR(__xludf.DUMMYFUNCTION("""COMPUTED_VALUE"""),118.0)</f>
        <v>118</v>
      </c>
      <c r="H1011" s="23" t="str">
        <f>IFERROR(__xludf.DUMMYFUNCTION("""COMPUTED_VALUE"""),"Algorithms")</f>
        <v>Algorithms</v>
      </c>
      <c r="I1011" s="23">
        <f>IFERROR(__xludf.DUMMYFUNCTION("""COMPUTED_VALUE"""),0.536)</f>
        <v>0.536</v>
      </c>
      <c r="J1011" s="23">
        <f>IFERROR(__xludf.DUMMYFUNCTION("""COMPUTED_VALUE"""),1010.0)</f>
        <v>1010</v>
      </c>
      <c r="K1011" s="23" t="b">
        <f>IFERROR(__xludf.DUMMYFUNCTION("""COMPUTED_VALUE"""),FALSE)</f>
        <v>0</v>
      </c>
      <c r="L1011" s="23" t="str">
        <f>IFERROR(__xludf.DUMMYFUNCTION("""COMPUTED_VALUE"""),"Array;Hash Table;Counting;")</f>
        <v>Array;Hash Table;Counting;</v>
      </c>
      <c r="M1011" s="23" t="b">
        <f>IFERROR(__xludf.DUMMYFUNCTION("""COMPUTED_VALUE"""),TRUE)</f>
        <v>1</v>
      </c>
      <c r="N1011" s="23" t="b">
        <f>IFERROR(__xludf.DUMMYFUNCTION("""COMPUTED_VALUE"""),FALSE)</f>
        <v>0</v>
      </c>
      <c r="O1011" s="23">
        <f>IFERROR(__xludf.DUMMYFUNCTION("""COMPUTED_VALUE"""),53.6226303733786)</f>
        <v>53.62263037</v>
      </c>
      <c r="P1011" s="23">
        <f>IFERROR(__xludf.DUMMYFUNCTION("""COMPUTED_VALUE"""),190792.0)</f>
        <v>190792</v>
      </c>
      <c r="Q1011" s="23">
        <f>IFERROR(__xludf.DUMMYFUNCTION("""COMPUTED_VALUE"""),355804.0)</f>
        <v>355804</v>
      </c>
    </row>
    <row r="1012">
      <c r="A1012" s="23">
        <f>IFERROR(__xludf.DUMMYFUNCTION("""COMPUTED_VALUE"""),1056.0)</f>
        <v>1056</v>
      </c>
      <c r="B1012" s="23" t="str">
        <f>IFERROR(__xludf.DUMMYFUNCTION("""COMPUTED_VALUE"""),"Capacity To Ship Packages Within D Days")</f>
        <v>Capacity To Ship Packages Within D Days</v>
      </c>
      <c r="C1012" s="23" t="str">
        <f>IFERROR(__xludf.DUMMYFUNCTION("""COMPUTED_VALUE"""),"capacity-to-ship-packages-within-d-days")</f>
        <v>capacity-to-ship-packages-within-d-days</v>
      </c>
      <c r="D1012" s="23" t="b">
        <f>IFERROR(__xludf.DUMMYFUNCTION("""COMPUTED_VALUE"""),FALSE)</f>
        <v>0</v>
      </c>
      <c r="E1012" s="23" t="str">
        <f>IFERROR(__xludf.DUMMYFUNCTION("""COMPUTED_VALUE"""),"Medium")</f>
        <v>Medium</v>
      </c>
      <c r="F1012" s="23">
        <f>IFERROR(__xludf.DUMMYFUNCTION("""COMPUTED_VALUE"""),4156.0)</f>
        <v>4156</v>
      </c>
      <c r="G1012" s="23">
        <f>IFERROR(__xludf.DUMMYFUNCTION("""COMPUTED_VALUE"""),96.0)</f>
        <v>96</v>
      </c>
      <c r="H1012" s="23" t="str">
        <f>IFERROR(__xludf.DUMMYFUNCTION("""COMPUTED_VALUE"""),"Algorithms")</f>
        <v>Algorithms</v>
      </c>
      <c r="I1012" s="23">
        <f>IFERROR(__xludf.DUMMYFUNCTION("""COMPUTED_VALUE"""),0.636)</f>
        <v>0.636</v>
      </c>
      <c r="J1012" s="23">
        <f>IFERROR(__xludf.DUMMYFUNCTION("""COMPUTED_VALUE"""),1011.0)</f>
        <v>1011</v>
      </c>
      <c r="K1012" s="23" t="b">
        <f>IFERROR(__xludf.DUMMYFUNCTION("""COMPUTED_VALUE"""),FALSE)</f>
        <v>0</v>
      </c>
      <c r="L1012" s="23" t="str">
        <f>IFERROR(__xludf.DUMMYFUNCTION("""COMPUTED_VALUE"""),"Array;Binary Search;Greedy;")</f>
        <v>Array;Binary Search;Greedy;</v>
      </c>
      <c r="M1012" s="23" t="b">
        <f>IFERROR(__xludf.DUMMYFUNCTION("""COMPUTED_VALUE"""),FALSE)</f>
        <v>0</v>
      </c>
      <c r="N1012" s="23" t="b">
        <f>IFERROR(__xludf.DUMMYFUNCTION("""COMPUTED_VALUE"""),FALSE)</f>
        <v>0</v>
      </c>
      <c r="O1012" s="23">
        <f>IFERROR(__xludf.DUMMYFUNCTION("""COMPUTED_VALUE"""),63.5594591875565)</f>
        <v>63.55945919</v>
      </c>
      <c r="P1012" s="23">
        <f>IFERROR(__xludf.DUMMYFUNCTION("""COMPUTED_VALUE"""),145307.0)</f>
        <v>145307</v>
      </c>
      <c r="Q1012" s="23">
        <f>IFERROR(__xludf.DUMMYFUNCTION("""COMPUTED_VALUE"""),228616.0)</f>
        <v>228616</v>
      </c>
    </row>
    <row r="1013">
      <c r="A1013" s="23">
        <f>IFERROR(__xludf.DUMMYFUNCTION("""COMPUTED_VALUE"""),1057.0)</f>
        <v>1057</v>
      </c>
      <c r="B1013" s="23" t="str">
        <f>IFERROR(__xludf.DUMMYFUNCTION("""COMPUTED_VALUE"""),"Numbers With Repeated Digits")</f>
        <v>Numbers With Repeated Digits</v>
      </c>
      <c r="C1013" s="23" t="str">
        <f>IFERROR(__xludf.DUMMYFUNCTION("""COMPUTED_VALUE"""),"numbers-with-repeated-digits")</f>
        <v>numbers-with-repeated-digits</v>
      </c>
      <c r="D1013" s="23" t="b">
        <f>IFERROR(__xludf.DUMMYFUNCTION("""COMPUTED_VALUE"""),FALSE)</f>
        <v>0</v>
      </c>
      <c r="E1013" s="23" t="str">
        <f>IFERROR(__xludf.DUMMYFUNCTION("""COMPUTED_VALUE"""),"Hard")</f>
        <v>Hard</v>
      </c>
      <c r="F1013" s="23">
        <f>IFERROR(__xludf.DUMMYFUNCTION("""COMPUTED_VALUE"""),396.0)</f>
        <v>396</v>
      </c>
      <c r="G1013" s="23">
        <f>IFERROR(__xludf.DUMMYFUNCTION("""COMPUTED_VALUE"""),64.0)</f>
        <v>64</v>
      </c>
      <c r="H1013" s="23" t="str">
        <f>IFERROR(__xludf.DUMMYFUNCTION("""COMPUTED_VALUE"""),"Algorithms")</f>
        <v>Algorithms</v>
      </c>
      <c r="I1013" s="23">
        <f>IFERROR(__xludf.DUMMYFUNCTION("""COMPUTED_VALUE"""),0.385)</f>
        <v>0.385</v>
      </c>
      <c r="J1013" s="23">
        <f>IFERROR(__xludf.DUMMYFUNCTION("""COMPUTED_VALUE"""),1012.0)</f>
        <v>1012</v>
      </c>
      <c r="K1013" s="23" t="b">
        <f>IFERROR(__xludf.DUMMYFUNCTION("""COMPUTED_VALUE"""),FALSE)</f>
        <v>0</v>
      </c>
      <c r="L1013" s="23" t="str">
        <f>IFERROR(__xludf.DUMMYFUNCTION("""COMPUTED_VALUE"""),"Math;Dynamic Programming;")</f>
        <v>Math;Dynamic Programming;</v>
      </c>
      <c r="M1013" s="23" t="b">
        <f>IFERROR(__xludf.DUMMYFUNCTION("""COMPUTED_VALUE"""),FALSE)</f>
        <v>0</v>
      </c>
      <c r="N1013" s="23" t="b">
        <f>IFERROR(__xludf.DUMMYFUNCTION("""COMPUTED_VALUE"""),FALSE)</f>
        <v>0</v>
      </c>
      <c r="O1013" s="23">
        <f>IFERROR(__xludf.DUMMYFUNCTION("""COMPUTED_VALUE"""),38.5059913316903)</f>
        <v>38.50599133</v>
      </c>
      <c r="P1013" s="23">
        <f>IFERROR(__xludf.DUMMYFUNCTION("""COMPUTED_VALUE"""),9062.0)</f>
        <v>9062</v>
      </c>
      <c r="Q1013" s="23">
        <f>IFERROR(__xludf.DUMMYFUNCTION("""COMPUTED_VALUE"""),23534.0)</f>
        <v>23534</v>
      </c>
    </row>
    <row r="1014">
      <c r="A1014" s="23">
        <f>IFERROR(__xludf.DUMMYFUNCTION("""COMPUTED_VALUE"""),1062.0)</f>
        <v>1062</v>
      </c>
      <c r="B1014" s="23" t="str">
        <f>IFERROR(__xludf.DUMMYFUNCTION("""COMPUTED_VALUE"""),"Partition Array Into Three Parts With Equal Sum")</f>
        <v>Partition Array Into Three Parts With Equal Sum</v>
      </c>
      <c r="C1014" s="23" t="str">
        <f>IFERROR(__xludf.DUMMYFUNCTION("""COMPUTED_VALUE"""),"partition-array-into-three-parts-with-equal-sum")</f>
        <v>partition-array-into-three-parts-with-equal-sum</v>
      </c>
      <c r="D1014" s="23" t="b">
        <f>IFERROR(__xludf.DUMMYFUNCTION("""COMPUTED_VALUE"""),FALSE)</f>
        <v>0</v>
      </c>
      <c r="E1014" s="23" t="str">
        <f>IFERROR(__xludf.DUMMYFUNCTION("""COMPUTED_VALUE"""),"Easy")</f>
        <v>Easy</v>
      </c>
      <c r="F1014" s="23">
        <f>IFERROR(__xludf.DUMMYFUNCTION("""COMPUTED_VALUE"""),1104.0)</f>
        <v>1104</v>
      </c>
      <c r="G1014" s="23">
        <f>IFERROR(__xludf.DUMMYFUNCTION("""COMPUTED_VALUE"""),117.0)</f>
        <v>117</v>
      </c>
      <c r="H1014" s="23" t="str">
        <f>IFERROR(__xludf.DUMMYFUNCTION("""COMPUTED_VALUE"""),"Algorithms")</f>
        <v>Algorithms</v>
      </c>
      <c r="I1014" s="23">
        <f>IFERROR(__xludf.DUMMYFUNCTION("""COMPUTED_VALUE"""),0.445)</f>
        <v>0.445</v>
      </c>
      <c r="J1014" s="23">
        <f>IFERROR(__xludf.DUMMYFUNCTION("""COMPUTED_VALUE"""),1013.0)</f>
        <v>1013</v>
      </c>
      <c r="K1014" s="23" t="b">
        <f>IFERROR(__xludf.DUMMYFUNCTION("""COMPUTED_VALUE"""),FALSE)</f>
        <v>0</v>
      </c>
      <c r="L1014" s="23" t="str">
        <f>IFERROR(__xludf.DUMMYFUNCTION("""COMPUTED_VALUE"""),"Array;Greedy;")</f>
        <v>Array;Greedy;</v>
      </c>
      <c r="M1014" s="23" t="b">
        <f>IFERROR(__xludf.DUMMYFUNCTION("""COMPUTED_VALUE"""),FALSE)</f>
        <v>0</v>
      </c>
      <c r="N1014" s="23" t="b">
        <f>IFERROR(__xludf.DUMMYFUNCTION("""COMPUTED_VALUE"""),FALSE)</f>
        <v>0</v>
      </c>
      <c r="O1014" s="23">
        <f>IFERROR(__xludf.DUMMYFUNCTION("""COMPUTED_VALUE"""),44.4939511012097)</f>
        <v>44.4939511</v>
      </c>
      <c r="P1014" s="23">
        <f>IFERROR(__xludf.DUMMYFUNCTION("""COMPUTED_VALUE"""),63111.0)</f>
        <v>63111</v>
      </c>
      <c r="Q1014" s="23">
        <f>IFERROR(__xludf.DUMMYFUNCTION("""COMPUTED_VALUE"""),141843.0)</f>
        <v>141843</v>
      </c>
    </row>
    <row r="1015">
      <c r="A1015" s="23">
        <f>IFERROR(__xludf.DUMMYFUNCTION("""COMPUTED_VALUE"""),1063.0)</f>
        <v>1063</v>
      </c>
      <c r="B1015" s="23" t="str">
        <f>IFERROR(__xludf.DUMMYFUNCTION("""COMPUTED_VALUE"""),"Best Sightseeing Pair")</f>
        <v>Best Sightseeing Pair</v>
      </c>
      <c r="C1015" s="23" t="str">
        <f>IFERROR(__xludf.DUMMYFUNCTION("""COMPUTED_VALUE"""),"best-sightseeing-pair")</f>
        <v>best-sightseeing-pair</v>
      </c>
      <c r="D1015" s="23" t="b">
        <f>IFERROR(__xludf.DUMMYFUNCTION("""COMPUTED_VALUE"""),FALSE)</f>
        <v>0</v>
      </c>
      <c r="E1015" s="23" t="str">
        <f>IFERROR(__xludf.DUMMYFUNCTION("""COMPUTED_VALUE"""),"Medium")</f>
        <v>Medium</v>
      </c>
      <c r="F1015" s="23">
        <f>IFERROR(__xludf.DUMMYFUNCTION("""COMPUTED_VALUE"""),1581.0)</f>
        <v>1581</v>
      </c>
      <c r="G1015" s="23">
        <f>IFERROR(__xludf.DUMMYFUNCTION("""COMPUTED_VALUE"""),41.0)</f>
        <v>41</v>
      </c>
      <c r="H1015" s="23" t="str">
        <f>IFERROR(__xludf.DUMMYFUNCTION("""COMPUTED_VALUE"""),"Algorithms")</f>
        <v>Algorithms</v>
      </c>
      <c r="I1015" s="23">
        <f>IFERROR(__xludf.DUMMYFUNCTION("""COMPUTED_VALUE"""),0.585)</f>
        <v>0.585</v>
      </c>
      <c r="J1015" s="23">
        <f>IFERROR(__xludf.DUMMYFUNCTION("""COMPUTED_VALUE"""),1014.0)</f>
        <v>1014</v>
      </c>
      <c r="K1015" s="23" t="b">
        <f>IFERROR(__xludf.DUMMYFUNCTION("""COMPUTED_VALUE"""),FALSE)</f>
        <v>0</v>
      </c>
      <c r="L1015" s="23" t="str">
        <f>IFERROR(__xludf.DUMMYFUNCTION("""COMPUTED_VALUE"""),"Array;Dynamic Programming;")</f>
        <v>Array;Dynamic Programming;</v>
      </c>
      <c r="M1015" s="23" t="b">
        <f>IFERROR(__xludf.DUMMYFUNCTION("""COMPUTED_VALUE"""),FALSE)</f>
        <v>0</v>
      </c>
      <c r="N1015" s="23" t="b">
        <f>IFERROR(__xludf.DUMMYFUNCTION("""COMPUTED_VALUE"""),FALSE)</f>
        <v>0</v>
      </c>
      <c r="O1015" s="23">
        <f>IFERROR(__xludf.DUMMYFUNCTION("""COMPUTED_VALUE"""),58.5222863135815)</f>
        <v>58.52228631</v>
      </c>
      <c r="P1015" s="23">
        <f>IFERROR(__xludf.DUMMYFUNCTION("""COMPUTED_VALUE"""),55801.0)</f>
        <v>55801</v>
      </c>
      <c r="Q1015" s="23">
        <f>IFERROR(__xludf.DUMMYFUNCTION("""COMPUTED_VALUE"""),95350.0)</f>
        <v>95350</v>
      </c>
    </row>
    <row r="1016">
      <c r="A1016" s="23">
        <f>IFERROR(__xludf.DUMMYFUNCTION("""COMPUTED_VALUE"""),1064.0)</f>
        <v>1064</v>
      </c>
      <c r="B1016" s="23" t="str">
        <f>IFERROR(__xludf.DUMMYFUNCTION("""COMPUTED_VALUE"""),"Smallest Integer Divisible by K")</f>
        <v>Smallest Integer Divisible by K</v>
      </c>
      <c r="C1016" s="23" t="str">
        <f>IFERROR(__xludf.DUMMYFUNCTION("""COMPUTED_VALUE"""),"smallest-integer-divisible-by-k")</f>
        <v>smallest-integer-divisible-by-k</v>
      </c>
      <c r="D1016" s="23" t="b">
        <f>IFERROR(__xludf.DUMMYFUNCTION("""COMPUTED_VALUE"""),FALSE)</f>
        <v>0</v>
      </c>
      <c r="E1016" s="23" t="str">
        <f>IFERROR(__xludf.DUMMYFUNCTION("""COMPUTED_VALUE"""),"Medium")</f>
        <v>Medium</v>
      </c>
      <c r="F1016" s="23">
        <f>IFERROR(__xludf.DUMMYFUNCTION("""COMPUTED_VALUE"""),968.0)</f>
        <v>968</v>
      </c>
      <c r="G1016" s="23">
        <f>IFERROR(__xludf.DUMMYFUNCTION("""COMPUTED_VALUE"""),800.0)</f>
        <v>800</v>
      </c>
      <c r="H1016" s="23" t="str">
        <f>IFERROR(__xludf.DUMMYFUNCTION("""COMPUTED_VALUE"""),"Algorithms")</f>
        <v>Algorithms</v>
      </c>
      <c r="I1016" s="23">
        <f>IFERROR(__xludf.DUMMYFUNCTION("""COMPUTED_VALUE"""),0.47)</f>
        <v>0.47</v>
      </c>
      <c r="J1016" s="23">
        <f>IFERROR(__xludf.DUMMYFUNCTION("""COMPUTED_VALUE"""),1015.0)</f>
        <v>1015</v>
      </c>
      <c r="K1016" s="23" t="b">
        <f>IFERROR(__xludf.DUMMYFUNCTION("""COMPUTED_VALUE"""),FALSE)</f>
        <v>0</v>
      </c>
      <c r="L1016" s="23" t="str">
        <f>IFERROR(__xludf.DUMMYFUNCTION("""COMPUTED_VALUE"""),"Hash Table;Math;")</f>
        <v>Hash Table;Math;</v>
      </c>
      <c r="M1016" s="23" t="b">
        <f>IFERROR(__xludf.DUMMYFUNCTION("""COMPUTED_VALUE"""),TRUE)</f>
        <v>1</v>
      </c>
      <c r="N1016" s="23" t="b">
        <f>IFERROR(__xludf.DUMMYFUNCTION("""COMPUTED_VALUE"""),FALSE)</f>
        <v>0</v>
      </c>
      <c r="O1016" s="23">
        <f>IFERROR(__xludf.DUMMYFUNCTION("""COMPUTED_VALUE"""),47.030039996596)</f>
        <v>47.03004</v>
      </c>
      <c r="P1016" s="23">
        <f>IFERROR(__xludf.DUMMYFUNCTION("""COMPUTED_VALUE"""),55265.0)</f>
        <v>55265</v>
      </c>
      <c r="Q1016" s="23">
        <f>IFERROR(__xludf.DUMMYFUNCTION("""COMPUTED_VALUE"""),117510.0)</f>
        <v>117510</v>
      </c>
    </row>
    <row r="1017">
      <c r="A1017" s="23">
        <f>IFERROR(__xludf.DUMMYFUNCTION("""COMPUTED_VALUE"""),1065.0)</f>
        <v>1065</v>
      </c>
      <c r="B1017" s="23" t="str">
        <f>IFERROR(__xludf.DUMMYFUNCTION("""COMPUTED_VALUE"""),"Binary String With Substrings Representing 1 To N")</f>
        <v>Binary String With Substrings Representing 1 To N</v>
      </c>
      <c r="C1017" s="23" t="str">
        <f>IFERROR(__xludf.DUMMYFUNCTION("""COMPUTED_VALUE"""),"binary-string-with-substrings-representing-1-to-n")</f>
        <v>binary-string-with-substrings-representing-1-to-n</v>
      </c>
      <c r="D1017" s="23" t="b">
        <f>IFERROR(__xludf.DUMMYFUNCTION("""COMPUTED_VALUE"""),FALSE)</f>
        <v>0</v>
      </c>
      <c r="E1017" s="23" t="str">
        <f>IFERROR(__xludf.DUMMYFUNCTION("""COMPUTED_VALUE"""),"Medium")</f>
        <v>Medium</v>
      </c>
      <c r="F1017" s="23">
        <f>IFERROR(__xludf.DUMMYFUNCTION("""COMPUTED_VALUE"""),247.0)</f>
        <v>247</v>
      </c>
      <c r="G1017" s="23">
        <f>IFERROR(__xludf.DUMMYFUNCTION("""COMPUTED_VALUE"""),453.0)</f>
        <v>453</v>
      </c>
      <c r="H1017" s="23" t="str">
        <f>IFERROR(__xludf.DUMMYFUNCTION("""COMPUTED_VALUE"""),"Algorithms")</f>
        <v>Algorithms</v>
      </c>
      <c r="I1017" s="23">
        <f>IFERROR(__xludf.DUMMYFUNCTION("""COMPUTED_VALUE"""),0.579)</f>
        <v>0.579</v>
      </c>
      <c r="J1017" s="23">
        <f>IFERROR(__xludf.DUMMYFUNCTION("""COMPUTED_VALUE"""),1016.0)</f>
        <v>1016</v>
      </c>
      <c r="K1017" s="23" t="b">
        <f>IFERROR(__xludf.DUMMYFUNCTION("""COMPUTED_VALUE"""),FALSE)</f>
        <v>0</v>
      </c>
      <c r="L1017" s="23" t="str">
        <f>IFERROR(__xludf.DUMMYFUNCTION("""COMPUTED_VALUE"""),"String;")</f>
        <v>String;</v>
      </c>
      <c r="M1017" s="23" t="b">
        <f>IFERROR(__xludf.DUMMYFUNCTION("""COMPUTED_VALUE"""),FALSE)</f>
        <v>0</v>
      </c>
      <c r="N1017" s="23" t="b">
        <f>IFERROR(__xludf.DUMMYFUNCTION("""COMPUTED_VALUE"""),FALSE)</f>
        <v>0</v>
      </c>
      <c r="O1017" s="23">
        <f>IFERROR(__xludf.DUMMYFUNCTION("""COMPUTED_VALUE"""),57.9043298635019)</f>
        <v>57.90432986</v>
      </c>
      <c r="P1017" s="23">
        <f>IFERROR(__xludf.DUMMYFUNCTION("""COMPUTED_VALUE"""),28592.0)</f>
        <v>28592</v>
      </c>
      <c r="Q1017" s="23">
        <f>IFERROR(__xludf.DUMMYFUNCTION("""COMPUTED_VALUE"""),49378.0)</f>
        <v>49378</v>
      </c>
    </row>
    <row r="1018">
      <c r="A1018" s="23">
        <f>IFERROR(__xludf.DUMMYFUNCTION("""COMPUTED_VALUE"""),1070.0)</f>
        <v>1070</v>
      </c>
      <c r="B1018" s="23" t="str">
        <f>IFERROR(__xludf.DUMMYFUNCTION("""COMPUTED_VALUE"""),"Convert to Base -2")</f>
        <v>Convert to Base -2</v>
      </c>
      <c r="C1018" s="23" t="str">
        <f>IFERROR(__xludf.DUMMYFUNCTION("""COMPUTED_VALUE"""),"convert-to-base-2")</f>
        <v>convert-to-base-2</v>
      </c>
      <c r="D1018" s="23" t="b">
        <f>IFERROR(__xludf.DUMMYFUNCTION("""COMPUTED_VALUE"""),FALSE)</f>
        <v>0</v>
      </c>
      <c r="E1018" s="23" t="str">
        <f>IFERROR(__xludf.DUMMYFUNCTION("""COMPUTED_VALUE"""),"Medium")</f>
        <v>Medium</v>
      </c>
      <c r="F1018" s="23">
        <f>IFERROR(__xludf.DUMMYFUNCTION("""COMPUTED_VALUE"""),349.0)</f>
        <v>349</v>
      </c>
      <c r="G1018" s="23">
        <f>IFERROR(__xludf.DUMMYFUNCTION("""COMPUTED_VALUE"""),228.0)</f>
        <v>228</v>
      </c>
      <c r="H1018" s="23" t="str">
        <f>IFERROR(__xludf.DUMMYFUNCTION("""COMPUTED_VALUE"""),"Algorithms")</f>
        <v>Algorithms</v>
      </c>
      <c r="I1018" s="23">
        <f>IFERROR(__xludf.DUMMYFUNCTION("""COMPUTED_VALUE"""),0.603)</f>
        <v>0.603</v>
      </c>
      <c r="J1018" s="23">
        <f>IFERROR(__xludf.DUMMYFUNCTION("""COMPUTED_VALUE"""),1017.0)</f>
        <v>1017</v>
      </c>
      <c r="K1018" s="23" t="b">
        <f>IFERROR(__xludf.DUMMYFUNCTION("""COMPUTED_VALUE"""),FALSE)</f>
        <v>0</v>
      </c>
      <c r="L1018" s="23" t="str">
        <f>IFERROR(__xludf.DUMMYFUNCTION("""COMPUTED_VALUE"""),"Math;")</f>
        <v>Math;</v>
      </c>
      <c r="M1018" s="23" t="b">
        <f>IFERROR(__xludf.DUMMYFUNCTION("""COMPUTED_VALUE"""),FALSE)</f>
        <v>0</v>
      </c>
      <c r="N1018" s="23" t="b">
        <f>IFERROR(__xludf.DUMMYFUNCTION("""COMPUTED_VALUE"""),FALSE)</f>
        <v>0</v>
      </c>
      <c r="O1018" s="23">
        <f>IFERROR(__xludf.DUMMYFUNCTION("""COMPUTED_VALUE"""),60.3132988136593)</f>
        <v>60.31329881</v>
      </c>
      <c r="P1018" s="23">
        <f>IFERROR(__xludf.DUMMYFUNCTION("""COMPUTED_VALUE"""),18404.0)</f>
        <v>18404</v>
      </c>
      <c r="Q1018" s="23">
        <f>IFERROR(__xludf.DUMMYFUNCTION("""COMPUTED_VALUE"""),30514.0)</f>
        <v>30514</v>
      </c>
    </row>
    <row r="1019">
      <c r="A1019" s="23">
        <f>IFERROR(__xludf.DUMMYFUNCTION("""COMPUTED_VALUE"""),1071.0)</f>
        <v>1071</v>
      </c>
      <c r="B1019" s="23" t="str">
        <f>IFERROR(__xludf.DUMMYFUNCTION("""COMPUTED_VALUE"""),"Binary Prefix Divisible By 5")</f>
        <v>Binary Prefix Divisible By 5</v>
      </c>
      <c r="C1019" s="23" t="str">
        <f>IFERROR(__xludf.DUMMYFUNCTION("""COMPUTED_VALUE"""),"binary-prefix-divisible-by-5")</f>
        <v>binary-prefix-divisible-by-5</v>
      </c>
      <c r="D1019" s="23" t="b">
        <f>IFERROR(__xludf.DUMMYFUNCTION("""COMPUTED_VALUE"""),FALSE)</f>
        <v>0</v>
      </c>
      <c r="E1019" s="23" t="str">
        <f>IFERROR(__xludf.DUMMYFUNCTION("""COMPUTED_VALUE"""),"Easy")</f>
        <v>Easy</v>
      </c>
      <c r="F1019" s="23">
        <f>IFERROR(__xludf.DUMMYFUNCTION("""COMPUTED_VALUE"""),516.0)</f>
        <v>516</v>
      </c>
      <c r="G1019" s="23">
        <f>IFERROR(__xludf.DUMMYFUNCTION("""COMPUTED_VALUE"""),138.0)</f>
        <v>138</v>
      </c>
      <c r="H1019" s="23" t="str">
        <f>IFERROR(__xludf.DUMMYFUNCTION("""COMPUTED_VALUE"""),"Algorithms")</f>
        <v>Algorithms</v>
      </c>
      <c r="I1019" s="23">
        <f>IFERROR(__xludf.DUMMYFUNCTION("""COMPUTED_VALUE"""),0.475)</f>
        <v>0.475</v>
      </c>
      <c r="J1019" s="23">
        <f>IFERROR(__xludf.DUMMYFUNCTION("""COMPUTED_VALUE"""),1018.0)</f>
        <v>1018</v>
      </c>
      <c r="K1019" s="23" t="b">
        <f>IFERROR(__xludf.DUMMYFUNCTION("""COMPUTED_VALUE"""),FALSE)</f>
        <v>0</v>
      </c>
      <c r="L1019" s="23" t="str">
        <f>IFERROR(__xludf.DUMMYFUNCTION("""COMPUTED_VALUE"""),"Array;")</f>
        <v>Array;</v>
      </c>
      <c r="M1019" s="23" t="b">
        <f>IFERROR(__xludf.DUMMYFUNCTION("""COMPUTED_VALUE"""),FALSE)</f>
        <v>0</v>
      </c>
      <c r="N1019" s="23" t="b">
        <f>IFERROR(__xludf.DUMMYFUNCTION("""COMPUTED_VALUE"""),FALSE)</f>
        <v>0</v>
      </c>
      <c r="O1019" s="23">
        <f>IFERROR(__xludf.DUMMYFUNCTION("""COMPUTED_VALUE"""),47.5429779181361)</f>
        <v>47.54297792</v>
      </c>
      <c r="P1019" s="23">
        <f>IFERROR(__xludf.DUMMYFUNCTION("""COMPUTED_VALUE"""),38690.0)</f>
        <v>38690</v>
      </c>
      <c r="Q1019" s="23">
        <f>IFERROR(__xludf.DUMMYFUNCTION("""COMPUTED_VALUE"""),81379.0)</f>
        <v>81379</v>
      </c>
    </row>
    <row r="1020">
      <c r="A1020" s="23">
        <f>IFERROR(__xludf.DUMMYFUNCTION("""COMPUTED_VALUE"""),1072.0)</f>
        <v>1072</v>
      </c>
      <c r="B1020" s="23" t="str">
        <f>IFERROR(__xludf.DUMMYFUNCTION("""COMPUTED_VALUE"""),"Next Greater Node In Linked List")</f>
        <v>Next Greater Node In Linked List</v>
      </c>
      <c r="C1020" s="23" t="str">
        <f>IFERROR(__xludf.DUMMYFUNCTION("""COMPUTED_VALUE"""),"next-greater-node-in-linked-list")</f>
        <v>next-greater-node-in-linked-list</v>
      </c>
      <c r="D1020" s="23" t="b">
        <f>IFERROR(__xludf.DUMMYFUNCTION("""COMPUTED_VALUE"""),FALSE)</f>
        <v>0</v>
      </c>
      <c r="E1020" s="23" t="str">
        <f>IFERROR(__xludf.DUMMYFUNCTION("""COMPUTED_VALUE"""),"Medium")</f>
        <v>Medium</v>
      </c>
      <c r="F1020" s="23">
        <f>IFERROR(__xludf.DUMMYFUNCTION("""COMPUTED_VALUE"""),2120.0)</f>
        <v>2120</v>
      </c>
      <c r="G1020" s="23">
        <f>IFERROR(__xludf.DUMMYFUNCTION("""COMPUTED_VALUE"""),96.0)</f>
        <v>96</v>
      </c>
      <c r="H1020" s="23" t="str">
        <f>IFERROR(__xludf.DUMMYFUNCTION("""COMPUTED_VALUE"""),"Algorithms")</f>
        <v>Algorithms</v>
      </c>
      <c r="I1020" s="23">
        <f>IFERROR(__xludf.DUMMYFUNCTION("""COMPUTED_VALUE"""),0.596)</f>
        <v>0.596</v>
      </c>
      <c r="J1020" s="23">
        <f>IFERROR(__xludf.DUMMYFUNCTION("""COMPUTED_VALUE"""),1019.0)</f>
        <v>1019</v>
      </c>
      <c r="K1020" s="23" t="b">
        <f>IFERROR(__xludf.DUMMYFUNCTION("""COMPUTED_VALUE"""),FALSE)</f>
        <v>0</v>
      </c>
      <c r="L1020" s="23" t="str">
        <f>IFERROR(__xludf.DUMMYFUNCTION("""COMPUTED_VALUE"""),"Array;Linked List;Stack;Monotonic Stack;")</f>
        <v>Array;Linked List;Stack;Monotonic Stack;</v>
      </c>
      <c r="M1020" s="23" t="b">
        <f>IFERROR(__xludf.DUMMYFUNCTION("""COMPUTED_VALUE"""),FALSE)</f>
        <v>0</v>
      </c>
      <c r="N1020" s="23" t="b">
        <f>IFERROR(__xludf.DUMMYFUNCTION("""COMPUTED_VALUE"""),FALSE)</f>
        <v>0</v>
      </c>
      <c r="O1020" s="23">
        <f>IFERROR(__xludf.DUMMYFUNCTION("""COMPUTED_VALUE"""),59.6000682838961)</f>
        <v>59.60006828</v>
      </c>
      <c r="P1020" s="23">
        <f>IFERROR(__xludf.DUMMYFUNCTION("""COMPUTED_VALUE"""),101248.0)</f>
        <v>101248</v>
      </c>
      <c r="Q1020" s="23">
        <f>IFERROR(__xludf.DUMMYFUNCTION("""COMPUTED_VALUE"""),169879.0)</f>
        <v>169879</v>
      </c>
    </row>
    <row r="1021">
      <c r="A1021" s="23">
        <f>IFERROR(__xludf.DUMMYFUNCTION("""COMPUTED_VALUE"""),1073.0)</f>
        <v>1073</v>
      </c>
      <c r="B1021" s="23" t="str">
        <f>IFERROR(__xludf.DUMMYFUNCTION("""COMPUTED_VALUE"""),"Number of Enclaves")</f>
        <v>Number of Enclaves</v>
      </c>
      <c r="C1021" s="23" t="str">
        <f>IFERROR(__xludf.DUMMYFUNCTION("""COMPUTED_VALUE"""),"number-of-enclaves")</f>
        <v>number-of-enclaves</v>
      </c>
      <c r="D1021" s="23" t="b">
        <f>IFERROR(__xludf.DUMMYFUNCTION("""COMPUTED_VALUE"""),FALSE)</f>
        <v>0</v>
      </c>
      <c r="E1021" s="23" t="str">
        <f>IFERROR(__xludf.DUMMYFUNCTION("""COMPUTED_VALUE"""),"Medium")</f>
        <v>Medium</v>
      </c>
      <c r="F1021" s="23">
        <f>IFERROR(__xludf.DUMMYFUNCTION("""COMPUTED_VALUE"""),1200.0)</f>
        <v>1200</v>
      </c>
      <c r="G1021" s="23">
        <f>IFERROR(__xludf.DUMMYFUNCTION("""COMPUTED_VALUE"""),32.0)</f>
        <v>32</v>
      </c>
      <c r="H1021" s="23" t="str">
        <f>IFERROR(__xludf.DUMMYFUNCTION("""COMPUTED_VALUE"""),"Algorithms")</f>
        <v>Algorithms</v>
      </c>
      <c r="I1021" s="23">
        <f>IFERROR(__xludf.DUMMYFUNCTION("""COMPUTED_VALUE"""),0.627)</f>
        <v>0.627</v>
      </c>
      <c r="J1021" s="23">
        <f>IFERROR(__xludf.DUMMYFUNCTION("""COMPUTED_VALUE"""),1020.0)</f>
        <v>1020</v>
      </c>
      <c r="K1021" s="23" t="b">
        <f>IFERROR(__xludf.DUMMYFUNCTION("""COMPUTED_VALUE"""),FALSE)</f>
        <v>0</v>
      </c>
      <c r="L1021" s="23" t="str">
        <f>IFERROR(__xludf.DUMMYFUNCTION("""COMPUTED_VALUE"""),"Array;Depth-First Search;Breadth-First Search;Union Find;Matrix;")</f>
        <v>Array;Depth-First Search;Breadth-First Search;Union Find;Matrix;</v>
      </c>
      <c r="M1021" s="23" t="b">
        <f>IFERROR(__xludf.DUMMYFUNCTION("""COMPUTED_VALUE"""),FALSE)</f>
        <v>0</v>
      </c>
      <c r="N1021" s="23" t="b">
        <f>IFERROR(__xludf.DUMMYFUNCTION("""COMPUTED_VALUE"""),FALSE)</f>
        <v>0</v>
      </c>
      <c r="O1021" s="23">
        <f>IFERROR(__xludf.DUMMYFUNCTION("""COMPUTED_VALUE"""),62.7407134276164)</f>
        <v>62.74071343</v>
      </c>
      <c r="P1021" s="23">
        <f>IFERROR(__xludf.DUMMYFUNCTION("""COMPUTED_VALUE"""),52747.0)</f>
        <v>52747</v>
      </c>
      <c r="Q1021" s="23">
        <f>IFERROR(__xludf.DUMMYFUNCTION("""COMPUTED_VALUE"""),84072.0)</f>
        <v>84072</v>
      </c>
    </row>
    <row r="1022">
      <c r="A1022" s="23">
        <f>IFERROR(__xludf.DUMMYFUNCTION("""COMPUTED_VALUE"""),1078.0)</f>
        <v>1078</v>
      </c>
      <c r="B1022" s="23" t="str">
        <f>IFERROR(__xludf.DUMMYFUNCTION("""COMPUTED_VALUE"""),"Remove Outermost Parentheses")</f>
        <v>Remove Outermost Parentheses</v>
      </c>
      <c r="C1022" s="23" t="str">
        <f>IFERROR(__xludf.DUMMYFUNCTION("""COMPUTED_VALUE"""),"remove-outermost-parentheses")</f>
        <v>remove-outermost-parentheses</v>
      </c>
      <c r="D1022" s="23" t="b">
        <f>IFERROR(__xludf.DUMMYFUNCTION("""COMPUTED_VALUE"""),FALSE)</f>
        <v>0</v>
      </c>
      <c r="E1022" s="23" t="str">
        <f>IFERROR(__xludf.DUMMYFUNCTION("""COMPUTED_VALUE"""),"Easy")</f>
        <v>Easy</v>
      </c>
      <c r="F1022" s="23">
        <f>IFERROR(__xludf.DUMMYFUNCTION("""COMPUTED_VALUE"""),1251.0)</f>
        <v>1251</v>
      </c>
      <c r="G1022" s="23">
        <f>IFERROR(__xludf.DUMMYFUNCTION("""COMPUTED_VALUE"""),1170.0)</f>
        <v>1170</v>
      </c>
      <c r="H1022" s="23" t="str">
        <f>IFERROR(__xludf.DUMMYFUNCTION("""COMPUTED_VALUE"""),"Algorithms")</f>
        <v>Algorithms</v>
      </c>
      <c r="I1022" s="23">
        <f>IFERROR(__xludf.DUMMYFUNCTION("""COMPUTED_VALUE"""),0.798)</f>
        <v>0.798</v>
      </c>
      <c r="J1022" s="23">
        <f>IFERROR(__xludf.DUMMYFUNCTION("""COMPUTED_VALUE"""),1021.0)</f>
        <v>1021</v>
      </c>
      <c r="K1022" s="23" t="b">
        <f>IFERROR(__xludf.DUMMYFUNCTION("""COMPUTED_VALUE"""),FALSE)</f>
        <v>0</v>
      </c>
      <c r="L1022" s="23" t="str">
        <f>IFERROR(__xludf.DUMMYFUNCTION("""COMPUTED_VALUE"""),"String;Stack;")</f>
        <v>String;Stack;</v>
      </c>
      <c r="M1022" s="23" t="b">
        <f>IFERROR(__xludf.DUMMYFUNCTION("""COMPUTED_VALUE"""),FALSE)</f>
        <v>0</v>
      </c>
      <c r="N1022" s="23" t="b">
        <f>IFERROR(__xludf.DUMMYFUNCTION("""COMPUTED_VALUE"""),FALSE)</f>
        <v>0</v>
      </c>
      <c r="O1022" s="23">
        <f>IFERROR(__xludf.DUMMYFUNCTION("""COMPUTED_VALUE"""),79.8194619460072)</f>
        <v>79.81946195</v>
      </c>
      <c r="P1022" s="23">
        <f>IFERROR(__xludf.DUMMYFUNCTION("""COMPUTED_VALUE"""),170392.0)</f>
        <v>170392</v>
      </c>
      <c r="Q1022" s="23">
        <f>IFERROR(__xludf.DUMMYFUNCTION("""COMPUTED_VALUE"""),213472.0)</f>
        <v>213472</v>
      </c>
    </row>
    <row r="1023">
      <c r="A1023" s="23">
        <f>IFERROR(__xludf.DUMMYFUNCTION("""COMPUTED_VALUE"""),1079.0)</f>
        <v>1079</v>
      </c>
      <c r="B1023" s="23" t="str">
        <f>IFERROR(__xludf.DUMMYFUNCTION("""COMPUTED_VALUE"""),"Sum of Root To Leaf Binary Numbers")</f>
        <v>Sum of Root To Leaf Binary Numbers</v>
      </c>
      <c r="C1023" s="23" t="str">
        <f>IFERROR(__xludf.DUMMYFUNCTION("""COMPUTED_VALUE"""),"sum-of-root-to-leaf-binary-numbers")</f>
        <v>sum-of-root-to-leaf-binary-numbers</v>
      </c>
      <c r="D1023" s="23" t="b">
        <f>IFERROR(__xludf.DUMMYFUNCTION("""COMPUTED_VALUE"""),FALSE)</f>
        <v>0</v>
      </c>
      <c r="E1023" s="23" t="str">
        <f>IFERROR(__xludf.DUMMYFUNCTION("""COMPUTED_VALUE"""),"Easy")</f>
        <v>Easy</v>
      </c>
      <c r="F1023" s="23">
        <f>IFERROR(__xludf.DUMMYFUNCTION("""COMPUTED_VALUE"""),2496.0)</f>
        <v>2496</v>
      </c>
      <c r="G1023" s="23">
        <f>IFERROR(__xludf.DUMMYFUNCTION("""COMPUTED_VALUE"""),150.0)</f>
        <v>150</v>
      </c>
      <c r="H1023" s="23" t="str">
        <f>IFERROR(__xludf.DUMMYFUNCTION("""COMPUTED_VALUE"""),"Algorithms")</f>
        <v>Algorithms</v>
      </c>
      <c r="I1023" s="23">
        <f>IFERROR(__xludf.DUMMYFUNCTION("""COMPUTED_VALUE"""),0.739)</f>
        <v>0.739</v>
      </c>
      <c r="J1023" s="23">
        <f>IFERROR(__xludf.DUMMYFUNCTION("""COMPUTED_VALUE"""),1022.0)</f>
        <v>1022</v>
      </c>
      <c r="K1023" s="23" t="b">
        <f>IFERROR(__xludf.DUMMYFUNCTION("""COMPUTED_VALUE"""),FALSE)</f>
        <v>0</v>
      </c>
      <c r="L1023" s="23" t="str">
        <f>IFERROR(__xludf.DUMMYFUNCTION("""COMPUTED_VALUE"""),"Tree;Depth-First Search;Binary Tree;")</f>
        <v>Tree;Depth-First Search;Binary Tree;</v>
      </c>
      <c r="M1023" s="23" t="b">
        <f>IFERROR(__xludf.DUMMYFUNCTION("""COMPUTED_VALUE"""),TRUE)</f>
        <v>1</v>
      </c>
      <c r="N1023" s="23" t="b">
        <f>IFERROR(__xludf.DUMMYFUNCTION("""COMPUTED_VALUE"""),FALSE)</f>
        <v>0</v>
      </c>
      <c r="O1023" s="23">
        <f>IFERROR(__xludf.DUMMYFUNCTION("""COMPUTED_VALUE"""),73.8893688196154)</f>
        <v>73.88936882</v>
      </c>
      <c r="P1023" s="23">
        <f>IFERROR(__xludf.DUMMYFUNCTION("""COMPUTED_VALUE"""),160801.0)</f>
        <v>160801</v>
      </c>
      <c r="Q1023" s="23">
        <f>IFERROR(__xludf.DUMMYFUNCTION("""COMPUTED_VALUE"""),217624.0)</f>
        <v>217624</v>
      </c>
    </row>
    <row r="1024">
      <c r="A1024" s="23">
        <f>IFERROR(__xludf.DUMMYFUNCTION("""COMPUTED_VALUE"""),1080.0)</f>
        <v>1080</v>
      </c>
      <c r="B1024" s="23" t="str">
        <f>IFERROR(__xludf.DUMMYFUNCTION("""COMPUTED_VALUE"""),"Camelcase Matching")</f>
        <v>Camelcase Matching</v>
      </c>
      <c r="C1024" s="23" t="str">
        <f>IFERROR(__xludf.DUMMYFUNCTION("""COMPUTED_VALUE"""),"camelcase-matching")</f>
        <v>camelcase-matching</v>
      </c>
      <c r="D1024" s="23" t="b">
        <f>IFERROR(__xludf.DUMMYFUNCTION("""COMPUTED_VALUE"""),FALSE)</f>
        <v>0</v>
      </c>
      <c r="E1024" s="23" t="str">
        <f>IFERROR(__xludf.DUMMYFUNCTION("""COMPUTED_VALUE"""),"Medium")</f>
        <v>Medium</v>
      </c>
      <c r="F1024" s="23">
        <f>IFERROR(__xludf.DUMMYFUNCTION("""COMPUTED_VALUE"""),543.0)</f>
        <v>543</v>
      </c>
      <c r="G1024" s="23">
        <f>IFERROR(__xludf.DUMMYFUNCTION("""COMPUTED_VALUE"""),220.0)</f>
        <v>220</v>
      </c>
      <c r="H1024" s="23" t="str">
        <f>IFERROR(__xludf.DUMMYFUNCTION("""COMPUTED_VALUE"""),"Algorithms")</f>
        <v>Algorithms</v>
      </c>
      <c r="I1024" s="23">
        <f>IFERROR(__xludf.DUMMYFUNCTION("""COMPUTED_VALUE"""),0.592)</f>
        <v>0.592</v>
      </c>
      <c r="J1024" s="23">
        <f>IFERROR(__xludf.DUMMYFUNCTION("""COMPUTED_VALUE"""),1023.0)</f>
        <v>1023</v>
      </c>
      <c r="K1024" s="23" t="b">
        <f>IFERROR(__xludf.DUMMYFUNCTION("""COMPUTED_VALUE"""),FALSE)</f>
        <v>0</v>
      </c>
      <c r="L1024" s="23" t="str">
        <f>IFERROR(__xludf.DUMMYFUNCTION("""COMPUTED_VALUE"""),"Two Pointers;String;Trie;String Matching;")</f>
        <v>Two Pointers;String;Trie;String Matching;</v>
      </c>
      <c r="M1024" s="23" t="b">
        <f>IFERROR(__xludf.DUMMYFUNCTION("""COMPUTED_VALUE"""),FALSE)</f>
        <v>0</v>
      </c>
      <c r="N1024" s="23" t="b">
        <f>IFERROR(__xludf.DUMMYFUNCTION("""COMPUTED_VALUE"""),FALSE)</f>
        <v>0</v>
      </c>
      <c r="O1024" s="23">
        <f>IFERROR(__xludf.DUMMYFUNCTION("""COMPUTED_VALUE"""),59.191808512648)</f>
        <v>59.19180851</v>
      </c>
      <c r="P1024" s="23">
        <f>IFERROR(__xludf.DUMMYFUNCTION("""COMPUTED_VALUE"""),31330.0)</f>
        <v>31330</v>
      </c>
      <c r="Q1024" s="23">
        <f>IFERROR(__xludf.DUMMYFUNCTION("""COMPUTED_VALUE"""),52931.0)</f>
        <v>52931</v>
      </c>
    </row>
    <row r="1025">
      <c r="A1025" s="23">
        <f>IFERROR(__xludf.DUMMYFUNCTION("""COMPUTED_VALUE"""),1081.0)</f>
        <v>1081</v>
      </c>
      <c r="B1025" s="23" t="str">
        <f>IFERROR(__xludf.DUMMYFUNCTION("""COMPUTED_VALUE"""),"Video Stitching")</f>
        <v>Video Stitching</v>
      </c>
      <c r="C1025" s="23" t="str">
        <f>IFERROR(__xludf.DUMMYFUNCTION("""COMPUTED_VALUE"""),"video-stitching")</f>
        <v>video-stitching</v>
      </c>
      <c r="D1025" s="23" t="b">
        <f>IFERROR(__xludf.DUMMYFUNCTION("""COMPUTED_VALUE"""),FALSE)</f>
        <v>0</v>
      </c>
      <c r="E1025" s="23" t="str">
        <f>IFERROR(__xludf.DUMMYFUNCTION("""COMPUTED_VALUE"""),"Medium")</f>
        <v>Medium</v>
      </c>
      <c r="F1025" s="23">
        <f>IFERROR(__xludf.DUMMYFUNCTION("""COMPUTED_VALUE"""),1190.0)</f>
        <v>1190</v>
      </c>
      <c r="G1025" s="23">
        <f>IFERROR(__xludf.DUMMYFUNCTION("""COMPUTED_VALUE"""),47.0)</f>
        <v>47</v>
      </c>
      <c r="H1025" s="23" t="str">
        <f>IFERROR(__xludf.DUMMYFUNCTION("""COMPUTED_VALUE"""),"Algorithms")</f>
        <v>Algorithms</v>
      </c>
      <c r="I1025" s="23">
        <f>IFERROR(__xludf.DUMMYFUNCTION("""COMPUTED_VALUE"""),0.501)</f>
        <v>0.501</v>
      </c>
      <c r="J1025" s="23">
        <f>IFERROR(__xludf.DUMMYFUNCTION("""COMPUTED_VALUE"""),1024.0)</f>
        <v>1024</v>
      </c>
      <c r="K1025" s="23" t="b">
        <f>IFERROR(__xludf.DUMMYFUNCTION("""COMPUTED_VALUE"""),FALSE)</f>
        <v>0</v>
      </c>
      <c r="L1025" s="23" t="str">
        <f>IFERROR(__xludf.DUMMYFUNCTION("""COMPUTED_VALUE"""),"Array;Dynamic Programming;Greedy;")</f>
        <v>Array;Dynamic Programming;Greedy;</v>
      </c>
      <c r="M1025" s="23" t="b">
        <f>IFERROR(__xludf.DUMMYFUNCTION("""COMPUTED_VALUE"""),FALSE)</f>
        <v>0</v>
      </c>
      <c r="N1025" s="23" t="b">
        <f>IFERROR(__xludf.DUMMYFUNCTION("""COMPUTED_VALUE"""),FALSE)</f>
        <v>0</v>
      </c>
      <c r="O1025" s="23">
        <f>IFERROR(__xludf.DUMMYFUNCTION("""COMPUTED_VALUE"""),50.0509094026987)</f>
        <v>50.0509094</v>
      </c>
      <c r="P1025" s="23">
        <f>IFERROR(__xludf.DUMMYFUNCTION("""COMPUTED_VALUE"""),46698.0)</f>
        <v>46698</v>
      </c>
      <c r="Q1025" s="23">
        <f>IFERROR(__xludf.DUMMYFUNCTION("""COMPUTED_VALUE"""),93300.0)</f>
        <v>93300</v>
      </c>
    </row>
    <row r="1026">
      <c r="A1026" s="23">
        <f>IFERROR(__xludf.DUMMYFUNCTION("""COMPUTED_VALUE"""),1086.0)</f>
        <v>1086</v>
      </c>
      <c r="B1026" s="23" t="str">
        <f>IFERROR(__xludf.DUMMYFUNCTION("""COMPUTED_VALUE"""),"Divisor Game")</f>
        <v>Divisor Game</v>
      </c>
      <c r="C1026" s="23" t="str">
        <f>IFERROR(__xludf.DUMMYFUNCTION("""COMPUTED_VALUE"""),"divisor-game")</f>
        <v>divisor-game</v>
      </c>
      <c r="D1026" s="23" t="b">
        <f>IFERROR(__xludf.DUMMYFUNCTION("""COMPUTED_VALUE"""),FALSE)</f>
        <v>0</v>
      </c>
      <c r="E1026" s="23" t="str">
        <f>IFERROR(__xludf.DUMMYFUNCTION("""COMPUTED_VALUE"""),"Easy")</f>
        <v>Easy</v>
      </c>
      <c r="F1026" s="23">
        <f>IFERROR(__xludf.DUMMYFUNCTION("""COMPUTED_VALUE"""),1282.0)</f>
        <v>1282</v>
      </c>
      <c r="G1026" s="23">
        <f>IFERROR(__xludf.DUMMYFUNCTION("""COMPUTED_VALUE"""),3059.0)</f>
        <v>3059</v>
      </c>
      <c r="H1026" s="23" t="str">
        <f>IFERROR(__xludf.DUMMYFUNCTION("""COMPUTED_VALUE"""),"Algorithms")</f>
        <v>Algorithms</v>
      </c>
      <c r="I1026" s="23">
        <f>IFERROR(__xludf.DUMMYFUNCTION("""COMPUTED_VALUE"""),0.666)</f>
        <v>0.666</v>
      </c>
      <c r="J1026" s="23">
        <f>IFERROR(__xludf.DUMMYFUNCTION("""COMPUTED_VALUE"""),1025.0)</f>
        <v>1025</v>
      </c>
      <c r="K1026" s="23" t="b">
        <f>IFERROR(__xludf.DUMMYFUNCTION("""COMPUTED_VALUE"""),FALSE)</f>
        <v>0</v>
      </c>
      <c r="L1026" s="23" t="str">
        <f>IFERROR(__xludf.DUMMYFUNCTION("""COMPUTED_VALUE"""),"Math;Dynamic Programming;Brainteaser;Game Theory;")</f>
        <v>Math;Dynamic Programming;Brainteaser;Game Theory;</v>
      </c>
      <c r="M1026" s="23" t="b">
        <f>IFERROR(__xludf.DUMMYFUNCTION("""COMPUTED_VALUE"""),FALSE)</f>
        <v>0</v>
      </c>
      <c r="N1026" s="23" t="b">
        <f>IFERROR(__xludf.DUMMYFUNCTION("""COMPUTED_VALUE"""),FALSE)</f>
        <v>0</v>
      </c>
      <c r="O1026" s="23">
        <f>IFERROR(__xludf.DUMMYFUNCTION("""COMPUTED_VALUE"""),66.6087783678117)</f>
        <v>66.60877837</v>
      </c>
      <c r="P1026" s="23">
        <f>IFERROR(__xludf.DUMMYFUNCTION("""COMPUTED_VALUE"""),152650.0)</f>
        <v>152650</v>
      </c>
      <c r="Q1026" s="23">
        <f>IFERROR(__xludf.DUMMYFUNCTION("""COMPUTED_VALUE"""),229175.0)</f>
        <v>229175</v>
      </c>
    </row>
    <row r="1027">
      <c r="A1027" s="23">
        <f>IFERROR(__xludf.DUMMYFUNCTION("""COMPUTED_VALUE"""),1092.0)</f>
        <v>1092</v>
      </c>
      <c r="B1027" s="23" t="str">
        <f>IFERROR(__xludf.DUMMYFUNCTION("""COMPUTED_VALUE"""),"Maximum Difference Between Node and Ancestor")</f>
        <v>Maximum Difference Between Node and Ancestor</v>
      </c>
      <c r="C1027" s="23" t="str">
        <f>IFERROR(__xludf.DUMMYFUNCTION("""COMPUTED_VALUE"""),"maximum-difference-between-node-and-ancestor")</f>
        <v>maximum-difference-between-node-and-ancestor</v>
      </c>
      <c r="D1027" s="23" t="b">
        <f>IFERROR(__xludf.DUMMYFUNCTION("""COMPUTED_VALUE"""),FALSE)</f>
        <v>0</v>
      </c>
      <c r="E1027" s="23" t="str">
        <f>IFERROR(__xludf.DUMMYFUNCTION("""COMPUTED_VALUE"""),"Medium")</f>
        <v>Medium</v>
      </c>
      <c r="F1027" s="23">
        <f>IFERROR(__xludf.DUMMYFUNCTION("""COMPUTED_VALUE"""),2340.0)</f>
        <v>2340</v>
      </c>
      <c r="G1027" s="23">
        <f>IFERROR(__xludf.DUMMYFUNCTION("""COMPUTED_VALUE"""),64.0)</f>
        <v>64</v>
      </c>
      <c r="H1027" s="23" t="str">
        <f>IFERROR(__xludf.DUMMYFUNCTION("""COMPUTED_VALUE"""),"Algorithms")</f>
        <v>Algorithms</v>
      </c>
      <c r="I1027" s="23">
        <f>IFERROR(__xludf.DUMMYFUNCTION("""COMPUTED_VALUE"""),0.732)</f>
        <v>0.732</v>
      </c>
      <c r="J1027" s="23">
        <f>IFERROR(__xludf.DUMMYFUNCTION("""COMPUTED_VALUE"""),1026.0)</f>
        <v>1026</v>
      </c>
      <c r="K1027" s="23" t="b">
        <f>IFERROR(__xludf.DUMMYFUNCTION("""COMPUTED_VALUE"""),FALSE)</f>
        <v>0</v>
      </c>
      <c r="L1027" s="23" t="str">
        <f>IFERROR(__xludf.DUMMYFUNCTION("""COMPUTED_VALUE"""),"Tree;Depth-First Search;Binary Tree;")</f>
        <v>Tree;Depth-First Search;Binary Tree;</v>
      </c>
      <c r="M1027" s="23" t="b">
        <f>IFERROR(__xludf.DUMMYFUNCTION("""COMPUTED_VALUE"""),TRUE)</f>
        <v>1</v>
      </c>
      <c r="N1027" s="23" t="b">
        <f>IFERROR(__xludf.DUMMYFUNCTION("""COMPUTED_VALUE"""),FALSE)</f>
        <v>0</v>
      </c>
      <c r="O1027" s="23">
        <f>IFERROR(__xludf.DUMMYFUNCTION("""COMPUTED_VALUE"""),73.1689159847275)</f>
        <v>73.16891598</v>
      </c>
      <c r="P1027" s="23">
        <f>IFERROR(__xludf.DUMMYFUNCTION("""COMPUTED_VALUE"""),129737.0)</f>
        <v>129737</v>
      </c>
      <c r="Q1027" s="23">
        <f>IFERROR(__xludf.DUMMYFUNCTION("""COMPUTED_VALUE"""),177312.0)</f>
        <v>177312</v>
      </c>
    </row>
    <row r="1028">
      <c r="A1028" s="23">
        <f>IFERROR(__xludf.DUMMYFUNCTION("""COMPUTED_VALUE"""),1087.0)</f>
        <v>1087</v>
      </c>
      <c r="B1028" s="23" t="str">
        <f>IFERROR(__xludf.DUMMYFUNCTION("""COMPUTED_VALUE"""),"Longest Arithmetic Subsequence")</f>
        <v>Longest Arithmetic Subsequence</v>
      </c>
      <c r="C1028" s="23" t="str">
        <f>IFERROR(__xludf.DUMMYFUNCTION("""COMPUTED_VALUE"""),"longest-arithmetic-subsequence")</f>
        <v>longest-arithmetic-subsequence</v>
      </c>
      <c r="D1028" s="23" t="b">
        <f>IFERROR(__xludf.DUMMYFUNCTION("""COMPUTED_VALUE"""),FALSE)</f>
        <v>0</v>
      </c>
      <c r="E1028" s="23" t="str">
        <f>IFERROR(__xludf.DUMMYFUNCTION("""COMPUTED_VALUE"""),"Medium")</f>
        <v>Medium</v>
      </c>
      <c r="F1028" s="23">
        <f>IFERROR(__xludf.DUMMYFUNCTION("""COMPUTED_VALUE"""),2064.0)</f>
        <v>2064</v>
      </c>
      <c r="G1028" s="23">
        <f>IFERROR(__xludf.DUMMYFUNCTION("""COMPUTED_VALUE"""),98.0)</f>
        <v>98</v>
      </c>
      <c r="H1028" s="23" t="str">
        <f>IFERROR(__xludf.DUMMYFUNCTION("""COMPUTED_VALUE"""),"Algorithms")</f>
        <v>Algorithms</v>
      </c>
      <c r="I1028" s="23">
        <f>IFERROR(__xludf.DUMMYFUNCTION("""COMPUTED_VALUE"""),0.482)</f>
        <v>0.482</v>
      </c>
      <c r="J1028" s="23">
        <f>IFERROR(__xludf.DUMMYFUNCTION("""COMPUTED_VALUE"""),1027.0)</f>
        <v>1027</v>
      </c>
      <c r="K1028" s="23" t="b">
        <f>IFERROR(__xludf.DUMMYFUNCTION("""COMPUTED_VALUE"""),FALSE)</f>
        <v>0</v>
      </c>
      <c r="L1028" s="23" t="str">
        <f>IFERROR(__xludf.DUMMYFUNCTION("""COMPUTED_VALUE"""),"Array;Hash Table;Binary Search;Dynamic Programming;")</f>
        <v>Array;Hash Table;Binary Search;Dynamic Programming;</v>
      </c>
      <c r="M1028" s="23" t="b">
        <f>IFERROR(__xludf.DUMMYFUNCTION("""COMPUTED_VALUE"""),FALSE)</f>
        <v>0</v>
      </c>
      <c r="N1028" s="23" t="b">
        <f>IFERROR(__xludf.DUMMYFUNCTION("""COMPUTED_VALUE"""),FALSE)</f>
        <v>0</v>
      </c>
      <c r="O1028" s="23">
        <f>IFERROR(__xludf.DUMMYFUNCTION("""COMPUTED_VALUE"""),48.1850722974004)</f>
        <v>48.1850723</v>
      </c>
      <c r="P1028" s="23">
        <f>IFERROR(__xludf.DUMMYFUNCTION("""COMPUTED_VALUE"""),85210.0)</f>
        <v>85210</v>
      </c>
      <c r="Q1028" s="23">
        <f>IFERROR(__xludf.DUMMYFUNCTION("""COMPUTED_VALUE"""),176839.0)</f>
        <v>176839</v>
      </c>
    </row>
    <row r="1029">
      <c r="A1029" s="23">
        <f>IFERROR(__xludf.DUMMYFUNCTION("""COMPUTED_VALUE"""),1093.0)</f>
        <v>1093</v>
      </c>
      <c r="B1029" s="23" t="str">
        <f>IFERROR(__xludf.DUMMYFUNCTION("""COMPUTED_VALUE"""),"Recover a Tree From Preorder Traversal")</f>
        <v>Recover a Tree From Preorder Traversal</v>
      </c>
      <c r="C1029" s="23" t="str">
        <f>IFERROR(__xludf.DUMMYFUNCTION("""COMPUTED_VALUE"""),"recover-a-tree-from-preorder-traversal")</f>
        <v>recover-a-tree-from-preorder-traversal</v>
      </c>
      <c r="D1029" s="23" t="b">
        <f>IFERROR(__xludf.DUMMYFUNCTION("""COMPUTED_VALUE"""),FALSE)</f>
        <v>0</v>
      </c>
      <c r="E1029" s="23" t="str">
        <f>IFERROR(__xludf.DUMMYFUNCTION("""COMPUTED_VALUE"""),"Hard")</f>
        <v>Hard</v>
      </c>
      <c r="F1029" s="23">
        <f>IFERROR(__xludf.DUMMYFUNCTION("""COMPUTED_VALUE"""),1027.0)</f>
        <v>1027</v>
      </c>
      <c r="G1029" s="23">
        <f>IFERROR(__xludf.DUMMYFUNCTION("""COMPUTED_VALUE"""),30.0)</f>
        <v>30</v>
      </c>
      <c r="H1029" s="23" t="str">
        <f>IFERROR(__xludf.DUMMYFUNCTION("""COMPUTED_VALUE"""),"Algorithms")</f>
        <v>Algorithms</v>
      </c>
      <c r="I1029" s="23">
        <f>IFERROR(__xludf.DUMMYFUNCTION("""COMPUTED_VALUE"""),0.724)</f>
        <v>0.724</v>
      </c>
      <c r="J1029" s="23">
        <f>IFERROR(__xludf.DUMMYFUNCTION("""COMPUTED_VALUE"""),1028.0)</f>
        <v>1028</v>
      </c>
      <c r="K1029" s="23" t="b">
        <f>IFERROR(__xludf.DUMMYFUNCTION("""COMPUTED_VALUE"""),FALSE)</f>
        <v>0</v>
      </c>
      <c r="L1029" s="23" t="str">
        <f>IFERROR(__xludf.DUMMYFUNCTION("""COMPUTED_VALUE"""),"String;Tree;Depth-First Search;Binary Tree;")</f>
        <v>String;Tree;Depth-First Search;Binary Tree;</v>
      </c>
      <c r="M1029" s="23" t="b">
        <f>IFERROR(__xludf.DUMMYFUNCTION("""COMPUTED_VALUE"""),FALSE)</f>
        <v>0</v>
      </c>
      <c r="N1029" s="23" t="b">
        <f>IFERROR(__xludf.DUMMYFUNCTION("""COMPUTED_VALUE"""),FALSE)</f>
        <v>0</v>
      </c>
      <c r="O1029" s="23">
        <f>IFERROR(__xludf.DUMMYFUNCTION("""COMPUTED_VALUE"""),72.4092228720494)</f>
        <v>72.40922287</v>
      </c>
      <c r="P1029" s="23">
        <f>IFERROR(__xludf.DUMMYFUNCTION("""COMPUTED_VALUE"""),34419.0)</f>
        <v>34419</v>
      </c>
      <c r="Q1029" s="23">
        <f>IFERROR(__xludf.DUMMYFUNCTION("""COMPUTED_VALUE"""),47534.0)</f>
        <v>47534</v>
      </c>
    </row>
    <row r="1030">
      <c r="A1030" s="23">
        <f>IFERROR(__xludf.DUMMYFUNCTION("""COMPUTED_VALUE"""),1095.0)</f>
        <v>1095</v>
      </c>
      <c r="B1030" s="23" t="str">
        <f>IFERROR(__xludf.DUMMYFUNCTION("""COMPUTED_VALUE"""),"Two City Scheduling")</f>
        <v>Two City Scheduling</v>
      </c>
      <c r="C1030" s="23" t="str">
        <f>IFERROR(__xludf.DUMMYFUNCTION("""COMPUTED_VALUE"""),"two-city-scheduling")</f>
        <v>two-city-scheduling</v>
      </c>
      <c r="D1030" s="23" t="b">
        <f>IFERROR(__xludf.DUMMYFUNCTION("""COMPUTED_VALUE"""),FALSE)</f>
        <v>0</v>
      </c>
      <c r="E1030" s="23" t="str">
        <f>IFERROR(__xludf.DUMMYFUNCTION("""COMPUTED_VALUE"""),"Medium")</f>
        <v>Medium</v>
      </c>
      <c r="F1030" s="23">
        <f>IFERROR(__xludf.DUMMYFUNCTION("""COMPUTED_VALUE"""),3618.0)</f>
        <v>3618</v>
      </c>
      <c r="G1030" s="23">
        <f>IFERROR(__xludf.DUMMYFUNCTION("""COMPUTED_VALUE"""),274.0)</f>
        <v>274</v>
      </c>
      <c r="H1030" s="23" t="str">
        <f>IFERROR(__xludf.DUMMYFUNCTION("""COMPUTED_VALUE"""),"Algorithms")</f>
        <v>Algorithms</v>
      </c>
      <c r="I1030" s="23">
        <f>IFERROR(__xludf.DUMMYFUNCTION("""COMPUTED_VALUE"""),0.636)</f>
        <v>0.636</v>
      </c>
      <c r="J1030" s="23">
        <f>IFERROR(__xludf.DUMMYFUNCTION("""COMPUTED_VALUE"""),1029.0)</f>
        <v>1029</v>
      </c>
      <c r="K1030" s="23" t="b">
        <f>IFERROR(__xludf.DUMMYFUNCTION("""COMPUTED_VALUE"""),FALSE)</f>
        <v>0</v>
      </c>
      <c r="L1030" s="23" t="str">
        <f>IFERROR(__xludf.DUMMYFUNCTION("""COMPUTED_VALUE"""),"Array;Greedy;Sorting;")</f>
        <v>Array;Greedy;Sorting;</v>
      </c>
      <c r="M1030" s="23" t="b">
        <f>IFERROR(__xludf.DUMMYFUNCTION("""COMPUTED_VALUE"""),TRUE)</f>
        <v>1</v>
      </c>
      <c r="N1030" s="23" t="b">
        <f>IFERROR(__xludf.DUMMYFUNCTION("""COMPUTED_VALUE"""),FALSE)</f>
        <v>0</v>
      </c>
      <c r="O1030" s="23">
        <f>IFERROR(__xludf.DUMMYFUNCTION("""COMPUTED_VALUE"""),63.5984838976882)</f>
        <v>63.5984839</v>
      </c>
      <c r="P1030" s="23">
        <f>IFERROR(__xludf.DUMMYFUNCTION("""COMPUTED_VALUE"""),177359.0)</f>
        <v>177359</v>
      </c>
      <c r="Q1030" s="23">
        <f>IFERROR(__xludf.DUMMYFUNCTION("""COMPUTED_VALUE"""),278873.0)</f>
        <v>278873</v>
      </c>
    </row>
    <row r="1031">
      <c r="A1031" s="23">
        <f>IFERROR(__xludf.DUMMYFUNCTION("""COMPUTED_VALUE"""),1094.0)</f>
        <v>1094</v>
      </c>
      <c r="B1031" s="23" t="str">
        <f>IFERROR(__xludf.DUMMYFUNCTION("""COMPUTED_VALUE"""),"Matrix Cells in Distance Order")</f>
        <v>Matrix Cells in Distance Order</v>
      </c>
      <c r="C1031" s="23" t="str">
        <f>IFERROR(__xludf.DUMMYFUNCTION("""COMPUTED_VALUE"""),"matrix-cells-in-distance-order")</f>
        <v>matrix-cells-in-distance-order</v>
      </c>
      <c r="D1031" s="23" t="b">
        <f>IFERROR(__xludf.DUMMYFUNCTION("""COMPUTED_VALUE"""),FALSE)</f>
        <v>0</v>
      </c>
      <c r="E1031" s="23" t="str">
        <f>IFERROR(__xludf.DUMMYFUNCTION("""COMPUTED_VALUE"""),"Easy")</f>
        <v>Easy</v>
      </c>
      <c r="F1031" s="23">
        <f>IFERROR(__xludf.DUMMYFUNCTION("""COMPUTED_VALUE"""),485.0)</f>
        <v>485</v>
      </c>
      <c r="G1031" s="23">
        <f>IFERROR(__xludf.DUMMYFUNCTION("""COMPUTED_VALUE"""),218.0)</f>
        <v>218</v>
      </c>
      <c r="H1031" s="23" t="str">
        <f>IFERROR(__xludf.DUMMYFUNCTION("""COMPUTED_VALUE"""),"Algorithms")</f>
        <v>Algorithms</v>
      </c>
      <c r="I1031" s="23">
        <f>IFERROR(__xludf.DUMMYFUNCTION("""COMPUTED_VALUE"""),0.691)</f>
        <v>0.691</v>
      </c>
      <c r="J1031" s="23">
        <f>IFERROR(__xludf.DUMMYFUNCTION("""COMPUTED_VALUE"""),1030.0)</f>
        <v>1030</v>
      </c>
      <c r="K1031" s="23" t="b">
        <f>IFERROR(__xludf.DUMMYFUNCTION("""COMPUTED_VALUE"""),FALSE)</f>
        <v>0</v>
      </c>
      <c r="L1031" s="23" t="str">
        <f>IFERROR(__xludf.DUMMYFUNCTION("""COMPUTED_VALUE"""),"Array;Math;Geometry;Sorting;Matrix;")</f>
        <v>Array;Math;Geometry;Sorting;Matrix;</v>
      </c>
      <c r="M1031" s="23" t="b">
        <f>IFERROR(__xludf.DUMMYFUNCTION("""COMPUTED_VALUE"""),FALSE)</f>
        <v>0</v>
      </c>
      <c r="N1031" s="23" t="b">
        <f>IFERROR(__xludf.DUMMYFUNCTION("""COMPUTED_VALUE"""),FALSE)</f>
        <v>0</v>
      </c>
      <c r="O1031" s="23">
        <f>IFERROR(__xludf.DUMMYFUNCTION("""COMPUTED_VALUE"""),69.0679435317427)</f>
        <v>69.06794353</v>
      </c>
      <c r="P1031" s="23">
        <f>IFERROR(__xludf.DUMMYFUNCTION("""COMPUTED_VALUE"""),41831.0)</f>
        <v>41831</v>
      </c>
      <c r="Q1031" s="23">
        <f>IFERROR(__xludf.DUMMYFUNCTION("""COMPUTED_VALUE"""),60565.0)</f>
        <v>60565</v>
      </c>
    </row>
    <row r="1032">
      <c r="A1032" s="23">
        <f>IFERROR(__xludf.DUMMYFUNCTION("""COMPUTED_VALUE"""),1096.0)</f>
        <v>1096</v>
      </c>
      <c r="B1032" s="23" t="str">
        <f>IFERROR(__xludf.DUMMYFUNCTION("""COMPUTED_VALUE"""),"Maximum Sum of Two Non-Overlapping Subarrays")</f>
        <v>Maximum Sum of Two Non-Overlapping Subarrays</v>
      </c>
      <c r="C1032" s="23" t="str">
        <f>IFERROR(__xludf.DUMMYFUNCTION("""COMPUTED_VALUE"""),"maximum-sum-of-two-non-overlapping-subarrays")</f>
        <v>maximum-sum-of-two-non-overlapping-subarrays</v>
      </c>
      <c r="D1032" s="23" t="b">
        <f>IFERROR(__xludf.DUMMYFUNCTION("""COMPUTED_VALUE"""),FALSE)</f>
        <v>0</v>
      </c>
      <c r="E1032" s="23" t="str">
        <f>IFERROR(__xludf.DUMMYFUNCTION("""COMPUTED_VALUE"""),"Medium")</f>
        <v>Medium</v>
      </c>
      <c r="F1032" s="23">
        <f>IFERROR(__xludf.DUMMYFUNCTION("""COMPUTED_VALUE"""),1682.0)</f>
        <v>1682</v>
      </c>
      <c r="G1032" s="23">
        <f>IFERROR(__xludf.DUMMYFUNCTION("""COMPUTED_VALUE"""),70.0)</f>
        <v>70</v>
      </c>
      <c r="H1032" s="23" t="str">
        <f>IFERROR(__xludf.DUMMYFUNCTION("""COMPUTED_VALUE"""),"Algorithms")</f>
        <v>Algorithms</v>
      </c>
      <c r="I1032" s="23">
        <f>IFERROR(__xludf.DUMMYFUNCTION("""COMPUTED_VALUE"""),0.593)</f>
        <v>0.593</v>
      </c>
      <c r="J1032" s="23">
        <f>IFERROR(__xludf.DUMMYFUNCTION("""COMPUTED_VALUE"""),1031.0)</f>
        <v>1031</v>
      </c>
      <c r="K1032" s="23" t="b">
        <f>IFERROR(__xludf.DUMMYFUNCTION("""COMPUTED_VALUE"""),FALSE)</f>
        <v>0</v>
      </c>
      <c r="L1032" s="23" t="str">
        <f>IFERROR(__xludf.DUMMYFUNCTION("""COMPUTED_VALUE"""),"Array;Dynamic Programming;Sliding Window;")</f>
        <v>Array;Dynamic Programming;Sliding Window;</v>
      </c>
      <c r="M1032" s="23" t="b">
        <f>IFERROR(__xludf.DUMMYFUNCTION("""COMPUTED_VALUE"""),FALSE)</f>
        <v>0</v>
      </c>
      <c r="N1032" s="23" t="b">
        <f>IFERROR(__xludf.DUMMYFUNCTION("""COMPUTED_VALUE"""),FALSE)</f>
        <v>0</v>
      </c>
      <c r="O1032" s="23">
        <f>IFERROR(__xludf.DUMMYFUNCTION("""COMPUTED_VALUE"""),59.2656587473002)</f>
        <v>59.26565875</v>
      </c>
      <c r="P1032" s="23">
        <f>IFERROR(__xludf.DUMMYFUNCTION("""COMPUTED_VALUE"""),49391.0)</f>
        <v>49391</v>
      </c>
      <c r="Q1032" s="23">
        <f>IFERROR(__xludf.DUMMYFUNCTION("""COMPUTED_VALUE"""),83339.0)</f>
        <v>83339</v>
      </c>
    </row>
    <row r="1033">
      <c r="A1033" s="23">
        <f>IFERROR(__xludf.DUMMYFUNCTION("""COMPUTED_VALUE"""),1097.0)</f>
        <v>1097</v>
      </c>
      <c r="B1033" s="23" t="str">
        <f>IFERROR(__xludf.DUMMYFUNCTION("""COMPUTED_VALUE"""),"Stream of Characters")</f>
        <v>Stream of Characters</v>
      </c>
      <c r="C1033" s="23" t="str">
        <f>IFERROR(__xludf.DUMMYFUNCTION("""COMPUTED_VALUE"""),"stream-of-characters")</f>
        <v>stream-of-characters</v>
      </c>
      <c r="D1033" s="23" t="b">
        <f>IFERROR(__xludf.DUMMYFUNCTION("""COMPUTED_VALUE"""),FALSE)</f>
        <v>0</v>
      </c>
      <c r="E1033" s="23" t="str">
        <f>IFERROR(__xludf.DUMMYFUNCTION("""COMPUTED_VALUE"""),"Hard")</f>
        <v>Hard</v>
      </c>
      <c r="F1033" s="23">
        <f>IFERROR(__xludf.DUMMYFUNCTION("""COMPUTED_VALUE"""),1509.0)</f>
        <v>1509</v>
      </c>
      <c r="G1033" s="23">
        <f>IFERROR(__xludf.DUMMYFUNCTION("""COMPUTED_VALUE"""),169.0)</f>
        <v>169</v>
      </c>
      <c r="H1033" s="23" t="str">
        <f>IFERROR(__xludf.DUMMYFUNCTION("""COMPUTED_VALUE"""),"Algorithms")</f>
        <v>Algorithms</v>
      </c>
      <c r="I1033" s="23">
        <f>IFERROR(__xludf.DUMMYFUNCTION("""COMPUTED_VALUE"""),0.514)</f>
        <v>0.514</v>
      </c>
      <c r="J1033" s="23">
        <f>IFERROR(__xludf.DUMMYFUNCTION("""COMPUTED_VALUE"""),1032.0)</f>
        <v>1032</v>
      </c>
      <c r="K1033" s="23" t="b">
        <f>IFERROR(__xludf.DUMMYFUNCTION("""COMPUTED_VALUE"""),FALSE)</f>
        <v>0</v>
      </c>
      <c r="L1033" s="23" t="str">
        <f>IFERROR(__xludf.DUMMYFUNCTION("""COMPUTED_VALUE"""),"Array;String;Design;Trie;Data Stream;")</f>
        <v>Array;String;Design;Trie;Data Stream;</v>
      </c>
      <c r="M1033" s="23" t="b">
        <f>IFERROR(__xludf.DUMMYFUNCTION("""COMPUTED_VALUE"""),TRUE)</f>
        <v>1</v>
      </c>
      <c r="N1033" s="23" t="b">
        <f>IFERROR(__xludf.DUMMYFUNCTION("""COMPUTED_VALUE"""),FALSE)</f>
        <v>0</v>
      </c>
      <c r="O1033" s="23">
        <f>IFERROR(__xludf.DUMMYFUNCTION("""COMPUTED_VALUE"""),51.3707337294459)</f>
        <v>51.37073373</v>
      </c>
      <c r="P1033" s="23">
        <f>IFERROR(__xludf.DUMMYFUNCTION("""COMPUTED_VALUE"""),74354.0)</f>
        <v>74354</v>
      </c>
      <c r="Q1033" s="23">
        <f>IFERROR(__xludf.DUMMYFUNCTION("""COMPUTED_VALUE"""),144740.0)</f>
        <v>144740</v>
      </c>
    </row>
    <row r="1034">
      <c r="A1034" s="23">
        <f>IFERROR(__xludf.DUMMYFUNCTION("""COMPUTED_VALUE"""),1103.0)</f>
        <v>1103</v>
      </c>
      <c r="B1034" s="23" t="str">
        <f>IFERROR(__xludf.DUMMYFUNCTION("""COMPUTED_VALUE"""),"Moving Stones Until Consecutive")</f>
        <v>Moving Stones Until Consecutive</v>
      </c>
      <c r="C1034" s="23" t="str">
        <f>IFERROR(__xludf.DUMMYFUNCTION("""COMPUTED_VALUE"""),"moving-stones-until-consecutive")</f>
        <v>moving-stones-until-consecutive</v>
      </c>
      <c r="D1034" s="23" t="b">
        <f>IFERROR(__xludf.DUMMYFUNCTION("""COMPUTED_VALUE"""),FALSE)</f>
        <v>0</v>
      </c>
      <c r="E1034" s="23" t="str">
        <f>IFERROR(__xludf.DUMMYFUNCTION("""COMPUTED_VALUE"""),"Medium")</f>
        <v>Medium</v>
      </c>
      <c r="F1034" s="23">
        <f>IFERROR(__xludf.DUMMYFUNCTION("""COMPUTED_VALUE"""),149.0)</f>
        <v>149</v>
      </c>
      <c r="G1034" s="23">
        <f>IFERROR(__xludf.DUMMYFUNCTION("""COMPUTED_VALUE"""),584.0)</f>
        <v>584</v>
      </c>
      <c r="H1034" s="23" t="str">
        <f>IFERROR(__xludf.DUMMYFUNCTION("""COMPUTED_VALUE"""),"Algorithms")</f>
        <v>Algorithms</v>
      </c>
      <c r="I1034" s="23">
        <f>IFERROR(__xludf.DUMMYFUNCTION("""COMPUTED_VALUE"""),0.45)</f>
        <v>0.45</v>
      </c>
      <c r="J1034" s="23">
        <f>IFERROR(__xludf.DUMMYFUNCTION("""COMPUTED_VALUE"""),1033.0)</f>
        <v>1033</v>
      </c>
      <c r="K1034" s="23" t="b">
        <f>IFERROR(__xludf.DUMMYFUNCTION("""COMPUTED_VALUE"""),FALSE)</f>
        <v>0</v>
      </c>
      <c r="L1034" s="23" t="str">
        <f>IFERROR(__xludf.DUMMYFUNCTION("""COMPUTED_VALUE"""),"Math;Brainteaser;")</f>
        <v>Math;Brainteaser;</v>
      </c>
      <c r="M1034" s="23" t="b">
        <f>IFERROR(__xludf.DUMMYFUNCTION("""COMPUTED_VALUE"""),FALSE)</f>
        <v>0</v>
      </c>
      <c r="N1034" s="23" t="b">
        <f>IFERROR(__xludf.DUMMYFUNCTION("""COMPUTED_VALUE"""),FALSE)</f>
        <v>0</v>
      </c>
      <c r="O1034" s="23">
        <f>IFERROR(__xludf.DUMMYFUNCTION("""COMPUTED_VALUE"""),44.9780353733986)</f>
        <v>44.97803537</v>
      </c>
      <c r="P1034" s="23">
        <f>IFERROR(__xludf.DUMMYFUNCTION("""COMPUTED_VALUE"""),19556.0)</f>
        <v>19556</v>
      </c>
      <c r="Q1034" s="23">
        <f>IFERROR(__xludf.DUMMYFUNCTION("""COMPUTED_VALUE"""),43479.0)</f>
        <v>43479</v>
      </c>
    </row>
    <row r="1035">
      <c r="A1035" s="23">
        <f>IFERROR(__xludf.DUMMYFUNCTION("""COMPUTED_VALUE"""),1104.0)</f>
        <v>1104</v>
      </c>
      <c r="B1035" s="23" t="str">
        <f>IFERROR(__xludf.DUMMYFUNCTION("""COMPUTED_VALUE"""),"Coloring A Border")</f>
        <v>Coloring A Border</v>
      </c>
      <c r="C1035" s="23" t="str">
        <f>IFERROR(__xludf.DUMMYFUNCTION("""COMPUTED_VALUE"""),"coloring-a-border")</f>
        <v>coloring-a-border</v>
      </c>
      <c r="D1035" s="23" t="b">
        <f>IFERROR(__xludf.DUMMYFUNCTION("""COMPUTED_VALUE"""),FALSE)</f>
        <v>0</v>
      </c>
      <c r="E1035" s="23" t="str">
        <f>IFERROR(__xludf.DUMMYFUNCTION("""COMPUTED_VALUE"""),"Medium")</f>
        <v>Medium</v>
      </c>
      <c r="F1035" s="23">
        <f>IFERROR(__xludf.DUMMYFUNCTION("""COMPUTED_VALUE"""),408.0)</f>
        <v>408</v>
      </c>
      <c r="G1035" s="23">
        <f>IFERROR(__xludf.DUMMYFUNCTION("""COMPUTED_VALUE"""),604.0)</f>
        <v>604</v>
      </c>
      <c r="H1035" s="23" t="str">
        <f>IFERROR(__xludf.DUMMYFUNCTION("""COMPUTED_VALUE"""),"Algorithms")</f>
        <v>Algorithms</v>
      </c>
      <c r="I1035" s="23">
        <f>IFERROR(__xludf.DUMMYFUNCTION("""COMPUTED_VALUE"""),0.484)</f>
        <v>0.484</v>
      </c>
      <c r="J1035" s="23">
        <f>IFERROR(__xludf.DUMMYFUNCTION("""COMPUTED_VALUE"""),1034.0)</f>
        <v>1034</v>
      </c>
      <c r="K1035" s="23" t="b">
        <f>IFERROR(__xludf.DUMMYFUNCTION("""COMPUTED_VALUE"""),FALSE)</f>
        <v>0</v>
      </c>
      <c r="L1035" s="23" t="str">
        <f>IFERROR(__xludf.DUMMYFUNCTION("""COMPUTED_VALUE"""),"Array;Depth-First Search;Breadth-First Search;Matrix;")</f>
        <v>Array;Depth-First Search;Breadth-First Search;Matrix;</v>
      </c>
      <c r="M1035" s="23" t="b">
        <f>IFERROR(__xludf.DUMMYFUNCTION("""COMPUTED_VALUE"""),FALSE)</f>
        <v>0</v>
      </c>
      <c r="N1035" s="23" t="b">
        <f>IFERROR(__xludf.DUMMYFUNCTION("""COMPUTED_VALUE"""),FALSE)</f>
        <v>0</v>
      </c>
      <c r="O1035" s="23">
        <f>IFERROR(__xludf.DUMMYFUNCTION("""COMPUTED_VALUE"""),48.4408335667952)</f>
        <v>48.44083357</v>
      </c>
      <c r="P1035" s="23">
        <f>IFERROR(__xludf.DUMMYFUNCTION("""COMPUTED_VALUE"""),22478.0)</f>
        <v>22478</v>
      </c>
      <c r="Q1035" s="23">
        <f>IFERROR(__xludf.DUMMYFUNCTION("""COMPUTED_VALUE"""),46403.0)</f>
        <v>46403</v>
      </c>
    </row>
    <row r="1036">
      <c r="A1036" s="23">
        <f>IFERROR(__xludf.DUMMYFUNCTION("""COMPUTED_VALUE"""),1105.0)</f>
        <v>1105</v>
      </c>
      <c r="B1036" s="23" t="str">
        <f>IFERROR(__xludf.DUMMYFUNCTION("""COMPUTED_VALUE"""),"Uncrossed Lines")</f>
        <v>Uncrossed Lines</v>
      </c>
      <c r="C1036" s="23" t="str">
        <f>IFERROR(__xludf.DUMMYFUNCTION("""COMPUTED_VALUE"""),"uncrossed-lines")</f>
        <v>uncrossed-lines</v>
      </c>
      <c r="D1036" s="23" t="b">
        <f>IFERROR(__xludf.DUMMYFUNCTION("""COMPUTED_VALUE"""),FALSE)</f>
        <v>0</v>
      </c>
      <c r="E1036" s="23" t="str">
        <f>IFERROR(__xludf.DUMMYFUNCTION("""COMPUTED_VALUE"""),"Medium")</f>
        <v>Medium</v>
      </c>
      <c r="F1036" s="23">
        <f>IFERROR(__xludf.DUMMYFUNCTION("""COMPUTED_VALUE"""),1636.0)</f>
        <v>1636</v>
      </c>
      <c r="G1036" s="23">
        <f>IFERROR(__xludf.DUMMYFUNCTION("""COMPUTED_VALUE"""),28.0)</f>
        <v>28</v>
      </c>
      <c r="H1036" s="23" t="str">
        <f>IFERROR(__xludf.DUMMYFUNCTION("""COMPUTED_VALUE"""),"Algorithms")</f>
        <v>Algorithms</v>
      </c>
      <c r="I1036" s="23">
        <f>IFERROR(__xludf.DUMMYFUNCTION("""COMPUTED_VALUE"""),0.579)</f>
        <v>0.579</v>
      </c>
      <c r="J1036" s="23">
        <f>IFERROR(__xludf.DUMMYFUNCTION("""COMPUTED_VALUE"""),1035.0)</f>
        <v>1035</v>
      </c>
      <c r="K1036" s="23" t="b">
        <f>IFERROR(__xludf.DUMMYFUNCTION("""COMPUTED_VALUE"""),FALSE)</f>
        <v>0</v>
      </c>
      <c r="L1036" s="23" t="str">
        <f>IFERROR(__xludf.DUMMYFUNCTION("""COMPUTED_VALUE"""),"Array;Dynamic Programming;")</f>
        <v>Array;Dynamic Programming;</v>
      </c>
      <c r="M1036" s="23" t="b">
        <f>IFERROR(__xludf.DUMMYFUNCTION("""COMPUTED_VALUE"""),FALSE)</f>
        <v>0</v>
      </c>
      <c r="N1036" s="23" t="b">
        <f>IFERROR(__xludf.DUMMYFUNCTION("""COMPUTED_VALUE"""),FALSE)</f>
        <v>0</v>
      </c>
      <c r="O1036" s="23">
        <f>IFERROR(__xludf.DUMMYFUNCTION("""COMPUTED_VALUE"""),57.9100132637417)</f>
        <v>57.91001326</v>
      </c>
      <c r="P1036" s="23">
        <f>IFERROR(__xludf.DUMMYFUNCTION("""COMPUTED_VALUE"""),67236.0)</f>
        <v>67236</v>
      </c>
      <c r="Q1036" s="23">
        <f>IFERROR(__xludf.DUMMYFUNCTION("""COMPUTED_VALUE"""),116105.0)</f>
        <v>116105</v>
      </c>
    </row>
    <row r="1037">
      <c r="A1037" s="23">
        <f>IFERROR(__xludf.DUMMYFUNCTION("""COMPUTED_VALUE"""),1106.0)</f>
        <v>1106</v>
      </c>
      <c r="B1037" s="23" t="str">
        <f>IFERROR(__xludf.DUMMYFUNCTION("""COMPUTED_VALUE"""),"Escape a Large Maze")</f>
        <v>Escape a Large Maze</v>
      </c>
      <c r="C1037" s="23" t="str">
        <f>IFERROR(__xludf.DUMMYFUNCTION("""COMPUTED_VALUE"""),"escape-a-large-maze")</f>
        <v>escape-a-large-maze</v>
      </c>
      <c r="D1037" s="23" t="b">
        <f>IFERROR(__xludf.DUMMYFUNCTION("""COMPUTED_VALUE"""),FALSE)</f>
        <v>0</v>
      </c>
      <c r="E1037" s="23" t="str">
        <f>IFERROR(__xludf.DUMMYFUNCTION("""COMPUTED_VALUE"""),"Hard")</f>
        <v>Hard</v>
      </c>
      <c r="F1037" s="23">
        <f>IFERROR(__xludf.DUMMYFUNCTION("""COMPUTED_VALUE"""),455.0)</f>
        <v>455</v>
      </c>
      <c r="G1037" s="23">
        <f>IFERROR(__xludf.DUMMYFUNCTION("""COMPUTED_VALUE"""),141.0)</f>
        <v>141</v>
      </c>
      <c r="H1037" s="23" t="str">
        <f>IFERROR(__xludf.DUMMYFUNCTION("""COMPUTED_VALUE"""),"Algorithms")</f>
        <v>Algorithms</v>
      </c>
      <c r="I1037" s="23">
        <f>IFERROR(__xludf.DUMMYFUNCTION("""COMPUTED_VALUE"""),0.343)</f>
        <v>0.343</v>
      </c>
      <c r="J1037" s="23">
        <f>IFERROR(__xludf.DUMMYFUNCTION("""COMPUTED_VALUE"""),1036.0)</f>
        <v>1036</v>
      </c>
      <c r="K1037" s="23" t="b">
        <f>IFERROR(__xludf.DUMMYFUNCTION("""COMPUTED_VALUE"""),FALSE)</f>
        <v>0</v>
      </c>
      <c r="L1037" s="23" t="str">
        <f>IFERROR(__xludf.DUMMYFUNCTION("""COMPUTED_VALUE"""),"Array;Hash Table;Depth-First Search;Breadth-First Search;")</f>
        <v>Array;Hash Table;Depth-First Search;Breadth-First Search;</v>
      </c>
      <c r="M1037" s="23" t="b">
        <f>IFERROR(__xludf.DUMMYFUNCTION("""COMPUTED_VALUE"""),FALSE)</f>
        <v>0</v>
      </c>
      <c r="N1037" s="23" t="b">
        <f>IFERROR(__xludf.DUMMYFUNCTION("""COMPUTED_VALUE"""),FALSE)</f>
        <v>0</v>
      </c>
      <c r="O1037" s="23">
        <f>IFERROR(__xludf.DUMMYFUNCTION("""COMPUTED_VALUE"""),34.3127609803021)</f>
        <v>34.31276098</v>
      </c>
      <c r="P1037" s="23">
        <f>IFERROR(__xludf.DUMMYFUNCTION("""COMPUTED_VALUE"""),15695.0)</f>
        <v>15695</v>
      </c>
      <c r="Q1037" s="23">
        <f>IFERROR(__xludf.DUMMYFUNCTION("""COMPUTED_VALUE"""),45741.0)</f>
        <v>45741</v>
      </c>
    </row>
    <row r="1038">
      <c r="A1038" s="23">
        <f>IFERROR(__xludf.DUMMYFUNCTION("""COMPUTED_VALUE"""),1115.0)</f>
        <v>1115</v>
      </c>
      <c r="B1038" s="23" t="str">
        <f>IFERROR(__xludf.DUMMYFUNCTION("""COMPUTED_VALUE"""),"Valid Boomerang")</f>
        <v>Valid Boomerang</v>
      </c>
      <c r="C1038" s="23" t="str">
        <f>IFERROR(__xludf.DUMMYFUNCTION("""COMPUTED_VALUE"""),"valid-boomerang")</f>
        <v>valid-boomerang</v>
      </c>
      <c r="D1038" s="23" t="b">
        <f>IFERROR(__xludf.DUMMYFUNCTION("""COMPUTED_VALUE"""),FALSE)</f>
        <v>0</v>
      </c>
      <c r="E1038" s="23" t="str">
        <f>IFERROR(__xludf.DUMMYFUNCTION("""COMPUTED_VALUE"""),"Easy")</f>
        <v>Easy</v>
      </c>
      <c r="F1038" s="23">
        <f>IFERROR(__xludf.DUMMYFUNCTION("""COMPUTED_VALUE"""),226.0)</f>
        <v>226</v>
      </c>
      <c r="G1038" s="23">
        <f>IFERROR(__xludf.DUMMYFUNCTION("""COMPUTED_VALUE"""),349.0)</f>
        <v>349</v>
      </c>
      <c r="H1038" s="23" t="str">
        <f>IFERROR(__xludf.DUMMYFUNCTION("""COMPUTED_VALUE"""),"Algorithms")</f>
        <v>Algorithms</v>
      </c>
      <c r="I1038" s="23">
        <f>IFERROR(__xludf.DUMMYFUNCTION("""COMPUTED_VALUE"""),0.375)</f>
        <v>0.375</v>
      </c>
      <c r="J1038" s="23">
        <f>IFERROR(__xludf.DUMMYFUNCTION("""COMPUTED_VALUE"""),1037.0)</f>
        <v>1037</v>
      </c>
      <c r="K1038" s="23" t="b">
        <f>IFERROR(__xludf.DUMMYFUNCTION("""COMPUTED_VALUE"""),FALSE)</f>
        <v>0</v>
      </c>
      <c r="L1038" s="23" t="str">
        <f>IFERROR(__xludf.DUMMYFUNCTION("""COMPUTED_VALUE"""),"Math;Geometry;")</f>
        <v>Math;Geometry;</v>
      </c>
      <c r="M1038" s="23" t="b">
        <f>IFERROR(__xludf.DUMMYFUNCTION("""COMPUTED_VALUE"""),FALSE)</f>
        <v>0</v>
      </c>
      <c r="N1038" s="23" t="b">
        <f>IFERROR(__xludf.DUMMYFUNCTION("""COMPUTED_VALUE"""),FALSE)</f>
        <v>0</v>
      </c>
      <c r="O1038" s="23">
        <f>IFERROR(__xludf.DUMMYFUNCTION("""COMPUTED_VALUE"""),37.4506262042389)</f>
        <v>37.4506262</v>
      </c>
      <c r="P1038" s="23">
        <f>IFERROR(__xludf.DUMMYFUNCTION("""COMPUTED_VALUE"""),31099.0)</f>
        <v>31099</v>
      </c>
      <c r="Q1038" s="23">
        <f>IFERROR(__xludf.DUMMYFUNCTION("""COMPUTED_VALUE"""),83040.0)</f>
        <v>83040</v>
      </c>
    </row>
    <row r="1039">
      <c r="A1039" s="23">
        <f>IFERROR(__xludf.DUMMYFUNCTION("""COMPUTED_VALUE"""),1114.0)</f>
        <v>1114</v>
      </c>
      <c r="B1039" s="23" t="str">
        <f>IFERROR(__xludf.DUMMYFUNCTION("""COMPUTED_VALUE"""),"Binary Search Tree to Greater Sum Tree")</f>
        <v>Binary Search Tree to Greater Sum Tree</v>
      </c>
      <c r="C1039" s="23" t="str">
        <f>IFERROR(__xludf.DUMMYFUNCTION("""COMPUTED_VALUE"""),"binary-search-tree-to-greater-sum-tree")</f>
        <v>binary-search-tree-to-greater-sum-tree</v>
      </c>
      <c r="D1039" s="23" t="b">
        <f>IFERROR(__xludf.DUMMYFUNCTION("""COMPUTED_VALUE"""),FALSE)</f>
        <v>0</v>
      </c>
      <c r="E1039" s="23" t="str">
        <f>IFERROR(__xludf.DUMMYFUNCTION("""COMPUTED_VALUE"""),"Medium")</f>
        <v>Medium</v>
      </c>
      <c r="F1039" s="23">
        <f>IFERROR(__xludf.DUMMYFUNCTION("""COMPUTED_VALUE"""),2539.0)</f>
        <v>2539</v>
      </c>
      <c r="G1039" s="23">
        <f>IFERROR(__xludf.DUMMYFUNCTION("""COMPUTED_VALUE"""),134.0)</f>
        <v>134</v>
      </c>
      <c r="H1039" s="23" t="str">
        <f>IFERROR(__xludf.DUMMYFUNCTION("""COMPUTED_VALUE"""),"Algorithms")</f>
        <v>Algorithms</v>
      </c>
      <c r="I1039" s="23">
        <f>IFERROR(__xludf.DUMMYFUNCTION("""COMPUTED_VALUE"""),0.847)</f>
        <v>0.847</v>
      </c>
      <c r="J1039" s="23">
        <f>IFERROR(__xludf.DUMMYFUNCTION("""COMPUTED_VALUE"""),1038.0)</f>
        <v>1038</v>
      </c>
      <c r="K1039" s="23" t="b">
        <f>IFERROR(__xludf.DUMMYFUNCTION("""COMPUTED_VALUE"""),FALSE)</f>
        <v>0</v>
      </c>
      <c r="L1039" s="23" t="str">
        <f>IFERROR(__xludf.DUMMYFUNCTION("""COMPUTED_VALUE"""),"Tree;Depth-First Search;Binary Search Tree;Binary Tree;")</f>
        <v>Tree;Depth-First Search;Binary Search Tree;Binary Tree;</v>
      </c>
      <c r="M1039" s="23" t="b">
        <f>IFERROR(__xludf.DUMMYFUNCTION("""COMPUTED_VALUE"""),FALSE)</f>
        <v>0</v>
      </c>
      <c r="N1039" s="23" t="b">
        <f>IFERROR(__xludf.DUMMYFUNCTION("""COMPUTED_VALUE"""),FALSE)</f>
        <v>0</v>
      </c>
      <c r="O1039" s="23">
        <f>IFERROR(__xludf.DUMMYFUNCTION("""COMPUTED_VALUE"""),84.7424986901913)</f>
        <v>84.74249869</v>
      </c>
      <c r="P1039" s="23">
        <f>IFERROR(__xludf.DUMMYFUNCTION("""COMPUTED_VALUE"""),119691.0)</f>
        <v>119691</v>
      </c>
      <c r="Q1039" s="23">
        <f>IFERROR(__xludf.DUMMYFUNCTION("""COMPUTED_VALUE"""),141241.0)</f>
        <v>141241</v>
      </c>
    </row>
    <row r="1040">
      <c r="A1040" s="23">
        <f>IFERROR(__xludf.DUMMYFUNCTION("""COMPUTED_VALUE"""),1111.0)</f>
        <v>1111</v>
      </c>
      <c r="B1040" s="23" t="str">
        <f>IFERROR(__xludf.DUMMYFUNCTION("""COMPUTED_VALUE"""),"Minimum Score Triangulation of Polygon")</f>
        <v>Minimum Score Triangulation of Polygon</v>
      </c>
      <c r="C1040" s="23" t="str">
        <f>IFERROR(__xludf.DUMMYFUNCTION("""COMPUTED_VALUE"""),"minimum-score-triangulation-of-polygon")</f>
        <v>minimum-score-triangulation-of-polygon</v>
      </c>
      <c r="D1040" s="23" t="b">
        <f>IFERROR(__xludf.DUMMYFUNCTION("""COMPUTED_VALUE"""),FALSE)</f>
        <v>0</v>
      </c>
      <c r="E1040" s="23" t="str">
        <f>IFERROR(__xludf.DUMMYFUNCTION("""COMPUTED_VALUE"""),"Medium")</f>
        <v>Medium</v>
      </c>
      <c r="F1040" s="23">
        <f>IFERROR(__xludf.DUMMYFUNCTION("""COMPUTED_VALUE"""),997.0)</f>
        <v>997</v>
      </c>
      <c r="G1040" s="23">
        <f>IFERROR(__xludf.DUMMYFUNCTION("""COMPUTED_VALUE"""),114.0)</f>
        <v>114</v>
      </c>
      <c r="H1040" s="23" t="str">
        <f>IFERROR(__xludf.DUMMYFUNCTION("""COMPUTED_VALUE"""),"Algorithms")</f>
        <v>Algorithms</v>
      </c>
      <c r="I1040" s="23">
        <f>IFERROR(__xludf.DUMMYFUNCTION("""COMPUTED_VALUE"""),0.524)</f>
        <v>0.524</v>
      </c>
      <c r="J1040" s="23">
        <f>IFERROR(__xludf.DUMMYFUNCTION("""COMPUTED_VALUE"""),1039.0)</f>
        <v>1039</v>
      </c>
      <c r="K1040" s="23" t="b">
        <f>IFERROR(__xludf.DUMMYFUNCTION("""COMPUTED_VALUE"""),FALSE)</f>
        <v>0</v>
      </c>
      <c r="L1040" s="23" t="str">
        <f>IFERROR(__xludf.DUMMYFUNCTION("""COMPUTED_VALUE"""),"Array;Dynamic Programming;")</f>
        <v>Array;Dynamic Programming;</v>
      </c>
      <c r="M1040" s="23" t="b">
        <f>IFERROR(__xludf.DUMMYFUNCTION("""COMPUTED_VALUE"""),FALSE)</f>
        <v>0</v>
      </c>
      <c r="N1040" s="23" t="b">
        <f>IFERROR(__xludf.DUMMYFUNCTION("""COMPUTED_VALUE"""),FALSE)</f>
        <v>0</v>
      </c>
      <c r="O1040" s="23">
        <f>IFERROR(__xludf.DUMMYFUNCTION("""COMPUTED_VALUE"""),52.426110692771)</f>
        <v>52.42611069</v>
      </c>
      <c r="P1040" s="23">
        <f>IFERROR(__xludf.DUMMYFUNCTION("""COMPUTED_VALUE"""),22279.0)</f>
        <v>22279</v>
      </c>
      <c r="Q1040" s="23">
        <f>IFERROR(__xludf.DUMMYFUNCTION("""COMPUTED_VALUE"""),42496.0)</f>
        <v>42496</v>
      </c>
    </row>
    <row r="1041">
      <c r="A1041" s="23">
        <f>IFERROR(__xludf.DUMMYFUNCTION("""COMPUTED_VALUE"""),1113.0)</f>
        <v>1113</v>
      </c>
      <c r="B1041" s="23" t="str">
        <f>IFERROR(__xludf.DUMMYFUNCTION("""COMPUTED_VALUE"""),"Moving Stones Until Consecutive II")</f>
        <v>Moving Stones Until Consecutive II</v>
      </c>
      <c r="C1041" s="23" t="str">
        <f>IFERROR(__xludf.DUMMYFUNCTION("""COMPUTED_VALUE"""),"moving-stones-until-consecutive-ii")</f>
        <v>moving-stones-until-consecutive-ii</v>
      </c>
      <c r="D1041" s="23" t="b">
        <f>IFERROR(__xludf.DUMMYFUNCTION("""COMPUTED_VALUE"""),FALSE)</f>
        <v>0</v>
      </c>
      <c r="E1041" s="23" t="str">
        <f>IFERROR(__xludf.DUMMYFUNCTION("""COMPUTED_VALUE"""),"Medium")</f>
        <v>Medium</v>
      </c>
      <c r="F1041" s="23">
        <f>IFERROR(__xludf.DUMMYFUNCTION("""COMPUTED_VALUE"""),287.0)</f>
        <v>287</v>
      </c>
      <c r="G1041" s="23">
        <f>IFERROR(__xludf.DUMMYFUNCTION("""COMPUTED_VALUE"""),502.0)</f>
        <v>502</v>
      </c>
      <c r="H1041" s="23" t="str">
        <f>IFERROR(__xludf.DUMMYFUNCTION("""COMPUTED_VALUE"""),"Algorithms")</f>
        <v>Algorithms</v>
      </c>
      <c r="I1041" s="23">
        <f>IFERROR(__xludf.DUMMYFUNCTION("""COMPUTED_VALUE"""),0.556)</f>
        <v>0.556</v>
      </c>
      <c r="J1041" s="23">
        <f>IFERROR(__xludf.DUMMYFUNCTION("""COMPUTED_VALUE"""),1040.0)</f>
        <v>1040</v>
      </c>
      <c r="K1041" s="23" t="b">
        <f>IFERROR(__xludf.DUMMYFUNCTION("""COMPUTED_VALUE"""),FALSE)</f>
        <v>0</v>
      </c>
      <c r="L1041" s="23" t="str">
        <f>IFERROR(__xludf.DUMMYFUNCTION("""COMPUTED_VALUE"""),"Array;Math;Two Pointers;Sorting;")</f>
        <v>Array;Math;Two Pointers;Sorting;</v>
      </c>
      <c r="M1041" s="23" t="b">
        <f>IFERROR(__xludf.DUMMYFUNCTION("""COMPUTED_VALUE"""),FALSE)</f>
        <v>0</v>
      </c>
      <c r="N1041" s="23" t="b">
        <f>IFERROR(__xludf.DUMMYFUNCTION("""COMPUTED_VALUE"""),FALSE)</f>
        <v>0</v>
      </c>
      <c r="O1041" s="23">
        <f>IFERROR(__xludf.DUMMYFUNCTION("""COMPUTED_VALUE"""),55.557961599538)</f>
        <v>55.5579616</v>
      </c>
      <c r="P1041" s="23">
        <f>IFERROR(__xludf.DUMMYFUNCTION("""COMPUTED_VALUE"""),7697.0)</f>
        <v>7697</v>
      </c>
      <c r="Q1041" s="23">
        <f>IFERROR(__xludf.DUMMYFUNCTION("""COMPUTED_VALUE"""),13854.0)</f>
        <v>13854</v>
      </c>
    </row>
    <row r="1042">
      <c r="A1042" s="23">
        <f>IFERROR(__xludf.DUMMYFUNCTION("""COMPUTED_VALUE"""),1119.0)</f>
        <v>1119</v>
      </c>
      <c r="B1042" s="23" t="str">
        <f>IFERROR(__xludf.DUMMYFUNCTION("""COMPUTED_VALUE"""),"Robot Bounded In Circle")</f>
        <v>Robot Bounded In Circle</v>
      </c>
      <c r="C1042" s="23" t="str">
        <f>IFERROR(__xludf.DUMMYFUNCTION("""COMPUTED_VALUE"""),"robot-bounded-in-circle")</f>
        <v>robot-bounded-in-circle</v>
      </c>
      <c r="D1042" s="23" t="b">
        <f>IFERROR(__xludf.DUMMYFUNCTION("""COMPUTED_VALUE"""),FALSE)</f>
        <v>0</v>
      </c>
      <c r="E1042" s="23" t="str">
        <f>IFERROR(__xludf.DUMMYFUNCTION("""COMPUTED_VALUE"""),"Medium")</f>
        <v>Medium</v>
      </c>
      <c r="F1042" s="23">
        <f>IFERROR(__xludf.DUMMYFUNCTION("""COMPUTED_VALUE"""),2934.0)</f>
        <v>2934</v>
      </c>
      <c r="G1042" s="23">
        <f>IFERROR(__xludf.DUMMYFUNCTION("""COMPUTED_VALUE"""),612.0)</f>
        <v>612</v>
      </c>
      <c r="H1042" s="23" t="str">
        <f>IFERROR(__xludf.DUMMYFUNCTION("""COMPUTED_VALUE"""),"Algorithms")</f>
        <v>Algorithms</v>
      </c>
      <c r="I1042" s="23">
        <f>IFERROR(__xludf.DUMMYFUNCTION("""COMPUTED_VALUE"""),0.554)</f>
        <v>0.554</v>
      </c>
      <c r="J1042" s="23">
        <f>IFERROR(__xludf.DUMMYFUNCTION("""COMPUTED_VALUE"""),1041.0)</f>
        <v>1041</v>
      </c>
      <c r="K1042" s="23" t="b">
        <f>IFERROR(__xludf.DUMMYFUNCTION("""COMPUTED_VALUE"""),FALSE)</f>
        <v>0</v>
      </c>
      <c r="L1042" s="23" t="str">
        <f>IFERROR(__xludf.DUMMYFUNCTION("""COMPUTED_VALUE"""),"Math;String;Simulation;")</f>
        <v>Math;String;Simulation;</v>
      </c>
      <c r="M1042" s="23" t="b">
        <f>IFERROR(__xludf.DUMMYFUNCTION("""COMPUTED_VALUE"""),TRUE)</f>
        <v>1</v>
      </c>
      <c r="N1042" s="23" t="b">
        <f>IFERROR(__xludf.DUMMYFUNCTION("""COMPUTED_VALUE"""),FALSE)</f>
        <v>0</v>
      </c>
      <c r="O1042" s="23">
        <f>IFERROR(__xludf.DUMMYFUNCTION("""COMPUTED_VALUE"""),55.4134396183402)</f>
        <v>55.41343962</v>
      </c>
      <c r="P1042" s="23">
        <f>IFERROR(__xludf.DUMMYFUNCTION("""COMPUTED_VALUE"""),183520.0)</f>
        <v>183520</v>
      </c>
      <c r="Q1042" s="23">
        <f>IFERROR(__xludf.DUMMYFUNCTION("""COMPUTED_VALUE"""),331183.0)</f>
        <v>331183</v>
      </c>
    </row>
    <row r="1043">
      <c r="A1043" s="23">
        <f>IFERROR(__xludf.DUMMYFUNCTION("""COMPUTED_VALUE"""),1120.0)</f>
        <v>1120</v>
      </c>
      <c r="B1043" s="23" t="str">
        <f>IFERROR(__xludf.DUMMYFUNCTION("""COMPUTED_VALUE"""),"Flower Planting With No Adjacent")</f>
        <v>Flower Planting With No Adjacent</v>
      </c>
      <c r="C1043" s="23" t="str">
        <f>IFERROR(__xludf.DUMMYFUNCTION("""COMPUTED_VALUE"""),"flower-planting-with-no-adjacent")</f>
        <v>flower-planting-with-no-adjacent</v>
      </c>
      <c r="D1043" s="23" t="b">
        <f>IFERROR(__xludf.DUMMYFUNCTION("""COMPUTED_VALUE"""),FALSE)</f>
        <v>0</v>
      </c>
      <c r="E1043" s="23" t="str">
        <f>IFERROR(__xludf.DUMMYFUNCTION("""COMPUTED_VALUE"""),"Medium")</f>
        <v>Medium</v>
      </c>
      <c r="F1043" s="23">
        <f>IFERROR(__xludf.DUMMYFUNCTION("""COMPUTED_VALUE"""),826.0)</f>
        <v>826</v>
      </c>
      <c r="G1043" s="23">
        <f>IFERROR(__xludf.DUMMYFUNCTION("""COMPUTED_VALUE"""),651.0)</f>
        <v>651</v>
      </c>
      <c r="H1043" s="23" t="str">
        <f>IFERROR(__xludf.DUMMYFUNCTION("""COMPUTED_VALUE"""),"Algorithms")</f>
        <v>Algorithms</v>
      </c>
      <c r="I1043" s="23">
        <f>IFERROR(__xludf.DUMMYFUNCTION("""COMPUTED_VALUE"""),0.499)</f>
        <v>0.499</v>
      </c>
      <c r="J1043" s="23">
        <f>IFERROR(__xludf.DUMMYFUNCTION("""COMPUTED_VALUE"""),1042.0)</f>
        <v>1042</v>
      </c>
      <c r="K1043" s="23" t="b">
        <f>IFERROR(__xludf.DUMMYFUNCTION("""COMPUTED_VALUE"""),FALSE)</f>
        <v>0</v>
      </c>
      <c r="L1043" s="23" t="str">
        <f>IFERROR(__xludf.DUMMYFUNCTION("""COMPUTED_VALUE"""),"Depth-First Search;Breadth-First Search;Graph;")</f>
        <v>Depth-First Search;Breadth-First Search;Graph;</v>
      </c>
      <c r="M1043" s="23" t="b">
        <f>IFERROR(__xludf.DUMMYFUNCTION("""COMPUTED_VALUE"""),FALSE)</f>
        <v>0</v>
      </c>
      <c r="N1043" s="23" t="b">
        <f>IFERROR(__xludf.DUMMYFUNCTION("""COMPUTED_VALUE"""),FALSE)</f>
        <v>0</v>
      </c>
      <c r="O1043" s="23">
        <f>IFERROR(__xludf.DUMMYFUNCTION("""COMPUTED_VALUE"""),49.8894821579632)</f>
        <v>49.88948216</v>
      </c>
      <c r="P1043" s="23">
        <f>IFERROR(__xludf.DUMMYFUNCTION("""COMPUTED_VALUE"""),54847.0)</f>
        <v>54847</v>
      </c>
      <c r="Q1043" s="23">
        <f>IFERROR(__xludf.DUMMYFUNCTION("""COMPUTED_VALUE"""),109937.0)</f>
        <v>109937</v>
      </c>
    </row>
    <row r="1044">
      <c r="A1044" s="23">
        <f>IFERROR(__xludf.DUMMYFUNCTION("""COMPUTED_VALUE"""),1121.0)</f>
        <v>1121</v>
      </c>
      <c r="B1044" s="23" t="str">
        <f>IFERROR(__xludf.DUMMYFUNCTION("""COMPUTED_VALUE"""),"Partition Array for Maximum Sum")</f>
        <v>Partition Array for Maximum Sum</v>
      </c>
      <c r="C1044" s="23" t="str">
        <f>IFERROR(__xludf.DUMMYFUNCTION("""COMPUTED_VALUE"""),"partition-array-for-maximum-sum")</f>
        <v>partition-array-for-maximum-sum</v>
      </c>
      <c r="D1044" s="23" t="b">
        <f>IFERROR(__xludf.DUMMYFUNCTION("""COMPUTED_VALUE"""),FALSE)</f>
        <v>0</v>
      </c>
      <c r="E1044" s="23" t="str">
        <f>IFERROR(__xludf.DUMMYFUNCTION("""COMPUTED_VALUE"""),"Medium")</f>
        <v>Medium</v>
      </c>
      <c r="F1044" s="23">
        <f>IFERROR(__xludf.DUMMYFUNCTION("""COMPUTED_VALUE"""),2106.0)</f>
        <v>2106</v>
      </c>
      <c r="G1044" s="23">
        <f>IFERROR(__xludf.DUMMYFUNCTION("""COMPUTED_VALUE"""),196.0)</f>
        <v>196</v>
      </c>
      <c r="H1044" s="23" t="str">
        <f>IFERROR(__xludf.DUMMYFUNCTION("""COMPUTED_VALUE"""),"Algorithms")</f>
        <v>Algorithms</v>
      </c>
      <c r="I1044" s="23">
        <f>IFERROR(__xludf.DUMMYFUNCTION("""COMPUTED_VALUE"""),0.703)</f>
        <v>0.703</v>
      </c>
      <c r="J1044" s="23">
        <f>IFERROR(__xludf.DUMMYFUNCTION("""COMPUTED_VALUE"""),1043.0)</f>
        <v>1043</v>
      </c>
      <c r="K1044" s="23" t="b">
        <f>IFERROR(__xludf.DUMMYFUNCTION("""COMPUTED_VALUE"""),FALSE)</f>
        <v>0</v>
      </c>
      <c r="L1044" s="23" t="str">
        <f>IFERROR(__xludf.DUMMYFUNCTION("""COMPUTED_VALUE"""),"Array;Dynamic Programming;")</f>
        <v>Array;Dynamic Programming;</v>
      </c>
      <c r="M1044" s="23" t="b">
        <f>IFERROR(__xludf.DUMMYFUNCTION("""COMPUTED_VALUE"""),FALSE)</f>
        <v>0</v>
      </c>
      <c r="N1044" s="23" t="b">
        <f>IFERROR(__xludf.DUMMYFUNCTION("""COMPUTED_VALUE"""),FALSE)</f>
        <v>0</v>
      </c>
      <c r="O1044" s="23">
        <f>IFERROR(__xludf.DUMMYFUNCTION("""COMPUTED_VALUE"""),70.2799787133396)</f>
        <v>70.27997871</v>
      </c>
      <c r="P1044" s="23">
        <f>IFERROR(__xludf.DUMMYFUNCTION("""COMPUTED_VALUE"""),47542.0)</f>
        <v>47542</v>
      </c>
      <c r="Q1044" s="23">
        <f>IFERROR(__xludf.DUMMYFUNCTION("""COMPUTED_VALUE"""),67647.0)</f>
        <v>67647</v>
      </c>
    </row>
    <row r="1045">
      <c r="A1045" s="23">
        <f>IFERROR(__xludf.DUMMYFUNCTION("""COMPUTED_VALUE"""),1122.0)</f>
        <v>1122</v>
      </c>
      <c r="B1045" s="23" t="str">
        <f>IFERROR(__xludf.DUMMYFUNCTION("""COMPUTED_VALUE"""),"Longest Duplicate Substring")</f>
        <v>Longest Duplicate Substring</v>
      </c>
      <c r="C1045" s="23" t="str">
        <f>IFERROR(__xludf.DUMMYFUNCTION("""COMPUTED_VALUE"""),"longest-duplicate-substring")</f>
        <v>longest-duplicate-substring</v>
      </c>
      <c r="D1045" s="23" t="b">
        <f>IFERROR(__xludf.DUMMYFUNCTION("""COMPUTED_VALUE"""),FALSE)</f>
        <v>0</v>
      </c>
      <c r="E1045" s="23" t="str">
        <f>IFERROR(__xludf.DUMMYFUNCTION("""COMPUTED_VALUE"""),"Hard")</f>
        <v>Hard</v>
      </c>
      <c r="F1045" s="23">
        <f>IFERROR(__xludf.DUMMYFUNCTION("""COMPUTED_VALUE"""),1656.0)</f>
        <v>1656</v>
      </c>
      <c r="G1045" s="23">
        <f>IFERROR(__xludf.DUMMYFUNCTION("""COMPUTED_VALUE"""),323.0)</f>
        <v>323</v>
      </c>
      <c r="H1045" s="23" t="str">
        <f>IFERROR(__xludf.DUMMYFUNCTION("""COMPUTED_VALUE"""),"Algorithms")</f>
        <v>Algorithms</v>
      </c>
      <c r="I1045" s="23">
        <f>IFERROR(__xludf.DUMMYFUNCTION("""COMPUTED_VALUE"""),0.312)</f>
        <v>0.312</v>
      </c>
      <c r="J1045" s="23">
        <f>IFERROR(__xludf.DUMMYFUNCTION("""COMPUTED_VALUE"""),1044.0)</f>
        <v>1044</v>
      </c>
      <c r="K1045" s="23" t="b">
        <f>IFERROR(__xludf.DUMMYFUNCTION("""COMPUTED_VALUE"""),FALSE)</f>
        <v>0</v>
      </c>
      <c r="L1045" s="23" t="str">
        <f>IFERROR(__xludf.DUMMYFUNCTION("""COMPUTED_VALUE"""),"String;Binary Search;Sliding Window;Rolling Hash;Suffix Array;Hash Function;")</f>
        <v>String;Binary Search;Sliding Window;Rolling Hash;Suffix Array;Hash Function;</v>
      </c>
      <c r="M1045" s="23" t="b">
        <f>IFERROR(__xludf.DUMMYFUNCTION("""COMPUTED_VALUE"""),TRUE)</f>
        <v>1</v>
      </c>
      <c r="N1045" s="23" t="b">
        <f>IFERROR(__xludf.DUMMYFUNCTION("""COMPUTED_VALUE"""),FALSE)</f>
        <v>0</v>
      </c>
      <c r="O1045" s="23">
        <f>IFERROR(__xludf.DUMMYFUNCTION("""COMPUTED_VALUE"""),31.1862628358543)</f>
        <v>31.18626284</v>
      </c>
      <c r="P1045" s="23">
        <f>IFERROR(__xludf.DUMMYFUNCTION("""COMPUTED_VALUE"""),52905.0)</f>
        <v>52905</v>
      </c>
      <c r="Q1045" s="23">
        <f>IFERROR(__xludf.DUMMYFUNCTION("""COMPUTED_VALUE"""),169642.0)</f>
        <v>169642</v>
      </c>
    </row>
    <row r="1046">
      <c r="A1046" s="23">
        <f>IFERROR(__xludf.DUMMYFUNCTION("""COMPUTED_VALUE"""),1135.0)</f>
        <v>1135</v>
      </c>
      <c r="B1046" s="23" t="str">
        <f>IFERROR(__xludf.DUMMYFUNCTION("""COMPUTED_VALUE"""),"Customers Who Bought All Products")</f>
        <v>Customers Who Bought All Products</v>
      </c>
      <c r="C1046" s="23" t="str">
        <f>IFERROR(__xludf.DUMMYFUNCTION("""COMPUTED_VALUE"""),"customers-who-bought-all-products")</f>
        <v>customers-who-bought-all-products</v>
      </c>
      <c r="D1046" s="23" t="b">
        <f>IFERROR(__xludf.DUMMYFUNCTION("""COMPUTED_VALUE"""),TRUE)</f>
        <v>1</v>
      </c>
      <c r="E1046" s="23" t="str">
        <f>IFERROR(__xludf.DUMMYFUNCTION("""COMPUTED_VALUE"""),"Medium")</f>
        <v>Medium</v>
      </c>
      <c r="F1046" s="23">
        <f>IFERROR(__xludf.DUMMYFUNCTION("""COMPUTED_VALUE"""),180.0)</f>
        <v>180</v>
      </c>
      <c r="G1046" s="23">
        <f>IFERROR(__xludf.DUMMYFUNCTION("""COMPUTED_VALUE"""),36.0)</f>
        <v>36</v>
      </c>
      <c r="H1046" s="23" t="str">
        <f>IFERROR(__xludf.DUMMYFUNCTION("""COMPUTED_VALUE"""),"Database")</f>
        <v>Database</v>
      </c>
      <c r="I1046" s="23">
        <f>IFERROR(__xludf.DUMMYFUNCTION("""COMPUTED_VALUE"""),0.674)</f>
        <v>0.674</v>
      </c>
      <c r="J1046" s="23">
        <f>IFERROR(__xludf.DUMMYFUNCTION("""COMPUTED_VALUE"""),1045.0)</f>
        <v>1045</v>
      </c>
      <c r="K1046" s="23" t="b">
        <f>IFERROR(__xludf.DUMMYFUNCTION("""COMPUTED_VALUE"""),TRUE)</f>
        <v>1</v>
      </c>
      <c r="L1046" s="23" t="str">
        <f>IFERROR(__xludf.DUMMYFUNCTION("""COMPUTED_VALUE"""),"Database;")</f>
        <v>Database;</v>
      </c>
      <c r="M1046" s="23" t="b">
        <f>IFERROR(__xludf.DUMMYFUNCTION("""COMPUTED_VALUE"""),FALSE)</f>
        <v>0</v>
      </c>
      <c r="N1046" s="23" t="b">
        <f>IFERROR(__xludf.DUMMYFUNCTION("""COMPUTED_VALUE"""),FALSE)</f>
        <v>0</v>
      </c>
      <c r="O1046" s="23">
        <f>IFERROR(__xludf.DUMMYFUNCTION("""COMPUTED_VALUE"""),67.3890092793243)</f>
        <v>67.38900928</v>
      </c>
      <c r="P1046" s="23">
        <f>IFERROR(__xludf.DUMMYFUNCTION("""COMPUTED_VALUE"""),36383.0)</f>
        <v>36383</v>
      </c>
      <c r="Q1046" s="23">
        <f>IFERROR(__xludf.DUMMYFUNCTION("""COMPUTED_VALUE"""),53985.0)</f>
        <v>53985</v>
      </c>
    </row>
    <row r="1047">
      <c r="A1047" s="23">
        <f>IFERROR(__xludf.DUMMYFUNCTION("""COMPUTED_VALUE"""),1127.0)</f>
        <v>1127</v>
      </c>
      <c r="B1047" s="23" t="str">
        <f>IFERROR(__xludf.DUMMYFUNCTION("""COMPUTED_VALUE"""),"Last Stone Weight")</f>
        <v>Last Stone Weight</v>
      </c>
      <c r="C1047" s="23" t="str">
        <f>IFERROR(__xludf.DUMMYFUNCTION("""COMPUTED_VALUE"""),"last-stone-weight")</f>
        <v>last-stone-weight</v>
      </c>
      <c r="D1047" s="23" t="b">
        <f>IFERROR(__xludf.DUMMYFUNCTION("""COMPUTED_VALUE"""),FALSE)</f>
        <v>0</v>
      </c>
      <c r="E1047" s="23" t="str">
        <f>IFERROR(__xludf.DUMMYFUNCTION("""COMPUTED_VALUE"""),"Easy")</f>
        <v>Easy</v>
      </c>
      <c r="F1047" s="23">
        <f>IFERROR(__xludf.DUMMYFUNCTION("""COMPUTED_VALUE"""),3105.0)</f>
        <v>3105</v>
      </c>
      <c r="G1047" s="23">
        <f>IFERROR(__xludf.DUMMYFUNCTION("""COMPUTED_VALUE"""),61.0)</f>
        <v>61</v>
      </c>
      <c r="H1047" s="23" t="str">
        <f>IFERROR(__xludf.DUMMYFUNCTION("""COMPUTED_VALUE"""),"Algorithms")</f>
        <v>Algorithms</v>
      </c>
      <c r="I1047" s="23">
        <f>IFERROR(__xludf.DUMMYFUNCTION("""COMPUTED_VALUE"""),0.644)</f>
        <v>0.644</v>
      </c>
      <c r="J1047" s="23">
        <f>IFERROR(__xludf.DUMMYFUNCTION("""COMPUTED_VALUE"""),1046.0)</f>
        <v>1046</v>
      </c>
      <c r="K1047" s="23" t="b">
        <f>IFERROR(__xludf.DUMMYFUNCTION("""COMPUTED_VALUE"""),FALSE)</f>
        <v>0</v>
      </c>
      <c r="L1047" s="23" t="str">
        <f>IFERROR(__xludf.DUMMYFUNCTION("""COMPUTED_VALUE"""),"Array;Heap (Priority Queue);")</f>
        <v>Array;Heap (Priority Queue);</v>
      </c>
      <c r="M1047" s="23" t="b">
        <f>IFERROR(__xludf.DUMMYFUNCTION("""COMPUTED_VALUE"""),TRUE)</f>
        <v>1</v>
      </c>
      <c r="N1047" s="23" t="b">
        <f>IFERROR(__xludf.DUMMYFUNCTION("""COMPUTED_VALUE"""),FALSE)</f>
        <v>0</v>
      </c>
      <c r="O1047" s="23">
        <f>IFERROR(__xludf.DUMMYFUNCTION("""COMPUTED_VALUE"""),64.370808279703)</f>
        <v>64.37080828</v>
      </c>
      <c r="P1047" s="23">
        <f>IFERROR(__xludf.DUMMYFUNCTION("""COMPUTED_VALUE"""),280162.0)</f>
        <v>280162</v>
      </c>
      <c r="Q1047" s="23">
        <f>IFERROR(__xludf.DUMMYFUNCTION("""COMPUTED_VALUE"""),435232.0)</f>
        <v>435232</v>
      </c>
    </row>
    <row r="1048">
      <c r="A1048" s="23">
        <f>IFERROR(__xludf.DUMMYFUNCTION("""COMPUTED_VALUE"""),1128.0)</f>
        <v>1128</v>
      </c>
      <c r="B1048" s="23" t="str">
        <f>IFERROR(__xludf.DUMMYFUNCTION("""COMPUTED_VALUE"""),"Remove All Adjacent Duplicates In String")</f>
        <v>Remove All Adjacent Duplicates In String</v>
      </c>
      <c r="C1048" s="23" t="str">
        <f>IFERROR(__xludf.DUMMYFUNCTION("""COMPUTED_VALUE"""),"remove-all-adjacent-duplicates-in-string")</f>
        <v>remove-all-adjacent-duplicates-in-string</v>
      </c>
      <c r="D1048" s="23" t="b">
        <f>IFERROR(__xludf.DUMMYFUNCTION("""COMPUTED_VALUE"""),FALSE)</f>
        <v>0</v>
      </c>
      <c r="E1048" s="23" t="str">
        <f>IFERROR(__xludf.DUMMYFUNCTION("""COMPUTED_VALUE"""),"Easy")</f>
        <v>Easy</v>
      </c>
      <c r="F1048" s="23">
        <f>IFERROR(__xludf.DUMMYFUNCTION("""COMPUTED_VALUE"""),3135.0)</f>
        <v>3135</v>
      </c>
      <c r="G1048" s="23">
        <f>IFERROR(__xludf.DUMMYFUNCTION("""COMPUTED_VALUE"""),153.0)</f>
        <v>153</v>
      </c>
      <c r="H1048" s="23" t="str">
        <f>IFERROR(__xludf.DUMMYFUNCTION("""COMPUTED_VALUE"""),"Algorithms")</f>
        <v>Algorithms</v>
      </c>
      <c r="I1048" s="23">
        <f>IFERROR(__xludf.DUMMYFUNCTION("""COMPUTED_VALUE"""),0.71)</f>
        <v>0.71</v>
      </c>
      <c r="J1048" s="23">
        <f>IFERROR(__xludf.DUMMYFUNCTION("""COMPUTED_VALUE"""),1047.0)</f>
        <v>1047</v>
      </c>
      <c r="K1048" s="23" t="b">
        <f>IFERROR(__xludf.DUMMYFUNCTION("""COMPUTED_VALUE"""),FALSE)</f>
        <v>0</v>
      </c>
      <c r="L1048" s="23" t="str">
        <f>IFERROR(__xludf.DUMMYFUNCTION("""COMPUTED_VALUE"""),"String;Stack;")</f>
        <v>String;Stack;</v>
      </c>
      <c r="M1048" s="23" t="b">
        <f>IFERROR(__xludf.DUMMYFUNCTION("""COMPUTED_VALUE"""),TRUE)</f>
        <v>1</v>
      </c>
      <c r="N1048" s="23" t="b">
        <f>IFERROR(__xludf.DUMMYFUNCTION("""COMPUTED_VALUE"""),FALSE)</f>
        <v>0</v>
      </c>
      <c r="O1048" s="23">
        <f>IFERROR(__xludf.DUMMYFUNCTION("""COMPUTED_VALUE"""),70.9545788340748)</f>
        <v>70.95457883</v>
      </c>
      <c r="P1048" s="23">
        <f>IFERROR(__xludf.DUMMYFUNCTION("""COMPUTED_VALUE"""),281168.0)</f>
        <v>281168</v>
      </c>
      <c r="Q1048" s="23">
        <f>IFERROR(__xludf.DUMMYFUNCTION("""COMPUTED_VALUE"""),396266.0)</f>
        <v>396266</v>
      </c>
    </row>
    <row r="1049">
      <c r="A1049" s="23">
        <f>IFERROR(__xludf.DUMMYFUNCTION("""COMPUTED_VALUE"""),1129.0)</f>
        <v>1129</v>
      </c>
      <c r="B1049" s="23" t="str">
        <f>IFERROR(__xludf.DUMMYFUNCTION("""COMPUTED_VALUE"""),"Longest String Chain")</f>
        <v>Longest String Chain</v>
      </c>
      <c r="C1049" s="23" t="str">
        <f>IFERROR(__xludf.DUMMYFUNCTION("""COMPUTED_VALUE"""),"longest-string-chain")</f>
        <v>longest-string-chain</v>
      </c>
      <c r="D1049" s="23" t="b">
        <f>IFERROR(__xludf.DUMMYFUNCTION("""COMPUTED_VALUE"""),FALSE)</f>
        <v>0</v>
      </c>
      <c r="E1049" s="23" t="str">
        <f>IFERROR(__xludf.DUMMYFUNCTION("""COMPUTED_VALUE"""),"Medium")</f>
        <v>Medium</v>
      </c>
      <c r="F1049" s="23">
        <f>IFERROR(__xludf.DUMMYFUNCTION("""COMPUTED_VALUE"""),3329.0)</f>
        <v>3329</v>
      </c>
      <c r="G1049" s="23">
        <f>IFERROR(__xludf.DUMMYFUNCTION("""COMPUTED_VALUE"""),164.0)</f>
        <v>164</v>
      </c>
      <c r="H1049" s="23" t="str">
        <f>IFERROR(__xludf.DUMMYFUNCTION("""COMPUTED_VALUE"""),"Algorithms")</f>
        <v>Algorithms</v>
      </c>
      <c r="I1049" s="23">
        <f>IFERROR(__xludf.DUMMYFUNCTION("""COMPUTED_VALUE"""),0.578)</f>
        <v>0.578</v>
      </c>
      <c r="J1049" s="23">
        <f>IFERROR(__xludf.DUMMYFUNCTION("""COMPUTED_VALUE"""),1048.0)</f>
        <v>1048</v>
      </c>
      <c r="K1049" s="23" t="b">
        <f>IFERROR(__xludf.DUMMYFUNCTION("""COMPUTED_VALUE"""),FALSE)</f>
        <v>0</v>
      </c>
      <c r="L1049" s="23" t="str">
        <f>IFERROR(__xludf.DUMMYFUNCTION("""COMPUTED_VALUE"""),"Array;Hash Table;Two Pointers;String;Dynamic Programming;")</f>
        <v>Array;Hash Table;Two Pointers;String;Dynamic Programming;</v>
      </c>
      <c r="M1049" s="23" t="b">
        <f>IFERROR(__xludf.DUMMYFUNCTION("""COMPUTED_VALUE"""),TRUE)</f>
        <v>1</v>
      </c>
      <c r="N1049" s="23" t="b">
        <f>IFERROR(__xludf.DUMMYFUNCTION("""COMPUTED_VALUE"""),FALSE)</f>
        <v>0</v>
      </c>
      <c r="O1049" s="23">
        <f>IFERROR(__xludf.DUMMYFUNCTION("""COMPUTED_VALUE"""),57.8207550470592)</f>
        <v>57.82075505</v>
      </c>
      <c r="P1049" s="23">
        <f>IFERROR(__xludf.DUMMYFUNCTION("""COMPUTED_VALUE"""),198307.0)</f>
        <v>198307</v>
      </c>
      <c r="Q1049" s="23">
        <f>IFERROR(__xludf.DUMMYFUNCTION("""COMPUTED_VALUE"""),342968.0)</f>
        <v>342968</v>
      </c>
    </row>
    <row r="1050">
      <c r="A1050" s="23">
        <f>IFERROR(__xludf.DUMMYFUNCTION("""COMPUTED_VALUE"""),1130.0)</f>
        <v>1130</v>
      </c>
      <c r="B1050" s="23" t="str">
        <f>IFERROR(__xludf.DUMMYFUNCTION("""COMPUTED_VALUE"""),"Last Stone Weight II")</f>
        <v>Last Stone Weight II</v>
      </c>
      <c r="C1050" s="23" t="str">
        <f>IFERROR(__xludf.DUMMYFUNCTION("""COMPUTED_VALUE"""),"last-stone-weight-ii")</f>
        <v>last-stone-weight-ii</v>
      </c>
      <c r="D1050" s="23" t="b">
        <f>IFERROR(__xludf.DUMMYFUNCTION("""COMPUTED_VALUE"""),FALSE)</f>
        <v>0</v>
      </c>
      <c r="E1050" s="23" t="str">
        <f>IFERROR(__xludf.DUMMYFUNCTION("""COMPUTED_VALUE"""),"Medium")</f>
        <v>Medium</v>
      </c>
      <c r="F1050" s="23">
        <f>IFERROR(__xludf.DUMMYFUNCTION("""COMPUTED_VALUE"""),2095.0)</f>
        <v>2095</v>
      </c>
      <c r="G1050" s="23">
        <f>IFERROR(__xludf.DUMMYFUNCTION("""COMPUTED_VALUE"""),74.0)</f>
        <v>74</v>
      </c>
      <c r="H1050" s="23" t="str">
        <f>IFERROR(__xludf.DUMMYFUNCTION("""COMPUTED_VALUE"""),"Algorithms")</f>
        <v>Algorithms</v>
      </c>
      <c r="I1050" s="23">
        <f>IFERROR(__xludf.DUMMYFUNCTION("""COMPUTED_VALUE"""),0.51)</f>
        <v>0.51</v>
      </c>
      <c r="J1050" s="23">
        <f>IFERROR(__xludf.DUMMYFUNCTION("""COMPUTED_VALUE"""),1049.0)</f>
        <v>1049</v>
      </c>
      <c r="K1050" s="23" t="b">
        <f>IFERROR(__xludf.DUMMYFUNCTION("""COMPUTED_VALUE"""),FALSE)</f>
        <v>0</v>
      </c>
      <c r="L1050" s="23" t="str">
        <f>IFERROR(__xludf.DUMMYFUNCTION("""COMPUTED_VALUE"""),"Array;Dynamic Programming;")</f>
        <v>Array;Dynamic Programming;</v>
      </c>
      <c r="M1050" s="23" t="b">
        <f>IFERROR(__xludf.DUMMYFUNCTION("""COMPUTED_VALUE"""),FALSE)</f>
        <v>0</v>
      </c>
      <c r="N1050" s="23" t="b">
        <f>IFERROR(__xludf.DUMMYFUNCTION("""COMPUTED_VALUE"""),FALSE)</f>
        <v>0</v>
      </c>
      <c r="O1050" s="23">
        <f>IFERROR(__xludf.DUMMYFUNCTION("""COMPUTED_VALUE"""),51.0482301481781)</f>
        <v>51.04823015</v>
      </c>
      <c r="P1050" s="23">
        <f>IFERROR(__xludf.DUMMYFUNCTION("""COMPUTED_VALUE"""),52985.0)</f>
        <v>52985</v>
      </c>
      <c r="Q1050" s="23">
        <f>IFERROR(__xludf.DUMMYFUNCTION("""COMPUTED_VALUE"""),103794.0)</f>
        <v>103794</v>
      </c>
    </row>
    <row r="1051">
      <c r="A1051" s="23">
        <f>IFERROR(__xludf.DUMMYFUNCTION("""COMPUTED_VALUE"""),1136.0)</f>
        <v>1136</v>
      </c>
      <c r="B1051" s="23" t="str">
        <f>IFERROR(__xludf.DUMMYFUNCTION("""COMPUTED_VALUE"""),"Actors and Directors Who Cooperated At Least Three Times")</f>
        <v>Actors and Directors Who Cooperated At Least Three Times</v>
      </c>
      <c r="C1051" s="23" t="str">
        <f>IFERROR(__xludf.DUMMYFUNCTION("""COMPUTED_VALUE"""),"actors-and-directors-who-cooperated-at-least-three-times")</f>
        <v>actors-and-directors-who-cooperated-at-least-three-times</v>
      </c>
      <c r="D1051" s="23" t="b">
        <f>IFERROR(__xludf.DUMMYFUNCTION("""COMPUTED_VALUE"""),FALSE)</f>
        <v>0</v>
      </c>
      <c r="E1051" s="23" t="str">
        <f>IFERROR(__xludf.DUMMYFUNCTION("""COMPUTED_VALUE"""),"Easy")</f>
        <v>Easy</v>
      </c>
      <c r="F1051" s="23">
        <f>IFERROR(__xludf.DUMMYFUNCTION("""COMPUTED_VALUE"""),157.0)</f>
        <v>157</v>
      </c>
      <c r="G1051" s="23">
        <f>IFERROR(__xludf.DUMMYFUNCTION("""COMPUTED_VALUE"""),27.0)</f>
        <v>27</v>
      </c>
      <c r="H1051" s="23" t="str">
        <f>IFERROR(__xludf.DUMMYFUNCTION("""COMPUTED_VALUE"""),"Database")</f>
        <v>Database</v>
      </c>
      <c r="I1051" s="23">
        <f>IFERROR(__xludf.DUMMYFUNCTION("""COMPUTED_VALUE"""),0.727)</f>
        <v>0.727</v>
      </c>
      <c r="J1051" s="23">
        <f>IFERROR(__xludf.DUMMYFUNCTION("""COMPUTED_VALUE"""),1050.0)</f>
        <v>1050</v>
      </c>
      <c r="K1051" s="23" t="b">
        <f>IFERROR(__xludf.DUMMYFUNCTION("""COMPUTED_VALUE"""),FALSE)</f>
        <v>0</v>
      </c>
      <c r="L1051" s="23" t="str">
        <f>IFERROR(__xludf.DUMMYFUNCTION("""COMPUTED_VALUE"""),"Database;")</f>
        <v>Database;</v>
      </c>
      <c r="M1051" s="23" t="b">
        <f>IFERROR(__xludf.DUMMYFUNCTION("""COMPUTED_VALUE"""),FALSE)</f>
        <v>0</v>
      </c>
      <c r="N1051" s="23" t="b">
        <f>IFERROR(__xludf.DUMMYFUNCTION("""COMPUTED_VALUE"""),FALSE)</f>
        <v>0</v>
      </c>
      <c r="O1051" s="23">
        <f>IFERROR(__xludf.DUMMYFUNCTION("""COMPUTED_VALUE"""),72.6764489406016)</f>
        <v>72.67644894</v>
      </c>
      <c r="P1051" s="23">
        <f>IFERROR(__xludf.DUMMYFUNCTION("""COMPUTED_VALUE"""),46408.0)</f>
        <v>46408</v>
      </c>
      <c r="Q1051" s="23">
        <f>IFERROR(__xludf.DUMMYFUNCTION("""COMPUTED_VALUE"""),63856.0)</f>
        <v>63856</v>
      </c>
    </row>
    <row r="1052">
      <c r="A1052" s="23">
        <f>IFERROR(__xludf.DUMMYFUNCTION("""COMPUTED_VALUE"""),1137.0)</f>
        <v>1137</v>
      </c>
      <c r="B1052" s="23" t="str">
        <f>IFERROR(__xludf.DUMMYFUNCTION("""COMPUTED_VALUE"""),"Height Checker")</f>
        <v>Height Checker</v>
      </c>
      <c r="C1052" s="23" t="str">
        <f>IFERROR(__xludf.DUMMYFUNCTION("""COMPUTED_VALUE"""),"height-checker")</f>
        <v>height-checker</v>
      </c>
      <c r="D1052" s="23" t="b">
        <f>IFERROR(__xludf.DUMMYFUNCTION("""COMPUTED_VALUE"""),FALSE)</f>
        <v>0</v>
      </c>
      <c r="E1052" s="23" t="str">
        <f>IFERROR(__xludf.DUMMYFUNCTION("""COMPUTED_VALUE"""),"Easy")</f>
        <v>Easy</v>
      </c>
      <c r="F1052" s="23">
        <f>IFERROR(__xludf.DUMMYFUNCTION("""COMPUTED_VALUE"""),437.0)</f>
        <v>437</v>
      </c>
      <c r="G1052" s="23">
        <f>IFERROR(__xludf.DUMMYFUNCTION("""COMPUTED_VALUE"""),47.0)</f>
        <v>47</v>
      </c>
      <c r="H1052" s="23" t="str">
        <f>IFERROR(__xludf.DUMMYFUNCTION("""COMPUTED_VALUE"""),"Algorithms")</f>
        <v>Algorithms</v>
      </c>
      <c r="I1052" s="23">
        <f>IFERROR(__xludf.DUMMYFUNCTION("""COMPUTED_VALUE"""),0.743)</f>
        <v>0.743</v>
      </c>
      <c r="J1052" s="23">
        <f>IFERROR(__xludf.DUMMYFUNCTION("""COMPUTED_VALUE"""),1051.0)</f>
        <v>1051</v>
      </c>
      <c r="K1052" s="23" t="b">
        <f>IFERROR(__xludf.DUMMYFUNCTION("""COMPUTED_VALUE"""),FALSE)</f>
        <v>0</v>
      </c>
      <c r="L1052" s="23" t="str">
        <f>IFERROR(__xludf.DUMMYFUNCTION("""COMPUTED_VALUE"""),"Array;Sorting;Counting Sort;")</f>
        <v>Array;Sorting;Counting Sort;</v>
      </c>
      <c r="M1052" s="23" t="b">
        <f>IFERROR(__xludf.DUMMYFUNCTION("""COMPUTED_VALUE"""),FALSE)</f>
        <v>0</v>
      </c>
      <c r="N1052" s="23" t="b">
        <f>IFERROR(__xludf.DUMMYFUNCTION("""COMPUTED_VALUE"""),FALSE)</f>
        <v>0</v>
      </c>
      <c r="O1052" s="23">
        <f>IFERROR(__xludf.DUMMYFUNCTION("""COMPUTED_VALUE"""),74.3095507738769)</f>
        <v>74.30955077</v>
      </c>
      <c r="P1052" s="23">
        <f>IFERROR(__xludf.DUMMYFUNCTION("""COMPUTED_VALUE"""),196844.0)</f>
        <v>196844</v>
      </c>
      <c r="Q1052" s="23">
        <f>IFERROR(__xludf.DUMMYFUNCTION("""COMPUTED_VALUE"""),264898.0)</f>
        <v>264898</v>
      </c>
    </row>
    <row r="1053">
      <c r="A1053" s="23">
        <f>IFERROR(__xludf.DUMMYFUNCTION("""COMPUTED_VALUE"""),1138.0)</f>
        <v>1138</v>
      </c>
      <c r="B1053" s="23" t="str">
        <f>IFERROR(__xludf.DUMMYFUNCTION("""COMPUTED_VALUE"""),"Grumpy Bookstore Owner")</f>
        <v>Grumpy Bookstore Owner</v>
      </c>
      <c r="C1053" s="23" t="str">
        <f>IFERROR(__xludf.DUMMYFUNCTION("""COMPUTED_VALUE"""),"grumpy-bookstore-owner")</f>
        <v>grumpy-bookstore-owner</v>
      </c>
      <c r="D1053" s="23" t="b">
        <f>IFERROR(__xludf.DUMMYFUNCTION("""COMPUTED_VALUE"""),FALSE)</f>
        <v>0</v>
      </c>
      <c r="E1053" s="23" t="str">
        <f>IFERROR(__xludf.DUMMYFUNCTION("""COMPUTED_VALUE"""),"Medium")</f>
        <v>Medium</v>
      </c>
      <c r="F1053" s="23">
        <f>IFERROR(__xludf.DUMMYFUNCTION("""COMPUTED_VALUE"""),1132.0)</f>
        <v>1132</v>
      </c>
      <c r="G1053" s="23">
        <f>IFERROR(__xludf.DUMMYFUNCTION("""COMPUTED_VALUE"""),93.0)</f>
        <v>93</v>
      </c>
      <c r="H1053" s="23" t="str">
        <f>IFERROR(__xludf.DUMMYFUNCTION("""COMPUTED_VALUE"""),"Algorithms")</f>
        <v>Algorithms</v>
      </c>
      <c r="I1053" s="23">
        <f>IFERROR(__xludf.DUMMYFUNCTION("""COMPUTED_VALUE"""),0.567)</f>
        <v>0.567</v>
      </c>
      <c r="J1053" s="23">
        <f>IFERROR(__xludf.DUMMYFUNCTION("""COMPUTED_VALUE"""),1052.0)</f>
        <v>1052</v>
      </c>
      <c r="K1053" s="23" t="b">
        <f>IFERROR(__xludf.DUMMYFUNCTION("""COMPUTED_VALUE"""),FALSE)</f>
        <v>0</v>
      </c>
      <c r="L1053" s="23" t="str">
        <f>IFERROR(__xludf.DUMMYFUNCTION("""COMPUTED_VALUE"""),"Array;Sliding Window;")</f>
        <v>Array;Sliding Window;</v>
      </c>
      <c r="M1053" s="23" t="b">
        <f>IFERROR(__xludf.DUMMYFUNCTION("""COMPUTED_VALUE"""),FALSE)</f>
        <v>0</v>
      </c>
      <c r="N1053" s="23" t="b">
        <f>IFERROR(__xludf.DUMMYFUNCTION("""COMPUTED_VALUE"""),FALSE)</f>
        <v>0</v>
      </c>
      <c r="O1053" s="23">
        <f>IFERROR(__xludf.DUMMYFUNCTION("""COMPUTED_VALUE"""),56.7411377284173)</f>
        <v>56.74113773</v>
      </c>
      <c r="P1053" s="23">
        <f>IFERROR(__xludf.DUMMYFUNCTION("""COMPUTED_VALUE"""),52724.0)</f>
        <v>52724</v>
      </c>
      <c r="Q1053" s="23">
        <f>IFERROR(__xludf.DUMMYFUNCTION("""COMPUTED_VALUE"""),92921.0)</f>
        <v>92921</v>
      </c>
    </row>
    <row r="1054">
      <c r="A1054" s="23">
        <f>IFERROR(__xludf.DUMMYFUNCTION("""COMPUTED_VALUE"""),1139.0)</f>
        <v>1139</v>
      </c>
      <c r="B1054" s="23" t="str">
        <f>IFERROR(__xludf.DUMMYFUNCTION("""COMPUTED_VALUE"""),"Previous Permutation With One Swap")</f>
        <v>Previous Permutation With One Swap</v>
      </c>
      <c r="C1054" s="23" t="str">
        <f>IFERROR(__xludf.DUMMYFUNCTION("""COMPUTED_VALUE"""),"previous-permutation-with-one-swap")</f>
        <v>previous-permutation-with-one-swap</v>
      </c>
      <c r="D1054" s="23" t="b">
        <f>IFERROR(__xludf.DUMMYFUNCTION("""COMPUTED_VALUE"""),FALSE)</f>
        <v>0</v>
      </c>
      <c r="E1054" s="23" t="str">
        <f>IFERROR(__xludf.DUMMYFUNCTION("""COMPUTED_VALUE"""),"Medium")</f>
        <v>Medium</v>
      </c>
      <c r="F1054" s="23">
        <f>IFERROR(__xludf.DUMMYFUNCTION("""COMPUTED_VALUE"""),231.0)</f>
        <v>231</v>
      </c>
      <c r="G1054" s="23">
        <f>IFERROR(__xludf.DUMMYFUNCTION("""COMPUTED_VALUE"""),23.0)</f>
        <v>23</v>
      </c>
      <c r="H1054" s="23" t="str">
        <f>IFERROR(__xludf.DUMMYFUNCTION("""COMPUTED_VALUE"""),"Algorithms")</f>
        <v>Algorithms</v>
      </c>
      <c r="I1054" s="23">
        <f>IFERROR(__xludf.DUMMYFUNCTION("""COMPUTED_VALUE"""),0.518)</f>
        <v>0.518</v>
      </c>
      <c r="J1054" s="23">
        <f>IFERROR(__xludf.DUMMYFUNCTION("""COMPUTED_VALUE"""),1053.0)</f>
        <v>1053</v>
      </c>
      <c r="K1054" s="23" t="b">
        <f>IFERROR(__xludf.DUMMYFUNCTION("""COMPUTED_VALUE"""),FALSE)</f>
        <v>0</v>
      </c>
      <c r="L1054" s="23" t="str">
        <f>IFERROR(__xludf.DUMMYFUNCTION("""COMPUTED_VALUE"""),"Array;Greedy;")</f>
        <v>Array;Greedy;</v>
      </c>
      <c r="M1054" s="23" t="b">
        <f>IFERROR(__xludf.DUMMYFUNCTION("""COMPUTED_VALUE"""),FALSE)</f>
        <v>0</v>
      </c>
      <c r="N1054" s="23" t="b">
        <f>IFERROR(__xludf.DUMMYFUNCTION("""COMPUTED_VALUE"""),FALSE)</f>
        <v>0</v>
      </c>
      <c r="O1054" s="23">
        <f>IFERROR(__xludf.DUMMYFUNCTION("""COMPUTED_VALUE"""),51.7791143068342)</f>
        <v>51.77911431</v>
      </c>
      <c r="P1054" s="23">
        <f>IFERROR(__xludf.DUMMYFUNCTION("""COMPUTED_VALUE"""),30821.0)</f>
        <v>30821</v>
      </c>
      <c r="Q1054" s="23">
        <f>IFERROR(__xludf.DUMMYFUNCTION("""COMPUTED_VALUE"""),59524.0)</f>
        <v>59524</v>
      </c>
    </row>
    <row r="1055">
      <c r="A1055" s="23">
        <f>IFERROR(__xludf.DUMMYFUNCTION("""COMPUTED_VALUE"""),1140.0)</f>
        <v>1140</v>
      </c>
      <c r="B1055" s="23" t="str">
        <f>IFERROR(__xludf.DUMMYFUNCTION("""COMPUTED_VALUE"""),"Distant Barcodes")</f>
        <v>Distant Barcodes</v>
      </c>
      <c r="C1055" s="23" t="str">
        <f>IFERROR(__xludf.DUMMYFUNCTION("""COMPUTED_VALUE"""),"distant-barcodes")</f>
        <v>distant-barcodes</v>
      </c>
      <c r="D1055" s="23" t="b">
        <f>IFERROR(__xludf.DUMMYFUNCTION("""COMPUTED_VALUE"""),FALSE)</f>
        <v>0</v>
      </c>
      <c r="E1055" s="23" t="str">
        <f>IFERROR(__xludf.DUMMYFUNCTION("""COMPUTED_VALUE"""),"Medium")</f>
        <v>Medium</v>
      </c>
      <c r="F1055" s="23">
        <f>IFERROR(__xludf.DUMMYFUNCTION("""COMPUTED_VALUE"""),835.0)</f>
        <v>835</v>
      </c>
      <c r="G1055" s="23">
        <f>IFERROR(__xludf.DUMMYFUNCTION("""COMPUTED_VALUE"""),36.0)</f>
        <v>36</v>
      </c>
      <c r="H1055" s="23" t="str">
        <f>IFERROR(__xludf.DUMMYFUNCTION("""COMPUTED_VALUE"""),"Algorithms")</f>
        <v>Algorithms</v>
      </c>
      <c r="I1055" s="23">
        <f>IFERROR(__xludf.DUMMYFUNCTION("""COMPUTED_VALUE"""),0.453)</f>
        <v>0.453</v>
      </c>
      <c r="J1055" s="23">
        <f>IFERROR(__xludf.DUMMYFUNCTION("""COMPUTED_VALUE"""),1054.0)</f>
        <v>1054</v>
      </c>
      <c r="K1055" s="23" t="b">
        <f>IFERROR(__xludf.DUMMYFUNCTION("""COMPUTED_VALUE"""),FALSE)</f>
        <v>0</v>
      </c>
      <c r="L1055" s="23" t="str">
        <f>IFERROR(__xludf.DUMMYFUNCTION("""COMPUTED_VALUE"""),"Array;Hash Table;Greedy;Sorting;Heap (Priority Queue);Counting;")</f>
        <v>Array;Hash Table;Greedy;Sorting;Heap (Priority Queue);Counting;</v>
      </c>
      <c r="M1055" s="23" t="b">
        <f>IFERROR(__xludf.DUMMYFUNCTION("""COMPUTED_VALUE"""),FALSE)</f>
        <v>0</v>
      </c>
      <c r="N1055" s="23" t="b">
        <f>IFERROR(__xludf.DUMMYFUNCTION("""COMPUTED_VALUE"""),FALSE)</f>
        <v>0</v>
      </c>
      <c r="O1055" s="23">
        <f>IFERROR(__xludf.DUMMYFUNCTION("""COMPUTED_VALUE"""),45.2541009727006)</f>
        <v>45.25410097</v>
      </c>
      <c r="P1055" s="23">
        <f>IFERROR(__xludf.DUMMYFUNCTION("""COMPUTED_VALUE"""),29819.0)</f>
        <v>29819</v>
      </c>
      <c r="Q1055" s="23">
        <f>IFERROR(__xludf.DUMMYFUNCTION("""COMPUTED_VALUE"""),65896.0)</f>
        <v>65896</v>
      </c>
    </row>
    <row r="1056">
      <c r="A1056" s="23">
        <f>IFERROR(__xludf.DUMMYFUNCTION("""COMPUTED_VALUE"""),1051.0)</f>
        <v>1051</v>
      </c>
      <c r="B1056" s="23" t="str">
        <f>IFERROR(__xludf.DUMMYFUNCTION("""COMPUTED_VALUE"""),"Shortest Way to Form String")</f>
        <v>Shortest Way to Form String</v>
      </c>
      <c r="C1056" s="23" t="str">
        <f>IFERROR(__xludf.DUMMYFUNCTION("""COMPUTED_VALUE"""),"shortest-way-to-form-string")</f>
        <v>shortest-way-to-form-string</v>
      </c>
      <c r="D1056" s="23" t="b">
        <f>IFERROR(__xludf.DUMMYFUNCTION("""COMPUTED_VALUE"""),TRUE)</f>
        <v>1</v>
      </c>
      <c r="E1056" s="23" t="str">
        <f>IFERROR(__xludf.DUMMYFUNCTION("""COMPUTED_VALUE"""),"Medium")</f>
        <v>Medium</v>
      </c>
      <c r="F1056" s="23">
        <f>IFERROR(__xludf.DUMMYFUNCTION("""COMPUTED_VALUE"""),818.0)</f>
        <v>818</v>
      </c>
      <c r="G1056" s="23">
        <f>IFERROR(__xludf.DUMMYFUNCTION("""COMPUTED_VALUE"""),49.0)</f>
        <v>49</v>
      </c>
      <c r="H1056" s="23" t="str">
        <f>IFERROR(__xludf.DUMMYFUNCTION("""COMPUTED_VALUE"""),"Algorithms")</f>
        <v>Algorithms</v>
      </c>
      <c r="I1056" s="23">
        <f>IFERROR(__xludf.DUMMYFUNCTION("""COMPUTED_VALUE"""),0.583)</f>
        <v>0.583</v>
      </c>
      <c r="J1056" s="23">
        <f>IFERROR(__xludf.DUMMYFUNCTION("""COMPUTED_VALUE"""),1055.0)</f>
        <v>1055</v>
      </c>
      <c r="K1056" s="23" t="b">
        <f>IFERROR(__xludf.DUMMYFUNCTION("""COMPUTED_VALUE"""),TRUE)</f>
        <v>1</v>
      </c>
      <c r="L1056" s="23" t="str">
        <f>IFERROR(__xludf.DUMMYFUNCTION("""COMPUTED_VALUE"""),"String;Dynamic Programming;Greedy;")</f>
        <v>String;Dynamic Programming;Greedy;</v>
      </c>
      <c r="M1056" s="23" t="b">
        <f>IFERROR(__xludf.DUMMYFUNCTION("""COMPUTED_VALUE"""),FALSE)</f>
        <v>0</v>
      </c>
      <c r="N1056" s="23" t="b">
        <f>IFERROR(__xludf.DUMMYFUNCTION("""COMPUTED_VALUE"""),FALSE)</f>
        <v>0</v>
      </c>
      <c r="O1056" s="23">
        <f>IFERROR(__xludf.DUMMYFUNCTION("""COMPUTED_VALUE"""),58.2624099034898)</f>
        <v>58.2624099</v>
      </c>
      <c r="P1056" s="23">
        <f>IFERROR(__xludf.DUMMYFUNCTION("""COMPUTED_VALUE"""),57230.0)</f>
        <v>57230</v>
      </c>
      <c r="Q1056" s="23">
        <f>IFERROR(__xludf.DUMMYFUNCTION("""COMPUTED_VALUE"""),98228.0)</f>
        <v>98228</v>
      </c>
    </row>
    <row r="1057">
      <c r="A1057" s="23">
        <f>IFERROR(__xludf.DUMMYFUNCTION("""COMPUTED_VALUE"""),1069.0)</f>
        <v>1069</v>
      </c>
      <c r="B1057" s="23" t="str">
        <f>IFERROR(__xludf.DUMMYFUNCTION("""COMPUTED_VALUE"""),"Confusing Number")</f>
        <v>Confusing Number</v>
      </c>
      <c r="C1057" s="23" t="str">
        <f>IFERROR(__xludf.DUMMYFUNCTION("""COMPUTED_VALUE"""),"confusing-number")</f>
        <v>confusing-number</v>
      </c>
      <c r="D1057" s="23" t="b">
        <f>IFERROR(__xludf.DUMMYFUNCTION("""COMPUTED_VALUE"""),TRUE)</f>
        <v>1</v>
      </c>
      <c r="E1057" s="23" t="str">
        <f>IFERROR(__xludf.DUMMYFUNCTION("""COMPUTED_VALUE"""),"Easy")</f>
        <v>Easy</v>
      </c>
      <c r="F1057" s="23">
        <f>IFERROR(__xludf.DUMMYFUNCTION("""COMPUTED_VALUE"""),165.0)</f>
        <v>165</v>
      </c>
      <c r="G1057" s="23">
        <f>IFERROR(__xludf.DUMMYFUNCTION("""COMPUTED_VALUE"""),92.0)</f>
        <v>92</v>
      </c>
      <c r="H1057" s="23" t="str">
        <f>IFERROR(__xludf.DUMMYFUNCTION("""COMPUTED_VALUE"""),"Algorithms")</f>
        <v>Algorithms</v>
      </c>
      <c r="I1057" s="23">
        <f>IFERROR(__xludf.DUMMYFUNCTION("""COMPUTED_VALUE"""),0.46)</f>
        <v>0.46</v>
      </c>
      <c r="J1057" s="23">
        <f>IFERROR(__xludf.DUMMYFUNCTION("""COMPUTED_VALUE"""),1056.0)</f>
        <v>1056</v>
      </c>
      <c r="K1057" s="23" t="b">
        <f>IFERROR(__xludf.DUMMYFUNCTION("""COMPUTED_VALUE"""),TRUE)</f>
        <v>1</v>
      </c>
      <c r="L1057" s="23" t="str">
        <f>IFERROR(__xludf.DUMMYFUNCTION("""COMPUTED_VALUE"""),"Math;")</f>
        <v>Math;</v>
      </c>
      <c r="M1057" s="23" t="b">
        <f>IFERROR(__xludf.DUMMYFUNCTION("""COMPUTED_VALUE"""),FALSE)</f>
        <v>0</v>
      </c>
      <c r="N1057" s="23" t="b">
        <f>IFERROR(__xludf.DUMMYFUNCTION("""COMPUTED_VALUE"""),FALSE)</f>
        <v>0</v>
      </c>
      <c r="O1057" s="23">
        <f>IFERROR(__xludf.DUMMYFUNCTION("""COMPUTED_VALUE"""),46.0281185439786)</f>
        <v>46.02811854</v>
      </c>
      <c r="P1057" s="23">
        <f>IFERROR(__xludf.DUMMYFUNCTION("""COMPUTED_VALUE"""),25176.0)</f>
        <v>25176</v>
      </c>
      <c r="Q1057" s="23">
        <f>IFERROR(__xludf.DUMMYFUNCTION("""COMPUTED_VALUE"""),54697.0)</f>
        <v>54697</v>
      </c>
    </row>
    <row r="1058">
      <c r="A1058" s="23">
        <f>IFERROR(__xludf.DUMMYFUNCTION("""COMPUTED_VALUE"""),1052.0)</f>
        <v>1052</v>
      </c>
      <c r="B1058" s="23" t="str">
        <f>IFERROR(__xludf.DUMMYFUNCTION("""COMPUTED_VALUE"""),"Campus Bikes")</f>
        <v>Campus Bikes</v>
      </c>
      <c r="C1058" s="23" t="str">
        <f>IFERROR(__xludf.DUMMYFUNCTION("""COMPUTED_VALUE"""),"campus-bikes")</f>
        <v>campus-bikes</v>
      </c>
      <c r="D1058" s="23" t="b">
        <f>IFERROR(__xludf.DUMMYFUNCTION("""COMPUTED_VALUE"""),TRUE)</f>
        <v>1</v>
      </c>
      <c r="E1058" s="23" t="str">
        <f>IFERROR(__xludf.DUMMYFUNCTION("""COMPUTED_VALUE"""),"Medium")</f>
        <v>Medium</v>
      </c>
      <c r="F1058" s="23">
        <f>IFERROR(__xludf.DUMMYFUNCTION("""COMPUTED_VALUE"""),856.0)</f>
        <v>856</v>
      </c>
      <c r="G1058" s="23">
        <f>IFERROR(__xludf.DUMMYFUNCTION("""COMPUTED_VALUE"""),158.0)</f>
        <v>158</v>
      </c>
      <c r="H1058" s="23" t="str">
        <f>IFERROR(__xludf.DUMMYFUNCTION("""COMPUTED_VALUE"""),"Algorithms")</f>
        <v>Algorithms</v>
      </c>
      <c r="I1058" s="23">
        <f>IFERROR(__xludf.DUMMYFUNCTION("""COMPUTED_VALUE"""),0.581)</f>
        <v>0.581</v>
      </c>
      <c r="J1058" s="23">
        <f>IFERROR(__xludf.DUMMYFUNCTION("""COMPUTED_VALUE"""),1057.0)</f>
        <v>1057</v>
      </c>
      <c r="K1058" s="23" t="b">
        <f>IFERROR(__xludf.DUMMYFUNCTION("""COMPUTED_VALUE"""),TRUE)</f>
        <v>1</v>
      </c>
      <c r="L1058" s="23" t="str">
        <f>IFERROR(__xludf.DUMMYFUNCTION("""COMPUTED_VALUE"""),"Array;Greedy;Sorting;")</f>
        <v>Array;Greedy;Sorting;</v>
      </c>
      <c r="M1058" s="23" t="b">
        <f>IFERROR(__xludf.DUMMYFUNCTION("""COMPUTED_VALUE"""),TRUE)</f>
        <v>1</v>
      </c>
      <c r="N1058" s="23" t="b">
        <f>IFERROR(__xludf.DUMMYFUNCTION("""COMPUTED_VALUE"""),FALSE)</f>
        <v>0</v>
      </c>
      <c r="O1058" s="23">
        <f>IFERROR(__xludf.DUMMYFUNCTION("""COMPUTED_VALUE"""),58.0774815142453)</f>
        <v>58.07748151</v>
      </c>
      <c r="P1058" s="23">
        <f>IFERROR(__xludf.DUMMYFUNCTION("""COMPUTED_VALUE"""),60400.0)</f>
        <v>60400</v>
      </c>
      <c r="Q1058" s="23">
        <f>IFERROR(__xludf.DUMMYFUNCTION("""COMPUTED_VALUE"""),103999.0)</f>
        <v>103999</v>
      </c>
    </row>
    <row r="1059">
      <c r="A1059" s="23">
        <f>IFERROR(__xludf.DUMMYFUNCTION("""COMPUTED_VALUE"""),1053.0)</f>
        <v>1053</v>
      </c>
      <c r="B1059" s="23" t="str">
        <f>IFERROR(__xludf.DUMMYFUNCTION("""COMPUTED_VALUE"""),"Minimize Rounding Error to Meet Target")</f>
        <v>Minimize Rounding Error to Meet Target</v>
      </c>
      <c r="C1059" s="23" t="str">
        <f>IFERROR(__xludf.DUMMYFUNCTION("""COMPUTED_VALUE"""),"minimize-rounding-error-to-meet-target")</f>
        <v>minimize-rounding-error-to-meet-target</v>
      </c>
      <c r="D1059" s="23" t="b">
        <f>IFERROR(__xludf.DUMMYFUNCTION("""COMPUTED_VALUE"""),TRUE)</f>
        <v>1</v>
      </c>
      <c r="E1059" s="23" t="str">
        <f>IFERROR(__xludf.DUMMYFUNCTION("""COMPUTED_VALUE"""),"Medium")</f>
        <v>Medium</v>
      </c>
      <c r="F1059" s="23">
        <f>IFERROR(__xludf.DUMMYFUNCTION("""COMPUTED_VALUE"""),128.0)</f>
        <v>128</v>
      </c>
      <c r="G1059" s="23">
        <f>IFERROR(__xludf.DUMMYFUNCTION("""COMPUTED_VALUE"""),126.0)</f>
        <v>126</v>
      </c>
      <c r="H1059" s="23" t="str">
        <f>IFERROR(__xludf.DUMMYFUNCTION("""COMPUTED_VALUE"""),"Algorithms")</f>
        <v>Algorithms</v>
      </c>
      <c r="I1059" s="23">
        <f>IFERROR(__xludf.DUMMYFUNCTION("""COMPUTED_VALUE"""),0.447)</f>
        <v>0.447</v>
      </c>
      <c r="J1059" s="23">
        <f>IFERROR(__xludf.DUMMYFUNCTION("""COMPUTED_VALUE"""),1058.0)</f>
        <v>1058</v>
      </c>
      <c r="K1059" s="23" t="b">
        <f>IFERROR(__xludf.DUMMYFUNCTION("""COMPUTED_VALUE"""),TRUE)</f>
        <v>1</v>
      </c>
      <c r="L1059" s="23" t="str">
        <f>IFERROR(__xludf.DUMMYFUNCTION("""COMPUTED_VALUE"""),"Array;Math;String;Greedy;")</f>
        <v>Array;Math;String;Greedy;</v>
      </c>
      <c r="M1059" s="23" t="b">
        <f>IFERROR(__xludf.DUMMYFUNCTION("""COMPUTED_VALUE"""),FALSE)</f>
        <v>0</v>
      </c>
      <c r="N1059" s="23" t="b">
        <f>IFERROR(__xludf.DUMMYFUNCTION("""COMPUTED_VALUE"""),FALSE)</f>
        <v>0</v>
      </c>
      <c r="O1059" s="23">
        <f>IFERROR(__xludf.DUMMYFUNCTION("""COMPUTED_VALUE"""),44.6638174923252)</f>
        <v>44.66381749</v>
      </c>
      <c r="P1059" s="23">
        <f>IFERROR(__xludf.DUMMYFUNCTION("""COMPUTED_VALUE"""),7420.0)</f>
        <v>7420</v>
      </c>
      <c r="Q1059" s="23">
        <f>IFERROR(__xludf.DUMMYFUNCTION("""COMPUTED_VALUE"""),16613.0)</f>
        <v>16613</v>
      </c>
    </row>
    <row r="1060">
      <c r="A1060" s="23">
        <f>IFERROR(__xludf.DUMMYFUNCTION("""COMPUTED_VALUE"""),511.0)</f>
        <v>511</v>
      </c>
      <c r="B1060" s="23" t="str">
        <f>IFERROR(__xludf.DUMMYFUNCTION("""COMPUTED_VALUE"""),"All Paths from Source Lead to Destination")</f>
        <v>All Paths from Source Lead to Destination</v>
      </c>
      <c r="C1060" s="23" t="str">
        <f>IFERROR(__xludf.DUMMYFUNCTION("""COMPUTED_VALUE"""),"all-paths-from-source-lead-to-destination")</f>
        <v>all-paths-from-source-lead-to-destination</v>
      </c>
      <c r="D1060" s="23" t="b">
        <f>IFERROR(__xludf.DUMMYFUNCTION("""COMPUTED_VALUE"""),TRUE)</f>
        <v>1</v>
      </c>
      <c r="E1060" s="23" t="str">
        <f>IFERROR(__xludf.DUMMYFUNCTION("""COMPUTED_VALUE"""),"Medium")</f>
        <v>Medium</v>
      </c>
      <c r="F1060" s="23">
        <f>IFERROR(__xludf.DUMMYFUNCTION("""COMPUTED_VALUE"""),486.0)</f>
        <v>486</v>
      </c>
      <c r="G1060" s="23">
        <f>IFERROR(__xludf.DUMMYFUNCTION("""COMPUTED_VALUE"""),129.0)</f>
        <v>129</v>
      </c>
      <c r="H1060" s="23" t="str">
        <f>IFERROR(__xludf.DUMMYFUNCTION("""COMPUTED_VALUE"""),"Algorithms")</f>
        <v>Algorithms</v>
      </c>
      <c r="I1060" s="23">
        <f>IFERROR(__xludf.DUMMYFUNCTION("""COMPUTED_VALUE"""),0.418)</f>
        <v>0.418</v>
      </c>
      <c r="J1060" s="23">
        <f>IFERROR(__xludf.DUMMYFUNCTION("""COMPUTED_VALUE"""),1059.0)</f>
        <v>1059</v>
      </c>
      <c r="K1060" s="23" t="b">
        <f>IFERROR(__xludf.DUMMYFUNCTION("""COMPUTED_VALUE"""),TRUE)</f>
        <v>1</v>
      </c>
      <c r="L1060" s="23" t="str">
        <f>IFERROR(__xludf.DUMMYFUNCTION("""COMPUTED_VALUE"""),"Depth-First Search;Graph;")</f>
        <v>Depth-First Search;Graph;</v>
      </c>
      <c r="M1060" s="23" t="b">
        <f>IFERROR(__xludf.DUMMYFUNCTION("""COMPUTED_VALUE"""),TRUE)</f>
        <v>1</v>
      </c>
      <c r="N1060" s="23" t="b">
        <f>IFERROR(__xludf.DUMMYFUNCTION("""COMPUTED_VALUE"""),FALSE)</f>
        <v>0</v>
      </c>
      <c r="O1060" s="23">
        <f>IFERROR(__xludf.DUMMYFUNCTION("""COMPUTED_VALUE"""),41.7605585908276)</f>
        <v>41.76055859</v>
      </c>
      <c r="P1060" s="23">
        <f>IFERROR(__xludf.DUMMYFUNCTION("""COMPUTED_VALUE"""),36842.0)</f>
        <v>36842</v>
      </c>
      <c r="Q1060" s="23">
        <f>IFERROR(__xludf.DUMMYFUNCTION("""COMPUTED_VALUE"""),88222.0)</f>
        <v>88222</v>
      </c>
    </row>
    <row r="1061">
      <c r="A1061" s="23">
        <f>IFERROR(__xludf.DUMMYFUNCTION("""COMPUTED_VALUE"""),1059.0)</f>
        <v>1059</v>
      </c>
      <c r="B1061" s="23" t="str">
        <f>IFERROR(__xludf.DUMMYFUNCTION("""COMPUTED_VALUE"""),"Missing Element in Sorted Array")</f>
        <v>Missing Element in Sorted Array</v>
      </c>
      <c r="C1061" s="23" t="str">
        <f>IFERROR(__xludf.DUMMYFUNCTION("""COMPUTED_VALUE"""),"missing-element-in-sorted-array")</f>
        <v>missing-element-in-sorted-array</v>
      </c>
      <c r="D1061" s="23" t="b">
        <f>IFERROR(__xludf.DUMMYFUNCTION("""COMPUTED_VALUE"""),TRUE)</f>
        <v>1</v>
      </c>
      <c r="E1061" s="23" t="str">
        <f>IFERROR(__xludf.DUMMYFUNCTION("""COMPUTED_VALUE"""),"Medium")</f>
        <v>Medium</v>
      </c>
      <c r="F1061" s="23">
        <f>IFERROR(__xludf.DUMMYFUNCTION("""COMPUTED_VALUE"""),1281.0)</f>
        <v>1281</v>
      </c>
      <c r="G1061" s="23">
        <f>IFERROR(__xludf.DUMMYFUNCTION("""COMPUTED_VALUE"""),51.0)</f>
        <v>51</v>
      </c>
      <c r="H1061" s="23" t="str">
        <f>IFERROR(__xludf.DUMMYFUNCTION("""COMPUTED_VALUE"""),"Algorithms")</f>
        <v>Algorithms</v>
      </c>
      <c r="I1061" s="23">
        <f>IFERROR(__xludf.DUMMYFUNCTION("""COMPUTED_VALUE"""),0.55)</f>
        <v>0.55</v>
      </c>
      <c r="J1061" s="23">
        <f>IFERROR(__xludf.DUMMYFUNCTION("""COMPUTED_VALUE"""),1060.0)</f>
        <v>1060</v>
      </c>
      <c r="K1061" s="23" t="b">
        <f>IFERROR(__xludf.DUMMYFUNCTION("""COMPUTED_VALUE"""),TRUE)</f>
        <v>1</v>
      </c>
      <c r="L1061" s="23" t="str">
        <f>IFERROR(__xludf.DUMMYFUNCTION("""COMPUTED_VALUE"""),"Array;Binary Search;")</f>
        <v>Array;Binary Search;</v>
      </c>
      <c r="M1061" s="23" t="b">
        <f>IFERROR(__xludf.DUMMYFUNCTION("""COMPUTED_VALUE"""),TRUE)</f>
        <v>1</v>
      </c>
      <c r="N1061" s="23" t="b">
        <f>IFERROR(__xludf.DUMMYFUNCTION("""COMPUTED_VALUE"""),FALSE)</f>
        <v>0</v>
      </c>
      <c r="O1061" s="23">
        <f>IFERROR(__xludf.DUMMYFUNCTION("""COMPUTED_VALUE"""),54.9795290223293)</f>
        <v>54.97952902</v>
      </c>
      <c r="P1061" s="23">
        <f>IFERROR(__xludf.DUMMYFUNCTION("""COMPUTED_VALUE"""),94672.0)</f>
        <v>94672</v>
      </c>
      <c r="Q1061" s="23">
        <f>IFERROR(__xludf.DUMMYFUNCTION("""COMPUTED_VALUE"""),172195.0)</f>
        <v>172195</v>
      </c>
    </row>
    <row r="1062">
      <c r="A1062" s="23">
        <f>IFERROR(__xludf.DUMMYFUNCTION("""COMPUTED_VALUE"""),1058.0)</f>
        <v>1058</v>
      </c>
      <c r="B1062" s="23" t="str">
        <f>IFERROR(__xludf.DUMMYFUNCTION("""COMPUTED_VALUE"""),"Lexicographically Smallest Equivalent String")</f>
        <v>Lexicographically Smallest Equivalent String</v>
      </c>
      <c r="C1062" s="23" t="str">
        <f>IFERROR(__xludf.DUMMYFUNCTION("""COMPUTED_VALUE"""),"lexicographically-smallest-equivalent-string")</f>
        <v>lexicographically-smallest-equivalent-string</v>
      </c>
      <c r="D1062" s="23" t="b">
        <f>IFERROR(__xludf.DUMMYFUNCTION("""COMPUTED_VALUE"""),TRUE)</f>
        <v>1</v>
      </c>
      <c r="E1062" s="23" t="str">
        <f>IFERROR(__xludf.DUMMYFUNCTION("""COMPUTED_VALUE"""),"Medium")</f>
        <v>Medium</v>
      </c>
      <c r="F1062" s="23">
        <f>IFERROR(__xludf.DUMMYFUNCTION("""COMPUTED_VALUE"""),188.0)</f>
        <v>188</v>
      </c>
      <c r="G1062" s="23">
        <f>IFERROR(__xludf.DUMMYFUNCTION("""COMPUTED_VALUE"""),10.0)</f>
        <v>10</v>
      </c>
      <c r="H1062" s="23" t="str">
        <f>IFERROR(__xludf.DUMMYFUNCTION("""COMPUTED_VALUE"""),"Algorithms")</f>
        <v>Algorithms</v>
      </c>
      <c r="I1062" s="23">
        <f>IFERROR(__xludf.DUMMYFUNCTION("""COMPUTED_VALUE"""),0.693)</f>
        <v>0.693</v>
      </c>
      <c r="J1062" s="23">
        <f>IFERROR(__xludf.DUMMYFUNCTION("""COMPUTED_VALUE"""),1061.0)</f>
        <v>1061</v>
      </c>
      <c r="K1062" s="23" t="b">
        <f>IFERROR(__xludf.DUMMYFUNCTION("""COMPUTED_VALUE"""),TRUE)</f>
        <v>1</v>
      </c>
      <c r="L1062" s="23" t="str">
        <f>IFERROR(__xludf.DUMMYFUNCTION("""COMPUTED_VALUE"""),"String;Union Find;")</f>
        <v>String;Union Find;</v>
      </c>
      <c r="M1062" s="23" t="b">
        <f>IFERROR(__xludf.DUMMYFUNCTION("""COMPUTED_VALUE"""),FALSE)</f>
        <v>0</v>
      </c>
      <c r="N1062" s="23" t="b">
        <f>IFERROR(__xludf.DUMMYFUNCTION("""COMPUTED_VALUE"""),FALSE)</f>
        <v>0</v>
      </c>
      <c r="O1062" s="23">
        <f>IFERROR(__xludf.DUMMYFUNCTION("""COMPUTED_VALUE"""),69.311689489435)</f>
        <v>69.31168949</v>
      </c>
      <c r="P1062" s="23">
        <f>IFERROR(__xludf.DUMMYFUNCTION("""COMPUTED_VALUE"""),7643.0)</f>
        <v>7643</v>
      </c>
      <c r="Q1062" s="23">
        <f>IFERROR(__xludf.DUMMYFUNCTION("""COMPUTED_VALUE"""),11027.0)</f>
        <v>11027</v>
      </c>
    </row>
    <row r="1063">
      <c r="A1063" s="23">
        <f>IFERROR(__xludf.DUMMYFUNCTION("""COMPUTED_VALUE"""),1060.0)</f>
        <v>1060</v>
      </c>
      <c r="B1063" s="23" t="str">
        <f>IFERROR(__xludf.DUMMYFUNCTION("""COMPUTED_VALUE"""),"Longest Repeating Substring")</f>
        <v>Longest Repeating Substring</v>
      </c>
      <c r="C1063" s="23" t="str">
        <f>IFERROR(__xludf.DUMMYFUNCTION("""COMPUTED_VALUE"""),"longest-repeating-substring")</f>
        <v>longest-repeating-substring</v>
      </c>
      <c r="D1063" s="23" t="b">
        <f>IFERROR(__xludf.DUMMYFUNCTION("""COMPUTED_VALUE"""),TRUE)</f>
        <v>1</v>
      </c>
      <c r="E1063" s="23" t="str">
        <f>IFERROR(__xludf.DUMMYFUNCTION("""COMPUTED_VALUE"""),"Medium")</f>
        <v>Medium</v>
      </c>
      <c r="F1063" s="23">
        <f>IFERROR(__xludf.DUMMYFUNCTION("""COMPUTED_VALUE"""),508.0)</f>
        <v>508</v>
      </c>
      <c r="G1063" s="23">
        <f>IFERROR(__xludf.DUMMYFUNCTION("""COMPUTED_VALUE"""),33.0)</f>
        <v>33</v>
      </c>
      <c r="H1063" s="23" t="str">
        <f>IFERROR(__xludf.DUMMYFUNCTION("""COMPUTED_VALUE"""),"Algorithms")</f>
        <v>Algorithms</v>
      </c>
      <c r="I1063" s="23">
        <f>IFERROR(__xludf.DUMMYFUNCTION("""COMPUTED_VALUE"""),0.592)</f>
        <v>0.592</v>
      </c>
      <c r="J1063" s="23">
        <f>IFERROR(__xludf.DUMMYFUNCTION("""COMPUTED_VALUE"""),1062.0)</f>
        <v>1062</v>
      </c>
      <c r="K1063" s="23" t="b">
        <f>IFERROR(__xludf.DUMMYFUNCTION("""COMPUTED_VALUE"""),TRUE)</f>
        <v>1</v>
      </c>
      <c r="L1063" s="23" t="str">
        <f>IFERROR(__xludf.DUMMYFUNCTION("""COMPUTED_VALUE"""),"String;Binary Search;Dynamic Programming;Rolling Hash;Suffix Array;Hash Function;")</f>
        <v>String;Binary Search;Dynamic Programming;Rolling Hash;Suffix Array;Hash Function;</v>
      </c>
      <c r="M1063" s="23" t="b">
        <f>IFERROR(__xludf.DUMMYFUNCTION("""COMPUTED_VALUE"""),TRUE)</f>
        <v>1</v>
      </c>
      <c r="N1063" s="23" t="b">
        <f>IFERROR(__xludf.DUMMYFUNCTION("""COMPUTED_VALUE"""),FALSE)</f>
        <v>0</v>
      </c>
      <c r="O1063" s="23">
        <f>IFERROR(__xludf.DUMMYFUNCTION("""COMPUTED_VALUE"""),59.2257775788767)</f>
        <v>59.22577758</v>
      </c>
      <c r="P1063" s="23">
        <f>IFERROR(__xludf.DUMMYFUNCTION("""COMPUTED_VALUE"""),26468.0)</f>
        <v>26468</v>
      </c>
      <c r="Q1063" s="23">
        <f>IFERROR(__xludf.DUMMYFUNCTION("""COMPUTED_VALUE"""),44690.0)</f>
        <v>44690</v>
      </c>
    </row>
    <row r="1064">
      <c r="A1064" s="23">
        <f>IFERROR(__xludf.DUMMYFUNCTION("""COMPUTED_VALUE"""),1061.0)</f>
        <v>1061</v>
      </c>
      <c r="B1064" s="23" t="str">
        <f>IFERROR(__xludf.DUMMYFUNCTION("""COMPUTED_VALUE"""),"Number of Valid Subarrays")</f>
        <v>Number of Valid Subarrays</v>
      </c>
      <c r="C1064" s="23" t="str">
        <f>IFERROR(__xludf.DUMMYFUNCTION("""COMPUTED_VALUE"""),"number-of-valid-subarrays")</f>
        <v>number-of-valid-subarrays</v>
      </c>
      <c r="D1064" s="23" t="b">
        <f>IFERROR(__xludf.DUMMYFUNCTION("""COMPUTED_VALUE"""),TRUE)</f>
        <v>1</v>
      </c>
      <c r="E1064" s="23" t="str">
        <f>IFERROR(__xludf.DUMMYFUNCTION("""COMPUTED_VALUE"""),"Hard")</f>
        <v>Hard</v>
      </c>
      <c r="F1064" s="23">
        <f>IFERROR(__xludf.DUMMYFUNCTION("""COMPUTED_VALUE"""),175.0)</f>
        <v>175</v>
      </c>
      <c r="G1064" s="23">
        <f>IFERROR(__xludf.DUMMYFUNCTION("""COMPUTED_VALUE"""),8.0)</f>
        <v>8</v>
      </c>
      <c r="H1064" s="23" t="str">
        <f>IFERROR(__xludf.DUMMYFUNCTION("""COMPUTED_VALUE"""),"Algorithms")</f>
        <v>Algorithms</v>
      </c>
      <c r="I1064" s="23">
        <f>IFERROR(__xludf.DUMMYFUNCTION("""COMPUTED_VALUE"""),0.736)</f>
        <v>0.736</v>
      </c>
      <c r="J1064" s="23">
        <f>IFERROR(__xludf.DUMMYFUNCTION("""COMPUTED_VALUE"""),1063.0)</f>
        <v>1063</v>
      </c>
      <c r="K1064" s="23" t="b">
        <f>IFERROR(__xludf.DUMMYFUNCTION("""COMPUTED_VALUE"""),TRUE)</f>
        <v>1</v>
      </c>
      <c r="L1064" s="23" t="str">
        <f>IFERROR(__xludf.DUMMYFUNCTION("""COMPUTED_VALUE"""),"Array;Stack;Monotonic Stack;")</f>
        <v>Array;Stack;Monotonic Stack;</v>
      </c>
      <c r="M1064" s="23" t="b">
        <f>IFERROR(__xludf.DUMMYFUNCTION("""COMPUTED_VALUE"""),FALSE)</f>
        <v>0</v>
      </c>
      <c r="N1064" s="23" t="b">
        <f>IFERROR(__xludf.DUMMYFUNCTION("""COMPUTED_VALUE"""),FALSE)</f>
        <v>0</v>
      </c>
      <c r="O1064" s="23">
        <f>IFERROR(__xludf.DUMMYFUNCTION("""COMPUTED_VALUE"""),73.6134253749107)</f>
        <v>73.61342537</v>
      </c>
      <c r="P1064" s="23">
        <f>IFERROR(__xludf.DUMMYFUNCTION("""COMPUTED_VALUE"""),6185.0)</f>
        <v>6185</v>
      </c>
      <c r="Q1064" s="23">
        <f>IFERROR(__xludf.DUMMYFUNCTION("""COMPUTED_VALUE"""),8402.0)</f>
        <v>8402</v>
      </c>
    </row>
    <row r="1065">
      <c r="A1065" s="23">
        <f>IFERROR(__xludf.DUMMYFUNCTION("""COMPUTED_VALUE"""),1066.0)</f>
        <v>1066</v>
      </c>
      <c r="B1065" s="23" t="str">
        <f>IFERROR(__xludf.DUMMYFUNCTION("""COMPUTED_VALUE"""),"Fixed Point")</f>
        <v>Fixed Point</v>
      </c>
      <c r="C1065" s="23" t="str">
        <f>IFERROR(__xludf.DUMMYFUNCTION("""COMPUTED_VALUE"""),"fixed-point")</f>
        <v>fixed-point</v>
      </c>
      <c r="D1065" s="23" t="b">
        <f>IFERROR(__xludf.DUMMYFUNCTION("""COMPUTED_VALUE"""),TRUE)</f>
        <v>1</v>
      </c>
      <c r="E1065" s="23" t="str">
        <f>IFERROR(__xludf.DUMMYFUNCTION("""COMPUTED_VALUE"""),"Easy")</f>
        <v>Easy</v>
      </c>
      <c r="F1065" s="23">
        <f>IFERROR(__xludf.DUMMYFUNCTION("""COMPUTED_VALUE"""),337.0)</f>
        <v>337</v>
      </c>
      <c r="G1065" s="23">
        <f>IFERROR(__xludf.DUMMYFUNCTION("""COMPUTED_VALUE"""),59.0)</f>
        <v>59</v>
      </c>
      <c r="H1065" s="23" t="str">
        <f>IFERROR(__xludf.DUMMYFUNCTION("""COMPUTED_VALUE"""),"Algorithms")</f>
        <v>Algorithms</v>
      </c>
      <c r="I1065" s="23">
        <f>IFERROR(__xludf.DUMMYFUNCTION("""COMPUTED_VALUE"""),0.639)</f>
        <v>0.639</v>
      </c>
      <c r="J1065" s="23">
        <f>IFERROR(__xludf.DUMMYFUNCTION("""COMPUTED_VALUE"""),1064.0)</f>
        <v>1064</v>
      </c>
      <c r="K1065" s="23" t="b">
        <f>IFERROR(__xludf.DUMMYFUNCTION("""COMPUTED_VALUE"""),TRUE)</f>
        <v>1</v>
      </c>
      <c r="L1065" s="23" t="str">
        <f>IFERROR(__xludf.DUMMYFUNCTION("""COMPUTED_VALUE"""),"Array;Binary Search;")</f>
        <v>Array;Binary Search;</v>
      </c>
      <c r="M1065" s="23" t="b">
        <f>IFERROR(__xludf.DUMMYFUNCTION("""COMPUTED_VALUE"""),TRUE)</f>
        <v>1</v>
      </c>
      <c r="N1065" s="23" t="b">
        <f>IFERROR(__xludf.DUMMYFUNCTION("""COMPUTED_VALUE"""),FALSE)</f>
        <v>0</v>
      </c>
      <c r="O1065" s="23">
        <f>IFERROR(__xludf.DUMMYFUNCTION("""COMPUTED_VALUE"""),63.8840409310528)</f>
        <v>63.88404093</v>
      </c>
      <c r="P1065" s="23">
        <f>IFERROR(__xludf.DUMMYFUNCTION("""COMPUTED_VALUE"""),34774.0)</f>
        <v>34774</v>
      </c>
      <c r="Q1065" s="23">
        <f>IFERROR(__xludf.DUMMYFUNCTION("""COMPUTED_VALUE"""),54433.0)</f>
        <v>54433</v>
      </c>
    </row>
    <row r="1066">
      <c r="A1066" s="23">
        <f>IFERROR(__xludf.DUMMYFUNCTION("""COMPUTED_VALUE"""),1075.0)</f>
        <v>1075</v>
      </c>
      <c r="B1066" s="23" t="str">
        <f>IFERROR(__xludf.DUMMYFUNCTION("""COMPUTED_VALUE"""),"Index Pairs of a String")</f>
        <v>Index Pairs of a String</v>
      </c>
      <c r="C1066" s="23" t="str">
        <f>IFERROR(__xludf.DUMMYFUNCTION("""COMPUTED_VALUE"""),"index-pairs-of-a-string")</f>
        <v>index-pairs-of-a-string</v>
      </c>
      <c r="D1066" s="23" t="b">
        <f>IFERROR(__xludf.DUMMYFUNCTION("""COMPUTED_VALUE"""),TRUE)</f>
        <v>1</v>
      </c>
      <c r="E1066" s="23" t="str">
        <f>IFERROR(__xludf.DUMMYFUNCTION("""COMPUTED_VALUE"""),"Easy")</f>
        <v>Easy</v>
      </c>
      <c r="F1066" s="23">
        <f>IFERROR(__xludf.DUMMYFUNCTION("""COMPUTED_VALUE"""),227.0)</f>
        <v>227</v>
      </c>
      <c r="G1066" s="23">
        <f>IFERROR(__xludf.DUMMYFUNCTION("""COMPUTED_VALUE"""),77.0)</f>
        <v>77</v>
      </c>
      <c r="H1066" s="23" t="str">
        <f>IFERROR(__xludf.DUMMYFUNCTION("""COMPUTED_VALUE"""),"Algorithms")</f>
        <v>Algorithms</v>
      </c>
      <c r="I1066" s="23">
        <f>IFERROR(__xludf.DUMMYFUNCTION("""COMPUTED_VALUE"""),0.622)</f>
        <v>0.622</v>
      </c>
      <c r="J1066" s="23">
        <f>IFERROR(__xludf.DUMMYFUNCTION("""COMPUTED_VALUE"""),1065.0)</f>
        <v>1065</v>
      </c>
      <c r="K1066" s="23" t="b">
        <f>IFERROR(__xludf.DUMMYFUNCTION("""COMPUTED_VALUE"""),TRUE)</f>
        <v>1</v>
      </c>
      <c r="L1066" s="23" t="str">
        <f>IFERROR(__xludf.DUMMYFUNCTION("""COMPUTED_VALUE"""),"Array;String;Trie;Sorting;")</f>
        <v>Array;String;Trie;Sorting;</v>
      </c>
      <c r="M1066" s="23" t="b">
        <f>IFERROR(__xludf.DUMMYFUNCTION("""COMPUTED_VALUE"""),FALSE)</f>
        <v>0</v>
      </c>
      <c r="N1066" s="23" t="b">
        <f>IFERROR(__xludf.DUMMYFUNCTION("""COMPUTED_VALUE"""),FALSE)</f>
        <v>0</v>
      </c>
      <c r="O1066" s="23">
        <f>IFERROR(__xludf.DUMMYFUNCTION("""COMPUTED_VALUE"""),62.232761495424)</f>
        <v>62.2327615</v>
      </c>
      <c r="P1066" s="23">
        <f>IFERROR(__xludf.DUMMYFUNCTION("""COMPUTED_VALUE"""),16796.0)</f>
        <v>16796</v>
      </c>
      <c r="Q1066" s="23">
        <f>IFERROR(__xludf.DUMMYFUNCTION("""COMPUTED_VALUE"""),26989.0)</f>
        <v>26989</v>
      </c>
    </row>
    <row r="1067">
      <c r="A1067" s="23">
        <f>IFERROR(__xludf.DUMMYFUNCTION("""COMPUTED_VALUE"""),1067.0)</f>
        <v>1067</v>
      </c>
      <c r="B1067" s="23" t="str">
        <f>IFERROR(__xludf.DUMMYFUNCTION("""COMPUTED_VALUE"""),"Campus Bikes II")</f>
        <v>Campus Bikes II</v>
      </c>
      <c r="C1067" s="23" t="str">
        <f>IFERROR(__xludf.DUMMYFUNCTION("""COMPUTED_VALUE"""),"campus-bikes-ii")</f>
        <v>campus-bikes-ii</v>
      </c>
      <c r="D1067" s="23" t="b">
        <f>IFERROR(__xludf.DUMMYFUNCTION("""COMPUTED_VALUE"""),TRUE)</f>
        <v>1</v>
      </c>
      <c r="E1067" s="23" t="str">
        <f>IFERROR(__xludf.DUMMYFUNCTION("""COMPUTED_VALUE"""),"Medium")</f>
        <v>Medium</v>
      </c>
      <c r="F1067" s="23">
        <f>IFERROR(__xludf.DUMMYFUNCTION("""COMPUTED_VALUE"""),687.0)</f>
        <v>687</v>
      </c>
      <c r="G1067" s="23">
        <f>IFERROR(__xludf.DUMMYFUNCTION("""COMPUTED_VALUE"""),57.0)</f>
        <v>57</v>
      </c>
      <c r="H1067" s="23" t="str">
        <f>IFERROR(__xludf.DUMMYFUNCTION("""COMPUTED_VALUE"""),"Algorithms")</f>
        <v>Algorithms</v>
      </c>
      <c r="I1067" s="23">
        <f>IFERROR(__xludf.DUMMYFUNCTION("""COMPUTED_VALUE"""),0.547)</f>
        <v>0.547</v>
      </c>
      <c r="J1067" s="23">
        <f>IFERROR(__xludf.DUMMYFUNCTION("""COMPUTED_VALUE"""),1066.0)</f>
        <v>1066</v>
      </c>
      <c r="K1067" s="23" t="b">
        <f>IFERROR(__xludf.DUMMYFUNCTION("""COMPUTED_VALUE"""),TRUE)</f>
        <v>1</v>
      </c>
      <c r="L1067" s="23" t="str">
        <f>IFERROR(__xludf.DUMMYFUNCTION("""COMPUTED_VALUE"""),"Array;Dynamic Programming;Backtracking;Bit Manipulation;Bitmask;")</f>
        <v>Array;Dynamic Programming;Backtracking;Bit Manipulation;Bitmask;</v>
      </c>
      <c r="M1067" s="23" t="b">
        <f>IFERROR(__xludf.DUMMYFUNCTION("""COMPUTED_VALUE"""),TRUE)</f>
        <v>1</v>
      </c>
      <c r="N1067" s="23" t="b">
        <f>IFERROR(__xludf.DUMMYFUNCTION("""COMPUTED_VALUE"""),FALSE)</f>
        <v>0</v>
      </c>
      <c r="O1067" s="23">
        <f>IFERROR(__xludf.DUMMYFUNCTION("""COMPUTED_VALUE"""),54.7133767110498)</f>
        <v>54.71337671</v>
      </c>
      <c r="P1067" s="23">
        <f>IFERROR(__xludf.DUMMYFUNCTION("""COMPUTED_VALUE"""),38092.0)</f>
        <v>38092</v>
      </c>
      <c r="Q1067" s="23">
        <f>IFERROR(__xludf.DUMMYFUNCTION("""COMPUTED_VALUE"""),69621.0)</f>
        <v>69621</v>
      </c>
    </row>
    <row r="1068">
      <c r="A1068" s="23">
        <f>IFERROR(__xludf.DUMMYFUNCTION("""COMPUTED_VALUE"""),1068.0)</f>
        <v>1068</v>
      </c>
      <c r="B1068" s="23" t="str">
        <f>IFERROR(__xludf.DUMMYFUNCTION("""COMPUTED_VALUE"""),"Digit Count in Range")</f>
        <v>Digit Count in Range</v>
      </c>
      <c r="C1068" s="23" t="str">
        <f>IFERROR(__xludf.DUMMYFUNCTION("""COMPUTED_VALUE"""),"digit-count-in-range")</f>
        <v>digit-count-in-range</v>
      </c>
      <c r="D1068" s="23" t="b">
        <f>IFERROR(__xludf.DUMMYFUNCTION("""COMPUTED_VALUE"""),TRUE)</f>
        <v>1</v>
      </c>
      <c r="E1068" s="23" t="str">
        <f>IFERROR(__xludf.DUMMYFUNCTION("""COMPUTED_VALUE"""),"Hard")</f>
        <v>Hard</v>
      </c>
      <c r="F1068" s="23">
        <f>IFERROR(__xludf.DUMMYFUNCTION("""COMPUTED_VALUE"""),64.0)</f>
        <v>64</v>
      </c>
      <c r="G1068" s="23">
        <f>IFERROR(__xludf.DUMMYFUNCTION("""COMPUTED_VALUE"""),16.0)</f>
        <v>16</v>
      </c>
      <c r="H1068" s="23" t="str">
        <f>IFERROR(__xludf.DUMMYFUNCTION("""COMPUTED_VALUE"""),"Algorithms")</f>
        <v>Algorithms</v>
      </c>
      <c r="I1068" s="23">
        <f>IFERROR(__xludf.DUMMYFUNCTION("""COMPUTED_VALUE"""),0.43)</f>
        <v>0.43</v>
      </c>
      <c r="J1068" s="23">
        <f>IFERROR(__xludf.DUMMYFUNCTION("""COMPUTED_VALUE"""),1067.0)</f>
        <v>1067</v>
      </c>
      <c r="K1068" s="23" t="b">
        <f>IFERROR(__xludf.DUMMYFUNCTION("""COMPUTED_VALUE"""),TRUE)</f>
        <v>1</v>
      </c>
      <c r="L1068" s="23" t="str">
        <f>IFERROR(__xludf.DUMMYFUNCTION("""COMPUTED_VALUE"""),"Math;Dynamic Programming;")</f>
        <v>Math;Dynamic Programming;</v>
      </c>
      <c r="M1068" s="23" t="b">
        <f>IFERROR(__xludf.DUMMYFUNCTION("""COMPUTED_VALUE"""),FALSE)</f>
        <v>0</v>
      </c>
      <c r="N1068" s="23" t="b">
        <f>IFERROR(__xludf.DUMMYFUNCTION("""COMPUTED_VALUE"""),FALSE)</f>
        <v>0</v>
      </c>
      <c r="O1068" s="23">
        <f>IFERROR(__xludf.DUMMYFUNCTION("""COMPUTED_VALUE"""),42.9800796812749)</f>
        <v>42.98007968</v>
      </c>
      <c r="P1068" s="23">
        <f>IFERROR(__xludf.DUMMYFUNCTION("""COMPUTED_VALUE"""),2697.0)</f>
        <v>2697</v>
      </c>
      <c r="Q1068" s="23">
        <f>IFERROR(__xludf.DUMMYFUNCTION("""COMPUTED_VALUE"""),6275.0)</f>
        <v>6275</v>
      </c>
    </row>
    <row r="1069">
      <c r="A1069" s="23">
        <f>IFERROR(__xludf.DUMMYFUNCTION("""COMPUTED_VALUE"""),1153.0)</f>
        <v>1153</v>
      </c>
      <c r="B1069" s="23" t="str">
        <f>IFERROR(__xludf.DUMMYFUNCTION("""COMPUTED_VALUE"""),"Product Sales Analysis I")</f>
        <v>Product Sales Analysis I</v>
      </c>
      <c r="C1069" s="23" t="str">
        <f>IFERROR(__xludf.DUMMYFUNCTION("""COMPUTED_VALUE"""),"product-sales-analysis-i")</f>
        <v>product-sales-analysis-i</v>
      </c>
      <c r="D1069" s="23" t="b">
        <f>IFERROR(__xludf.DUMMYFUNCTION("""COMPUTED_VALUE"""),TRUE)</f>
        <v>1</v>
      </c>
      <c r="E1069" s="23" t="str">
        <f>IFERROR(__xludf.DUMMYFUNCTION("""COMPUTED_VALUE"""),"Easy")</f>
        <v>Easy</v>
      </c>
      <c r="F1069" s="23">
        <f>IFERROR(__xludf.DUMMYFUNCTION("""COMPUTED_VALUE"""),87.0)</f>
        <v>87</v>
      </c>
      <c r="G1069" s="23">
        <f>IFERROR(__xludf.DUMMYFUNCTION("""COMPUTED_VALUE"""),95.0)</f>
        <v>95</v>
      </c>
      <c r="H1069" s="23" t="str">
        <f>IFERROR(__xludf.DUMMYFUNCTION("""COMPUTED_VALUE"""),"Database")</f>
        <v>Database</v>
      </c>
      <c r="I1069" s="23">
        <f>IFERROR(__xludf.DUMMYFUNCTION("""COMPUTED_VALUE"""),0.81)</f>
        <v>0.81</v>
      </c>
      <c r="J1069" s="23">
        <f>IFERROR(__xludf.DUMMYFUNCTION("""COMPUTED_VALUE"""),1068.0)</f>
        <v>1068</v>
      </c>
      <c r="K1069" s="23" t="b">
        <f>IFERROR(__xludf.DUMMYFUNCTION("""COMPUTED_VALUE"""),TRUE)</f>
        <v>1</v>
      </c>
      <c r="L1069" s="23" t="str">
        <f>IFERROR(__xludf.DUMMYFUNCTION("""COMPUTED_VALUE"""),"Database;")</f>
        <v>Database;</v>
      </c>
      <c r="M1069" s="23" t="b">
        <f>IFERROR(__xludf.DUMMYFUNCTION("""COMPUTED_VALUE"""),FALSE)</f>
        <v>0</v>
      </c>
      <c r="N1069" s="23" t="b">
        <f>IFERROR(__xludf.DUMMYFUNCTION("""COMPUTED_VALUE"""),FALSE)</f>
        <v>0</v>
      </c>
      <c r="O1069" s="23">
        <f>IFERROR(__xludf.DUMMYFUNCTION("""COMPUTED_VALUE"""),81.0141627883617)</f>
        <v>81.01416279</v>
      </c>
      <c r="P1069" s="23">
        <f>IFERROR(__xludf.DUMMYFUNCTION("""COMPUTED_VALUE"""),48393.0)</f>
        <v>48393</v>
      </c>
      <c r="Q1069" s="23">
        <f>IFERROR(__xludf.DUMMYFUNCTION("""COMPUTED_VALUE"""),59734.0)</f>
        <v>59734</v>
      </c>
    </row>
    <row r="1070">
      <c r="A1070" s="23">
        <f>IFERROR(__xludf.DUMMYFUNCTION("""COMPUTED_VALUE"""),1154.0)</f>
        <v>1154</v>
      </c>
      <c r="B1070" s="23" t="str">
        <f>IFERROR(__xludf.DUMMYFUNCTION("""COMPUTED_VALUE"""),"Product Sales Analysis II")</f>
        <v>Product Sales Analysis II</v>
      </c>
      <c r="C1070" s="23" t="str">
        <f>IFERROR(__xludf.DUMMYFUNCTION("""COMPUTED_VALUE"""),"product-sales-analysis-ii")</f>
        <v>product-sales-analysis-ii</v>
      </c>
      <c r="D1070" s="23" t="b">
        <f>IFERROR(__xludf.DUMMYFUNCTION("""COMPUTED_VALUE"""),TRUE)</f>
        <v>1</v>
      </c>
      <c r="E1070" s="23" t="str">
        <f>IFERROR(__xludf.DUMMYFUNCTION("""COMPUTED_VALUE"""),"Easy")</f>
        <v>Easy</v>
      </c>
      <c r="F1070" s="23">
        <f>IFERROR(__xludf.DUMMYFUNCTION("""COMPUTED_VALUE"""),56.0)</f>
        <v>56</v>
      </c>
      <c r="G1070" s="23">
        <f>IFERROR(__xludf.DUMMYFUNCTION("""COMPUTED_VALUE"""),144.0)</f>
        <v>144</v>
      </c>
      <c r="H1070" s="23" t="str">
        <f>IFERROR(__xludf.DUMMYFUNCTION("""COMPUTED_VALUE"""),"Database")</f>
        <v>Database</v>
      </c>
      <c r="I1070" s="23">
        <f>IFERROR(__xludf.DUMMYFUNCTION("""COMPUTED_VALUE"""),0.824)</f>
        <v>0.824</v>
      </c>
      <c r="J1070" s="23">
        <f>IFERROR(__xludf.DUMMYFUNCTION("""COMPUTED_VALUE"""),1069.0)</f>
        <v>1069</v>
      </c>
      <c r="K1070" s="23" t="b">
        <f>IFERROR(__xludf.DUMMYFUNCTION("""COMPUTED_VALUE"""),TRUE)</f>
        <v>1</v>
      </c>
      <c r="L1070" s="23" t="str">
        <f>IFERROR(__xludf.DUMMYFUNCTION("""COMPUTED_VALUE"""),"Database;")</f>
        <v>Database;</v>
      </c>
      <c r="M1070" s="23" t="b">
        <f>IFERROR(__xludf.DUMMYFUNCTION("""COMPUTED_VALUE"""),FALSE)</f>
        <v>0</v>
      </c>
      <c r="N1070" s="23" t="b">
        <f>IFERROR(__xludf.DUMMYFUNCTION("""COMPUTED_VALUE"""),FALSE)</f>
        <v>0</v>
      </c>
      <c r="O1070" s="23">
        <f>IFERROR(__xludf.DUMMYFUNCTION("""COMPUTED_VALUE"""),82.4390550389545)</f>
        <v>82.43905504</v>
      </c>
      <c r="P1070" s="23">
        <f>IFERROR(__xludf.DUMMYFUNCTION("""COMPUTED_VALUE"""),39363.0)</f>
        <v>39363</v>
      </c>
      <c r="Q1070" s="23">
        <f>IFERROR(__xludf.DUMMYFUNCTION("""COMPUTED_VALUE"""),47748.0)</f>
        <v>47748</v>
      </c>
    </row>
    <row r="1071">
      <c r="A1071" s="23">
        <f>IFERROR(__xludf.DUMMYFUNCTION("""COMPUTED_VALUE"""),1155.0)</f>
        <v>1155</v>
      </c>
      <c r="B1071" s="23" t="str">
        <f>IFERROR(__xludf.DUMMYFUNCTION("""COMPUTED_VALUE"""),"Product Sales Analysis III")</f>
        <v>Product Sales Analysis III</v>
      </c>
      <c r="C1071" s="23" t="str">
        <f>IFERROR(__xludf.DUMMYFUNCTION("""COMPUTED_VALUE"""),"product-sales-analysis-iii")</f>
        <v>product-sales-analysis-iii</v>
      </c>
      <c r="D1071" s="23" t="b">
        <f>IFERROR(__xludf.DUMMYFUNCTION("""COMPUTED_VALUE"""),TRUE)</f>
        <v>1</v>
      </c>
      <c r="E1071" s="23" t="str">
        <f>IFERROR(__xludf.DUMMYFUNCTION("""COMPUTED_VALUE"""),"Medium")</f>
        <v>Medium</v>
      </c>
      <c r="F1071" s="23">
        <f>IFERROR(__xludf.DUMMYFUNCTION("""COMPUTED_VALUE"""),72.0)</f>
        <v>72</v>
      </c>
      <c r="G1071" s="23">
        <f>IFERROR(__xludf.DUMMYFUNCTION("""COMPUTED_VALUE"""),272.0)</f>
        <v>272</v>
      </c>
      <c r="H1071" s="23" t="str">
        <f>IFERROR(__xludf.DUMMYFUNCTION("""COMPUTED_VALUE"""),"Database")</f>
        <v>Database</v>
      </c>
      <c r="I1071" s="23">
        <f>IFERROR(__xludf.DUMMYFUNCTION("""COMPUTED_VALUE"""),0.497)</f>
        <v>0.497</v>
      </c>
      <c r="J1071" s="23">
        <f>IFERROR(__xludf.DUMMYFUNCTION("""COMPUTED_VALUE"""),1070.0)</f>
        <v>1070</v>
      </c>
      <c r="K1071" s="23" t="b">
        <f>IFERROR(__xludf.DUMMYFUNCTION("""COMPUTED_VALUE"""),TRUE)</f>
        <v>1</v>
      </c>
      <c r="L1071" s="23" t="str">
        <f>IFERROR(__xludf.DUMMYFUNCTION("""COMPUTED_VALUE"""),"Database;")</f>
        <v>Database;</v>
      </c>
      <c r="M1071" s="23" t="b">
        <f>IFERROR(__xludf.DUMMYFUNCTION("""COMPUTED_VALUE"""),FALSE)</f>
        <v>0</v>
      </c>
      <c r="N1071" s="23" t="b">
        <f>IFERROR(__xludf.DUMMYFUNCTION("""COMPUTED_VALUE"""),FALSE)</f>
        <v>0</v>
      </c>
      <c r="O1071" s="23">
        <f>IFERROR(__xludf.DUMMYFUNCTION("""COMPUTED_VALUE"""),49.6683981835407)</f>
        <v>49.66839818</v>
      </c>
      <c r="P1071" s="23">
        <f>IFERROR(__xludf.DUMMYFUNCTION("""COMPUTED_VALUE"""),30406.0)</f>
        <v>30406</v>
      </c>
      <c r="Q1071" s="23">
        <f>IFERROR(__xludf.DUMMYFUNCTION("""COMPUTED_VALUE"""),61218.0)</f>
        <v>61218</v>
      </c>
    </row>
    <row r="1072">
      <c r="A1072" s="23">
        <f>IFERROR(__xludf.DUMMYFUNCTION("""COMPUTED_VALUE"""),1146.0)</f>
        <v>1146</v>
      </c>
      <c r="B1072" s="23" t="str">
        <f>IFERROR(__xludf.DUMMYFUNCTION("""COMPUTED_VALUE"""),"Greatest Common Divisor of Strings")</f>
        <v>Greatest Common Divisor of Strings</v>
      </c>
      <c r="C1072" s="23" t="str">
        <f>IFERROR(__xludf.DUMMYFUNCTION("""COMPUTED_VALUE"""),"greatest-common-divisor-of-strings")</f>
        <v>greatest-common-divisor-of-strings</v>
      </c>
      <c r="D1072" s="23" t="b">
        <f>IFERROR(__xludf.DUMMYFUNCTION("""COMPUTED_VALUE"""),FALSE)</f>
        <v>0</v>
      </c>
      <c r="E1072" s="23" t="str">
        <f>IFERROR(__xludf.DUMMYFUNCTION("""COMPUTED_VALUE"""),"Easy")</f>
        <v>Easy</v>
      </c>
      <c r="F1072" s="23">
        <f>IFERROR(__xludf.DUMMYFUNCTION("""COMPUTED_VALUE"""),1275.0)</f>
        <v>1275</v>
      </c>
      <c r="G1072" s="23">
        <f>IFERROR(__xludf.DUMMYFUNCTION("""COMPUTED_VALUE"""),254.0)</f>
        <v>254</v>
      </c>
      <c r="H1072" s="23" t="str">
        <f>IFERROR(__xludf.DUMMYFUNCTION("""COMPUTED_VALUE"""),"Algorithms")</f>
        <v>Algorithms</v>
      </c>
      <c r="I1072" s="23">
        <f>IFERROR(__xludf.DUMMYFUNCTION("""COMPUTED_VALUE"""),0.515)</f>
        <v>0.515</v>
      </c>
      <c r="J1072" s="23">
        <f>IFERROR(__xludf.DUMMYFUNCTION("""COMPUTED_VALUE"""),1071.0)</f>
        <v>1071</v>
      </c>
      <c r="K1072" s="23" t="b">
        <f>IFERROR(__xludf.DUMMYFUNCTION("""COMPUTED_VALUE"""),FALSE)</f>
        <v>0</v>
      </c>
      <c r="L1072" s="23" t="str">
        <f>IFERROR(__xludf.DUMMYFUNCTION("""COMPUTED_VALUE"""),"Math;String;")</f>
        <v>Math;String;</v>
      </c>
      <c r="M1072" s="23" t="b">
        <f>IFERROR(__xludf.DUMMYFUNCTION("""COMPUTED_VALUE"""),FALSE)</f>
        <v>0</v>
      </c>
      <c r="N1072" s="23" t="b">
        <f>IFERROR(__xludf.DUMMYFUNCTION("""COMPUTED_VALUE"""),FALSE)</f>
        <v>0</v>
      </c>
      <c r="O1072" s="23">
        <f>IFERROR(__xludf.DUMMYFUNCTION("""COMPUTED_VALUE"""),51.4518502566311)</f>
        <v>51.45185026</v>
      </c>
      <c r="P1072" s="23">
        <f>IFERROR(__xludf.DUMMYFUNCTION("""COMPUTED_VALUE"""),71675.0)</f>
        <v>71675</v>
      </c>
      <c r="Q1072" s="23">
        <f>IFERROR(__xludf.DUMMYFUNCTION("""COMPUTED_VALUE"""),139305.0)</f>
        <v>139305</v>
      </c>
    </row>
    <row r="1073">
      <c r="A1073" s="23">
        <f>IFERROR(__xludf.DUMMYFUNCTION("""COMPUTED_VALUE"""),1147.0)</f>
        <v>1147</v>
      </c>
      <c r="B1073" s="23" t="str">
        <f>IFERROR(__xludf.DUMMYFUNCTION("""COMPUTED_VALUE"""),"Flip Columns For Maximum Number of Equal Rows")</f>
        <v>Flip Columns For Maximum Number of Equal Rows</v>
      </c>
      <c r="C1073" s="23" t="str">
        <f>IFERROR(__xludf.DUMMYFUNCTION("""COMPUTED_VALUE"""),"flip-columns-for-maximum-number-of-equal-rows")</f>
        <v>flip-columns-for-maximum-number-of-equal-rows</v>
      </c>
      <c r="D1073" s="23" t="b">
        <f>IFERROR(__xludf.DUMMYFUNCTION("""COMPUTED_VALUE"""),FALSE)</f>
        <v>0</v>
      </c>
      <c r="E1073" s="23" t="str">
        <f>IFERROR(__xludf.DUMMYFUNCTION("""COMPUTED_VALUE"""),"Medium")</f>
        <v>Medium</v>
      </c>
      <c r="F1073" s="23">
        <f>IFERROR(__xludf.DUMMYFUNCTION("""COMPUTED_VALUE"""),526.0)</f>
        <v>526</v>
      </c>
      <c r="G1073" s="23">
        <f>IFERROR(__xludf.DUMMYFUNCTION("""COMPUTED_VALUE"""),36.0)</f>
        <v>36</v>
      </c>
      <c r="H1073" s="23" t="str">
        <f>IFERROR(__xludf.DUMMYFUNCTION("""COMPUTED_VALUE"""),"Algorithms")</f>
        <v>Algorithms</v>
      </c>
      <c r="I1073" s="23">
        <f>IFERROR(__xludf.DUMMYFUNCTION("""COMPUTED_VALUE"""),0.631)</f>
        <v>0.631</v>
      </c>
      <c r="J1073" s="23">
        <f>IFERROR(__xludf.DUMMYFUNCTION("""COMPUTED_VALUE"""),1072.0)</f>
        <v>1072</v>
      </c>
      <c r="K1073" s="23" t="b">
        <f>IFERROR(__xludf.DUMMYFUNCTION("""COMPUTED_VALUE"""),FALSE)</f>
        <v>0</v>
      </c>
      <c r="L1073" s="23" t="str">
        <f>IFERROR(__xludf.DUMMYFUNCTION("""COMPUTED_VALUE"""),"Array;Hash Table;Matrix;")</f>
        <v>Array;Hash Table;Matrix;</v>
      </c>
      <c r="M1073" s="23" t="b">
        <f>IFERROR(__xludf.DUMMYFUNCTION("""COMPUTED_VALUE"""),FALSE)</f>
        <v>0</v>
      </c>
      <c r="N1073" s="23" t="b">
        <f>IFERROR(__xludf.DUMMYFUNCTION("""COMPUTED_VALUE"""),FALSE)</f>
        <v>0</v>
      </c>
      <c r="O1073" s="23">
        <f>IFERROR(__xludf.DUMMYFUNCTION("""COMPUTED_VALUE"""),63.1122179458154)</f>
        <v>63.11221795</v>
      </c>
      <c r="P1073" s="23">
        <f>IFERROR(__xludf.DUMMYFUNCTION("""COMPUTED_VALUE"""),16726.0)</f>
        <v>16726</v>
      </c>
      <c r="Q1073" s="23">
        <f>IFERROR(__xludf.DUMMYFUNCTION("""COMPUTED_VALUE"""),26502.0)</f>
        <v>26502</v>
      </c>
    </row>
    <row r="1074">
      <c r="A1074" s="23">
        <f>IFERROR(__xludf.DUMMYFUNCTION("""COMPUTED_VALUE"""),1148.0)</f>
        <v>1148</v>
      </c>
      <c r="B1074" s="23" t="str">
        <f>IFERROR(__xludf.DUMMYFUNCTION("""COMPUTED_VALUE"""),"Adding Two Negabinary Numbers")</f>
        <v>Adding Two Negabinary Numbers</v>
      </c>
      <c r="C1074" s="23" t="str">
        <f>IFERROR(__xludf.DUMMYFUNCTION("""COMPUTED_VALUE"""),"adding-two-negabinary-numbers")</f>
        <v>adding-two-negabinary-numbers</v>
      </c>
      <c r="D1074" s="23" t="b">
        <f>IFERROR(__xludf.DUMMYFUNCTION("""COMPUTED_VALUE"""),FALSE)</f>
        <v>0</v>
      </c>
      <c r="E1074" s="23" t="str">
        <f>IFERROR(__xludf.DUMMYFUNCTION("""COMPUTED_VALUE"""),"Medium")</f>
        <v>Medium</v>
      </c>
      <c r="F1074" s="23">
        <f>IFERROR(__xludf.DUMMYFUNCTION("""COMPUTED_VALUE"""),214.0)</f>
        <v>214</v>
      </c>
      <c r="G1074" s="23">
        <f>IFERROR(__xludf.DUMMYFUNCTION("""COMPUTED_VALUE"""),89.0)</f>
        <v>89</v>
      </c>
      <c r="H1074" s="23" t="str">
        <f>IFERROR(__xludf.DUMMYFUNCTION("""COMPUTED_VALUE"""),"Algorithms")</f>
        <v>Algorithms</v>
      </c>
      <c r="I1074" s="23">
        <f>IFERROR(__xludf.DUMMYFUNCTION("""COMPUTED_VALUE"""),0.358)</f>
        <v>0.358</v>
      </c>
      <c r="J1074" s="23">
        <f>IFERROR(__xludf.DUMMYFUNCTION("""COMPUTED_VALUE"""),1073.0)</f>
        <v>1073</v>
      </c>
      <c r="K1074" s="23" t="b">
        <f>IFERROR(__xludf.DUMMYFUNCTION("""COMPUTED_VALUE"""),FALSE)</f>
        <v>0</v>
      </c>
      <c r="L1074" s="23" t="str">
        <f>IFERROR(__xludf.DUMMYFUNCTION("""COMPUTED_VALUE"""),"Array;Math;")</f>
        <v>Array;Math;</v>
      </c>
      <c r="M1074" s="23" t="b">
        <f>IFERROR(__xludf.DUMMYFUNCTION("""COMPUTED_VALUE"""),FALSE)</f>
        <v>0</v>
      </c>
      <c r="N1074" s="23" t="b">
        <f>IFERROR(__xludf.DUMMYFUNCTION("""COMPUTED_VALUE"""),FALSE)</f>
        <v>0</v>
      </c>
      <c r="O1074" s="23">
        <f>IFERROR(__xludf.DUMMYFUNCTION("""COMPUTED_VALUE"""),35.8277945619335)</f>
        <v>35.82779456</v>
      </c>
      <c r="P1074" s="23">
        <f>IFERROR(__xludf.DUMMYFUNCTION("""COMPUTED_VALUE"""),11859.0)</f>
        <v>11859</v>
      </c>
      <c r="Q1074" s="23">
        <f>IFERROR(__xludf.DUMMYFUNCTION("""COMPUTED_VALUE"""),33100.0)</f>
        <v>33100</v>
      </c>
    </row>
    <row r="1075">
      <c r="A1075" s="23">
        <f>IFERROR(__xludf.DUMMYFUNCTION("""COMPUTED_VALUE"""),1145.0)</f>
        <v>1145</v>
      </c>
      <c r="B1075" s="23" t="str">
        <f>IFERROR(__xludf.DUMMYFUNCTION("""COMPUTED_VALUE"""),"Number of Submatrices That Sum to Target")</f>
        <v>Number of Submatrices That Sum to Target</v>
      </c>
      <c r="C1075" s="23" t="str">
        <f>IFERROR(__xludf.DUMMYFUNCTION("""COMPUTED_VALUE"""),"number-of-submatrices-that-sum-to-target")</f>
        <v>number-of-submatrices-that-sum-to-target</v>
      </c>
      <c r="D1075" s="23" t="b">
        <f>IFERROR(__xludf.DUMMYFUNCTION("""COMPUTED_VALUE"""),FALSE)</f>
        <v>0</v>
      </c>
      <c r="E1075" s="23" t="str">
        <f>IFERROR(__xludf.DUMMYFUNCTION("""COMPUTED_VALUE"""),"Hard")</f>
        <v>Hard</v>
      </c>
      <c r="F1075" s="23">
        <f>IFERROR(__xludf.DUMMYFUNCTION("""COMPUTED_VALUE"""),1535.0)</f>
        <v>1535</v>
      </c>
      <c r="G1075" s="23">
        <f>IFERROR(__xludf.DUMMYFUNCTION("""COMPUTED_VALUE"""),37.0)</f>
        <v>37</v>
      </c>
      <c r="H1075" s="23" t="str">
        <f>IFERROR(__xludf.DUMMYFUNCTION("""COMPUTED_VALUE"""),"Algorithms")</f>
        <v>Algorithms</v>
      </c>
      <c r="I1075" s="23">
        <f>IFERROR(__xludf.DUMMYFUNCTION("""COMPUTED_VALUE"""),0.663)</f>
        <v>0.663</v>
      </c>
      <c r="J1075" s="23">
        <f>IFERROR(__xludf.DUMMYFUNCTION("""COMPUTED_VALUE"""),1074.0)</f>
        <v>1074</v>
      </c>
      <c r="K1075" s="23" t="b">
        <f>IFERROR(__xludf.DUMMYFUNCTION("""COMPUTED_VALUE"""),FALSE)</f>
        <v>0</v>
      </c>
      <c r="L1075" s="23" t="str">
        <f>IFERROR(__xludf.DUMMYFUNCTION("""COMPUTED_VALUE"""),"Array;Hash Table;Matrix;Prefix Sum;")</f>
        <v>Array;Hash Table;Matrix;Prefix Sum;</v>
      </c>
      <c r="M1075" s="23" t="b">
        <f>IFERROR(__xludf.DUMMYFUNCTION("""COMPUTED_VALUE"""),TRUE)</f>
        <v>1</v>
      </c>
      <c r="N1075" s="23" t="b">
        <f>IFERROR(__xludf.DUMMYFUNCTION("""COMPUTED_VALUE"""),FALSE)</f>
        <v>0</v>
      </c>
      <c r="O1075" s="23">
        <f>IFERROR(__xludf.DUMMYFUNCTION("""COMPUTED_VALUE"""),66.3278271918678)</f>
        <v>66.32782719</v>
      </c>
      <c r="P1075" s="23">
        <f>IFERROR(__xludf.DUMMYFUNCTION("""COMPUTED_VALUE"""),48024.0)</f>
        <v>48024</v>
      </c>
      <c r="Q1075" s="23">
        <f>IFERROR(__xludf.DUMMYFUNCTION("""COMPUTED_VALUE"""),72404.0)</f>
        <v>72404</v>
      </c>
    </row>
    <row r="1076">
      <c r="A1076" s="23">
        <f>IFERROR(__xludf.DUMMYFUNCTION("""COMPUTED_VALUE"""),1161.0)</f>
        <v>1161</v>
      </c>
      <c r="B1076" s="23" t="str">
        <f>IFERROR(__xludf.DUMMYFUNCTION("""COMPUTED_VALUE"""),"Project Employees I")</f>
        <v>Project Employees I</v>
      </c>
      <c r="C1076" s="23" t="str">
        <f>IFERROR(__xludf.DUMMYFUNCTION("""COMPUTED_VALUE"""),"project-employees-i")</f>
        <v>project-employees-i</v>
      </c>
      <c r="D1076" s="23" t="b">
        <f>IFERROR(__xludf.DUMMYFUNCTION("""COMPUTED_VALUE"""),TRUE)</f>
        <v>1</v>
      </c>
      <c r="E1076" s="23" t="str">
        <f>IFERROR(__xludf.DUMMYFUNCTION("""COMPUTED_VALUE"""),"Easy")</f>
        <v>Easy</v>
      </c>
      <c r="F1076" s="23">
        <f>IFERROR(__xludf.DUMMYFUNCTION("""COMPUTED_VALUE"""),81.0)</f>
        <v>81</v>
      </c>
      <c r="G1076" s="23">
        <f>IFERROR(__xludf.DUMMYFUNCTION("""COMPUTED_VALUE"""),63.0)</f>
        <v>63</v>
      </c>
      <c r="H1076" s="23" t="str">
        <f>IFERROR(__xludf.DUMMYFUNCTION("""COMPUTED_VALUE"""),"Database")</f>
        <v>Database</v>
      </c>
      <c r="I1076" s="23">
        <f>IFERROR(__xludf.DUMMYFUNCTION("""COMPUTED_VALUE"""),0.67)</f>
        <v>0.67</v>
      </c>
      <c r="J1076" s="23">
        <f>IFERROR(__xludf.DUMMYFUNCTION("""COMPUTED_VALUE"""),1075.0)</f>
        <v>1075</v>
      </c>
      <c r="K1076" s="23" t="b">
        <f>IFERROR(__xludf.DUMMYFUNCTION("""COMPUTED_VALUE"""),TRUE)</f>
        <v>1</v>
      </c>
      <c r="L1076" s="23" t="str">
        <f>IFERROR(__xludf.DUMMYFUNCTION("""COMPUTED_VALUE"""),"Database;")</f>
        <v>Database;</v>
      </c>
      <c r="M1076" s="23" t="b">
        <f>IFERROR(__xludf.DUMMYFUNCTION("""COMPUTED_VALUE"""),FALSE)</f>
        <v>0</v>
      </c>
      <c r="N1076" s="23" t="b">
        <f>IFERROR(__xludf.DUMMYFUNCTION("""COMPUTED_VALUE"""),FALSE)</f>
        <v>0</v>
      </c>
      <c r="O1076" s="23">
        <f>IFERROR(__xludf.DUMMYFUNCTION("""COMPUTED_VALUE"""),66.9856287209741)</f>
        <v>66.98562872</v>
      </c>
      <c r="P1076" s="23">
        <f>IFERROR(__xludf.DUMMYFUNCTION("""COMPUTED_VALUE"""),37242.0)</f>
        <v>37242</v>
      </c>
      <c r="Q1076" s="23">
        <f>IFERROR(__xludf.DUMMYFUNCTION("""COMPUTED_VALUE"""),55597.0)</f>
        <v>55597</v>
      </c>
    </row>
    <row r="1077">
      <c r="A1077" s="23">
        <f>IFERROR(__xludf.DUMMYFUNCTION("""COMPUTED_VALUE"""),1162.0)</f>
        <v>1162</v>
      </c>
      <c r="B1077" s="23" t="str">
        <f>IFERROR(__xludf.DUMMYFUNCTION("""COMPUTED_VALUE"""),"Project Employees II")</f>
        <v>Project Employees II</v>
      </c>
      <c r="C1077" s="23" t="str">
        <f>IFERROR(__xludf.DUMMYFUNCTION("""COMPUTED_VALUE"""),"project-employees-ii")</f>
        <v>project-employees-ii</v>
      </c>
      <c r="D1077" s="23" t="b">
        <f>IFERROR(__xludf.DUMMYFUNCTION("""COMPUTED_VALUE"""),TRUE)</f>
        <v>1</v>
      </c>
      <c r="E1077" s="23" t="str">
        <f>IFERROR(__xludf.DUMMYFUNCTION("""COMPUTED_VALUE"""),"Easy")</f>
        <v>Easy</v>
      </c>
      <c r="F1077" s="23">
        <f>IFERROR(__xludf.DUMMYFUNCTION("""COMPUTED_VALUE"""),145.0)</f>
        <v>145</v>
      </c>
      <c r="G1077" s="23">
        <f>IFERROR(__xludf.DUMMYFUNCTION("""COMPUTED_VALUE"""),44.0)</f>
        <v>44</v>
      </c>
      <c r="H1077" s="23" t="str">
        <f>IFERROR(__xludf.DUMMYFUNCTION("""COMPUTED_VALUE"""),"Database")</f>
        <v>Database</v>
      </c>
      <c r="I1077" s="23">
        <f>IFERROR(__xludf.DUMMYFUNCTION("""COMPUTED_VALUE"""),0.512)</f>
        <v>0.512</v>
      </c>
      <c r="J1077" s="23">
        <f>IFERROR(__xludf.DUMMYFUNCTION("""COMPUTED_VALUE"""),1076.0)</f>
        <v>1076</v>
      </c>
      <c r="K1077" s="23" t="b">
        <f>IFERROR(__xludf.DUMMYFUNCTION("""COMPUTED_VALUE"""),TRUE)</f>
        <v>1</v>
      </c>
      <c r="L1077" s="23" t="str">
        <f>IFERROR(__xludf.DUMMYFUNCTION("""COMPUTED_VALUE"""),"Database;")</f>
        <v>Database;</v>
      </c>
      <c r="M1077" s="23" t="b">
        <f>IFERROR(__xludf.DUMMYFUNCTION("""COMPUTED_VALUE"""),FALSE)</f>
        <v>0</v>
      </c>
      <c r="N1077" s="23" t="b">
        <f>IFERROR(__xludf.DUMMYFUNCTION("""COMPUTED_VALUE"""),FALSE)</f>
        <v>0</v>
      </c>
      <c r="O1077" s="23">
        <f>IFERROR(__xludf.DUMMYFUNCTION("""COMPUTED_VALUE"""),51.214013630121)</f>
        <v>51.21401363</v>
      </c>
      <c r="P1077" s="23">
        <f>IFERROR(__xludf.DUMMYFUNCTION("""COMPUTED_VALUE"""),39528.0)</f>
        <v>39528</v>
      </c>
      <c r="Q1077" s="23">
        <f>IFERROR(__xludf.DUMMYFUNCTION("""COMPUTED_VALUE"""),77182.0)</f>
        <v>77182</v>
      </c>
    </row>
    <row r="1078">
      <c r="A1078" s="23">
        <f>IFERROR(__xludf.DUMMYFUNCTION("""COMPUTED_VALUE"""),1163.0)</f>
        <v>1163</v>
      </c>
      <c r="B1078" s="23" t="str">
        <f>IFERROR(__xludf.DUMMYFUNCTION("""COMPUTED_VALUE"""),"Project Employees III")</f>
        <v>Project Employees III</v>
      </c>
      <c r="C1078" s="23" t="str">
        <f>IFERROR(__xludf.DUMMYFUNCTION("""COMPUTED_VALUE"""),"project-employees-iii")</f>
        <v>project-employees-iii</v>
      </c>
      <c r="D1078" s="23" t="b">
        <f>IFERROR(__xludf.DUMMYFUNCTION("""COMPUTED_VALUE"""),TRUE)</f>
        <v>1</v>
      </c>
      <c r="E1078" s="23" t="str">
        <f>IFERROR(__xludf.DUMMYFUNCTION("""COMPUTED_VALUE"""),"Medium")</f>
        <v>Medium</v>
      </c>
      <c r="F1078" s="23">
        <f>IFERROR(__xludf.DUMMYFUNCTION("""COMPUTED_VALUE"""),177.0)</f>
        <v>177</v>
      </c>
      <c r="G1078" s="23">
        <f>IFERROR(__xludf.DUMMYFUNCTION("""COMPUTED_VALUE"""),6.0)</f>
        <v>6</v>
      </c>
      <c r="H1078" s="23" t="str">
        <f>IFERROR(__xludf.DUMMYFUNCTION("""COMPUTED_VALUE"""),"Database")</f>
        <v>Database</v>
      </c>
      <c r="I1078" s="23">
        <f>IFERROR(__xludf.DUMMYFUNCTION("""COMPUTED_VALUE"""),0.784)</f>
        <v>0.784</v>
      </c>
      <c r="J1078" s="23">
        <f>IFERROR(__xludf.DUMMYFUNCTION("""COMPUTED_VALUE"""),1077.0)</f>
        <v>1077</v>
      </c>
      <c r="K1078" s="23" t="b">
        <f>IFERROR(__xludf.DUMMYFUNCTION("""COMPUTED_VALUE"""),TRUE)</f>
        <v>1</v>
      </c>
      <c r="L1078" s="23" t="str">
        <f>IFERROR(__xludf.DUMMYFUNCTION("""COMPUTED_VALUE"""),"Database;")</f>
        <v>Database;</v>
      </c>
      <c r="M1078" s="23" t="b">
        <f>IFERROR(__xludf.DUMMYFUNCTION("""COMPUTED_VALUE"""),FALSE)</f>
        <v>0</v>
      </c>
      <c r="N1078" s="23" t="b">
        <f>IFERROR(__xludf.DUMMYFUNCTION("""COMPUTED_VALUE"""),FALSE)</f>
        <v>0</v>
      </c>
      <c r="O1078" s="23">
        <f>IFERROR(__xludf.DUMMYFUNCTION("""COMPUTED_VALUE"""),78.4058266042387)</f>
        <v>78.4058266</v>
      </c>
      <c r="P1078" s="23">
        <f>IFERROR(__xludf.DUMMYFUNCTION("""COMPUTED_VALUE"""),34664.0)</f>
        <v>34664</v>
      </c>
      <c r="Q1078" s="23">
        <f>IFERROR(__xludf.DUMMYFUNCTION("""COMPUTED_VALUE"""),44211.0)</f>
        <v>44211</v>
      </c>
    </row>
    <row r="1079">
      <c r="A1079" s="23">
        <f>IFERROR(__xludf.DUMMYFUNCTION("""COMPUTED_VALUE"""),1156.0)</f>
        <v>1156</v>
      </c>
      <c r="B1079" s="23" t="str">
        <f>IFERROR(__xludf.DUMMYFUNCTION("""COMPUTED_VALUE"""),"Occurrences After Bigram")</f>
        <v>Occurrences After Bigram</v>
      </c>
      <c r="C1079" s="23" t="str">
        <f>IFERROR(__xludf.DUMMYFUNCTION("""COMPUTED_VALUE"""),"occurrences-after-bigram")</f>
        <v>occurrences-after-bigram</v>
      </c>
      <c r="D1079" s="23" t="b">
        <f>IFERROR(__xludf.DUMMYFUNCTION("""COMPUTED_VALUE"""),FALSE)</f>
        <v>0</v>
      </c>
      <c r="E1079" s="23" t="str">
        <f>IFERROR(__xludf.DUMMYFUNCTION("""COMPUTED_VALUE"""),"Easy")</f>
        <v>Easy</v>
      </c>
      <c r="F1079" s="23">
        <f>IFERROR(__xludf.DUMMYFUNCTION("""COMPUTED_VALUE"""),322.0)</f>
        <v>322</v>
      </c>
      <c r="G1079" s="23">
        <f>IFERROR(__xludf.DUMMYFUNCTION("""COMPUTED_VALUE"""),289.0)</f>
        <v>289</v>
      </c>
      <c r="H1079" s="23" t="str">
        <f>IFERROR(__xludf.DUMMYFUNCTION("""COMPUTED_VALUE"""),"Algorithms")</f>
        <v>Algorithms</v>
      </c>
      <c r="I1079" s="23">
        <f>IFERROR(__xludf.DUMMYFUNCTION("""COMPUTED_VALUE"""),0.642)</f>
        <v>0.642</v>
      </c>
      <c r="J1079" s="23">
        <f>IFERROR(__xludf.DUMMYFUNCTION("""COMPUTED_VALUE"""),1078.0)</f>
        <v>1078</v>
      </c>
      <c r="K1079" s="23" t="b">
        <f>IFERROR(__xludf.DUMMYFUNCTION("""COMPUTED_VALUE"""),FALSE)</f>
        <v>0</v>
      </c>
      <c r="L1079" s="23" t="str">
        <f>IFERROR(__xludf.DUMMYFUNCTION("""COMPUTED_VALUE"""),"String;")</f>
        <v>String;</v>
      </c>
      <c r="M1079" s="23" t="b">
        <f>IFERROR(__xludf.DUMMYFUNCTION("""COMPUTED_VALUE"""),FALSE)</f>
        <v>0</v>
      </c>
      <c r="N1079" s="23" t="b">
        <f>IFERROR(__xludf.DUMMYFUNCTION("""COMPUTED_VALUE"""),FALSE)</f>
        <v>0</v>
      </c>
      <c r="O1079" s="23">
        <f>IFERROR(__xludf.DUMMYFUNCTION("""COMPUTED_VALUE"""),64.1972537134732)</f>
        <v>64.19725371</v>
      </c>
      <c r="P1079" s="23">
        <f>IFERROR(__xludf.DUMMYFUNCTION("""COMPUTED_VALUE"""),51474.0)</f>
        <v>51474</v>
      </c>
      <c r="Q1079" s="23">
        <f>IFERROR(__xludf.DUMMYFUNCTION("""COMPUTED_VALUE"""),80181.0)</f>
        <v>80181</v>
      </c>
    </row>
    <row r="1080">
      <c r="A1080" s="23">
        <f>IFERROR(__xludf.DUMMYFUNCTION("""COMPUTED_VALUE"""),1160.0)</f>
        <v>1160</v>
      </c>
      <c r="B1080" s="23" t="str">
        <f>IFERROR(__xludf.DUMMYFUNCTION("""COMPUTED_VALUE"""),"Letter Tile Possibilities")</f>
        <v>Letter Tile Possibilities</v>
      </c>
      <c r="C1080" s="23" t="str">
        <f>IFERROR(__xludf.DUMMYFUNCTION("""COMPUTED_VALUE"""),"letter-tile-possibilities")</f>
        <v>letter-tile-possibilities</v>
      </c>
      <c r="D1080" s="23" t="b">
        <f>IFERROR(__xludf.DUMMYFUNCTION("""COMPUTED_VALUE"""),FALSE)</f>
        <v>0</v>
      </c>
      <c r="E1080" s="23" t="str">
        <f>IFERROR(__xludf.DUMMYFUNCTION("""COMPUTED_VALUE"""),"Medium")</f>
        <v>Medium</v>
      </c>
      <c r="F1080" s="23">
        <f>IFERROR(__xludf.DUMMYFUNCTION("""COMPUTED_VALUE"""),1623.0)</f>
        <v>1623</v>
      </c>
      <c r="G1080" s="23">
        <f>IFERROR(__xludf.DUMMYFUNCTION("""COMPUTED_VALUE"""),46.0)</f>
        <v>46</v>
      </c>
      <c r="H1080" s="23" t="str">
        <f>IFERROR(__xludf.DUMMYFUNCTION("""COMPUTED_VALUE"""),"Algorithms")</f>
        <v>Algorithms</v>
      </c>
      <c r="I1080" s="23">
        <f>IFERROR(__xludf.DUMMYFUNCTION("""COMPUTED_VALUE"""),0.762)</f>
        <v>0.762</v>
      </c>
      <c r="J1080" s="23">
        <f>IFERROR(__xludf.DUMMYFUNCTION("""COMPUTED_VALUE"""),1079.0)</f>
        <v>1079</v>
      </c>
      <c r="K1080" s="23" t="b">
        <f>IFERROR(__xludf.DUMMYFUNCTION("""COMPUTED_VALUE"""),FALSE)</f>
        <v>0</v>
      </c>
      <c r="L1080" s="23" t="str">
        <f>IFERROR(__xludf.DUMMYFUNCTION("""COMPUTED_VALUE"""),"String;Backtracking;")</f>
        <v>String;Backtracking;</v>
      </c>
      <c r="M1080" s="23" t="b">
        <f>IFERROR(__xludf.DUMMYFUNCTION("""COMPUTED_VALUE"""),FALSE)</f>
        <v>0</v>
      </c>
      <c r="N1080" s="23" t="b">
        <f>IFERROR(__xludf.DUMMYFUNCTION("""COMPUTED_VALUE"""),FALSE)</f>
        <v>0</v>
      </c>
      <c r="O1080" s="23">
        <f>IFERROR(__xludf.DUMMYFUNCTION("""COMPUTED_VALUE"""),76.1917130628239)</f>
        <v>76.19171306</v>
      </c>
      <c r="P1080" s="23">
        <f>IFERROR(__xludf.DUMMYFUNCTION("""COMPUTED_VALUE"""),67467.0)</f>
        <v>67467</v>
      </c>
      <c r="Q1080" s="23">
        <f>IFERROR(__xludf.DUMMYFUNCTION("""COMPUTED_VALUE"""),88549.0)</f>
        <v>88549</v>
      </c>
    </row>
    <row r="1081">
      <c r="A1081" s="23">
        <f>IFERROR(__xludf.DUMMYFUNCTION("""COMPUTED_VALUE"""),1157.0)</f>
        <v>1157</v>
      </c>
      <c r="B1081" s="23" t="str">
        <f>IFERROR(__xludf.DUMMYFUNCTION("""COMPUTED_VALUE"""),"Insufficient Nodes in Root to Leaf Paths")</f>
        <v>Insufficient Nodes in Root to Leaf Paths</v>
      </c>
      <c r="C1081" s="23" t="str">
        <f>IFERROR(__xludf.DUMMYFUNCTION("""COMPUTED_VALUE"""),"insufficient-nodes-in-root-to-leaf-paths")</f>
        <v>insufficient-nodes-in-root-to-leaf-paths</v>
      </c>
      <c r="D1081" s="23" t="b">
        <f>IFERROR(__xludf.DUMMYFUNCTION("""COMPUTED_VALUE"""),FALSE)</f>
        <v>0</v>
      </c>
      <c r="E1081" s="23" t="str">
        <f>IFERROR(__xludf.DUMMYFUNCTION("""COMPUTED_VALUE"""),"Medium")</f>
        <v>Medium</v>
      </c>
      <c r="F1081" s="23">
        <f>IFERROR(__xludf.DUMMYFUNCTION("""COMPUTED_VALUE"""),413.0)</f>
        <v>413</v>
      </c>
      <c r="G1081" s="23">
        <f>IFERROR(__xludf.DUMMYFUNCTION("""COMPUTED_VALUE"""),553.0)</f>
        <v>553</v>
      </c>
      <c r="H1081" s="23" t="str">
        <f>IFERROR(__xludf.DUMMYFUNCTION("""COMPUTED_VALUE"""),"Algorithms")</f>
        <v>Algorithms</v>
      </c>
      <c r="I1081" s="23">
        <f>IFERROR(__xludf.DUMMYFUNCTION("""COMPUTED_VALUE"""),0.519)</f>
        <v>0.519</v>
      </c>
      <c r="J1081" s="23">
        <f>IFERROR(__xludf.DUMMYFUNCTION("""COMPUTED_VALUE"""),1080.0)</f>
        <v>1080</v>
      </c>
      <c r="K1081" s="23" t="b">
        <f>IFERROR(__xludf.DUMMYFUNCTION("""COMPUTED_VALUE"""),FALSE)</f>
        <v>0</v>
      </c>
      <c r="L1081" s="23" t="str">
        <f>IFERROR(__xludf.DUMMYFUNCTION("""COMPUTED_VALUE"""),"Tree;Depth-First Search;Binary Tree;")</f>
        <v>Tree;Depth-First Search;Binary Tree;</v>
      </c>
      <c r="M1081" s="23" t="b">
        <f>IFERROR(__xludf.DUMMYFUNCTION("""COMPUTED_VALUE"""),FALSE)</f>
        <v>0</v>
      </c>
      <c r="N1081" s="23" t="b">
        <f>IFERROR(__xludf.DUMMYFUNCTION("""COMPUTED_VALUE"""),FALSE)</f>
        <v>0</v>
      </c>
      <c r="O1081" s="23">
        <f>IFERROR(__xludf.DUMMYFUNCTION("""COMPUTED_VALUE"""),51.9186988534979)</f>
        <v>51.91869885</v>
      </c>
      <c r="P1081" s="23">
        <f>IFERROR(__xludf.DUMMYFUNCTION("""COMPUTED_VALUE"""),25314.0)</f>
        <v>25314</v>
      </c>
      <c r="Q1081" s="23">
        <f>IFERROR(__xludf.DUMMYFUNCTION("""COMPUTED_VALUE"""),48757.0)</f>
        <v>48757</v>
      </c>
    </row>
    <row r="1082">
      <c r="A1082" s="23">
        <f>IFERROR(__xludf.DUMMYFUNCTION("""COMPUTED_VALUE"""),1159.0)</f>
        <v>1159</v>
      </c>
      <c r="B1082" s="23" t="str">
        <f>IFERROR(__xludf.DUMMYFUNCTION("""COMPUTED_VALUE"""),"Smallest Subsequence of Distinct Characters")</f>
        <v>Smallest Subsequence of Distinct Characters</v>
      </c>
      <c r="C1082" s="23" t="str">
        <f>IFERROR(__xludf.DUMMYFUNCTION("""COMPUTED_VALUE"""),"smallest-subsequence-of-distinct-characters")</f>
        <v>smallest-subsequence-of-distinct-characters</v>
      </c>
      <c r="D1082" s="23" t="b">
        <f>IFERROR(__xludf.DUMMYFUNCTION("""COMPUTED_VALUE"""),FALSE)</f>
        <v>0</v>
      </c>
      <c r="E1082" s="23" t="str">
        <f>IFERROR(__xludf.DUMMYFUNCTION("""COMPUTED_VALUE"""),"Medium")</f>
        <v>Medium</v>
      </c>
      <c r="F1082" s="23">
        <f>IFERROR(__xludf.DUMMYFUNCTION("""COMPUTED_VALUE"""),1628.0)</f>
        <v>1628</v>
      </c>
      <c r="G1082" s="23">
        <f>IFERROR(__xludf.DUMMYFUNCTION("""COMPUTED_VALUE"""),143.0)</f>
        <v>143</v>
      </c>
      <c r="H1082" s="23" t="str">
        <f>IFERROR(__xludf.DUMMYFUNCTION("""COMPUTED_VALUE"""),"Algorithms")</f>
        <v>Algorithms</v>
      </c>
      <c r="I1082" s="23">
        <f>IFERROR(__xludf.DUMMYFUNCTION("""COMPUTED_VALUE"""),0.569)</f>
        <v>0.569</v>
      </c>
      <c r="J1082" s="23">
        <f>IFERROR(__xludf.DUMMYFUNCTION("""COMPUTED_VALUE"""),1081.0)</f>
        <v>1081</v>
      </c>
      <c r="K1082" s="23" t="b">
        <f>IFERROR(__xludf.DUMMYFUNCTION("""COMPUTED_VALUE"""),FALSE)</f>
        <v>0</v>
      </c>
      <c r="L1082" s="23" t="str">
        <f>IFERROR(__xludf.DUMMYFUNCTION("""COMPUTED_VALUE"""),"String;Stack;Greedy;Monotonic Stack;")</f>
        <v>String;Stack;Greedy;Monotonic Stack;</v>
      </c>
      <c r="M1082" s="23" t="b">
        <f>IFERROR(__xludf.DUMMYFUNCTION("""COMPUTED_VALUE"""),FALSE)</f>
        <v>0</v>
      </c>
      <c r="N1082" s="23" t="b">
        <f>IFERROR(__xludf.DUMMYFUNCTION("""COMPUTED_VALUE"""),FALSE)</f>
        <v>0</v>
      </c>
      <c r="O1082" s="23">
        <f>IFERROR(__xludf.DUMMYFUNCTION("""COMPUTED_VALUE"""),56.8617289069209)</f>
        <v>56.86172891</v>
      </c>
      <c r="P1082" s="23">
        <f>IFERROR(__xludf.DUMMYFUNCTION("""COMPUTED_VALUE"""),38399.0)</f>
        <v>38399</v>
      </c>
      <c r="Q1082" s="23">
        <f>IFERROR(__xludf.DUMMYFUNCTION("""COMPUTED_VALUE"""),67532.0)</f>
        <v>67532</v>
      </c>
    </row>
    <row r="1083">
      <c r="A1083" s="23">
        <f>IFERROR(__xludf.DUMMYFUNCTION("""COMPUTED_VALUE"""),1172.0)</f>
        <v>1172</v>
      </c>
      <c r="B1083" s="23" t="str">
        <f>IFERROR(__xludf.DUMMYFUNCTION("""COMPUTED_VALUE"""),"Sales Analysis I")</f>
        <v>Sales Analysis I</v>
      </c>
      <c r="C1083" s="23" t="str">
        <f>IFERROR(__xludf.DUMMYFUNCTION("""COMPUTED_VALUE"""),"sales-analysis-i")</f>
        <v>sales-analysis-i</v>
      </c>
      <c r="D1083" s="23" t="b">
        <f>IFERROR(__xludf.DUMMYFUNCTION("""COMPUTED_VALUE"""),TRUE)</f>
        <v>1</v>
      </c>
      <c r="E1083" s="23" t="str">
        <f>IFERROR(__xludf.DUMMYFUNCTION("""COMPUTED_VALUE"""),"Easy")</f>
        <v>Easy</v>
      </c>
      <c r="F1083" s="23">
        <f>IFERROR(__xludf.DUMMYFUNCTION("""COMPUTED_VALUE"""),144.0)</f>
        <v>144</v>
      </c>
      <c r="G1083" s="23">
        <f>IFERROR(__xludf.DUMMYFUNCTION("""COMPUTED_VALUE"""),54.0)</f>
        <v>54</v>
      </c>
      <c r="H1083" s="23" t="str">
        <f>IFERROR(__xludf.DUMMYFUNCTION("""COMPUTED_VALUE"""),"Database")</f>
        <v>Database</v>
      </c>
      <c r="I1083" s="23">
        <f>IFERROR(__xludf.DUMMYFUNCTION("""COMPUTED_VALUE"""),0.752)</f>
        <v>0.752</v>
      </c>
      <c r="J1083" s="23">
        <f>IFERROR(__xludf.DUMMYFUNCTION("""COMPUTED_VALUE"""),1082.0)</f>
        <v>1082</v>
      </c>
      <c r="K1083" s="23" t="b">
        <f>IFERROR(__xludf.DUMMYFUNCTION("""COMPUTED_VALUE"""),TRUE)</f>
        <v>1</v>
      </c>
      <c r="L1083" s="23" t="str">
        <f>IFERROR(__xludf.DUMMYFUNCTION("""COMPUTED_VALUE"""),"Database;")</f>
        <v>Database;</v>
      </c>
      <c r="M1083" s="23" t="b">
        <f>IFERROR(__xludf.DUMMYFUNCTION("""COMPUTED_VALUE"""),FALSE)</f>
        <v>0</v>
      </c>
      <c r="N1083" s="23" t="b">
        <f>IFERROR(__xludf.DUMMYFUNCTION("""COMPUTED_VALUE"""),FALSE)</f>
        <v>0</v>
      </c>
      <c r="O1083" s="23">
        <f>IFERROR(__xludf.DUMMYFUNCTION("""COMPUTED_VALUE"""),75.184293251466)</f>
        <v>75.18429325</v>
      </c>
      <c r="P1083" s="23">
        <f>IFERROR(__xludf.DUMMYFUNCTION("""COMPUTED_VALUE"""),40898.0)</f>
        <v>40898</v>
      </c>
      <c r="Q1083" s="23">
        <f>IFERROR(__xludf.DUMMYFUNCTION("""COMPUTED_VALUE"""),54397.0)</f>
        <v>54397</v>
      </c>
    </row>
    <row r="1084">
      <c r="A1084" s="23">
        <f>IFERROR(__xludf.DUMMYFUNCTION("""COMPUTED_VALUE"""),1173.0)</f>
        <v>1173</v>
      </c>
      <c r="B1084" s="23" t="str">
        <f>IFERROR(__xludf.DUMMYFUNCTION("""COMPUTED_VALUE"""),"Sales Analysis II")</f>
        <v>Sales Analysis II</v>
      </c>
      <c r="C1084" s="23" t="str">
        <f>IFERROR(__xludf.DUMMYFUNCTION("""COMPUTED_VALUE"""),"sales-analysis-ii")</f>
        <v>sales-analysis-ii</v>
      </c>
      <c r="D1084" s="23" t="b">
        <f>IFERROR(__xludf.DUMMYFUNCTION("""COMPUTED_VALUE"""),TRUE)</f>
        <v>1</v>
      </c>
      <c r="E1084" s="23" t="str">
        <f>IFERROR(__xludf.DUMMYFUNCTION("""COMPUTED_VALUE"""),"Easy")</f>
        <v>Easy</v>
      </c>
      <c r="F1084" s="23">
        <f>IFERROR(__xludf.DUMMYFUNCTION("""COMPUTED_VALUE"""),187.0)</f>
        <v>187</v>
      </c>
      <c r="G1084" s="23">
        <f>IFERROR(__xludf.DUMMYFUNCTION("""COMPUTED_VALUE"""),37.0)</f>
        <v>37</v>
      </c>
      <c r="H1084" s="23" t="str">
        <f>IFERROR(__xludf.DUMMYFUNCTION("""COMPUTED_VALUE"""),"Database")</f>
        <v>Database</v>
      </c>
      <c r="I1084" s="23">
        <f>IFERROR(__xludf.DUMMYFUNCTION("""COMPUTED_VALUE"""),0.505)</f>
        <v>0.505</v>
      </c>
      <c r="J1084" s="23">
        <f>IFERROR(__xludf.DUMMYFUNCTION("""COMPUTED_VALUE"""),1083.0)</f>
        <v>1083</v>
      </c>
      <c r="K1084" s="23" t="b">
        <f>IFERROR(__xludf.DUMMYFUNCTION("""COMPUTED_VALUE"""),TRUE)</f>
        <v>1</v>
      </c>
      <c r="L1084" s="23" t="str">
        <f>IFERROR(__xludf.DUMMYFUNCTION("""COMPUTED_VALUE"""),"Database;")</f>
        <v>Database;</v>
      </c>
      <c r="M1084" s="23" t="b">
        <f>IFERROR(__xludf.DUMMYFUNCTION("""COMPUTED_VALUE"""),FALSE)</f>
        <v>0</v>
      </c>
      <c r="N1084" s="23" t="b">
        <f>IFERROR(__xludf.DUMMYFUNCTION("""COMPUTED_VALUE"""),FALSE)</f>
        <v>0</v>
      </c>
      <c r="O1084" s="23">
        <f>IFERROR(__xludf.DUMMYFUNCTION("""COMPUTED_VALUE"""),50.4796295613938)</f>
        <v>50.47962956</v>
      </c>
      <c r="P1084" s="23">
        <f>IFERROR(__xludf.DUMMYFUNCTION("""COMPUTED_VALUE"""),41099.0)</f>
        <v>41099</v>
      </c>
      <c r="Q1084" s="23">
        <f>IFERROR(__xludf.DUMMYFUNCTION("""COMPUTED_VALUE"""),81417.0)</f>
        <v>81417</v>
      </c>
    </row>
    <row r="1085">
      <c r="A1085" s="23">
        <f>IFERROR(__xludf.DUMMYFUNCTION("""COMPUTED_VALUE"""),1174.0)</f>
        <v>1174</v>
      </c>
      <c r="B1085" s="23" t="str">
        <f>IFERROR(__xludf.DUMMYFUNCTION("""COMPUTED_VALUE"""),"Sales Analysis III")</f>
        <v>Sales Analysis III</v>
      </c>
      <c r="C1085" s="23" t="str">
        <f>IFERROR(__xludf.DUMMYFUNCTION("""COMPUTED_VALUE"""),"sales-analysis-iii")</f>
        <v>sales-analysis-iii</v>
      </c>
      <c r="D1085" s="23" t="b">
        <f>IFERROR(__xludf.DUMMYFUNCTION("""COMPUTED_VALUE"""),FALSE)</f>
        <v>0</v>
      </c>
      <c r="E1085" s="23" t="str">
        <f>IFERROR(__xludf.DUMMYFUNCTION("""COMPUTED_VALUE"""),"Easy")</f>
        <v>Easy</v>
      </c>
      <c r="F1085" s="23">
        <f>IFERROR(__xludf.DUMMYFUNCTION("""COMPUTED_VALUE"""),189.0)</f>
        <v>189</v>
      </c>
      <c r="G1085" s="23">
        <f>IFERROR(__xludf.DUMMYFUNCTION("""COMPUTED_VALUE"""),62.0)</f>
        <v>62</v>
      </c>
      <c r="H1085" s="23" t="str">
        <f>IFERROR(__xludf.DUMMYFUNCTION("""COMPUTED_VALUE"""),"Database")</f>
        <v>Database</v>
      </c>
      <c r="I1085" s="23">
        <f>IFERROR(__xludf.DUMMYFUNCTION("""COMPUTED_VALUE"""),0.537)</f>
        <v>0.537</v>
      </c>
      <c r="J1085" s="23">
        <f>IFERROR(__xludf.DUMMYFUNCTION("""COMPUTED_VALUE"""),1084.0)</f>
        <v>1084</v>
      </c>
      <c r="K1085" s="23" t="b">
        <f>IFERROR(__xludf.DUMMYFUNCTION("""COMPUTED_VALUE"""),FALSE)</f>
        <v>0</v>
      </c>
      <c r="L1085" s="23" t="str">
        <f>IFERROR(__xludf.DUMMYFUNCTION("""COMPUTED_VALUE"""),"Database;")</f>
        <v>Database;</v>
      </c>
      <c r="M1085" s="23" t="b">
        <f>IFERROR(__xludf.DUMMYFUNCTION("""COMPUTED_VALUE"""),FALSE)</f>
        <v>0</v>
      </c>
      <c r="N1085" s="23" t="b">
        <f>IFERROR(__xludf.DUMMYFUNCTION("""COMPUTED_VALUE"""),FALSE)</f>
        <v>0</v>
      </c>
      <c r="O1085" s="23">
        <f>IFERROR(__xludf.DUMMYFUNCTION("""COMPUTED_VALUE"""),53.7064034989346)</f>
        <v>53.7064035</v>
      </c>
      <c r="P1085" s="23">
        <f>IFERROR(__xludf.DUMMYFUNCTION("""COMPUTED_VALUE"""),43101.0)</f>
        <v>43101</v>
      </c>
      <c r="Q1085" s="23">
        <f>IFERROR(__xludf.DUMMYFUNCTION("""COMPUTED_VALUE"""),80253.0)</f>
        <v>80253</v>
      </c>
    </row>
    <row r="1086">
      <c r="A1086" s="23">
        <f>IFERROR(__xludf.DUMMYFUNCTION("""COMPUTED_VALUE"""),1082.0)</f>
        <v>1082</v>
      </c>
      <c r="B1086" s="23" t="str">
        <f>IFERROR(__xludf.DUMMYFUNCTION("""COMPUTED_VALUE"""),"Sum of Digits in the Minimum Number")</f>
        <v>Sum of Digits in the Minimum Number</v>
      </c>
      <c r="C1086" s="23" t="str">
        <f>IFERROR(__xludf.DUMMYFUNCTION("""COMPUTED_VALUE"""),"sum-of-digits-in-the-minimum-number")</f>
        <v>sum-of-digits-in-the-minimum-number</v>
      </c>
      <c r="D1086" s="23" t="b">
        <f>IFERROR(__xludf.DUMMYFUNCTION("""COMPUTED_VALUE"""),TRUE)</f>
        <v>1</v>
      </c>
      <c r="E1086" s="23" t="str">
        <f>IFERROR(__xludf.DUMMYFUNCTION("""COMPUTED_VALUE"""),"Easy")</f>
        <v>Easy</v>
      </c>
      <c r="F1086" s="23">
        <f>IFERROR(__xludf.DUMMYFUNCTION("""COMPUTED_VALUE"""),85.0)</f>
        <v>85</v>
      </c>
      <c r="G1086" s="23">
        <f>IFERROR(__xludf.DUMMYFUNCTION("""COMPUTED_VALUE"""),140.0)</f>
        <v>140</v>
      </c>
      <c r="H1086" s="23" t="str">
        <f>IFERROR(__xludf.DUMMYFUNCTION("""COMPUTED_VALUE"""),"Algorithms")</f>
        <v>Algorithms</v>
      </c>
      <c r="I1086" s="23">
        <f>IFERROR(__xludf.DUMMYFUNCTION("""COMPUTED_VALUE"""),0.757)</f>
        <v>0.757</v>
      </c>
      <c r="J1086" s="23">
        <f>IFERROR(__xludf.DUMMYFUNCTION("""COMPUTED_VALUE"""),1085.0)</f>
        <v>1085</v>
      </c>
      <c r="K1086" s="23" t="b">
        <f>IFERROR(__xludf.DUMMYFUNCTION("""COMPUTED_VALUE"""),TRUE)</f>
        <v>1</v>
      </c>
      <c r="L1086" s="23" t="str">
        <f>IFERROR(__xludf.DUMMYFUNCTION("""COMPUTED_VALUE"""),"Array;Math;")</f>
        <v>Array;Math;</v>
      </c>
      <c r="M1086" s="23" t="b">
        <f>IFERROR(__xludf.DUMMYFUNCTION("""COMPUTED_VALUE"""),FALSE)</f>
        <v>0</v>
      </c>
      <c r="N1086" s="23" t="b">
        <f>IFERROR(__xludf.DUMMYFUNCTION("""COMPUTED_VALUE"""),FALSE)</f>
        <v>0</v>
      </c>
      <c r="O1086" s="23">
        <f>IFERROR(__xludf.DUMMYFUNCTION("""COMPUTED_VALUE"""),75.6745458691191)</f>
        <v>75.67454587</v>
      </c>
      <c r="P1086" s="23">
        <f>IFERROR(__xludf.DUMMYFUNCTION("""COMPUTED_VALUE"""),19913.0)</f>
        <v>19913</v>
      </c>
      <c r="Q1086" s="23">
        <f>IFERROR(__xludf.DUMMYFUNCTION("""COMPUTED_VALUE"""),26314.0)</f>
        <v>26314</v>
      </c>
    </row>
    <row r="1087">
      <c r="A1087" s="23">
        <f>IFERROR(__xludf.DUMMYFUNCTION("""COMPUTED_VALUE"""),1074.0)</f>
        <v>1074</v>
      </c>
      <c r="B1087" s="23" t="str">
        <f>IFERROR(__xludf.DUMMYFUNCTION("""COMPUTED_VALUE"""),"High Five")</f>
        <v>High Five</v>
      </c>
      <c r="C1087" s="23" t="str">
        <f>IFERROR(__xludf.DUMMYFUNCTION("""COMPUTED_VALUE"""),"high-five")</f>
        <v>high-five</v>
      </c>
      <c r="D1087" s="23" t="b">
        <f>IFERROR(__xludf.DUMMYFUNCTION("""COMPUTED_VALUE"""),TRUE)</f>
        <v>1</v>
      </c>
      <c r="E1087" s="23" t="str">
        <f>IFERROR(__xludf.DUMMYFUNCTION("""COMPUTED_VALUE"""),"Easy")</f>
        <v>Easy</v>
      </c>
      <c r="F1087" s="23">
        <f>IFERROR(__xludf.DUMMYFUNCTION("""COMPUTED_VALUE"""),663.0)</f>
        <v>663</v>
      </c>
      <c r="G1087" s="23">
        <f>IFERROR(__xludf.DUMMYFUNCTION("""COMPUTED_VALUE"""),107.0)</f>
        <v>107</v>
      </c>
      <c r="H1087" s="23" t="str">
        <f>IFERROR(__xludf.DUMMYFUNCTION("""COMPUTED_VALUE"""),"Algorithms")</f>
        <v>Algorithms</v>
      </c>
      <c r="I1087" s="23">
        <f>IFERROR(__xludf.DUMMYFUNCTION("""COMPUTED_VALUE"""),0.754)</f>
        <v>0.754</v>
      </c>
      <c r="J1087" s="23">
        <f>IFERROR(__xludf.DUMMYFUNCTION("""COMPUTED_VALUE"""),1086.0)</f>
        <v>1086</v>
      </c>
      <c r="K1087" s="23" t="b">
        <f>IFERROR(__xludf.DUMMYFUNCTION("""COMPUTED_VALUE"""),TRUE)</f>
        <v>1</v>
      </c>
      <c r="L1087" s="23" t="str">
        <f>IFERROR(__xludf.DUMMYFUNCTION("""COMPUTED_VALUE"""),"Array;Hash Table;Sorting;")</f>
        <v>Array;Hash Table;Sorting;</v>
      </c>
      <c r="M1087" s="23" t="b">
        <f>IFERROR(__xludf.DUMMYFUNCTION("""COMPUTED_VALUE"""),TRUE)</f>
        <v>1</v>
      </c>
      <c r="N1087" s="23" t="b">
        <f>IFERROR(__xludf.DUMMYFUNCTION("""COMPUTED_VALUE"""),FALSE)</f>
        <v>0</v>
      </c>
      <c r="O1087" s="23">
        <f>IFERROR(__xludf.DUMMYFUNCTION("""COMPUTED_VALUE"""),75.4194653935323)</f>
        <v>75.41946539</v>
      </c>
      <c r="P1087" s="23">
        <f>IFERROR(__xludf.DUMMYFUNCTION("""COMPUTED_VALUE"""),82303.0)</f>
        <v>82303</v>
      </c>
      <c r="Q1087" s="23">
        <f>IFERROR(__xludf.DUMMYFUNCTION("""COMPUTED_VALUE"""),109127.0)</f>
        <v>109127</v>
      </c>
    </row>
    <row r="1088">
      <c r="A1088" s="23">
        <f>IFERROR(__xludf.DUMMYFUNCTION("""COMPUTED_VALUE"""),1076.0)</f>
        <v>1076</v>
      </c>
      <c r="B1088" s="23" t="str">
        <f>IFERROR(__xludf.DUMMYFUNCTION("""COMPUTED_VALUE"""),"Brace Expansion")</f>
        <v>Brace Expansion</v>
      </c>
      <c r="C1088" s="23" t="str">
        <f>IFERROR(__xludf.DUMMYFUNCTION("""COMPUTED_VALUE"""),"brace-expansion")</f>
        <v>brace-expansion</v>
      </c>
      <c r="D1088" s="23" t="b">
        <f>IFERROR(__xludf.DUMMYFUNCTION("""COMPUTED_VALUE"""),TRUE)</f>
        <v>1</v>
      </c>
      <c r="E1088" s="23" t="str">
        <f>IFERROR(__xludf.DUMMYFUNCTION("""COMPUTED_VALUE"""),"Medium")</f>
        <v>Medium</v>
      </c>
      <c r="F1088" s="23">
        <f>IFERROR(__xludf.DUMMYFUNCTION("""COMPUTED_VALUE"""),540.0)</f>
        <v>540</v>
      </c>
      <c r="G1088" s="23">
        <f>IFERROR(__xludf.DUMMYFUNCTION("""COMPUTED_VALUE"""),45.0)</f>
        <v>45</v>
      </c>
      <c r="H1088" s="23" t="str">
        <f>IFERROR(__xludf.DUMMYFUNCTION("""COMPUTED_VALUE"""),"Algorithms")</f>
        <v>Algorithms</v>
      </c>
      <c r="I1088" s="23">
        <f>IFERROR(__xludf.DUMMYFUNCTION("""COMPUTED_VALUE"""),0.657)</f>
        <v>0.657</v>
      </c>
      <c r="J1088" s="23">
        <f>IFERROR(__xludf.DUMMYFUNCTION("""COMPUTED_VALUE"""),1087.0)</f>
        <v>1087</v>
      </c>
      <c r="K1088" s="23" t="b">
        <f>IFERROR(__xludf.DUMMYFUNCTION("""COMPUTED_VALUE"""),TRUE)</f>
        <v>1</v>
      </c>
      <c r="L1088" s="23" t="str">
        <f>IFERROR(__xludf.DUMMYFUNCTION("""COMPUTED_VALUE"""),"String;Backtracking;Breadth-First Search;")</f>
        <v>String;Backtracking;Breadth-First Search;</v>
      </c>
      <c r="M1088" s="23" t="b">
        <f>IFERROR(__xludf.DUMMYFUNCTION("""COMPUTED_VALUE"""),TRUE)</f>
        <v>1</v>
      </c>
      <c r="N1088" s="23" t="b">
        <f>IFERROR(__xludf.DUMMYFUNCTION("""COMPUTED_VALUE"""),FALSE)</f>
        <v>0</v>
      </c>
      <c r="O1088" s="23">
        <f>IFERROR(__xludf.DUMMYFUNCTION("""COMPUTED_VALUE"""),65.7496710271692)</f>
        <v>65.74967103</v>
      </c>
      <c r="P1088" s="23">
        <f>IFERROR(__xludf.DUMMYFUNCTION("""COMPUTED_VALUE"""),42471.0)</f>
        <v>42471</v>
      </c>
      <c r="Q1088" s="23">
        <f>IFERROR(__xludf.DUMMYFUNCTION("""COMPUTED_VALUE"""),64595.0)</f>
        <v>64595</v>
      </c>
    </row>
    <row r="1089">
      <c r="A1089" s="23">
        <f>IFERROR(__xludf.DUMMYFUNCTION("""COMPUTED_VALUE"""),1077.0)</f>
        <v>1077</v>
      </c>
      <c r="B1089" s="23" t="str">
        <f>IFERROR(__xludf.DUMMYFUNCTION("""COMPUTED_VALUE"""),"Confusing Number II")</f>
        <v>Confusing Number II</v>
      </c>
      <c r="C1089" s="23" t="str">
        <f>IFERROR(__xludf.DUMMYFUNCTION("""COMPUTED_VALUE"""),"confusing-number-ii")</f>
        <v>confusing-number-ii</v>
      </c>
      <c r="D1089" s="23" t="b">
        <f>IFERROR(__xludf.DUMMYFUNCTION("""COMPUTED_VALUE"""),TRUE)</f>
        <v>1</v>
      </c>
      <c r="E1089" s="23" t="str">
        <f>IFERROR(__xludf.DUMMYFUNCTION("""COMPUTED_VALUE"""),"Hard")</f>
        <v>Hard</v>
      </c>
      <c r="F1089" s="23">
        <f>IFERROR(__xludf.DUMMYFUNCTION("""COMPUTED_VALUE"""),362.0)</f>
        <v>362</v>
      </c>
      <c r="G1089" s="23">
        <f>IFERROR(__xludf.DUMMYFUNCTION("""COMPUTED_VALUE"""),102.0)</f>
        <v>102</v>
      </c>
      <c r="H1089" s="23" t="str">
        <f>IFERROR(__xludf.DUMMYFUNCTION("""COMPUTED_VALUE"""),"Algorithms")</f>
        <v>Algorithms</v>
      </c>
      <c r="I1089" s="23">
        <f>IFERROR(__xludf.DUMMYFUNCTION("""COMPUTED_VALUE"""),0.464)</f>
        <v>0.464</v>
      </c>
      <c r="J1089" s="23">
        <f>IFERROR(__xludf.DUMMYFUNCTION("""COMPUTED_VALUE"""),1088.0)</f>
        <v>1088</v>
      </c>
      <c r="K1089" s="23" t="b">
        <f>IFERROR(__xludf.DUMMYFUNCTION("""COMPUTED_VALUE"""),TRUE)</f>
        <v>1</v>
      </c>
      <c r="L1089" s="23" t="str">
        <f>IFERROR(__xludf.DUMMYFUNCTION("""COMPUTED_VALUE"""),"Math;Backtracking;")</f>
        <v>Math;Backtracking;</v>
      </c>
      <c r="M1089" s="23" t="b">
        <f>IFERROR(__xludf.DUMMYFUNCTION("""COMPUTED_VALUE"""),FALSE)</f>
        <v>0</v>
      </c>
      <c r="N1089" s="23" t="b">
        <f>IFERROR(__xludf.DUMMYFUNCTION("""COMPUTED_VALUE"""),FALSE)</f>
        <v>0</v>
      </c>
      <c r="O1089" s="23">
        <f>IFERROR(__xludf.DUMMYFUNCTION("""COMPUTED_VALUE"""),46.3771577807503)</f>
        <v>46.37715778</v>
      </c>
      <c r="P1089" s="23">
        <f>IFERROR(__xludf.DUMMYFUNCTION("""COMPUTED_VALUE"""),29123.0)</f>
        <v>29123</v>
      </c>
      <c r="Q1089" s="23">
        <f>IFERROR(__xludf.DUMMYFUNCTION("""COMPUTED_VALUE"""),62796.0)</f>
        <v>62796</v>
      </c>
    </row>
    <row r="1090">
      <c r="A1090" s="23">
        <f>IFERROR(__xludf.DUMMYFUNCTION("""COMPUTED_VALUE"""),1168.0)</f>
        <v>1168</v>
      </c>
      <c r="B1090" s="23" t="str">
        <f>IFERROR(__xludf.DUMMYFUNCTION("""COMPUTED_VALUE"""),"Duplicate Zeros")</f>
        <v>Duplicate Zeros</v>
      </c>
      <c r="C1090" s="23" t="str">
        <f>IFERROR(__xludf.DUMMYFUNCTION("""COMPUTED_VALUE"""),"duplicate-zeros")</f>
        <v>duplicate-zeros</v>
      </c>
      <c r="D1090" s="23" t="b">
        <f>IFERROR(__xludf.DUMMYFUNCTION("""COMPUTED_VALUE"""),FALSE)</f>
        <v>0</v>
      </c>
      <c r="E1090" s="23" t="str">
        <f>IFERROR(__xludf.DUMMYFUNCTION("""COMPUTED_VALUE"""),"Easy")</f>
        <v>Easy</v>
      </c>
      <c r="F1090" s="23">
        <f>IFERROR(__xludf.DUMMYFUNCTION("""COMPUTED_VALUE"""),1636.0)</f>
        <v>1636</v>
      </c>
      <c r="G1090" s="23">
        <f>IFERROR(__xludf.DUMMYFUNCTION("""COMPUTED_VALUE"""),527.0)</f>
        <v>527</v>
      </c>
      <c r="H1090" s="23" t="str">
        <f>IFERROR(__xludf.DUMMYFUNCTION("""COMPUTED_VALUE"""),"Algorithms")</f>
        <v>Algorithms</v>
      </c>
      <c r="I1090" s="23">
        <f>IFERROR(__xludf.DUMMYFUNCTION("""COMPUTED_VALUE"""),0.511)</f>
        <v>0.511</v>
      </c>
      <c r="J1090" s="23">
        <f>IFERROR(__xludf.DUMMYFUNCTION("""COMPUTED_VALUE"""),1089.0)</f>
        <v>1089</v>
      </c>
      <c r="K1090" s="23" t="b">
        <f>IFERROR(__xludf.DUMMYFUNCTION("""COMPUTED_VALUE"""),FALSE)</f>
        <v>0</v>
      </c>
      <c r="L1090" s="23" t="str">
        <f>IFERROR(__xludf.DUMMYFUNCTION("""COMPUTED_VALUE"""),"Array;Two Pointers;")</f>
        <v>Array;Two Pointers;</v>
      </c>
      <c r="M1090" s="23" t="b">
        <f>IFERROR(__xludf.DUMMYFUNCTION("""COMPUTED_VALUE"""),TRUE)</f>
        <v>1</v>
      </c>
      <c r="N1090" s="23" t="b">
        <f>IFERROR(__xludf.DUMMYFUNCTION("""COMPUTED_VALUE"""),FALSE)</f>
        <v>0</v>
      </c>
      <c r="O1090" s="23">
        <f>IFERROR(__xludf.DUMMYFUNCTION("""COMPUTED_VALUE"""),51.1196387386863)</f>
        <v>51.11963874</v>
      </c>
      <c r="P1090" s="23">
        <f>IFERROR(__xludf.DUMMYFUNCTION("""COMPUTED_VALUE"""),263757.0)</f>
        <v>263757</v>
      </c>
      <c r="Q1090" s="23">
        <f>IFERROR(__xludf.DUMMYFUNCTION("""COMPUTED_VALUE"""),515963.0)</f>
        <v>515963</v>
      </c>
    </row>
    <row r="1091">
      <c r="A1091" s="23">
        <f>IFERROR(__xludf.DUMMYFUNCTION("""COMPUTED_VALUE"""),1169.0)</f>
        <v>1169</v>
      </c>
      <c r="B1091" s="23" t="str">
        <f>IFERROR(__xludf.DUMMYFUNCTION("""COMPUTED_VALUE"""),"Largest Values From Labels")</f>
        <v>Largest Values From Labels</v>
      </c>
      <c r="C1091" s="23" t="str">
        <f>IFERROR(__xludf.DUMMYFUNCTION("""COMPUTED_VALUE"""),"largest-values-from-labels")</f>
        <v>largest-values-from-labels</v>
      </c>
      <c r="D1091" s="23" t="b">
        <f>IFERROR(__xludf.DUMMYFUNCTION("""COMPUTED_VALUE"""),FALSE)</f>
        <v>0</v>
      </c>
      <c r="E1091" s="23" t="str">
        <f>IFERROR(__xludf.DUMMYFUNCTION("""COMPUTED_VALUE"""),"Medium")</f>
        <v>Medium</v>
      </c>
      <c r="F1091" s="23">
        <f>IFERROR(__xludf.DUMMYFUNCTION("""COMPUTED_VALUE"""),289.0)</f>
        <v>289</v>
      </c>
      <c r="G1091" s="23">
        <f>IFERROR(__xludf.DUMMYFUNCTION("""COMPUTED_VALUE"""),550.0)</f>
        <v>550</v>
      </c>
      <c r="H1091" s="23" t="str">
        <f>IFERROR(__xludf.DUMMYFUNCTION("""COMPUTED_VALUE"""),"Algorithms")</f>
        <v>Algorithms</v>
      </c>
      <c r="I1091" s="23">
        <f>IFERROR(__xludf.DUMMYFUNCTION("""COMPUTED_VALUE"""),0.606)</f>
        <v>0.606</v>
      </c>
      <c r="J1091" s="23">
        <f>IFERROR(__xludf.DUMMYFUNCTION("""COMPUTED_VALUE"""),1090.0)</f>
        <v>1090</v>
      </c>
      <c r="K1091" s="23" t="b">
        <f>IFERROR(__xludf.DUMMYFUNCTION("""COMPUTED_VALUE"""),FALSE)</f>
        <v>0</v>
      </c>
      <c r="L1091" s="23" t="str">
        <f>IFERROR(__xludf.DUMMYFUNCTION("""COMPUTED_VALUE"""),"Array;Hash Table;Greedy;Sorting;Counting;")</f>
        <v>Array;Hash Table;Greedy;Sorting;Counting;</v>
      </c>
      <c r="M1091" s="23" t="b">
        <f>IFERROR(__xludf.DUMMYFUNCTION("""COMPUTED_VALUE"""),FALSE)</f>
        <v>0</v>
      </c>
      <c r="N1091" s="23" t="b">
        <f>IFERROR(__xludf.DUMMYFUNCTION("""COMPUTED_VALUE"""),FALSE)</f>
        <v>0</v>
      </c>
      <c r="O1091" s="23">
        <f>IFERROR(__xludf.DUMMYFUNCTION("""COMPUTED_VALUE"""),60.6107739829561)</f>
        <v>60.61077398</v>
      </c>
      <c r="P1091" s="23">
        <f>IFERROR(__xludf.DUMMYFUNCTION("""COMPUTED_VALUE"""),27667.0)</f>
        <v>27667</v>
      </c>
      <c r="Q1091" s="23">
        <f>IFERROR(__xludf.DUMMYFUNCTION("""COMPUTED_VALUE"""),45647.0)</f>
        <v>45647</v>
      </c>
    </row>
    <row r="1092">
      <c r="A1092" s="23">
        <f>IFERROR(__xludf.DUMMYFUNCTION("""COMPUTED_VALUE"""),1171.0)</f>
        <v>1171</v>
      </c>
      <c r="B1092" s="23" t="str">
        <f>IFERROR(__xludf.DUMMYFUNCTION("""COMPUTED_VALUE"""),"Shortest Path in Binary Matrix")</f>
        <v>Shortest Path in Binary Matrix</v>
      </c>
      <c r="C1092" s="23" t="str">
        <f>IFERROR(__xludf.DUMMYFUNCTION("""COMPUTED_VALUE"""),"shortest-path-in-binary-matrix")</f>
        <v>shortest-path-in-binary-matrix</v>
      </c>
      <c r="D1092" s="23" t="b">
        <f>IFERROR(__xludf.DUMMYFUNCTION("""COMPUTED_VALUE"""),FALSE)</f>
        <v>0</v>
      </c>
      <c r="E1092" s="23" t="str">
        <f>IFERROR(__xludf.DUMMYFUNCTION("""COMPUTED_VALUE"""),"Medium")</f>
        <v>Medium</v>
      </c>
      <c r="F1092" s="23">
        <f>IFERROR(__xludf.DUMMYFUNCTION("""COMPUTED_VALUE"""),2537.0)</f>
        <v>2537</v>
      </c>
      <c r="G1092" s="23">
        <f>IFERROR(__xludf.DUMMYFUNCTION("""COMPUTED_VALUE"""),124.0)</f>
        <v>124</v>
      </c>
      <c r="H1092" s="23" t="str">
        <f>IFERROR(__xludf.DUMMYFUNCTION("""COMPUTED_VALUE"""),"Algorithms")</f>
        <v>Algorithms</v>
      </c>
      <c r="I1092" s="23">
        <f>IFERROR(__xludf.DUMMYFUNCTION("""COMPUTED_VALUE"""),0.427)</f>
        <v>0.427</v>
      </c>
      <c r="J1092" s="23">
        <f>IFERROR(__xludf.DUMMYFUNCTION("""COMPUTED_VALUE"""),1091.0)</f>
        <v>1091</v>
      </c>
      <c r="K1092" s="23" t="b">
        <f>IFERROR(__xludf.DUMMYFUNCTION("""COMPUTED_VALUE"""),FALSE)</f>
        <v>0</v>
      </c>
      <c r="L1092" s="23" t="str">
        <f>IFERROR(__xludf.DUMMYFUNCTION("""COMPUTED_VALUE"""),"Array;Breadth-First Search;Matrix;")</f>
        <v>Array;Breadth-First Search;Matrix;</v>
      </c>
      <c r="M1092" s="23" t="b">
        <f>IFERROR(__xludf.DUMMYFUNCTION("""COMPUTED_VALUE"""),TRUE)</f>
        <v>1</v>
      </c>
      <c r="N1092" s="23" t="b">
        <f>IFERROR(__xludf.DUMMYFUNCTION("""COMPUTED_VALUE"""),FALSE)</f>
        <v>0</v>
      </c>
      <c r="O1092" s="23">
        <f>IFERROR(__xludf.DUMMYFUNCTION("""COMPUTED_VALUE"""),42.6535937006399)</f>
        <v>42.6535937</v>
      </c>
      <c r="P1092" s="23">
        <f>IFERROR(__xludf.DUMMYFUNCTION("""COMPUTED_VALUE"""),182277.0)</f>
        <v>182277</v>
      </c>
      <c r="Q1092" s="23">
        <f>IFERROR(__xludf.DUMMYFUNCTION("""COMPUTED_VALUE"""),427338.0)</f>
        <v>427338</v>
      </c>
    </row>
    <row r="1093">
      <c r="A1093" s="23">
        <f>IFERROR(__xludf.DUMMYFUNCTION("""COMPUTED_VALUE"""),1170.0)</f>
        <v>1170</v>
      </c>
      <c r="B1093" s="23" t="str">
        <f>IFERROR(__xludf.DUMMYFUNCTION("""COMPUTED_VALUE"""),"Shortest Common Supersequence ")</f>
        <v>Shortest Common Supersequence </v>
      </c>
      <c r="C1093" s="23" t="str">
        <f>IFERROR(__xludf.DUMMYFUNCTION("""COMPUTED_VALUE"""),"shortest-common-supersequence")</f>
        <v>shortest-common-supersequence</v>
      </c>
      <c r="D1093" s="23" t="b">
        <f>IFERROR(__xludf.DUMMYFUNCTION("""COMPUTED_VALUE"""),FALSE)</f>
        <v>0</v>
      </c>
      <c r="E1093" s="23" t="str">
        <f>IFERROR(__xludf.DUMMYFUNCTION("""COMPUTED_VALUE"""),"Hard")</f>
        <v>Hard</v>
      </c>
      <c r="F1093" s="23">
        <f>IFERROR(__xludf.DUMMYFUNCTION("""COMPUTED_VALUE"""),2172.0)</f>
        <v>2172</v>
      </c>
      <c r="G1093" s="23">
        <f>IFERROR(__xludf.DUMMYFUNCTION("""COMPUTED_VALUE"""),41.0)</f>
        <v>41</v>
      </c>
      <c r="H1093" s="23" t="str">
        <f>IFERROR(__xludf.DUMMYFUNCTION("""COMPUTED_VALUE"""),"Algorithms")</f>
        <v>Algorithms</v>
      </c>
      <c r="I1093" s="23">
        <f>IFERROR(__xludf.DUMMYFUNCTION("""COMPUTED_VALUE"""),0.56)</f>
        <v>0.56</v>
      </c>
      <c r="J1093" s="23">
        <f>IFERROR(__xludf.DUMMYFUNCTION("""COMPUTED_VALUE"""),1092.0)</f>
        <v>1092</v>
      </c>
      <c r="K1093" s="23" t="b">
        <f>IFERROR(__xludf.DUMMYFUNCTION("""COMPUTED_VALUE"""),FALSE)</f>
        <v>0</v>
      </c>
      <c r="L1093" s="23" t="str">
        <f>IFERROR(__xludf.DUMMYFUNCTION("""COMPUTED_VALUE"""),"String;Dynamic Programming;")</f>
        <v>String;Dynamic Programming;</v>
      </c>
      <c r="M1093" s="23" t="b">
        <f>IFERROR(__xludf.DUMMYFUNCTION("""COMPUTED_VALUE"""),FALSE)</f>
        <v>0</v>
      </c>
      <c r="N1093" s="23" t="b">
        <f>IFERROR(__xludf.DUMMYFUNCTION("""COMPUTED_VALUE"""),FALSE)</f>
        <v>0</v>
      </c>
      <c r="O1093" s="23">
        <f>IFERROR(__xludf.DUMMYFUNCTION("""COMPUTED_VALUE"""),55.9907805080796)</f>
        <v>55.99078051</v>
      </c>
      <c r="P1093" s="23">
        <f>IFERROR(__xludf.DUMMYFUNCTION("""COMPUTED_VALUE"""),44455.0)</f>
        <v>44455</v>
      </c>
      <c r="Q1093" s="23">
        <f>IFERROR(__xludf.DUMMYFUNCTION("""COMPUTED_VALUE"""),79397.0)</f>
        <v>79397</v>
      </c>
    </row>
    <row r="1094">
      <c r="A1094" s="23">
        <f>IFERROR(__xludf.DUMMYFUNCTION("""COMPUTED_VALUE"""),1183.0)</f>
        <v>1183</v>
      </c>
      <c r="B1094" s="23" t="str">
        <f>IFERROR(__xludf.DUMMYFUNCTION("""COMPUTED_VALUE"""),"Statistics from a Large Sample")</f>
        <v>Statistics from a Large Sample</v>
      </c>
      <c r="C1094" s="23" t="str">
        <f>IFERROR(__xludf.DUMMYFUNCTION("""COMPUTED_VALUE"""),"statistics-from-a-large-sample")</f>
        <v>statistics-from-a-large-sample</v>
      </c>
      <c r="D1094" s="23" t="b">
        <f>IFERROR(__xludf.DUMMYFUNCTION("""COMPUTED_VALUE"""),FALSE)</f>
        <v>0</v>
      </c>
      <c r="E1094" s="23" t="str">
        <f>IFERROR(__xludf.DUMMYFUNCTION("""COMPUTED_VALUE"""),"Medium")</f>
        <v>Medium</v>
      </c>
      <c r="F1094" s="23">
        <f>IFERROR(__xludf.DUMMYFUNCTION("""COMPUTED_VALUE"""),52.0)</f>
        <v>52</v>
      </c>
      <c r="G1094" s="23">
        <f>IFERROR(__xludf.DUMMYFUNCTION("""COMPUTED_VALUE"""),54.0)</f>
        <v>54</v>
      </c>
      <c r="H1094" s="23" t="str">
        <f>IFERROR(__xludf.DUMMYFUNCTION("""COMPUTED_VALUE"""),"Algorithms")</f>
        <v>Algorithms</v>
      </c>
      <c r="I1094" s="23">
        <f>IFERROR(__xludf.DUMMYFUNCTION("""COMPUTED_VALUE"""),0.458)</f>
        <v>0.458</v>
      </c>
      <c r="J1094" s="23">
        <f>IFERROR(__xludf.DUMMYFUNCTION("""COMPUTED_VALUE"""),1093.0)</f>
        <v>1093</v>
      </c>
      <c r="K1094" s="23" t="b">
        <f>IFERROR(__xludf.DUMMYFUNCTION("""COMPUTED_VALUE"""),FALSE)</f>
        <v>0</v>
      </c>
      <c r="L1094" s="23" t="str">
        <f>IFERROR(__xludf.DUMMYFUNCTION("""COMPUTED_VALUE"""),"Math;Two Pointers;Probability and Statistics;")</f>
        <v>Math;Two Pointers;Probability and Statistics;</v>
      </c>
      <c r="M1094" s="23" t="b">
        <f>IFERROR(__xludf.DUMMYFUNCTION("""COMPUTED_VALUE"""),FALSE)</f>
        <v>0</v>
      </c>
      <c r="N1094" s="23" t="b">
        <f>IFERROR(__xludf.DUMMYFUNCTION("""COMPUTED_VALUE"""),FALSE)</f>
        <v>0</v>
      </c>
      <c r="O1094" s="23">
        <f>IFERROR(__xludf.DUMMYFUNCTION("""COMPUTED_VALUE"""),45.7552029672367)</f>
        <v>45.75520297</v>
      </c>
      <c r="P1094" s="23">
        <f>IFERROR(__xludf.DUMMYFUNCTION("""COMPUTED_VALUE"""),13323.0)</f>
        <v>13323</v>
      </c>
      <c r="Q1094" s="23">
        <f>IFERROR(__xludf.DUMMYFUNCTION("""COMPUTED_VALUE"""),29118.0)</f>
        <v>29118</v>
      </c>
    </row>
    <row r="1095">
      <c r="A1095" s="23">
        <f>IFERROR(__xludf.DUMMYFUNCTION("""COMPUTED_VALUE"""),1184.0)</f>
        <v>1184</v>
      </c>
      <c r="B1095" s="23" t="str">
        <f>IFERROR(__xludf.DUMMYFUNCTION("""COMPUTED_VALUE"""),"Car Pooling")</f>
        <v>Car Pooling</v>
      </c>
      <c r="C1095" s="23" t="str">
        <f>IFERROR(__xludf.DUMMYFUNCTION("""COMPUTED_VALUE"""),"car-pooling")</f>
        <v>car-pooling</v>
      </c>
      <c r="D1095" s="23" t="b">
        <f>IFERROR(__xludf.DUMMYFUNCTION("""COMPUTED_VALUE"""),FALSE)</f>
        <v>0</v>
      </c>
      <c r="E1095" s="23" t="str">
        <f>IFERROR(__xludf.DUMMYFUNCTION("""COMPUTED_VALUE"""),"Medium")</f>
        <v>Medium</v>
      </c>
      <c r="F1095" s="23">
        <f>IFERROR(__xludf.DUMMYFUNCTION("""COMPUTED_VALUE"""),3118.0)</f>
        <v>3118</v>
      </c>
      <c r="G1095" s="23">
        <f>IFERROR(__xludf.DUMMYFUNCTION("""COMPUTED_VALUE"""),67.0)</f>
        <v>67</v>
      </c>
      <c r="H1095" s="23" t="str">
        <f>IFERROR(__xludf.DUMMYFUNCTION("""COMPUTED_VALUE"""),"Algorithms")</f>
        <v>Algorithms</v>
      </c>
      <c r="I1095" s="23">
        <f>IFERROR(__xludf.DUMMYFUNCTION("""COMPUTED_VALUE"""),0.582)</f>
        <v>0.582</v>
      </c>
      <c r="J1095" s="23">
        <f>IFERROR(__xludf.DUMMYFUNCTION("""COMPUTED_VALUE"""),1094.0)</f>
        <v>1094</v>
      </c>
      <c r="K1095" s="23" t="b">
        <f>IFERROR(__xludf.DUMMYFUNCTION("""COMPUTED_VALUE"""),FALSE)</f>
        <v>0</v>
      </c>
      <c r="L1095" s="23" t="str">
        <f>IFERROR(__xludf.DUMMYFUNCTION("""COMPUTED_VALUE"""),"Array;Sorting;Heap (Priority Queue);Simulation;Prefix Sum;")</f>
        <v>Array;Sorting;Heap (Priority Queue);Simulation;Prefix Sum;</v>
      </c>
      <c r="M1095" s="23" t="b">
        <f>IFERROR(__xludf.DUMMYFUNCTION("""COMPUTED_VALUE"""),TRUE)</f>
        <v>1</v>
      </c>
      <c r="N1095" s="23" t="b">
        <f>IFERROR(__xludf.DUMMYFUNCTION("""COMPUTED_VALUE"""),FALSE)</f>
        <v>0</v>
      </c>
      <c r="O1095" s="23">
        <f>IFERROR(__xludf.DUMMYFUNCTION("""COMPUTED_VALUE"""),58.205051389593)</f>
        <v>58.20505139</v>
      </c>
      <c r="P1095" s="23">
        <f>IFERROR(__xludf.DUMMYFUNCTION("""COMPUTED_VALUE"""),151545.0)</f>
        <v>151545</v>
      </c>
      <c r="Q1095" s="23">
        <f>IFERROR(__xludf.DUMMYFUNCTION("""COMPUTED_VALUE"""),260364.0)</f>
        <v>260364</v>
      </c>
    </row>
    <row r="1096">
      <c r="A1096" s="23">
        <f>IFERROR(__xludf.DUMMYFUNCTION("""COMPUTED_VALUE"""),1185.0)</f>
        <v>1185</v>
      </c>
      <c r="B1096" s="23" t="str">
        <f>IFERROR(__xludf.DUMMYFUNCTION("""COMPUTED_VALUE"""),"Find in Mountain Array")</f>
        <v>Find in Mountain Array</v>
      </c>
      <c r="C1096" s="23" t="str">
        <f>IFERROR(__xludf.DUMMYFUNCTION("""COMPUTED_VALUE"""),"find-in-mountain-array")</f>
        <v>find-in-mountain-array</v>
      </c>
      <c r="D1096" s="23" t="b">
        <f>IFERROR(__xludf.DUMMYFUNCTION("""COMPUTED_VALUE"""),FALSE)</f>
        <v>0</v>
      </c>
      <c r="E1096" s="23" t="str">
        <f>IFERROR(__xludf.DUMMYFUNCTION("""COMPUTED_VALUE"""),"Hard")</f>
        <v>Hard</v>
      </c>
      <c r="F1096" s="23">
        <f>IFERROR(__xludf.DUMMYFUNCTION("""COMPUTED_VALUE"""),1174.0)</f>
        <v>1174</v>
      </c>
      <c r="G1096" s="23">
        <f>IFERROR(__xludf.DUMMYFUNCTION("""COMPUTED_VALUE"""),57.0)</f>
        <v>57</v>
      </c>
      <c r="H1096" s="23" t="str">
        <f>IFERROR(__xludf.DUMMYFUNCTION("""COMPUTED_VALUE"""),"Algorithms")</f>
        <v>Algorithms</v>
      </c>
      <c r="I1096" s="23">
        <f>IFERROR(__xludf.DUMMYFUNCTION("""COMPUTED_VALUE"""),0.359)</f>
        <v>0.359</v>
      </c>
      <c r="J1096" s="23">
        <f>IFERROR(__xludf.DUMMYFUNCTION("""COMPUTED_VALUE"""),1095.0)</f>
        <v>1095</v>
      </c>
      <c r="K1096" s="23" t="b">
        <f>IFERROR(__xludf.DUMMYFUNCTION("""COMPUTED_VALUE"""),FALSE)</f>
        <v>0</v>
      </c>
      <c r="L1096" s="23" t="str">
        <f>IFERROR(__xludf.DUMMYFUNCTION("""COMPUTED_VALUE"""),"Array;Binary Search;Interactive;")</f>
        <v>Array;Binary Search;Interactive;</v>
      </c>
      <c r="M1096" s="23" t="b">
        <f>IFERROR(__xludf.DUMMYFUNCTION("""COMPUTED_VALUE"""),FALSE)</f>
        <v>0</v>
      </c>
      <c r="N1096" s="23" t="b">
        <f>IFERROR(__xludf.DUMMYFUNCTION("""COMPUTED_VALUE"""),FALSE)</f>
        <v>0</v>
      </c>
      <c r="O1096" s="23">
        <f>IFERROR(__xludf.DUMMYFUNCTION("""COMPUTED_VALUE"""),35.9200140619899)</f>
        <v>35.92001406</v>
      </c>
      <c r="P1096" s="23">
        <f>IFERROR(__xludf.DUMMYFUNCTION("""COMPUTED_VALUE"""),42914.0)</f>
        <v>42914</v>
      </c>
      <c r="Q1096" s="23">
        <f>IFERROR(__xludf.DUMMYFUNCTION("""COMPUTED_VALUE"""),119471.0)</f>
        <v>119471</v>
      </c>
    </row>
    <row r="1097">
      <c r="A1097" s="23">
        <f>IFERROR(__xludf.DUMMYFUNCTION("""COMPUTED_VALUE"""),1188.0)</f>
        <v>1188</v>
      </c>
      <c r="B1097" s="23" t="str">
        <f>IFERROR(__xludf.DUMMYFUNCTION("""COMPUTED_VALUE"""),"Brace Expansion II")</f>
        <v>Brace Expansion II</v>
      </c>
      <c r="C1097" s="23" t="str">
        <f>IFERROR(__xludf.DUMMYFUNCTION("""COMPUTED_VALUE"""),"brace-expansion-ii")</f>
        <v>brace-expansion-ii</v>
      </c>
      <c r="D1097" s="23" t="b">
        <f>IFERROR(__xludf.DUMMYFUNCTION("""COMPUTED_VALUE"""),FALSE)</f>
        <v>0</v>
      </c>
      <c r="E1097" s="23" t="str">
        <f>IFERROR(__xludf.DUMMYFUNCTION("""COMPUTED_VALUE"""),"Hard")</f>
        <v>Hard</v>
      </c>
      <c r="F1097" s="23">
        <f>IFERROR(__xludf.DUMMYFUNCTION("""COMPUTED_VALUE"""),368.0)</f>
        <v>368</v>
      </c>
      <c r="G1097" s="23">
        <f>IFERROR(__xludf.DUMMYFUNCTION("""COMPUTED_VALUE"""),231.0)</f>
        <v>231</v>
      </c>
      <c r="H1097" s="23" t="str">
        <f>IFERROR(__xludf.DUMMYFUNCTION("""COMPUTED_VALUE"""),"Algorithms")</f>
        <v>Algorithms</v>
      </c>
      <c r="I1097" s="23">
        <f>IFERROR(__xludf.DUMMYFUNCTION("""COMPUTED_VALUE"""),0.626)</f>
        <v>0.626</v>
      </c>
      <c r="J1097" s="23">
        <f>IFERROR(__xludf.DUMMYFUNCTION("""COMPUTED_VALUE"""),1096.0)</f>
        <v>1096</v>
      </c>
      <c r="K1097" s="23" t="b">
        <f>IFERROR(__xludf.DUMMYFUNCTION("""COMPUTED_VALUE"""),FALSE)</f>
        <v>0</v>
      </c>
      <c r="L1097" s="23" t="str">
        <f>IFERROR(__xludf.DUMMYFUNCTION("""COMPUTED_VALUE"""),"String;Backtracking;Stack;Breadth-First Search;")</f>
        <v>String;Backtracking;Stack;Breadth-First Search;</v>
      </c>
      <c r="M1097" s="23" t="b">
        <f>IFERROR(__xludf.DUMMYFUNCTION("""COMPUTED_VALUE"""),FALSE)</f>
        <v>0</v>
      </c>
      <c r="N1097" s="23" t="b">
        <f>IFERROR(__xludf.DUMMYFUNCTION("""COMPUTED_VALUE"""),FALSE)</f>
        <v>0</v>
      </c>
      <c r="O1097" s="23">
        <f>IFERROR(__xludf.DUMMYFUNCTION("""COMPUTED_VALUE"""),62.582121261644)</f>
        <v>62.58212126</v>
      </c>
      <c r="P1097" s="23">
        <f>IFERROR(__xludf.DUMMYFUNCTION("""COMPUTED_VALUE"""),19147.0)</f>
        <v>19147</v>
      </c>
      <c r="Q1097" s="23">
        <f>IFERROR(__xludf.DUMMYFUNCTION("""COMPUTED_VALUE"""),30595.0)</f>
        <v>30595</v>
      </c>
    </row>
    <row r="1098">
      <c r="A1098" s="23">
        <f>IFERROR(__xludf.DUMMYFUNCTION("""COMPUTED_VALUE"""),1193.0)</f>
        <v>1193</v>
      </c>
      <c r="B1098" s="23" t="str">
        <f>IFERROR(__xludf.DUMMYFUNCTION("""COMPUTED_VALUE"""),"Game Play Analysis V")</f>
        <v>Game Play Analysis V</v>
      </c>
      <c r="C1098" s="23" t="str">
        <f>IFERROR(__xludf.DUMMYFUNCTION("""COMPUTED_VALUE"""),"game-play-analysis-v")</f>
        <v>game-play-analysis-v</v>
      </c>
      <c r="D1098" s="23" t="b">
        <f>IFERROR(__xludf.DUMMYFUNCTION("""COMPUTED_VALUE"""),TRUE)</f>
        <v>1</v>
      </c>
      <c r="E1098" s="23" t="str">
        <f>IFERROR(__xludf.DUMMYFUNCTION("""COMPUTED_VALUE"""),"Hard")</f>
        <v>Hard</v>
      </c>
      <c r="F1098" s="23">
        <f>IFERROR(__xludf.DUMMYFUNCTION("""COMPUTED_VALUE"""),123.0)</f>
        <v>123</v>
      </c>
      <c r="G1098" s="23">
        <f>IFERROR(__xludf.DUMMYFUNCTION("""COMPUTED_VALUE"""),26.0)</f>
        <v>26</v>
      </c>
      <c r="H1098" s="23" t="str">
        <f>IFERROR(__xludf.DUMMYFUNCTION("""COMPUTED_VALUE"""),"Database")</f>
        <v>Database</v>
      </c>
      <c r="I1098" s="23">
        <f>IFERROR(__xludf.DUMMYFUNCTION("""COMPUTED_VALUE"""),0.555)</f>
        <v>0.555</v>
      </c>
      <c r="J1098" s="23">
        <f>IFERROR(__xludf.DUMMYFUNCTION("""COMPUTED_VALUE"""),1097.0)</f>
        <v>1097</v>
      </c>
      <c r="K1098" s="23" t="b">
        <f>IFERROR(__xludf.DUMMYFUNCTION("""COMPUTED_VALUE"""),TRUE)</f>
        <v>1</v>
      </c>
      <c r="L1098" s="23" t="str">
        <f>IFERROR(__xludf.DUMMYFUNCTION("""COMPUTED_VALUE"""),"Database;")</f>
        <v>Database;</v>
      </c>
      <c r="M1098" s="23" t="b">
        <f>IFERROR(__xludf.DUMMYFUNCTION("""COMPUTED_VALUE"""),FALSE)</f>
        <v>0</v>
      </c>
      <c r="N1098" s="23" t="b">
        <f>IFERROR(__xludf.DUMMYFUNCTION("""COMPUTED_VALUE"""),FALSE)</f>
        <v>0</v>
      </c>
      <c r="O1098" s="23">
        <f>IFERROR(__xludf.DUMMYFUNCTION("""COMPUTED_VALUE"""),55.4959588537839)</f>
        <v>55.49595885</v>
      </c>
      <c r="P1098" s="23">
        <f>IFERROR(__xludf.DUMMYFUNCTION("""COMPUTED_VALUE"""),15106.0)</f>
        <v>15106</v>
      </c>
      <c r="Q1098" s="23">
        <f>IFERROR(__xludf.DUMMYFUNCTION("""COMPUTED_VALUE"""),27220.0)</f>
        <v>27220</v>
      </c>
    </row>
    <row r="1099">
      <c r="A1099" s="23">
        <f>IFERROR(__xludf.DUMMYFUNCTION("""COMPUTED_VALUE"""),1198.0)</f>
        <v>1198</v>
      </c>
      <c r="B1099" s="23" t="str">
        <f>IFERROR(__xludf.DUMMYFUNCTION("""COMPUTED_VALUE"""),"Unpopular Books")</f>
        <v>Unpopular Books</v>
      </c>
      <c r="C1099" s="23" t="str">
        <f>IFERROR(__xludf.DUMMYFUNCTION("""COMPUTED_VALUE"""),"unpopular-books")</f>
        <v>unpopular-books</v>
      </c>
      <c r="D1099" s="23" t="b">
        <f>IFERROR(__xludf.DUMMYFUNCTION("""COMPUTED_VALUE"""),TRUE)</f>
        <v>1</v>
      </c>
      <c r="E1099" s="23" t="str">
        <f>IFERROR(__xludf.DUMMYFUNCTION("""COMPUTED_VALUE"""),"Medium")</f>
        <v>Medium</v>
      </c>
      <c r="F1099" s="23">
        <f>IFERROR(__xludf.DUMMYFUNCTION("""COMPUTED_VALUE"""),147.0)</f>
        <v>147</v>
      </c>
      <c r="G1099" s="23">
        <f>IFERROR(__xludf.DUMMYFUNCTION("""COMPUTED_VALUE"""),412.0)</f>
        <v>412</v>
      </c>
      <c r="H1099" s="23" t="str">
        <f>IFERROR(__xludf.DUMMYFUNCTION("""COMPUTED_VALUE"""),"Database")</f>
        <v>Database</v>
      </c>
      <c r="I1099" s="23">
        <f>IFERROR(__xludf.DUMMYFUNCTION("""COMPUTED_VALUE"""),0.453)</f>
        <v>0.453</v>
      </c>
      <c r="J1099" s="23">
        <f>IFERROR(__xludf.DUMMYFUNCTION("""COMPUTED_VALUE"""),1098.0)</f>
        <v>1098</v>
      </c>
      <c r="K1099" s="23" t="b">
        <f>IFERROR(__xludf.DUMMYFUNCTION("""COMPUTED_VALUE"""),TRUE)</f>
        <v>1</v>
      </c>
      <c r="L1099" s="23" t="str">
        <f>IFERROR(__xludf.DUMMYFUNCTION("""COMPUTED_VALUE"""),"Database;")</f>
        <v>Database;</v>
      </c>
      <c r="M1099" s="23" t="b">
        <f>IFERROR(__xludf.DUMMYFUNCTION("""COMPUTED_VALUE"""),FALSE)</f>
        <v>0</v>
      </c>
      <c r="N1099" s="23" t="b">
        <f>IFERROR(__xludf.DUMMYFUNCTION("""COMPUTED_VALUE"""),FALSE)</f>
        <v>0</v>
      </c>
      <c r="O1099" s="23">
        <f>IFERROR(__xludf.DUMMYFUNCTION("""COMPUTED_VALUE"""),45.2504721948284)</f>
        <v>45.25047219</v>
      </c>
      <c r="P1099" s="23">
        <f>IFERROR(__xludf.DUMMYFUNCTION("""COMPUTED_VALUE"""),27072.0)</f>
        <v>27072</v>
      </c>
      <c r="Q1099" s="23">
        <f>IFERROR(__xludf.DUMMYFUNCTION("""COMPUTED_VALUE"""),59827.0)</f>
        <v>59827</v>
      </c>
    </row>
    <row r="1100">
      <c r="A1100" s="23">
        <f>IFERROR(__xludf.DUMMYFUNCTION("""COMPUTED_VALUE"""),1083.0)</f>
        <v>1083</v>
      </c>
      <c r="B1100" s="23" t="str">
        <f>IFERROR(__xludf.DUMMYFUNCTION("""COMPUTED_VALUE"""),"Two Sum Less Than K")</f>
        <v>Two Sum Less Than K</v>
      </c>
      <c r="C1100" s="23" t="str">
        <f>IFERROR(__xludf.DUMMYFUNCTION("""COMPUTED_VALUE"""),"two-sum-less-than-k")</f>
        <v>two-sum-less-than-k</v>
      </c>
      <c r="D1100" s="23" t="b">
        <f>IFERROR(__xludf.DUMMYFUNCTION("""COMPUTED_VALUE"""),TRUE)</f>
        <v>1</v>
      </c>
      <c r="E1100" s="23" t="str">
        <f>IFERROR(__xludf.DUMMYFUNCTION("""COMPUTED_VALUE"""),"Easy")</f>
        <v>Easy</v>
      </c>
      <c r="F1100" s="23">
        <f>IFERROR(__xludf.DUMMYFUNCTION("""COMPUTED_VALUE"""),776.0)</f>
        <v>776</v>
      </c>
      <c r="G1100" s="23">
        <f>IFERROR(__xludf.DUMMYFUNCTION("""COMPUTED_VALUE"""),87.0)</f>
        <v>87</v>
      </c>
      <c r="H1100" s="23" t="str">
        <f>IFERROR(__xludf.DUMMYFUNCTION("""COMPUTED_VALUE"""),"Algorithms")</f>
        <v>Algorithms</v>
      </c>
      <c r="I1100" s="23">
        <f>IFERROR(__xludf.DUMMYFUNCTION("""COMPUTED_VALUE"""),0.606)</f>
        <v>0.606</v>
      </c>
      <c r="J1100" s="23">
        <f>IFERROR(__xludf.DUMMYFUNCTION("""COMPUTED_VALUE"""),1099.0)</f>
        <v>1099</v>
      </c>
      <c r="K1100" s="23" t="b">
        <f>IFERROR(__xludf.DUMMYFUNCTION("""COMPUTED_VALUE"""),TRUE)</f>
        <v>1</v>
      </c>
      <c r="L1100" s="23" t="str">
        <f>IFERROR(__xludf.DUMMYFUNCTION("""COMPUTED_VALUE"""),"Array;Two Pointers;Binary Search;Sorting;")</f>
        <v>Array;Two Pointers;Binary Search;Sorting;</v>
      </c>
      <c r="M1100" s="23" t="b">
        <f>IFERROR(__xludf.DUMMYFUNCTION("""COMPUTED_VALUE"""),TRUE)</f>
        <v>1</v>
      </c>
      <c r="N1100" s="23" t="b">
        <f>IFERROR(__xludf.DUMMYFUNCTION("""COMPUTED_VALUE"""),TRUE)</f>
        <v>1</v>
      </c>
      <c r="O1100" s="23">
        <f>IFERROR(__xludf.DUMMYFUNCTION("""COMPUTED_VALUE"""),60.561907607072)</f>
        <v>60.56190761</v>
      </c>
      <c r="P1100" s="23">
        <f>IFERROR(__xludf.DUMMYFUNCTION("""COMPUTED_VALUE"""),89198.0)</f>
        <v>89198</v>
      </c>
      <c r="Q1100" s="23">
        <f>IFERROR(__xludf.DUMMYFUNCTION("""COMPUTED_VALUE"""),147284.0)</f>
        <v>147284</v>
      </c>
    </row>
    <row r="1101">
      <c r="A1101" s="23">
        <f>IFERROR(__xludf.DUMMYFUNCTION("""COMPUTED_VALUE"""),1084.0)</f>
        <v>1084</v>
      </c>
      <c r="B1101" s="23" t="str">
        <f>IFERROR(__xludf.DUMMYFUNCTION("""COMPUTED_VALUE"""),"Find K-Length Substrings With No Repeated Characters")</f>
        <v>Find K-Length Substrings With No Repeated Characters</v>
      </c>
      <c r="C1101" s="23" t="str">
        <f>IFERROR(__xludf.DUMMYFUNCTION("""COMPUTED_VALUE"""),"find-k-length-substrings-with-no-repeated-characters")</f>
        <v>find-k-length-substrings-with-no-repeated-characters</v>
      </c>
      <c r="D1101" s="23" t="b">
        <f>IFERROR(__xludf.DUMMYFUNCTION("""COMPUTED_VALUE"""),TRUE)</f>
        <v>1</v>
      </c>
      <c r="E1101" s="23" t="str">
        <f>IFERROR(__xludf.DUMMYFUNCTION("""COMPUTED_VALUE"""),"Medium")</f>
        <v>Medium</v>
      </c>
      <c r="F1101" s="23">
        <f>IFERROR(__xludf.DUMMYFUNCTION("""COMPUTED_VALUE"""),437.0)</f>
        <v>437</v>
      </c>
      <c r="G1101" s="23">
        <f>IFERROR(__xludf.DUMMYFUNCTION("""COMPUTED_VALUE"""),9.0)</f>
        <v>9</v>
      </c>
      <c r="H1101" s="23" t="str">
        <f>IFERROR(__xludf.DUMMYFUNCTION("""COMPUTED_VALUE"""),"Algorithms")</f>
        <v>Algorithms</v>
      </c>
      <c r="I1101" s="23">
        <f>IFERROR(__xludf.DUMMYFUNCTION("""COMPUTED_VALUE"""),0.748)</f>
        <v>0.748</v>
      </c>
      <c r="J1101" s="23">
        <f>IFERROR(__xludf.DUMMYFUNCTION("""COMPUTED_VALUE"""),1100.0)</f>
        <v>1100</v>
      </c>
      <c r="K1101" s="23" t="b">
        <f>IFERROR(__xludf.DUMMYFUNCTION("""COMPUTED_VALUE"""),TRUE)</f>
        <v>1</v>
      </c>
      <c r="L1101" s="23" t="str">
        <f>IFERROR(__xludf.DUMMYFUNCTION("""COMPUTED_VALUE"""),"Hash Table;String;Sliding Window;")</f>
        <v>Hash Table;String;Sliding Window;</v>
      </c>
      <c r="M1101" s="23" t="b">
        <f>IFERROR(__xludf.DUMMYFUNCTION("""COMPUTED_VALUE"""),TRUE)</f>
        <v>1</v>
      </c>
      <c r="N1101" s="23" t="b">
        <f>IFERROR(__xludf.DUMMYFUNCTION("""COMPUTED_VALUE"""),FALSE)</f>
        <v>0</v>
      </c>
      <c r="O1101" s="23">
        <f>IFERROR(__xludf.DUMMYFUNCTION("""COMPUTED_VALUE"""),74.8053714947973)</f>
        <v>74.80537149</v>
      </c>
      <c r="P1101" s="23">
        <f>IFERROR(__xludf.DUMMYFUNCTION("""COMPUTED_VALUE"""),29691.0)</f>
        <v>29691</v>
      </c>
      <c r="Q1101" s="23">
        <f>IFERROR(__xludf.DUMMYFUNCTION("""COMPUTED_VALUE"""),39691.0)</f>
        <v>39691</v>
      </c>
    </row>
    <row r="1102">
      <c r="A1102" s="23">
        <f>IFERROR(__xludf.DUMMYFUNCTION("""COMPUTED_VALUE"""),1085.0)</f>
        <v>1085</v>
      </c>
      <c r="B1102" s="23" t="str">
        <f>IFERROR(__xludf.DUMMYFUNCTION("""COMPUTED_VALUE"""),"The Earliest Moment When Everyone Become Friends")</f>
        <v>The Earliest Moment When Everyone Become Friends</v>
      </c>
      <c r="C1102" s="23" t="str">
        <f>IFERROR(__xludf.DUMMYFUNCTION("""COMPUTED_VALUE"""),"the-earliest-moment-when-everyone-become-friends")</f>
        <v>the-earliest-moment-when-everyone-become-friends</v>
      </c>
      <c r="D1102" s="23" t="b">
        <f>IFERROR(__xludf.DUMMYFUNCTION("""COMPUTED_VALUE"""),TRUE)</f>
        <v>1</v>
      </c>
      <c r="E1102" s="23" t="str">
        <f>IFERROR(__xludf.DUMMYFUNCTION("""COMPUTED_VALUE"""),"Medium")</f>
        <v>Medium</v>
      </c>
      <c r="F1102" s="23">
        <f>IFERROR(__xludf.DUMMYFUNCTION("""COMPUTED_VALUE"""),501.0)</f>
        <v>501</v>
      </c>
      <c r="G1102" s="23">
        <f>IFERROR(__xludf.DUMMYFUNCTION("""COMPUTED_VALUE"""),12.0)</f>
        <v>12</v>
      </c>
      <c r="H1102" s="23" t="str">
        <f>IFERROR(__xludf.DUMMYFUNCTION("""COMPUTED_VALUE"""),"Algorithms")</f>
        <v>Algorithms</v>
      </c>
      <c r="I1102" s="23">
        <f>IFERROR(__xludf.DUMMYFUNCTION("""COMPUTED_VALUE"""),0.644)</f>
        <v>0.644</v>
      </c>
      <c r="J1102" s="23">
        <f>IFERROR(__xludf.DUMMYFUNCTION("""COMPUTED_VALUE"""),1101.0)</f>
        <v>1101</v>
      </c>
      <c r="K1102" s="23" t="b">
        <f>IFERROR(__xludf.DUMMYFUNCTION("""COMPUTED_VALUE"""),TRUE)</f>
        <v>1</v>
      </c>
      <c r="L1102" s="23" t="str">
        <f>IFERROR(__xludf.DUMMYFUNCTION("""COMPUTED_VALUE"""),"Array;Union Find;")</f>
        <v>Array;Union Find;</v>
      </c>
      <c r="M1102" s="23" t="b">
        <f>IFERROR(__xludf.DUMMYFUNCTION("""COMPUTED_VALUE"""),TRUE)</f>
        <v>1</v>
      </c>
      <c r="N1102" s="23" t="b">
        <f>IFERROR(__xludf.DUMMYFUNCTION("""COMPUTED_VALUE"""),FALSE)</f>
        <v>0</v>
      </c>
      <c r="O1102" s="23">
        <f>IFERROR(__xludf.DUMMYFUNCTION("""COMPUTED_VALUE"""),64.3539219401288)</f>
        <v>64.35392194</v>
      </c>
      <c r="P1102" s="23">
        <f>IFERROR(__xludf.DUMMYFUNCTION("""COMPUTED_VALUE"""),33966.0)</f>
        <v>33966</v>
      </c>
      <c r="Q1102" s="23">
        <f>IFERROR(__xludf.DUMMYFUNCTION("""COMPUTED_VALUE"""),52780.0)</f>
        <v>52780</v>
      </c>
    </row>
    <row r="1103">
      <c r="A1103" s="23">
        <f>IFERROR(__xludf.DUMMYFUNCTION("""COMPUTED_VALUE"""),1099.0)</f>
        <v>1099</v>
      </c>
      <c r="B1103" s="23" t="str">
        <f>IFERROR(__xludf.DUMMYFUNCTION("""COMPUTED_VALUE"""),"Path With Maximum Minimum Value")</f>
        <v>Path With Maximum Minimum Value</v>
      </c>
      <c r="C1103" s="23" t="str">
        <f>IFERROR(__xludf.DUMMYFUNCTION("""COMPUTED_VALUE"""),"path-with-maximum-minimum-value")</f>
        <v>path-with-maximum-minimum-value</v>
      </c>
      <c r="D1103" s="23" t="b">
        <f>IFERROR(__xludf.DUMMYFUNCTION("""COMPUTED_VALUE"""),TRUE)</f>
        <v>1</v>
      </c>
      <c r="E1103" s="23" t="str">
        <f>IFERROR(__xludf.DUMMYFUNCTION("""COMPUTED_VALUE"""),"Medium")</f>
        <v>Medium</v>
      </c>
      <c r="F1103" s="23">
        <f>IFERROR(__xludf.DUMMYFUNCTION("""COMPUTED_VALUE"""),1013.0)</f>
        <v>1013</v>
      </c>
      <c r="G1103" s="23">
        <f>IFERROR(__xludf.DUMMYFUNCTION("""COMPUTED_VALUE"""),106.0)</f>
        <v>106</v>
      </c>
      <c r="H1103" s="23" t="str">
        <f>IFERROR(__xludf.DUMMYFUNCTION("""COMPUTED_VALUE"""),"Algorithms")</f>
        <v>Algorithms</v>
      </c>
      <c r="I1103" s="23">
        <f>IFERROR(__xludf.DUMMYFUNCTION("""COMPUTED_VALUE"""),0.53)</f>
        <v>0.53</v>
      </c>
      <c r="J1103" s="23">
        <f>IFERROR(__xludf.DUMMYFUNCTION("""COMPUTED_VALUE"""),1102.0)</f>
        <v>1102</v>
      </c>
      <c r="K1103" s="23" t="b">
        <f>IFERROR(__xludf.DUMMYFUNCTION("""COMPUTED_VALUE"""),TRUE)</f>
        <v>1</v>
      </c>
      <c r="L1103" s="23" t="str">
        <f>IFERROR(__xludf.DUMMYFUNCTION("""COMPUTED_VALUE"""),"Array;Depth-First Search;Breadth-First Search;Union Find;Heap (Priority Queue);Matrix;")</f>
        <v>Array;Depth-First Search;Breadth-First Search;Union Find;Heap (Priority Queue);Matrix;</v>
      </c>
      <c r="M1103" s="23" t="b">
        <f>IFERROR(__xludf.DUMMYFUNCTION("""COMPUTED_VALUE"""),TRUE)</f>
        <v>1</v>
      </c>
      <c r="N1103" s="23" t="b">
        <f>IFERROR(__xludf.DUMMYFUNCTION("""COMPUTED_VALUE"""),FALSE)</f>
        <v>0</v>
      </c>
      <c r="O1103" s="23">
        <f>IFERROR(__xludf.DUMMYFUNCTION("""COMPUTED_VALUE"""),52.9645025741548)</f>
        <v>52.96450257</v>
      </c>
      <c r="P1103" s="23">
        <f>IFERROR(__xludf.DUMMYFUNCTION("""COMPUTED_VALUE"""),47015.0)</f>
        <v>47015</v>
      </c>
      <c r="Q1103" s="23">
        <f>IFERROR(__xludf.DUMMYFUNCTION("""COMPUTED_VALUE"""),88767.0)</f>
        <v>88767</v>
      </c>
    </row>
    <row r="1104">
      <c r="A1104" s="23">
        <f>IFERROR(__xludf.DUMMYFUNCTION("""COMPUTED_VALUE"""),1195.0)</f>
        <v>1195</v>
      </c>
      <c r="B1104" s="23" t="str">
        <f>IFERROR(__xludf.DUMMYFUNCTION("""COMPUTED_VALUE"""),"Distribute Candies to People")</f>
        <v>Distribute Candies to People</v>
      </c>
      <c r="C1104" s="23" t="str">
        <f>IFERROR(__xludf.DUMMYFUNCTION("""COMPUTED_VALUE"""),"distribute-candies-to-people")</f>
        <v>distribute-candies-to-people</v>
      </c>
      <c r="D1104" s="23" t="b">
        <f>IFERROR(__xludf.DUMMYFUNCTION("""COMPUTED_VALUE"""),FALSE)</f>
        <v>0</v>
      </c>
      <c r="E1104" s="23" t="str">
        <f>IFERROR(__xludf.DUMMYFUNCTION("""COMPUTED_VALUE"""),"Easy")</f>
        <v>Easy</v>
      </c>
      <c r="F1104" s="23">
        <f>IFERROR(__xludf.DUMMYFUNCTION("""COMPUTED_VALUE"""),698.0)</f>
        <v>698</v>
      </c>
      <c r="G1104" s="23">
        <f>IFERROR(__xludf.DUMMYFUNCTION("""COMPUTED_VALUE"""),168.0)</f>
        <v>168</v>
      </c>
      <c r="H1104" s="23" t="str">
        <f>IFERROR(__xludf.DUMMYFUNCTION("""COMPUTED_VALUE"""),"Algorithms")</f>
        <v>Algorithms</v>
      </c>
      <c r="I1104" s="23">
        <f>IFERROR(__xludf.DUMMYFUNCTION("""COMPUTED_VALUE"""),0.637)</f>
        <v>0.637</v>
      </c>
      <c r="J1104" s="23">
        <f>IFERROR(__xludf.DUMMYFUNCTION("""COMPUTED_VALUE"""),1103.0)</f>
        <v>1103</v>
      </c>
      <c r="K1104" s="23" t="b">
        <f>IFERROR(__xludf.DUMMYFUNCTION("""COMPUTED_VALUE"""),FALSE)</f>
        <v>0</v>
      </c>
      <c r="L1104" s="23" t="str">
        <f>IFERROR(__xludf.DUMMYFUNCTION("""COMPUTED_VALUE"""),"Math;Simulation;")</f>
        <v>Math;Simulation;</v>
      </c>
      <c r="M1104" s="23" t="b">
        <f>IFERROR(__xludf.DUMMYFUNCTION("""COMPUTED_VALUE"""),FALSE)</f>
        <v>0</v>
      </c>
      <c r="N1104" s="23" t="b">
        <f>IFERROR(__xludf.DUMMYFUNCTION("""COMPUTED_VALUE"""),FALSE)</f>
        <v>0</v>
      </c>
      <c r="O1104" s="23">
        <f>IFERROR(__xludf.DUMMYFUNCTION("""COMPUTED_VALUE"""),63.7108906366042)</f>
        <v>63.71089064</v>
      </c>
      <c r="P1104" s="23">
        <f>IFERROR(__xludf.DUMMYFUNCTION("""COMPUTED_VALUE"""),66912.0)</f>
        <v>66912</v>
      </c>
      <c r="Q1104" s="23">
        <f>IFERROR(__xludf.DUMMYFUNCTION("""COMPUTED_VALUE"""),105023.0)</f>
        <v>105023</v>
      </c>
    </row>
    <row r="1105">
      <c r="A1105" s="23">
        <f>IFERROR(__xludf.DUMMYFUNCTION("""COMPUTED_VALUE"""),1194.0)</f>
        <v>1194</v>
      </c>
      <c r="B1105" s="23" t="str">
        <f>IFERROR(__xludf.DUMMYFUNCTION("""COMPUTED_VALUE"""),"Path In Zigzag Labelled Binary Tree")</f>
        <v>Path In Zigzag Labelled Binary Tree</v>
      </c>
      <c r="C1105" s="23" t="str">
        <f>IFERROR(__xludf.DUMMYFUNCTION("""COMPUTED_VALUE"""),"path-in-zigzag-labelled-binary-tree")</f>
        <v>path-in-zigzag-labelled-binary-tree</v>
      </c>
      <c r="D1105" s="23" t="b">
        <f>IFERROR(__xludf.DUMMYFUNCTION("""COMPUTED_VALUE"""),FALSE)</f>
        <v>0</v>
      </c>
      <c r="E1105" s="23" t="str">
        <f>IFERROR(__xludf.DUMMYFUNCTION("""COMPUTED_VALUE"""),"Medium")</f>
        <v>Medium</v>
      </c>
      <c r="F1105" s="23">
        <f>IFERROR(__xludf.DUMMYFUNCTION("""COMPUTED_VALUE"""),964.0)</f>
        <v>964</v>
      </c>
      <c r="G1105" s="23">
        <f>IFERROR(__xludf.DUMMYFUNCTION("""COMPUTED_VALUE"""),263.0)</f>
        <v>263</v>
      </c>
      <c r="H1105" s="23" t="str">
        <f>IFERROR(__xludf.DUMMYFUNCTION("""COMPUTED_VALUE"""),"Algorithms")</f>
        <v>Algorithms</v>
      </c>
      <c r="I1105" s="23">
        <f>IFERROR(__xludf.DUMMYFUNCTION("""COMPUTED_VALUE"""),0.745)</f>
        <v>0.745</v>
      </c>
      <c r="J1105" s="23">
        <f>IFERROR(__xludf.DUMMYFUNCTION("""COMPUTED_VALUE"""),1104.0)</f>
        <v>1104</v>
      </c>
      <c r="K1105" s="23" t="b">
        <f>IFERROR(__xludf.DUMMYFUNCTION("""COMPUTED_VALUE"""),FALSE)</f>
        <v>0</v>
      </c>
      <c r="L1105" s="23" t="str">
        <f>IFERROR(__xludf.DUMMYFUNCTION("""COMPUTED_VALUE"""),"Math;Tree;Binary Tree;")</f>
        <v>Math;Tree;Binary Tree;</v>
      </c>
      <c r="M1105" s="23" t="b">
        <f>IFERROR(__xludf.DUMMYFUNCTION("""COMPUTED_VALUE"""),FALSE)</f>
        <v>0</v>
      </c>
      <c r="N1105" s="23" t="b">
        <f>IFERROR(__xludf.DUMMYFUNCTION("""COMPUTED_VALUE"""),FALSE)</f>
        <v>0</v>
      </c>
      <c r="O1105" s="23">
        <f>IFERROR(__xludf.DUMMYFUNCTION("""COMPUTED_VALUE"""),74.5490481166795)</f>
        <v>74.54904812</v>
      </c>
      <c r="P1105" s="23">
        <f>IFERROR(__xludf.DUMMYFUNCTION("""COMPUTED_VALUE"""),32815.0)</f>
        <v>32815</v>
      </c>
      <c r="Q1105" s="23">
        <f>IFERROR(__xludf.DUMMYFUNCTION("""COMPUTED_VALUE"""),44018.0)</f>
        <v>44018</v>
      </c>
    </row>
    <row r="1106">
      <c r="A1106" s="23">
        <f>IFERROR(__xludf.DUMMYFUNCTION("""COMPUTED_VALUE"""),1196.0)</f>
        <v>1196</v>
      </c>
      <c r="B1106" s="23" t="str">
        <f>IFERROR(__xludf.DUMMYFUNCTION("""COMPUTED_VALUE"""),"Filling Bookcase Shelves")</f>
        <v>Filling Bookcase Shelves</v>
      </c>
      <c r="C1106" s="23" t="str">
        <f>IFERROR(__xludf.DUMMYFUNCTION("""COMPUTED_VALUE"""),"filling-bookcase-shelves")</f>
        <v>filling-bookcase-shelves</v>
      </c>
      <c r="D1106" s="23" t="b">
        <f>IFERROR(__xludf.DUMMYFUNCTION("""COMPUTED_VALUE"""),FALSE)</f>
        <v>0</v>
      </c>
      <c r="E1106" s="23" t="str">
        <f>IFERROR(__xludf.DUMMYFUNCTION("""COMPUTED_VALUE"""),"Medium")</f>
        <v>Medium</v>
      </c>
      <c r="F1106" s="23">
        <f>IFERROR(__xludf.DUMMYFUNCTION("""COMPUTED_VALUE"""),1243.0)</f>
        <v>1243</v>
      </c>
      <c r="G1106" s="23">
        <f>IFERROR(__xludf.DUMMYFUNCTION("""COMPUTED_VALUE"""),75.0)</f>
        <v>75</v>
      </c>
      <c r="H1106" s="23" t="str">
        <f>IFERROR(__xludf.DUMMYFUNCTION("""COMPUTED_VALUE"""),"Algorithms")</f>
        <v>Algorithms</v>
      </c>
      <c r="I1106" s="23">
        <f>IFERROR(__xludf.DUMMYFUNCTION("""COMPUTED_VALUE"""),0.581)</f>
        <v>0.581</v>
      </c>
      <c r="J1106" s="23">
        <f>IFERROR(__xludf.DUMMYFUNCTION("""COMPUTED_VALUE"""),1105.0)</f>
        <v>1105</v>
      </c>
      <c r="K1106" s="23" t="b">
        <f>IFERROR(__xludf.DUMMYFUNCTION("""COMPUTED_VALUE"""),FALSE)</f>
        <v>0</v>
      </c>
      <c r="L1106" s="23" t="str">
        <f>IFERROR(__xludf.DUMMYFUNCTION("""COMPUTED_VALUE"""),"Array;Dynamic Programming;")</f>
        <v>Array;Dynamic Programming;</v>
      </c>
      <c r="M1106" s="23" t="b">
        <f>IFERROR(__xludf.DUMMYFUNCTION("""COMPUTED_VALUE"""),FALSE)</f>
        <v>0</v>
      </c>
      <c r="N1106" s="23" t="b">
        <f>IFERROR(__xludf.DUMMYFUNCTION("""COMPUTED_VALUE"""),FALSE)</f>
        <v>0</v>
      </c>
      <c r="O1106" s="23">
        <f>IFERROR(__xludf.DUMMYFUNCTION("""COMPUTED_VALUE"""),58.1304270777955)</f>
        <v>58.13042708</v>
      </c>
      <c r="P1106" s="23">
        <f>IFERROR(__xludf.DUMMYFUNCTION("""COMPUTED_VALUE"""),32803.0)</f>
        <v>32803</v>
      </c>
      <c r="Q1106" s="23">
        <f>IFERROR(__xludf.DUMMYFUNCTION("""COMPUTED_VALUE"""),56430.0)</f>
        <v>56430</v>
      </c>
    </row>
    <row r="1107">
      <c r="A1107" s="23">
        <f>IFERROR(__xludf.DUMMYFUNCTION("""COMPUTED_VALUE"""),1197.0)</f>
        <v>1197</v>
      </c>
      <c r="B1107" s="23" t="str">
        <f>IFERROR(__xludf.DUMMYFUNCTION("""COMPUTED_VALUE"""),"Parsing A Boolean Expression")</f>
        <v>Parsing A Boolean Expression</v>
      </c>
      <c r="C1107" s="23" t="str">
        <f>IFERROR(__xludf.DUMMYFUNCTION("""COMPUTED_VALUE"""),"parsing-a-boolean-expression")</f>
        <v>parsing-a-boolean-expression</v>
      </c>
      <c r="D1107" s="23" t="b">
        <f>IFERROR(__xludf.DUMMYFUNCTION("""COMPUTED_VALUE"""),FALSE)</f>
        <v>0</v>
      </c>
      <c r="E1107" s="23" t="str">
        <f>IFERROR(__xludf.DUMMYFUNCTION("""COMPUTED_VALUE"""),"Hard")</f>
        <v>Hard</v>
      </c>
      <c r="F1107" s="23">
        <f>IFERROR(__xludf.DUMMYFUNCTION("""COMPUTED_VALUE"""),593.0)</f>
        <v>593</v>
      </c>
      <c r="G1107" s="23">
        <f>IFERROR(__xludf.DUMMYFUNCTION("""COMPUTED_VALUE"""),33.0)</f>
        <v>33</v>
      </c>
      <c r="H1107" s="23" t="str">
        <f>IFERROR(__xludf.DUMMYFUNCTION("""COMPUTED_VALUE"""),"Algorithms")</f>
        <v>Algorithms</v>
      </c>
      <c r="I1107" s="23">
        <f>IFERROR(__xludf.DUMMYFUNCTION("""COMPUTED_VALUE"""),0.589)</f>
        <v>0.589</v>
      </c>
      <c r="J1107" s="23">
        <f>IFERROR(__xludf.DUMMYFUNCTION("""COMPUTED_VALUE"""),1106.0)</f>
        <v>1106</v>
      </c>
      <c r="K1107" s="23" t="b">
        <f>IFERROR(__xludf.DUMMYFUNCTION("""COMPUTED_VALUE"""),FALSE)</f>
        <v>0</v>
      </c>
      <c r="L1107" s="23" t="str">
        <f>IFERROR(__xludf.DUMMYFUNCTION("""COMPUTED_VALUE"""),"String;Stack;Recursion;")</f>
        <v>String;Stack;Recursion;</v>
      </c>
      <c r="M1107" s="23" t="b">
        <f>IFERROR(__xludf.DUMMYFUNCTION("""COMPUTED_VALUE"""),FALSE)</f>
        <v>0</v>
      </c>
      <c r="N1107" s="23" t="b">
        <f>IFERROR(__xludf.DUMMYFUNCTION("""COMPUTED_VALUE"""),FALSE)</f>
        <v>0</v>
      </c>
      <c r="O1107" s="23">
        <f>IFERROR(__xludf.DUMMYFUNCTION("""COMPUTED_VALUE"""),58.8999063337747)</f>
        <v>58.89990633</v>
      </c>
      <c r="P1107" s="23">
        <f>IFERROR(__xludf.DUMMYFUNCTION("""COMPUTED_VALUE"""),18236.0)</f>
        <v>18236</v>
      </c>
      <c r="Q1107" s="23">
        <f>IFERROR(__xludf.DUMMYFUNCTION("""COMPUTED_VALUE"""),30961.0)</f>
        <v>30961</v>
      </c>
    </row>
    <row r="1108">
      <c r="A1108" s="23">
        <f>IFERROR(__xludf.DUMMYFUNCTION("""COMPUTED_VALUE"""),1204.0)</f>
        <v>1204</v>
      </c>
      <c r="B1108" s="23" t="str">
        <f>IFERROR(__xludf.DUMMYFUNCTION("""COMPUTED_VALUE"""),"New Users Daily Count")</f>
        <v>New Users Daily Count</v>
      </c>
      <c r="C1108" s="23" t="str">
        <f>IFERROR(__xludf.DUMMYFUNCTION("""COMPUTED_VALUE"""),"new-users-daily-count")</f>
        <v>new-users-daily-count</v>
      </c>
      <c r="D1108" s="23" t="b">
        <f>IFERROR(__xludf.DUMMYFUNCTION("""COMPUTED_VALUE"""),TRUE)</f>
        <v>1</v>
      </c>
      <c r="E1108" s="23" t="str">
        <f>IFERROR(__xludf.DUMMYFUNCTION("""COMPUTED_VALUE"""),"Medium")</f>
        <v>Medium</v>
      </c>
      <c r="F1108" s="23">
        <f>IFERROR(__xludf.DUMMYFUNCTION("""COMPUTED_VALUE"""),109.0)</f>
        <v>109</v>
      </c>
      <c r="G1108" s="23">
        <f>IFERROR(__xludf.DUMMYFUNCTION("""COMPUTED_VALUE"""),112.0)</f>
        <v>112</v>
      </c>
      <c r="H1108" s="23" t="str">
        <f>IFERROR(__xludf.DUMMYFUNCTION("""COMPUTED_VALUE"""),"Database")</f>
        <v>Database</v>
      </c>
      <c r="I1108" s="23">
        <f>IFERROR(__xludf.DUMMYFUNCTION("""COMPUTED_VALUE"""),0.458)</f>
        <v>0.458</v>
      </c>
      <c r="J1108" s="23">
        <f>IFERROR(__xludf.DUMMYFUNCTION("""COMPUTED_VALUE"""),1107.0)</f>
        <v>1107</v>
      </c>
      <c r="K1108" s="23" t="b">
        <f>IFERROR(__xludf.DUMMYFUNCTION("""COMPUTED_VALUE"""),TRUE)</f>
        <v>1</v>
      </c>
      <c r="L1108" s="23" t="str">
        <f>IFERROR(__xludf.DUMMYFUNCTION("""COMPUTED_VALUE"""),"Database;")</f>
        <v>Database;</v>
      </c>
      <c r="M1108" s="23" t="b">
        <f>IFERROR(__xludf.DUMMYFUNCTION("""COMPUTED_VALUE"""),FALSE)</f>
        <v>0</v>
      </c>
      <c r="N1108" s="23" t="b">
        <f>IFERROR(__xludf.DUMMYFUNCTION("""COMPUTED_VALUE"""),FALSE)</f>
        <v>0</v>
      </c>
      <c r="O1108" s="23">
        <f>IFERROR(__xludf.DUMMYFUNCTION("""COMPUTED_VALUE"""),45.7733895776152)</f>
        <v>45.77338958</v>
      </c>
      <c r="P1108" s="23">
        <f>IFERROR(__xludf.DUMMYFUNCTION("""COMPUTED_VALUE"""),24849.0)</f>
        <v>24849</v>
      </c>
      <c r="Q1108" s="23">
        <f>IFERROR(__xludf.DUMMYFUNCTION("""COMPUTED_VALUE"""),54287.0)</f>
        <v>54287</v>
      </c>
    </row>
    <row r="1109">
      <c r="A1109" s="23">
        <f>IFERROR(__xludf.DUMMYFUNCTION("""COMPUTED_VALUE"""),1205.0)</f>
        <v>1205</v>
      </c>
      <c r="B1109" s="23" t="str">
        <f>IFERROR(__xludf.DUMMYFUNCTION("""COMPUTED_VALUE"""),"Defanging an IP Address")</f>
        <v>Defanging an IP Address</v>
      </c>
      <c r="C1109" s="23" t="str">
        <f>IFERROR(__xludf.DUMMYFUNCTION("""COMPUTED_VALUE"""),"defanging-an-ip-address")</f>
        <v>defanging-an-ip-address</v>
      </c>
      <c r="D1109" s="23" t="b">
        <f>IFERROR(__xludf.DUMMYFUNCTION("""COMPUTED_VALUE"""),FALSE)</f>
        <v>0</v>
      </c>
      <c r="E1109" s="23" t="str">
        <f>IFERROR(__xludf.DUMMYFUNCTION("""COMPUTED_VALUE"""),"Easy")</f>
        <v>Easy</v>
      </c>
      <c r="F1109" s="23">
        <f>IFERROR(__xludf.DUMMYFUNCTION("""COMPUTED_VALUE"""),1083.0)</f>
        <v>1083</v>
      </c>
      <c r="G1109" s="23">
        <f>IFERROR(__xludf.DUMMYFUNCTION("""COMPUTED_VALUE"""),1463.0)</f>
        <v>1463</v>
      </c>
      <c r="H1109" s="23" t="str">
        <f>IFERROR(__xludf.DUMMYFUNCTION("""COMPUTED_VALUE"""),"Algorithms")</f>
        <v>Algorithms</v>
      </c>
      <c r="I1109" s="23">
        <f>IFERROR(__xludf.DUMMYFUNCTION("""COMPUTED_VALUE"""),0.89)</f>
        <v>0.89</v>
      </c>
      <c r="J1109" s="23">
        <f>IFERROR(__xludf.DUMMYFUNCTION("""COMPUTED_VALUE"""),1108.0)</f>
        <v>1108</v>
      </c>
      <c r="K1109" s="23" t="b">
        <f>IFERROR(__xludf.DUMMYFUNCTION("""COMPUTED_VALUE"""),FALSE)</f>
        <v>0</v>
      </c>
      <c r="L1109" s="23" t="str">
        <f>IFERROR(__xludf.DUMMYFUNCTION("""COMPUTED_VALUE"""),"String;")</f>
        <v>String;</v>
      </c>
      <c r="M1109" s="23" t="b">
        <f>IFERROR(__xludf.DUMMYFUNCTION("""COMPUTED_VALUE"""),FALSE)</f>
        <v>0</v>
      </c>
      <c r="N1109" s="23" t="b">
        <f>IFERROR(__xludf.DUMMYFUNCTION("""COMPUTED_VALUE"""),FALSE)</f>
        <v>0</v>
      </c>
      <c r="O1109" s="23">
        <f>IFERROR(__xludf.DUMMYFUNCTION("""COMPUTED_VALUE"""),88.9835740271193)</f>
        <v>88.98357403</v>
      </c>
      <c r="P1109" s="23">
        <f>IFERROR(__xludf.DUMMYFUNCTION("""COMPUTED_VALUE"""),403582.0)</f>
        <v>403582</v>
      </c>
      <c r="Q1109" s="23">
        <f>IFERROR(__xludf.DUMMYFUNCTION("""COMPUTED_VALUE"""),453547.0)</f>
        <v>453547</v>
      </c>
    </row>
    <row r="1110">
      <c r="A1110" s="23">
        <f>IFERROR(__xludf.DUMMYFUNCTION("""COMPUTED_VALUE"""),1206.0)</f>
        <v>1206</v>
      </c>
      <c r="B1110" s="23" t="str">
        <f>IFERROR(__xludf.DUMMYFUNCTION("""COMPUTED_VALUE"""),"Corporate Flight Bookings")</f>
        <v>Corporate Flight Bookings</v>
      </c>
      <c r="C1110" s="23" t="str">
        <f>IFERROR(__xludf.DUMMYFUNCTION("""COMPUTED_VALUE"""),"corporate-flight-bookings")</f>
        <v>corporate-flight-bookings</v>
      </c>
      <c r="D1110" s="23" t="b">
        <f>IFERROR(__xludf.DUMMYFUNCTION("""COMPUTED_VALUE"""),FALSE)</f>
        <v>0</v>
      </c>
      <c r="E1110" s="23" t="str">
        <f>IFERROR(__xludf.DUMMYFUNCTION("""COMPUTED_VALUE"""),"Medium")</f>
        <v>Medium</v>
      </c>
      <c r="F1110" s="23">
        <f>IFERROR(__xludf.DUMMYFUNCTION("""COMPUTED_VALUE"""),1014.0)</f>
        <v>1014</v>
      </c>
      <c r="G1110" s="23">
        <f>IFERROR(__xludf.DUMMYFUNCTION("""COMPUTED_VALUE"""),141.0)</f>
        <v>141</v>
      </c>
      <c r="H1110" s="23" t="str">
        <f>IFERROR(__xludf.DUMMYFUNCTION("""COMPUTED_VALUE"""),"Algorithms")</f>
        <v>Algorithms</v>
      </c>
      <c r="I1110" s="23">
        <f>IFERROR(__xludf.DUMMYFUNCTION("""COMPUTED_VALUE"""),0.586)</f>
        <v>0.586</v>
      </c>
      <c r="J1110" s="23">
        <f>IFERROR(__xludf.DUMMYFUNCTION("""COMPUTED_VALUE"""),1109.0)</f>
        <v>1109</v>
      </c>
      <c r="K1110" s="23" t="b">
        <f>IFERROR(__xludf.DUMMYFUNCTION("""COMPUTED_VALUE"""),FALSE)</f>
        <v>0</v>
      </c>
      <c r="L1110" s="23" t="str">
        <f>IFERROR(__xludf.DUMMYFUNCTION("""COMPUTED_VALUE"""),"Array;Prefix Sum;")</f>
        <v>Array;Prefix Sum;</v>
      </c>
      <c r="M1110" s="23" t="b">
        <f>IFERROR(__xludf.DUMMYFUNCTION("""COMPUTED_VALUE"""),FALSE)</f>
        <v>0</v>
      </c>
      <c r="N1110" s="23" t="b">
        <f>IFERROR(__xludf.DUMMYFUNCTION("""COMPUTED_VALUE"""),FALSE)</f>
        <v>0</v>
      </c>
      <c r="O1110" s="23">
        <f>IFERROR(__xludf.DUMMYFUNCTION("""COMPUTED_VALUE"""),58.5865788715085)</f>
        <v>58.58657887</v>
      </c>
      <c r="P1110" s="23">
        <f>IFERROR(__xludf.DUMMYFUNCTION("""COMPUTED_VALUE"""),38614.0)</f>
        <v>38614</v>
      </c>
      <c r="Q1110" s="23">
        <f>IFERROR(__xludf.DUMMYFUNCTION("""COMPUTED_VALUE"""),65910.0)</f>
        <v>65910</v>
      </c>
    </row>
    <row r="1111">
      <c r="A1111" s="23">
        <f>IFERROR(__xludf.DUMMYFUNCTION("""COMPUTED_VALUE"""),1207.0)</f>
        <v>1207</v>
      </c>
      <c r="B1111" s="23" t="str">
        <f>IFERROR(__xludf.DUMMYFUNCTION("""COMPUTED_VALUE"""),"Delete Nodes And Return Forest")</f>
        <v>Delete Nodes And Return Forest</v>
      </c>
      <c r="C1111" s="23" t="str">
        <f>IFERROR(__xludf.DUMMYFUNCTION("""COMPUTED_VALUE"""),"delete-nodes-and-return-forest")</f>
        <v>delete-nodes-and-return-forest</v>
      </c>
      <c r="D1111" s="23" t="b">
        <f>IFERROR(__xludf.DUMMYFUNCTION("""COMPUTED_VALUE"""),FALSE)</f>
        <v>0</v>
      </c>
      <c r="E1111" s="23" t="str">
        <f>IFERROR(__xludf.DUMMYFUNCTION("""COMPUTED_VALUE"""),"Medium")</f>
        <v>Medium</v>
      </c>
      <c r="F1111" s="23">
        <f>IFERROR(__xludf.DUMMYFUNCTION("""COMPUTED_VALUE"""),2795.0)</f>
        <v>2795</v>
      </c>
      <c r="G1111" s="23">
        <f>IFERROR(__xludf.DUMMYFUNCTION("""COMPUTED_VALUE"""),81.0)</f>
        <v>81</v>
      </c>
      <c r="H1111" s="23" t="str">
        <f>IFERROR(__xludf.DUMMYFUNCTION("""COMPUTED_VALUE"""),"Algorithms")</f>
        <v>Algorithms</v>
      </c>
      <c r="I1111" s="23">
        <f>IFERROR(__xludf.DUMMYFUNCTION("""COMPUTED_VALUE"""),0.693)</f>
        <v>0.693</v>
      </c>
      <c r="J1111" s="23">
        <f>IFERROR(__xludf.DUMMYFUNCTION("""COMPUTED_VALUE"""),1110.0)</f>
        <v>1110</v>
      </c>
      <c r="K1111" s="23" t="b">
        <f>IFERROR(__xludf.DUMMYFUNCTION("""COMPUTED_VALUE"""),FALSE)</f>
        <v>0</v>
      </c>
      <c r="L1111" s="23" t="str">
        <f>IFERROR(__xludf.DUMMYFUNCTION("""COMPUTED_VALUE"""),"Tree;Depth-First Search;Binary Tree;")</f>
        <v>Tree;Depth-First Search;Binary Tree;</v>
      </c>
      <c r="M1111" s="23" t="b">
        <f>IFERROR(__xludf.DUMMYFUNCTION("""COMPUTED_VALUE"""),FALSE)</f>
        <v>0</v>
      </c>
      <c r="N1111" s="23" t="b">
        <f>IFERROR(__xludf.DUMMYFUNCTION("""COMPUTED_VALUE"""),FALSE)</f>
        <v>0</v>
      </c>
      <c r="O1111" s="23">
        <f>IFERROR(__xludf.DUMMYFUNCTION("""COMPUTED_VALUE"""),69.2867262906225)</f>
        <v>69.28672629</v>
      </c>
      <c r="P1111" s="23">
        <f>IFERROR(__xludf.DUMMYFUNCTION("""COMPUTED_VALUE"""),156489.0)</f>
        <v>156489</v>
      </c>
      <c r="Q1111" s="23">
        <f>IFERROR(__xludf.DUMMYFUNCTION("""COMPUTED_VALUE"""),225858.0)</f>
        <v>225858</v>
      </c>
    </row>
    <row r="1112">
      <c r="A1112" s="23">
        <f>IFERROR(__xludf.DUMMYFUNCTION("""COMPUTED_VALUE"""),1208.0)</f>
        <v>1208</v>
      </c>
      <c r="B1112" s="23" t="str">
        <f>IFERROR(__xludf.DUMMYFUNCTION("""COMPUTED_VALUE"""),"Maximum Nesting Depth of Two Valid Parentheses Strings")</f>
        <v>Maximum Nesting Depth of Two Valid Parentheses Strings</v>
      </c>
      <c r="C1112" s="23" t="str">
        <f>IFERROR(__xludf.DUMMYFUNCTION("""COMPUTED_VALUE"""),"maximum-nesting-depth-of-two-valid-parentheses-strings")</f>
        <v>maximum-nesting-depth-of-two-valid-parentheses-strings</v>
      </c>
      <c r="D1112" s="23" t="b">
        <f>IFERROR(__xludf.DUMMYFUNCTION("""COMPUTED_VALUE"""),FALSE)</f>
        <v>0</v>
      </c>
      <c r="E1112" s="23" t="str">
        <f>IFERROR(__xludf.DUMMYFUNCTION("""COMPUTED_VALUE"""),"Medium")</f>
        <v>Medium</v>
      </c>
      <c r="F1112" s="23">
        <f>IFERROR(__xludf.DUMMYFUNCTION("""COMPUTED_VALUE"""),282.0)</f>
        <v>282</v>
      </c>
      <c r="G1112" s="23">
        <f>IFERROR(__xludf.DUMMYFUNCTION("""COMPUTED_VALUE"""),1251.0)</f>
        <v>1251</v>
      </c>
      <c r="H1112" s="23" t="str">
        <f>IFERROR(__xludf.DUMMYFUNCTION("""COMPUTED_VALUE"""),"Algorithms")</f>
        <v>Algorithms</v>
      </c>
      <c r="I1112" s="23">
        <f>IFERROR(__xludf.DUMMYFUNCTION("""COMPUTED_VALUE"""),0.731)</f>
        <v>0.731</v>
      </c>
      <c r="J1112" s="23">
        <f>IFERROR(__xludf.DUMMYFUNCTION("""COMPUTED_VALUE"""),1111.0)</f>
        <v>1111</v>
      </c>
      <c r="K1112" s="23" t="b">
        <f>IFERROR(__xludf.DUMMYFUNCTION("""COMPUTED_VALUE"""),FALSE)</f>
        <v>0</v>
      </c>
      <c r="L1112" s="23" t="str">
        <f>IFERROR(__xludf.DUMMYFUNCTION("""COMPUTED_VALUE"""),"String;Stack;")</f>
        <v>String;Stack;</v>
      </c>
      <c r="M1112" s="23" t="b">
        <f>IFERROR(__xludf.DUMMYFUNCTION("""COMPUTED_VALUE"""),FALSE)</f>
        <v>0</v>
      </c>
      <c r="N1112" s="23" t="b">
        <f>IFERROR(__xludf.DUMMYFUNCTION("""COMPUTED_VALUE"""),FALSE)</f>
        <v>0</v>
      </c>
      <c r="O1112" s="23">
        <f>IFERROR(__xludf.DUMMYFUNCTION("""COMPUTED_VALUE"""),73.1450490767553)</f>
        <v>73.14504908</v>
      </c>
      <c r="P1112" s="23">
        <f>IFERROR(__xludf.DUMMYFUNCTION("""COMPUTED_VALUE"""),19450.0)</f>
        <v>19450</v>
      </c>
      <c r="Q1112" s="23">
        <f>IFERROR(__xludf.DUMMYFUNCTION("""COMPUTED_VALUE"""),26591.0)</f>
        <v>26591</v>
      </c>
    </row>
    <row r="1113">
      <c r="A1113" s="23">
        <f>IFERROR(__xludf.DUMMYFUNCTION("""COMPUTED_VALUE"""),1214.0)</f>
        <v>1214</v>
      </c>
      <c r="B1113" s="23" t="str">
        <f>IFERROR(__xludf.DUMMYFUNCTION("""COMPUTED_VALUE"""),"Highest Grade For Each Student")</f>
        <v>Highest Grade For Each Student</v>
      </c>
      <c r="C1113" s="23" t="str">
        <f>IFERROR(__xludf.DUMMYFUNCTION("""COMPUTED_VALUE"""),"highest-grade-for-each-student")</f>
        <v>highest-grade-for-each-student</v>
      </c>
      <c r="D1113" s="23" t="b">
        <f>IFERROR(__xludf.DUMMYFUNCTION("""COMPUTED_VALUE"""),TRUE)</f>
        <v>1</v>
      </c>
      <c r="E1113" s="23" t="str">
        <f>IFERROR(__xludf.DUMMYFUNCTION("""COMPUTED_VALUE"""),"Medium")</f>
        <v>Medium</v>
      </c>
      <c r="F1113" s="23">
        <f>IFERROR(__xludf.DUMMYFUNCTION("""COMPUTED_VALUE"""),187.0)</f>
        <v>187</v>
      </c>
      <c r="G1113" s="23">
        <f>IFERROR(__xludf.DUMMYFUNCTION("""COMPUTED_VALUE"""),7.0)</f>
        <v>7</v>
      </c>
      <c r="H1113" s="23" t="str">
        <f>IFERROR(__xludf.DUMMYFUNCTION("""COMPUTED_VALUE"""),"Database")</f>
        <v>Database</v>
      </c>
      <c r="I1113" s="23">
        <f>IFERROR(__xludf.DUMMYFUNCTION("""COMPUTED_VALUE"""),0.736)</f>
        <v>0.736</v>
      </c>
      <c r="J1113" s="23">
        <f>IFERROR(__xludf.DUMMYFUNCTION("""COMPUTED_VALUE"""),1112.0)</f>
        <v>1112</v>
      </c>
      <c r="K1113" s="23" t="b">
        <f>IFERROR(__xludf.DUMMYFUNCTION("""COMPUTED_VALUE"""),TRUE)</f>
        <v>1</v>
      </c>
      <c r="L1113" s="23" t="str">
        <f>IFERROR(__xludf.DUMMYFUNCTION("""COMPUTED_VALUE"""),"Database;")</f>
        <v>Database;</v>
      </c>
      <c r="M1113" s="23" t="b">
        <f>IFERROR(__xludf.DUMMYFUNCTION("""COMPUTED_VALUE"""),FALSE)</f>
        <v>0</v>
      </c>
      <c r="N1113" s="23" t="b">
        <f>IFERROR(__xludf.DUMMYFUNCTION("""COMPUTED_VALUE"""),FALSE)</f>
        <v>0</v>
      </c>
      <c r="O1113" s="23">
        <f>IFERROR(__xludf.DUMMYFUNCTION("""COMPUTED_VALUE"""),73.591495823842)</f>
        <v>73.59149582</v>
      </c>
      <c r="P1113" s="23">
        <f>IFERROR(__xludf.DUMMYFUNCTION("""COMPUTED_VALUE"""),33922.0)</f>
        <v>33922</v>
      </c>
      <c r="Q1113" s="23">
        <f>IFERROR(__xludf.DUMMYFUNCTION("""COMPUTED_VALUE"""),46095.0)</f>
        <v>46095</v>
      </c>
    </row>
    <row r="1114">
      <c r="A1114" s="23">
        <f>IFERROR(__xludf.DUMMYFUNCTION("""COMPUTED_VALUE"""),1215.0)</f>
        <v>1215</v>
      </c>
      <c r="B1114" s="23" t="str">
        <f>IFERROR(__xludf.DUMMYFUNCTION("""COMPUTED_VALUE"""),"Reported Posts")</f>
        <v>Reported Posts</v>
      </c>
      <c r="C1114" s="23" t="str">
        <f>IFERROR(__xludf.DUMMYFUNCTION("""COMPUTED_VALUE"""),"reported-posts")</f>
        <v>reported-posts</v>
      </c>
      <c r="D1114" s="23" t="b">
        <f>IFERROR(__xludf.DUMMYFUNCTION("""COMPUTED_VALUE"""),TRUE)</f>
        <v>1</v>
      </c>
      <c r="E1114" s="23" t="str">
        <f>IFERROR(__xludf.DUMMYFUNCTION("""COMPUTED_VALUE"""),"Easy")</f>
        <v>Easy</v>
      </c>
      <c r="F1114" s="23">
        <f>IFERROR(__xludf.DUMMYFUNCTION("""COMPUTED_VALUE"""),74.0)</f>
        <v>74</v>
      </c>
      <c r="G1114" s="23">
        <f>IFERROR(__xludf.DUMMYFUNCTION("""COMPUTED_VALUE"""),299.0)</f>
        <v>299</v>
      </c>
      <c r="H1114" s="23" t="str">
        <f>IFERROR(__xludf.DUMMYFUNCTION("""COMPUTED_VALUE"""),"Database")</f>
        <v>Database</v>
      </c>
      <c r="I1114" s="23">
        <f>IFERROR(__xludf.DUMMYFUNCTION("""COMPUTED_VALUE"""),0.662)</f>
        <v>0.662</v>
      </c>
      <c r="J1114" s="23">
        <f>IFERROR(__xludf.DUMMYFUNCTION("""COMPUTED_VALUE"""),1113.0)</f>
        <v>1113</v>
      </c>
      <c r="K1114" s="23" t="b">
        <f>IFERROR(__xludf.DUMMYFUNCTION("""COMPUTED_VALUE"""),TRUE)</f>
        <v>1</v>
      </c>
      <c r="L1114" s="23" t="str">
        <f>IFERROR(__xludf.DUMMYFUNCTION("""COMPUTED_VALUE"""),"Database;")</f>
        <v>Database;</v>
      </c>
      <c r="M1114" s="23" t="b">
        <f>IFERROR(__xludf.DUMMYFUNCTION("""COMPUTED_VALUE"""),FALSE)</f>
        <v>0</v>
      </c>
      <c r="N1114" s="23" t="b">
        <f>IFERROR(__xludf.DUMMYFUNCTION("""COMPUTED_VALUE"""),FALSE)</f>
        <v>0</v>
      </c>
      <c r="O1114" s="23">
        <f>IFERROR(__xludf.DUMMYFUNCTION("""COMPUTED_VALUE"""),66.2449567139062)</f>
        <v>66.24495671</v>
      </c>
      <c r="P1114" s="23">
        <f>IFERROR(__xludf.DUMMYFUNCTION("""COMPUTED_VALUE"""),32674.0)</f>
        <v>32674</v>
      </c>
      <c r="Q1114" s="23">
        <f>IFERROR(__xludf.DUMMYFUNCTION("""COMPUTED_VALUE"""),49323.0)</f>
        <v>49323</v>
      </c>
    </row>
    <row r="1115">
      <c r="A1115" s="23">
        <f>IFERROR(__xludf.DUMMYFUNCTION("""COMPUTED_VALUE"""),1203.0)</f>
        <v>1203</v>
      </c>
      <c r="B1115" s="23" t="str">
        <f>IFERROR(__xludf.DUMMYFUNCTION("""COMPUTED_VALUE"""),"Print in Order")</f>
        <v>Print in Order</v>
      </c>
      <c r="C1115" s="23" t="str">
        <f>IFERROR(__xludf.DUMMYFUNCTION("""COMPUTED_VALUE"""),"print-in-order")</f>
        <v>print-in-order</v>
      </c>
      <c r="D1115" s="23" t="b">
        <f>IFERROR(__xludf.DUMMYFUNCTION("""COMPUTED_VALUE"""),FALSE)</f>
        <v>0</v>
      </c>
      <c r="E1115" s="23" t="str">
        <f>IFERROR(__xludf.DUMMYFUNCTION("""COMPUTED_VALUE"""),"Easy")</f>
        <v>Easy</v>
      </c>
      <c r="F1115" s="23">
        <f>IFERROR(__xludf.DUMMYFUNCTION("""COMPUTED_VALUE"""),972.0)</f>
        <v>972</v>
      </c>
      <c r="G1115" s="23">
        <f>IFERROR(__xludf.DUMMYFUNCTION("""COMPUTED_VALUE"""),168.0)</f>
        <v>168</v>
      </c>
      <c r="H1115" s="23" t="str">
        <f>IFERROR(__xludf.DUMMYFUNCTION("""COMPUTED_VALUE"""),"Concurrency")</f>
        <v>Concurrency</v>
      </c>
      <c r="I1115" s="23">
        <f>IFERROR(__xludf.DUMMYFUNCTION("""COMPUTED_VALUE"""),0.682)</f>
        <v>0.682</v>
      </c>
      <c r="J1115" s="23">
        <f>IFERROR(__xludf.DUMMYFUNCTION("""COMPUTED_VALUE"""),1114.0)</f>
        <v>1114</v>
      </c>
      <c r="K1115" s="23" t="b">
        <f>IFERROR(__xludf.DUMMYFUNCTION("""COMPUTED_VALUE"""),FALSE)</f>
        <v>0</v>
      </c>
      <c r="L1115" s="23" t="str">
        <f>IFERROR(__xludf.DUMMYFUNCTION("""COMPUTED_VALUE"""),"Concurrency;")</f>
        <v>Concurrency;</v>
      </c>
      <c r="M1115" s="23" t="b">
        <f>IFERROR(__xludf.DUMMYFUNCTION("""COMPUTED_VALUE"""),TRUE)</f>
        <v>1</v>
      </c>
      <c r="N1115" s="23" t="b">
        <f>IFERROR(__xludf.DUMMYFUNCTION("""COMPUTED_VALUE"""),FALSE)</f>
        <v>0</v>
      </c>
      <c r="O1115" s="23">
        <f>IFERROR(__xludf.DUMMYFUNCTION("""COMPUTED_VALUE"""),68.2150092171001)</f>
        <v>68.21500922</v>
      </c>
      <c r="P1115" s="23">
        <f>IFERROR(__xludf.DUMMYFUNCTION("""COMPUTED_VALUE"""),104723.0)</f>
        <v>104723</v>
      </c>
      <c r="Q1115" s="23">
        <f>IFERROR(__xludf.DUMMYFUNCTION("""COMPUTED_VALUE"""),153519.0)</f>
        <v>153519</v>
      </c>
    </row>
    <row r="1116">
      <c r="A1116" s="23">
        <f>IFERROR(__xludf.DUMMYFUNCTION("""COMPUTED_VALUE"""),1187.0)</f>
        <v>1187</v>
      </c>
      <c r="B1116" s="23" t="str">
        <f>IFERROR(__xludf.DUMMYFUNCTION("""COMPUTED_VALUE"""),"Print FooBar Alternately")</f>
        <v>Print FooBar Alternately</v>
      </c>
      <c r="C1116" s="23" t="str">
        <f>IFERROR(__xludf.DUMMYFUNCTION("""COMPUTED_VALUE"""),"print-foobar-alternately")</f>
        <v>print-foobar-alternately</v>
      </c>
      <c r="D1116" s="23" t="b">
        <f>IFERROR(__xludf.DUMMYFUNCTION("""COMPUTED_VALUE"""),FALSE)</f>
        <v>0</v>
      </c>
      <c r="E1116" s="23" t="str">
        <f>IFERROR(__xludf.DUMMYFUNCTION("""COMPUTED_VALUE"""),"Medium")</f>
        <v>Medium</v>
      </c>
      <c r="F1116" s="23">
        <f>IFERROR(__xludf.DUMMYFUNCTION("""COMPUTED_VALUE"""),473.0)</f>
        <v>473</v>
      </c>
      <c r="G1116" s="23">
        <f>IFERROR(__xludf.DUMMYFUNCTION("""COMPUTED_VALUE"""),38.0)</f>
        <v>38</v>
      </c>
      <c r="H1116" s="23" t="str">
        <f>IFERROR(__xludf.DUMMYFUNCTION("""COMPUTED_VALUE"""),"Concurrency")</f>
        <v>Concurrency</v>
      </c>
      <c r="I1116" s="23">
        <f>IFERROR(__xludf.DUMMYFUNCTION("""COMPUTED_VALUE"""),0.607)</f>
        <v>0.607</v>
      </c>
      <c r="J1116" s="23">
        <f>IFERROR(__xludf.DUMMYFUNCTION("""COMPUTED_VALUE"""),1115.0)</f>
        <v>1115</v>
      </c>
      <c r="K1116" s="23" t="b">
        <f>IFERROR(__xludf.DUMMYFUNCTION("""COMPUTED_VALUE"""),FALSE)</f>
        <v>0</v>
      </c>
      <c r="L1116" s="23" t="str">
        <f>IFERROR(__xludf.DUMMYFUNCTION("""COMPUTED_VALUE"""),"Concurrency;")</f>
        <v>Concurrency;</v>
      </c>
      <c r="M1116" s="23" t="b">
        <f>IFERROR(__xludf.DUMMYFUNCTION("""COMPUTED_VALUE"""),FALSE)</f>
        <v>0</v>
      </c>
      <c r="N1116" s="23" t="b">
        <f>IFERROR(__xludf.DUMMYFUNCTION("""COMPUTED_VALUE"""),FALSE)</f>
        <v>0</v>
      </c>
      <c r="O1116" s="23">
        <f>IFERROR(__xludf.DUMMYFUNCTION("""COMPUTED_VALUE"""),60.718719903459)</f>
        <v>60.7187199</v>
      </c>
      <c r="P1116" s="23">
        <f>IFERROR(__xludf.DUMMYFUNCTION("""COMPUTED_VALUE"""),52328.0)</f>
        <v>52328</v>
      </c>
      <c r="Q1116" s="23">
        <f>IFERROR(__xludf.DUMMYFUNCTION("""COMPUTED_VALUE"""),86181.0)</f>
        <v>86181</v>
      </c>
    </row>
    <row r="1117">
      <c r="A1117" s="23">
        <f>IFERROR(__xludf.DUMMYFUNCTION("""COMPUTED_VALUE"""),1216.0)</f>
        <v>1216</v>
      </c>
      <c r="B1117" s="23" t="str">
        <f>IFERROR(__xludf.DUMMYFUNCTION("""COMPUTED_VALUE"""),"Print Zero Even Odd")</f>
        <v>Print Zero Even Odd</v>
      </c>
      <c r="C1117" s="23" t="str">
        <f>IFERROR(__xludf.DUMMYFUNCTION("""COMPUTED_VALUE"""),"print-zero-even-odd")</f>
        <v>print-zero-even-odd</v>
      </c>
      <c r="D1117" s="23" t="b">
        <f>IFERROR(__xludf.DUMMYFUNCTION("""COMPUTED_VALUE"""),FALSE)</f>
        <v>0</v>
      </c>
      <c r="E1117" s="23" t="str">
        <f>IFERROR(__xludf.DUMMYFUNCTION("""COMPUTED_VALUE"""),"Medium")</f>
        <v>Medium</v>
      </c>
      <c r="F1117" s="23">
        <f>IFERROR(__xludf.DUMMYFUNCTION("""COMPUTED_VALUE"""),329.0)</f>
        <v>329</v>
      </c>
      <c r="G1117" s="23">
        <f>IFERROR(__xludf.DUMMYFUNCTION("""COMPUTED_VALUE"""),230.0)</f>
        <v>230</v>
      </c>
      <c r="H1117" s="23" t="str">
        <f>IFERROR(__xludf.DUMMYFUNCTION("""COMPUTED_VALUE"""),"Concurrency")</f>
        <v>Concurrency</v>
      </c>
      <c r="I1117" s="23">
        <f>IFERROR(__xludf.DUMMYFUNCTION("""COMPUTED_VALUE"""),0.594)</f>
        <v>0.594</v>
      </c>
      <c r="J1117" s="23">
        <f>IFERROR(__xludf.DUMMYFUNCTION("""COMPUTED_VALUE"""),1116.0)</f>
        <v>1116</v>
      </c>
      <c r="K1117" s="23" t="b">
        <f>IFERROR(__xludf.DUMMYFUNCTION("""COMPUTED_VALUE"""),FALSE)</f>
        <v>0</v>
      </c>
      <c r="L1117" s="23" t="str">
        <f>IFERROR(__xludf.DUMMYFUNCTION("""COMPUTED_VALUE"""),"Concurrency;")</f>
        <v>Concurrency;</v>
      </c>
      <c r="M1117" s="23" t="b">
        <f>IFERROR(__xludf.DUMMYFUNCTION("""COMPUTED_VALUE"""),FALSE)</f>
        <v>0</v>
      </c>
      <c r="N1117" s="23" t="b">
        <f>IFERROR(__xludf.DUMMYFUNCTION("""COMPUTED_VALUE"""),FALSE)</f>
        <v>0</v>
      </c>
      <c r="O1117" s="23">
        <f>IFERROR(__xludf.DUMMYFUNCTION("""COMPUTED_VALUE"""),59.4130644156138)</f>
        <v>59.41306442</v>
      </c>
      <c r="P1117" s="23">
        <f>IFERROR(__xludf.DUMMYFUNCTION("""COMPUTED_VALUE"""),31461.0)</f>
        <v>31461</v>
      </c>
      <c r="Q1117" s="23">
        <f>IFERROR(__xludf.DUMMYFUNCTION("""COMPUTED_VALUE"""),52951.0)</f>
        <v>52951</v>
      </c>
    </row>
    <row r="1118">
      <c r="A1118" s="23">
        <f>IFERROR(__xludf.DUMMYFUNCTION("""COMPUTED_VALUE"""),1186.0)</f>
        <v>1186</v>
      </c>
      <c r="B1118" s="23" t="str">
        <f>IFERROR(__xludf.DUMMYFUNCTION("""COMPUTED_VALUE"""),"Building H2O")</f>
        <v>Building H2O</v>
      </c>
      <c r="C1118" s="23" t="str">
        <f>IFERROR(__xludf.DUMMYFUNCTION("""COMPUTED_VALUE"""),"building-h2o")</f>
        <v>building-h2o</v>
      </c>
      <c r="D1118" s="23" t="b">
        <f>IFERROR(__xludf.DUMMYFUNCTION("""COMPUTED_VALUE"""),FALSE)</f>
        <v>0</v>
      </c>
      <c r="E1118" s="23" t="str">
        <f>IFERROR(__xludf.DUMMYFUNCTION("""COMPUTED_VALUE"""),"Medium")</f>
        <v>Medium</v>
      </c>
      <c r="F1118" s="23">
        <f>IFERROR(__xludf.DUMMYFUNCTION("""COMPUTED_VALUE"""),338.0)</f>
        <v>338</v>
      </c>
      <c r="G1118" s="23">
        <f>IFERROR(__xludf.DUMMYFUNCTION("""COMPUTED_VALUE"""),91.0)</f>
        <v>91</v>
      </c>
      <c r="H1118" s="23" t="str">
        <f>IFERROR(__xludf.DUMMYFUNCTION("""COMPUTED_VALUE"""),"Concurrency")</f>
        <v>Concurrency</v>
      </c>
      <c r="I1118" s="23">
        <f>IFERROR(__xludf.DUMMYFUNCTION("""COMPUTED_VALUE"""),0.546)</f>
        <v>0.546</v>
      </c>
      <c r="J1118" s="23">
        <f>IFERROR(__xludf.DUMMYFUNCTION("""COMPUTED_VALUE"""),1117.0)</f>
        <v>1117</v>
      </c>
      <c r="K1118" s="23" t="b">
        <f>IFERROR(__xludf.DUMMYFUNCTION("""COMPUTED_VALUE"""),FALSE)</f>
        <v>0</v>
      </c>
      <c r="L1118" s="23" t="str">
        <f>IFERROR(__xludf.DUMMYFUNCTION("""COMPUTED_VALUE"""),"Concurrency;")</f>
        <v>Concurrency;</v>
      </c>
      <c r="M1118" s="23" t="b">
        <f>IFERROR(__xludf.DUMMYFUNCTION("""COMPUTED_VALUE"""),FALSE)</f>
        <v>0</v>
      </c>
      <c r="N1118" s="23" t="b">
        <f>IFERROR(__xludf.DUMMYFUNCTION("""COMPUTED_VALUE"""),FALSE)</f>
        <v>0</v>
      </c>
      <c r="O1118" s="23">
        <f>IFERROR(__xludf.DUMMYFUNCTION("""COMPUTED_VALUE"""),54.574758696048)</f>
        <v>54.5747587</v>
      </c>
      <c r="P1118" s="23">
        <f>IFERROR(__xludf.DUMMYFUNCTION("""COMPUTED_VALUE"""),29967.0)</f>
        <v>29967</v>
      </c>
      <c r="Q1118" s="23">
        <f>IFERROR(__xludf.DUMMYFUNCTION("""COMPUTED_VALUE"""),54910.0)</f>
        <v>54910</v>
      </c>
    </row>
    <row r="1119">
      <c r="A1119" s="23">
        <f>IFERROR(__xludf.DUMMYFUNCTION("""COMPUTED_VALUE"""),1088.0)</f>
        <v>1088</v>
      </c>
      <c r="B1119" s="23" t="str">
        <f>IFERROR(__xludf.DUMMYFUNCTION("""COMPUTED_VALUE"""),"Number of Days in a Month")</f>
        <v>Number of Days in a Month</v>
      </c>
      <c r="C1119" s="23" t="str">
        <f>IFERROR(__xludf.DUMMYFUNCTION("""COMPUTED_VALUE"""),"number-of-days-in-a-month")</f>
        <v>number-of-days-in-a-month</v>
      </c>
      <c r="D1119" s="23" t="b">
        <f>IFERROR(__xludf.DUMMYFUNCTION("""COMPUTED_VALUE"""),TRUE)</f>
        <v>1</v>
      </c>
      <c r="E1119" s="23" t="str">
        <f>IFERROR(__xludf.DUMMYFUNCTION("""COMPUTED_VALUE"""),"Easy")</f>
        <v>Easy</v>
      </c>
      <c r="F1119" s="23">
        <f>IFERROR(__xludf.DUMMYFUNCTION("""COMPUTED_VALUE"""),29.0)</f>
        <v>29</v>
      </c>
      <c r="G1119" s="23">
        <f>IFERROR(__xludf.DUMMYFUNCTION("""COMPUTED_VALUE"""),136.0)</f>
        <v>136</v>
      </c>
      <c r="H1119" s="23" t="str">
        <f>IFERROR(__xludf.DUMMYFUNCTION("""COMPUTED_VALUE"""),"Algorithms")</f>
        <v>Algorithms</v>
      </c>
      <c r="I1119" s="23">
        <f>IFERROR(__xludf.DUMMYFUNCTION("""COMPUTED_VALUE"""),0.568)</f>
        <v>0.568</v>
      </c>
      <c r="J1119" s="23">
        <f>IFERROR(__xludf.DUMMYFUNCTION("""COMPUTED_VALUE"""),1118.0)</f>
        <v>1118</v>
      </c>
      <c r="K1119" s="23" t="b">
        <f>IFERROR(__xludf.DUMMYFUNCTION("""COMPUTED_VALUE"""),TRUE)</f>
        <v>1</v>
      </c>
      <c r="L1119" s="23" t="str">
        <f>IFERROR(__xludf.DUMMYFUNCTION("""COMPUTED_VALUE"""),"Math;")</f>
        <v>Math;</v>
      </c>
      <c r="M1119" s="23" t="b">
        <f>IFERROR(__xludf.DUMMYFUNCTION("""COMPUTED_VALUE"""),FALSE)</f>
        <v>0</v>
      </c>
      <c r="N1119" s="23" t="b">
        <f>IFERROR(__xludf.DUMMYFUNCTION("""COMPUTED_VALUE"""),FALSE)</f>
        <v>0</v>
      </c>
      <c r="O1119" s="23">
        <f>IFERROR(__xludf.DUMMYFUNCTION("""COMPUTED_VALUE"""),56.8177745923669)</f>
        <v>56.81777459</v>
      </c>
      <c r="P1119" s="23">
        <f>IFERROR(__xludf.DUMMYFUNCTION("""COMPUTED_VALUE"""),6342.0)</f>
        <v>6342</v>
      </c>
      <c r="Q1119" s="23">
        <f>IFERROR(__xludf.DUMMYFUNCTION("""COMPUTED_VALUE"""),11162.0)</f>
        <v>11162</v>
      </c>
    </row>
    <row r="1120">
      <c r="A1120" s="23">
        <f>IFERROR(__xludf.DUMMYFUNCTION("""COMPUTED_VALUE"""),1089.0)</f>
        <v>1089</v>
      </c>
      <c r="B1120" s="23" t="str">
        <f>IFERROR(__xludf.DUMMYFUNCTION("""COMPUTED_VALUE"""),"Remove Vowels from a String")</f>
        <v>Remove Vowels from a String</v>
      </c>
      <c r="C1120" s="23" t="str">
        <f>IFERROR(__xludf.DUMMYFUNCTION("""COMPUTED_VALUE"""),"remove-vowels-from-a-string")</f>
        <v>remove-vowels-from-a-string</v>
      </c>
      <c r="D1120" s="23" t="b">
        <f>IFERROR(__xludf.DUMMYFUNCTION("""COMPUTED_VALUE"""),TRUE)</f>
        <v>1</v>
      </c>
      <c r="E1120" s="23" t="str">
        <f>IFERROR(__xludf.DUMMYFUNCTION("""COMPUTED_VALUE"""),"Easy")</f>
        <v>Easy</v>
      </c>
      <c r="F1120" s="23">
        <f>IFERROR(__xludf.DUMMYFUNCTION("""COMPUTED_VALUE"""),258.0)</f>
        <v>258</v>
      </c>
      <c r="G1120" s="23">
        <f>IFERROR(__xludf.DUMMYFUNCTION("""COMPUTED_VALUE"""),101.0)</f>
        <v>101</v>
      </c>
      <c r="H1120" s="23" t="str">
        <f>IFERROR(__xludf.DUMMYFUNCTION("""COMPUTED_VALUE"""),"Algorithms")</f>
        <v>Algorithms</v>
      </c>
      <c r="I1120" s="23">
        <f>IFERROR(__xludf.DUMMYFUNCTION("""COMPUTED_VALUE"""),0.908)</f>
        <v>0.908</v>
      </c>
      <c r="J1120" s="23">
        <f>IFERROR(__xludf.DUMMYFUNCTION("""COMPUTED_VALUE"""),1119.0)</f>
        <v>1119</v>
      </c>
      <c r="K1120" s="23" t="b">
        <f>IFERROR(__xludf.DUMMYFUNCTION("""COMPUTED_VALUE"""),TRUE)</f>
        <v>1</v>
      </c>
      <c r="L1120" s="23" t="str">
        <f>IFERROR(__xludf.DUMMYFUNCTION("""COMPUTED_VALUE"""),"String;")</f>
        <v>String;</v>
      </c>
      <c r="M1120" s="23" t="b">
        <f>IFERROR(__xludf.DUMMYFUNCTION("""COMPUTED_VALUE"""),FALSE)</f>
        <v>0</v>
      </c>
      <c r="N1120" s="23" t="b">
        <f>IFERROR(__xludf.DUMMYFUNCTION("""COMPUTED_VALUE"""),FALSE)</f>
        <v>0</v>
      </c>
      <c r="O1120" s="23">
        <f>IFERROR(__xludf.DUMMYFUNCTION("""COMPUTED_VALUE"""),90.7577313327371)</f>
        <v>90.75773133</v>
      </c>
      <c r="P1120" s="23">
        <f>IFERROR(__xludf.DUMMYFUNCTION("""COMPUTED_VALUE"""),82202.0)</f>
        <v>82202</v>
      </c>
      <c r="Q1120" s="23">
        <f>IFERROR(__xludf.DUMMYFUNCTION("""COMPUTED_VALUE"""),90573.0)</f>
        <v>90573</v>
      </c>
    </row>
    <row r="1121">
      <c r="A1121" s="23">
        <f>IFERROR(__xludf.DUMMYFUNCTION("""COMPUTED_VALUE"""),1091.0)</f>
        <v>1091</v>
      </c>
      <c r="B1121" s="23" t="str">
        <f>IFERROR(__xludf.DUMMYFUNCTION("""COMPUTED_VALUE"""),"Maximum Average Subtree")</f>
        <v>Maximum Average Subtree</v>
      </c>
      <c r="C1121" s="23" t="str">
        <f>IFERROR(__xludf.DUMMYFUNCTION("""COMPUTED_VALUE"""),"maximum-average-subtree")</f>
        <v>maximum-average-subtree</v>
      </c>
      <c r="D1121" s="23" t="b">
        <f>IFERROR(__xludf.DUMMYFUNCTION("""COMPUTED_VALUE"""),TRUE)</f>
        <v>1</v>
      </c>
      <c r="E1121" s="23" t="str">
        <f>IFERROR(__xludf.DUMMYFUNCTION("""COMPUTED_VALUE"""),"Medium")</f>
        <v>Medium</v>
      </c>
      <c r="F1121" s="23">
        <f>IFERROR(__xludf.DUMMYFUNCTION("""COMPUTED_VALUE"""),699.0)</f>
        <v>699</v>
      </c>
      <c r="G1121" s="23">
        <f>IFERROR(__xludf.DUMMYFUNCTION("""COMPUTED_VALUE"""),28.0)</f>
        <v>28</v>
      </c>
      <c r="H1121" s="23" t="str">
        <f>IFERROR(__xludf.DUMMYFUNCTION("""COMPUTED_VALUE"""),"Algorithms")</f>
        <v>Algorithms</v>
      </c>
      <c r="I1121" s="23">
        <f>IFERROR(__xludf.DUMMYFUNCTION("""COMPUTED_VALUE"""),0.652)</f>
        <v>0.652</v>
      </c>
      <c r="J1121" s="23">
        <f>IFERROR(__xludf.DUMMYFUNCTION("""COMPUTED_VALUE"""),1120.0)</f>
        <v>1120</v>
      </c>
      <c r="K1121" s="23" t="b">
        <f>IFERROR(__xludf.DUMMYFUNCTION("""COMPUTED_VALUE"""),TRUE)</f>
        <v>1</v>
      </c>
      <c r="L1121" s="23" t="str">
        <f>IFERROR(__xludf.DUMMYFUNCTION("""COMPUTED_VALUE"""),"Tree;Depth-First Search;Binary Tree;")</f>
        <v>Tree;Depth-First Search;Binary Tree;</v>
      </c>
      <c r="M1121" s="23" t="b">
        <f>IFERROR(__xludf.DUMMYFUNCTION("""COMPUTED_VALUE"""),TRUE)</f>
        <v>1</v>
      </c>
      <c r="N1121" s="23" t="b">
        <f>IFERROR(__xludf.DUMMYFUNCTION("""COMPUTED_VALUE"""),FALSE)</f>
        <v>0</v>
      </c>
      <c r="O1121" s="23">
        <f>IFERROR(__xludf.DUMMYFUNCTION("""COMPUTED_VALUE"""),65.2016763332012)</f>
        <v>65.20167633</v>
      </c>
      <c r="P1121" s="23">
        <f>IFERROR(__xludf.DUMMYFUNCTION("""COMPUTED_VALUE"""),54298.0)</f>
        <v>54298</v>
      </c>
      <c r="Q1121" s="23">
        <f>IFERROR(__xludf.DUMMYFUNCTION("""COMPUTED_VALUE"""),83277.0)</f>
        <v>83277</v>
      </c>
    </row>
    <row r="1122">
      <c r="A1122" s="23">
        <f>IFERROR(__xludf.DUMMYFUNCTION("""COMPUTED_VALUE"""),1118.0)</f>
        <v>1118</v>
      </c>
      <c r="B1122" s="23" t="str">
        <f>IFERROR(__xludf.DUMMYFUNCTION("""COMPUTED_VALUE"""),"Divide Array Into Increasing Sequences")</f>
        <v>Divide Array Into Increasing Sequences</v>
      </c>
      <c r="C1122" s="23" t="str">
        <f>IFERROR(__xludf.DUMMYFUNCTION("""COMPUTED_VALUE"""),"divide-array-into-increasing-sequences")</f>
        <v>divide-array-into-increasing-sequences</v>
      </c>
      <c r="D1122" s="23" t="b">
        <f>IFERROR(__xludf.DUMMYFUNCTION("""COMPUTED_VALUE"""),TRUE)</f>
        <v>1</v>
      </c>
      <c r="E1122" s="23" t="str">
        <f>IFERROR(__xludf.DUMMYFUNCTION("""COMPUTED_VALUE"""),"Hard")</f>
        <v>Hard</v>
      </c>
      <c r="F1122" s="23">
        <f>IFERROR(__xludf.DUMMYFUNCTION("""COMPUTED_VALUE"""),92.0)</f>
        <v>92</v>
      </c>
      <c r="G1122" s="23">
        <f>IFERROR(__xludf.DUMMYFUNCTION("""COMPUTED_VALUE"""),25.0)</f>
        <v>25</v>
      </c>
      <c r="H1122" s="23" t="str">
        <f>IFERROR(__xludf.DUMMYFUNCTION("""COMPUTED_VALUE"""),"Algorithms")</f>
        <v>Algorithms</v>
      </c>
      <c r="I1122" s="23">
        <f>IFERROR(__xludf.DUMMYFUNCTION("""COMPUTED_VALUE"""),0.598)</f>
        <v>0.598</v>
      </c>
      <c r="J1122" s="23">
        <f>IFERROR(__xludf.DUMMYFUNCTION("""COMPUTED_VALUE"""),1121.0)</f>
        <v>1121</v>
      </c>
      <c r="K1122" s="23" t="b">
        <f>IFERROR(__xludf.DUMMYFUNCTION("""COMPUTED_VALUE"""),TRUE)</f>
        <v>1</v>
      </c>
      <c r="L1122" s="23" t="str">
        <f>IFERROR(__xludf.DUMMYFUNCTION("""COMPUTED_VALUE"""),"Array;Greedy;")</f>
        <v>Array;Greedy;</v>
      </c>
      <c r="M1122" s="23" t="b">
        <f>IFERROR(__xludf.DUMMYFUNCTION("""COMPUTED_VALUE"""),FALSE)</f>
        <v>0</v>
      </c>
      <c r="N1122" s="23" t="b">
        <f>IFERROR(__xludf.DUMMYFUNCTION("""COMPUTED_VALUE"""),FALSE)</f>
        <v>0</v>
      </c>
      <c r="O1122" s="23">
        <f>IFERROR(__xludf.DUMMYFUNCTION("""COMPUTED_VALUE"""),59.7872996300863)</f>
        <v>59.78729963</v>
      </c>
      <c r="P1122" s="23">
        <f>IFERROR(__xludf.DUMMYFUNCTION("""COMPUTED_VALUE"""),3879.0)</f>
        <v>3879</v>
      </c>
      <c r="Q1122" s="23">
        <f>IFERROR(__xludf.DUMMYFUNCTION("""COMPUTED_VALUE"""),6488.0)</f>
        <v>6488</v>
      </c>
    </row>
    <row r="1123">
      <c r="A1123" s="23">
        <f>IFERROR(__xludf.DUMMYFUNCTION("""COMPUTED_VALUE"""),1217.0)</f>
        <v>1217</v>
      </c>
      <c r="B1123" s="23" t="str">
        <f>IFERROR(__xludf.DUMMYFUNCTION("""COMPUTED_VALUE"""),"Relative Sort Array")</f>
        <v>Relative Sort Array</v>
      </c>
      <c r="C1123" s="23" t="str">
        <f>IFERROR(__xludf.DUMMYFUNCTION("""COMPUTED_VALUE"""),"relative-sort-array")</f>
        <v>relative-sort-array</v>
      </c>
      <c r="D1123" s="23" t="b">
        <f>IFERROR(__xludf.DUMMYFUNCTION("""COMPUTED_VALUE"""),FALSE)</f>
        <v>0</v>
      </c>
      <c r="E1123" s="23" t="str">
        <f>IFERROR(__xludf.DUMMYFUNCTION("""COMPUTED_VALUE"""),"Easy")</f>
        <v>Easy</v>
      </c>
      <c r="F1123" s="23">
        <f>IFERROR(__xludf.DUMMYFUNCTION("""COMPUTED_VALUE"""),1647.0)</f>
        <v>1647</v>
      </c>
      <c r="G1123" s="23">
        <f>IFERROR(__xludf.DUMMYFUNCTION("""COMPUTED_VALUE"""),98.0)</f>
        <v>98</v>
      </c>
      <c r="H1123" s="23" t="str">
        <f>IFERROR(__xludf.DUMMYFUNCTION("""COMPUTED_VALUE"""),"Algorithms")</f>
        <v>Algorithms</v>
      </c>
      <c r="I1123" s="23">
        <f>IFERROR(__xludf.DUMMYFUNCTION("""COMPUTED_VALUE"""),0.682)</f>
        <v>0.682</v>
      </c>
      <c r="J1123" s="23">
        <f>IFERROR(__xludf.DUMMYFUNCTION("""COMPUTED_VALUE"""),1122.0)</f>
        <v>1122</v>
      </c>
      <c r="K1123" s="23" t="b">
        <f>IFERROR(__xludf.DUMMYFUNCTION("""COMPUTED_VALUE"""),FALSE)</f>
        <v>0</v>
      </c>
      <c r="L1123" s="23" t="str">
        <f>IFERROR(__xludf.DUMMYFUNCTION("""COMPUTED_VALUE"""),"Array;Hash Table;Sorting;Counting Sort;")</f>
        <v>Array;Hash Table;Sorting;Counting Sort;</v>
      </c>
      <c r="M1123" s="23" t="b">
        <f>IFERROR(__xludf.DUMMYFUNCTION("""COMPUTED_VALUE"""),FALSE)</f>
        <v>0</v>
      </c>
      <c r="N1123" s="23" t="b">
        <f>IFERROR(__xludf.DUMMYFUNCTION("""COMPUTED_VALUE"""),FALSE)</f>
        <v>0</v>
      </c>
      <c r="O1123" s="23">
        <f>IFERROR(__xludf.DUMMYFUNCTION("""COMPUTED_VALUE"""),68.1580333048114)</f>
        <v>68.1580333</v>
      </c>
      <c r="P1123" s="23">
        <f>IFERROR(__xludf.DUMMYFUNCTION("""COMPUTED_VALUE"""),124263.0)</f>
        <v>124263</v>
      </c>
      <c r="Q1123" s="23">
        <f>IFERROR(__xludf.DUMMYFUNCTION("""COMPUTED_VALUE"""),182316.0)</f>
        <v>182316</v>
      </c>
    </row>
    <row r="1124">
      <c r="A1124" s="23">
        <f>IFERROR(__xludf.DUMMYFUNCTION("""COMPUTED_VALUE"""),1218.0)</f>
        <v>1218</v>
      </c>
      <c r="B1124" s="23" t="str">
        <f>IFERROR(__xludf.DUMMYFUNCTION("""COMPUTED_VALUE"""),"Lowest Common Ancestor of Deepest Leaves")</f>
        <v>Lowest Common Ancestor of Deepest Leaves</v>
      </c>
      <c r="C1124" s="23" t="str">
        <f>IFERROR(__xludf.DUMMYFUNCTION("""COMPUTED_VALUE"""),"lowest-common-ancestor-of-deepest-leaves")</f>
        <v>lowest-common-ancestor-of-deepest-leaves</v>
      </c>
      <c r="D1124" s="23" t="b">
        <f>IFERROR(__xludf.DUMMYFUNCTION("""COMPUTED_VALUE"""),FALSE)</f>
        <v>0</v>
      </c>
      <c r="E1124" s="23" t="str">
        <f>IFERROR(__xludf.DUMMYFUNCTION("""COMPUTED_VALUE"""),"Medium")</f>
        <v>Medium</v>
      </c>
      <c r="F1124" s="23">
        <f>IFERROR(__xludf.DUMMYFUNCTION("""COMPUTED_VALUE"""),1198.0)</f>
        <v>1198</v>
      </c>
      <c r="G1124" s="23">
        <f>IFERROR(__xludf.DUMMYFUNCTION("""COMPUTED_VALUE"""),736.0)</f>
        <v>736</v>
      </c>
      <c r="H1124" s="23" t="str">
        <f>IFERROR(__xludf.DUMMYFUNCTION("""COMPUTED_VALUE"""),"Algorithms")</f>
        <v>Algorithms</v>
      </c>
      <c r="I1124" s="23">
        <f>IFERROR(__xludf.DUMMYFUNCTION("""COMPUTED_VALUE"""),0.701)</f>
        <v>0.701</v>
      </c>
      <c r="J1124" s="23">
        <f>IFERROR(__xludf.DUMMYFUNCTION("""COMPUTED_VALUE"""),1123.0)</f>
        <v>1123</v>
      </c>
      <c r="K1124" s="23" t="b">
        <f>IFERROR(__xludf.DUMMYFUNCTION("""COMPUTED_VALUE"""),FALSE)</f>
        <v>0</v>
      </c>
      <c r="L1124" s="23" t="str">
        <f>IFERROR(__xludf.DUMMYFUNCTION("""COMPUTED_VALUE"""),"Hash Table;Tree;Depth-First Search;Breadth-First Search;Binary Tree;")</f>
        <v>Hash Table;Tree;Depth-First Search;Breadth-First Search;Binary Tree;</v>
      </c>
      <c r="M1124" s="23" t="b">
        <f>IFERROR(__xludf.DUMMYFUNCTION("""COMPUTED_VALUE"""),FALSE)</f>
        <v>0</v>
      </c>
      <c r="N1124" s="23" t="b">
        <f>IFERROR(__xludf.DUMMYFUNCTION("""COMPUTED_VALUE"""),FALSE)</f>
        <v>0</v>
      </c>
      <c r="O1124" s="23">
        <f>IFERROR(__xludf.DUMMYFUNCTION("""COMPUTED_VALUE"""),70.1316824635672)</f>
        <v>70.13168246</v>
      </c>
      <c r="P1124" s="23">
        <f>IFERROR(__xludf.DUMMYFUNCTION("""COMPUTED_VALUE"""),74881.0)</f>
        <v>74881</v>
      </c>
      <c r="Q1124" s="23">
        <f>IFERROR(__xludf.DUMMYFUNCTION("""COMPUTED_VALUE"""),106772.0)</f>
        <v>106772</v>
      </c>
    </row>
    <row r="1125">
      <c r="A1125" s="23">
        <f>IFERROR(__xludf.DUMMYFUNCTION("""COMPUTED_VALUE"""),1219.0)</f>
        <v>1219</v>
      </c>
      <c r="B1125" s="23" t="str">
        <f>IFERROR(__xludf.DUMMYFUNCTION("""COMPUTED_VALUE"""),"Longest Well-Performing Interval")</f>
        <v>Longest Well-Performing Interval</v>
      </c>
      <c r="C1125" s="23" t="str">
        <f>IFERROR(__xludf.DUMMYFUNCTION("""COMPUTED_VALUE"""),"longest-well-performing-interval")</f>
        <v>longest-well-performing-interval</v>
      </c>
      <c r="D1125" s="23" t="b">
        <f>IFERROR(__xludf.DUMMYFUNCTION("""COMPUTED_VALUE"""),FALSE)</f>
        <v>0</v>
      </c>
      <c r="E1125" s="23" t="str">
        <f>IFERROR(__xludf.DUMMYFUNCTION("""COMPUTED_VALUE"""),"Medium")</f>
        <v>Medium</v>
      </c>
      <c r="F1125" s="23">
        <f>IFERROR(__xludf.DUMMYFUNCTION("""COMPUTED_VALUE"""),947.0)</f>
        <v>947</v>
      </c>
      <c r="G1125" s="23">
        <f>IFERROR(__xludf.DUMMYFUNCTION("""COMPUTED_VALUE"""),95.0)</f>
        <v>95</v>
      </c>
      <c r="H1125" s="23" t="str">
        <f>IFERROR(__xludf.DUMMYFUNCTION("""COMPUTED_VALUE"""),"Algorithms")</f>
        <v>Algorithms</v>
      </c>
      <c r="I1125" s="23">
        <f>IFERROR(__xludf.DUMMYFUNCTION("""COMPUTED_VALUE"""),0.343)</f>
        <v>0.343</v>
      </c>
      <c r="J1125" s="23">
        <f>IFERROR(__xludf.DUMMYFUNCTION("""COMPUTED_VALUE"""),1124.0)</f>
        <v>1124</v>
      </c>
      <c r="K1125" s="23" t="b">
        <f>IFERROR(__xludf.DUMMYFUNCTION("""COMPUTED_VALUE"""),FALSE)</f>
        <v>0</v>
      </c>
      <c r="L1125" s="23" t="str">
        <f>IFERROR(__xludf.DUMMYFUNCTION("""COMPUTED_VALUE"""),"Array;Hash Table;Stack;Monotonic Stack;Prefix Sum;")</f>
        <v>Array;Hash Table;Stack;Monotonic Stack;Prefix Sum;</v>
      </c>
      <c r="M1125" s="23" t="b">
        <f>IFERROR(__xludf.DUMMYFUNCTION("""COMPUTED_VALUE"""),FALSE)</f>
        <v>0</v>
      </c>
      <c r="N1125" s="23" t="b">
        <f>IFERROR(__xludf.DUMMYFUNCTION("""COMPUTED_VALUE"""),FALSE)</f>
        <v>0</v>
      </c>
      <c r="O1125" s="23">
        <f>IFERROR(__xludf.DUMMYFUNCTION("""COMPUTED_VALUE"""),34.2503199709261)</f>
        <v>34.25031997</v>
      </c>
      <c r="P1125" s="23">
        <f>IFERROR(__xludf.DUMMYFUNCTION("""COMPUTED_VALUE"""),21676.0)</f>
        <v>21676</v>
      </c>
      <c r="Q1125" s="23">
        <f>IFERROR(__xludf.DUMMYFUNCTION("""COMPUTED_VALUE"""),63287.0)</f>
        <v>63287</v>
      </c>
    </row>
    <row r="1126">
      <c r="A1126" s="23">
        <f>IFERROR(__xludf.DUMMYFUNCTION("""COMPUTED_VALUE"""),1220.0)</f>
        <v>1220</v>
      </c>
      <c r="B1126" s="23" t="str">
        <f>IFERROR(__xludf.DUMMYFUNCTION("""COMPUTED_VALUE"""),"Smallest Sufficient Team")</f>
        <v>Smallest Sufficient Team</v>
      </c>
      <c r="C1126" s="23" t="str">
        <f>IFERROR(__xludf.DUMMYFUNCTION("""COMPUTED_VALUE"""),"smallest-sufficient-team")</f>
        <v>smallest-sufficient-team</v>
      </c>
      <c r="D1126" s="23" t="b">
        <f>IFERROR(__xludf.DUMMYFUNCTION("""COMPUTED_VALUE"""),FALSE)</f>
        <v>0</v>
      </c>
      <c r="E1126" s="23" t="str">
        <f>IFERROR(__xludf.DUMMYFUNCTION("""COMPUTED_VALUE"""),"Hard")</f>
        <v>Hard</v>
      </c>
      <c r="F1126" s="23">
        <f>IFERROR(__xludf.DUMMYFUNCTION("""COMPUTED_VALUE"""),708.0)</f>
        <v>708</v>
      </c>
      <c r="G1126" s="23">
        <f>IFERROR(__xludf.DUMMYFUNCTION("""COMPUTED_VALUE"""),15.0)</f>
        <v>15</v>
      </c>
      <c r="H1126" s="23" t="str">
        <f>IFERROR(__xludf.DUMMYFUNCTION("""COMPUTED_VALUE"""),"Algorithms")</f>
        <v>Algorithms</v>
      </c>
      <c r="I1126" s="23">
        <f>IFERROR(__xludf.DUMMYFUNCTION("""COMPUTED_VALUE"""),0.477)</f>
        <v>0.477</v>
      </c>
      <c r="J1126" s="23">
        <f>IFERROR(__xludf.DUMMYFUNCTION("""COMPUTED_VALUE"""),1125.0)</f>
        <v>1125</v>
      </c>
      <c r="K1126" s="23" t="b">
        <f>IFERROR(__xludf.DUMMYFUNCTION("""COMPUTED_VALUE"""),FALSE)</f>
        <v>0</v>
      </c>
      <c r="L1126" s="23" t="str">
        <f>IFERROR(__xludf.DUMMYFUNCTION("""COMPUTED_VALUE"""),"Array;Dynamic Programming;Bit Manipulation;Bitmask;")</f>
        <v>Array;Dynamic Programming;Bit Manipulation;Bitmask;</v>
      </c>
      <c r="M1126" s="23" t="b">
        <f>IFERROR(__xludf.DUMMYFUNCTION("""COMPUTED_VALUE"""),FALSE)</f>
        <v>0</v>
      </c>
      <c r="N1126" s="23" t="b">
        <f>IFERROR(__xludf.DUMMYFUNCTION("""COMPUTED_VALUE"""),FALSE)</f>
        <v>0</v>
      </c>
      <c r="O1126" s="23">
        <f>IFERROR(__xludf.DUMMYFUNCTION("""COMPUTED_VALUE"""),47.6968884918862)</f>
        <v>47.69688849</v>
      </c>
      <c r="P1126" s="23">
        <f>IFERROR(__xludf.DUMMYFUNCTION("""COMPUTED_VALUE"""),16019.0)</f>
        <v>16019</v>
      </c>
      <c r="Q1126" s="23">
        <f>IFERROR(__xludf.DUMMYFUNCTION("""COMPUTED_VALUE"""),33585.0)</f>
        <v>33585</v>
      </c>
    </row>
    <row r="1127">
      <c r="A1127" s="23">
        <f>IFERROR(__xludf.DUMMYFUNCTION("""COMPUTED_VALUE"""),1225.0)</f>
        <v>1225</v>
      </c>
      <c r="B1127" s="23" t="str">
        <f>IFERROR(__xludf.DUMMYFUNCTION("""COMPUTED_VALUE"""),"Active Businesses")</f>
        <v>Active Businesses</v>
      </c>
      <c r="C1127" s="23" t="str">
        <f>IFERROR(__xludf.DUMMYFUNCTION("""COMPUTED_VALUE"""),"active-businesses")</f>
        <v>active-businesses</v>
      </c>
      <c r="D1127" s="23" t="b">
        <f>IFERROR(__xludf.DUMMYFUNCTION("""COMPUTED_VALUE"""),TRUE)</f>
        <v>1</v>
      </c>
      <c r="E1127" s="23" t="str">
        <f>IFERROR(__xludf.DUMMYFUNCTION("""COMPUTED_VALUE"""),"Medium")</f>
        <v>Medium</v>
      </c>
      <c r="F1127" s="23">
        <f>IFERROR(__xludf.DUMMYFUNCTION("""COMPUTED_VALUE"""),182.0)</f>
        <v>182</v>
      </c>
      <c r="G1127" s="23">
        <f>IFERROR(__xludf.DUMMYFUNCTION("""COMPUTED_VALUE"""),21.0)</f>
        <v>21</v>
      </c>
      <c r="H1127" s="23" t="str">
        <f>IFERROR(__xludf.DUMMYFUNCTION("""COMPUTED_VALUE"""),"Database")</f>
        <v>Database</v>
      </c>
      <c r="I1127" s="23">
        <f>IFERROR(__xludf.DUMMYFUNCTION("""COMPUTED_VALUE"""),0.678)</f>
        <v>0.678</v>
      </c>
      <c r="J1127" s="23">
        <f>IFERROR(__xludf.DUMMYFUNCTION("""COMPUTED_VALUE"""),1126.0)</f>
        <v>1126</v>
      </c>
      <c r="K1127" s="23" t="b">
        <f>IFERROR(__xludf.DUMMYFUNCTION("""COMPUTED_VALUE"""),TRUE)</f>
        <v>1</v>
      </c>
      <c r="L1127" s="23" t="str">
        <f>IFERROR(__xludf.DUMMYFUNCTION("""COMPUTED_VALUE"""),"Database;")</f>
        <v>Database;</v>
      </c>
      <c r="M1127" s="23" t="b">
        <f>IFERROR(__xludf.DUMMYFUNCTION("""COMPUTED_VALUE"""),FALSE)</f>
        <v>0</v>
      </c>
      <c r="N1127" s="23" t="b">
        <f>IFERROR(__xludf.DUMMYFUNCTION("""COMPUTED_VALUE"""),FALSE)</f>
        <v>0</v>
      </c>
      <c r="O1127" s="23">
        <f>IFERROR(__xludf.DUMMYFUNCTION("""COMPUTED_VALUE"""),67.7587779297765)</f>
        <v>67.75877793</v>
      </c>
      <c r="P1127" s="23">
        <f>IFERROR(__xludf.DUMMYFUNCTION("""COMPUTED_VALUE"""),29719.0)</f>
        <v>29719</v>
      </c>
      <c r="Q1127" s="23">
        <f>IFERROR(__xludf.DUMMYFUNCTION("""COMPUTED_VALUE"""),43860.0)</f>
        <v>43860</v>
      </c>
    </row>
    <row r="1128">
      <c r="A1128" s="23">
        <f>IFERROR(__xludf.DUMMYFUNCTION("""COMPUTED_VALUE"""),1226.0)</f>
        <v>1226</v>
      </c>
      <c r="B1128" s="23" t="str">
        <f>IFERROR(__xludf.DUMMYFUNCTION("""COMPUTED_VALUE"""),"User Purchase Platform")</f>
        <v>User Purchase Platform</v>
      </c>
      <c r="C1128" s="23" t="str">
        <f>IFERROR(__xludf.DUMMYFUNCTION("""COMPUTED_VALUE"""),"user-purchase-platform")</f>
        <v>user-purchase-platform</v>
      </c>
      <c r="D1128" s="23" t="b">
        <f>IFERROR(__xludf.DUMMYFUNCTION("""COMPUTED_VALUE"""),TRUE)</f>
        <v>1</v>
      </c>
      <c r="E1128" s="23" t="str">
        <f>IFERROR(__xludf.DUMMYFUNCTION("""COMPUTED_VALUE"""),"Hard")</f>
        <v>Hard</v>
      </c>
      <c r="F1128" s="23">
        <f>IFERROR(__xludf.DUMMYFUNCTION("""COMPUTED_VALUE"""),135.0)</f>
        <v>135</v>
      </c>
      <c r="G1128" s="23">
        <f>IFERROR(__xludf.DUMMYFUNCTION("""COMPUTED_VALUE"""),103.0)</f>
        <v>103</v>
      </c>
      <c r="H1128" s="23" t="str">
        <f>IFERROR(__xludf.DUMMYFUNCTION("""COMPUTED_VALUE"""),"Database")</f>
        <v>Database</v>
      </c>
      <c r="I1128" s="23">
        <f>IFERROR(__xludf.DUMMYFUNCTION("""COMPUTED_VALUE"""),0.512)</f>
        <v>0.512</v>
      </c>
      <c r="J1128" s="23">
        <f>IFERROR(__xludf.DUMMYFUNCTION("""COMPUTED_VALUE"""),1127.0)</f>
        <v>1127</v>
      </c>
      <c r="K1128" s="23" t="b">
        <f>IFERROR(__xludf.DUMMYFUNCTION("""COMPUTED_VALUE"""),TRUE)</f>
        <v>1</v>
      </c>
      <c r="L1128" s="23" t="str">
        <f>IFERROR(__xludf.DUMMYFUNCTION("""COMPUTED_VALUE"""),"Database;")</f>
        <v>Database;</v>
      </c>
      <c r="M1128" s="23" t="b">
        <f>IFERROR(__xludf.DUMMYFUNCTION("""COMPUTED_VALUE"""),FALSE)</f>
        <v>0</v>
      </c>
      <c r="N1128" s="23" t="b">
        <f>IFERROR(__xludf.DUMMYFUNCTION("""COMPUTED_VALUE"""),FALSE)</f>
        <v>0</v>
      </c>
      <c r="O1128" s="23">
        <f>IFERROR(__xludf.DUMMYFUNCTION("""COMPUTED_VALUE"""),51.2423078702632)</f>
        <v>51.24230787</v>
      </c>
      <c r="P1128" s="23">
        <f>IFERROR(__xludf.DUMMYFUNCTION("""COMPUTED_VALUE"""),11075.0)</f>
        <v>11075</v>
      </c>
      <c r="Q1128" s="23">
        <f>IFERROR(__xludf.DUMMYFUNCTION("""COMPUTED_VALUE"""),21613.0)</f>
        <v>21613</v>
      </c>
    </row>
    <row r="1129">
      <c r="A1129" s="23">
        <f>IFERROR(__xludf.DUMMYFUNCTION("""COMPUTED_VALUE"""),1227.0)</f>
        <v>1227</v>
      </c>
      <c r="B1129" s="23" t="str">
        <f>IFERROR(__xludf.DUMMYFUNCTION("""COMPUTED_VALUE"""),"Number of Equivalent Domino Pairs")</f>
        <v>Number of Equivalent Domino Pairs</v>
      </c>
      <c r="C1129" s="23" t="str">
        <f>IFERROR(__xludf.DUMMYFUNCTION("""COMPUTED_VALUE"""),"number-of-equivalent-domino-pairs")</f>
        <v>number-of-equivalent-domino-pairs</v>
      </c>
      <c r="D1129" s="23" t="b">
        <f>IFERROR(__xludf.DUMMYFUNCTION("""COMPUTED_VALUE"""),FALSE)</f>
        <v>0</v>
      </c>
      <c r="E1129" s="23" t="str">
        <f>IFERROR(__xludf.DUMMYFUNCTION("""COMPUTED_VALUE"""),"Easy")</f>
        <v>Easy</v>
      </c>
      <c r="F1129" s="23">
        <f>IFERROR(__xludf.DUMMYFUNCTION("""COMPUTED_VALUE"""),480.0)</f>
        <v>480</v>
      </c>
      <c r="G1129" s="23">
        <f>IFERROR(__xludf.DUMMYFUNCTION("""COMPUTED_VALUE"""),230.0)</f>
        <v>230</v>
      </c>
      <c r="H1129" s="23" t="str">
        <f>IFERROR(__xludf.DUMMYFUNCTION("""COMPUTED_VALUE"""),"Algorithms")</f>
        <v>Algorithms</v>
      </c>
      <c r="I1129" s="23">
        <f>IFERROR(__xludf.DUMMYFUNCTION("""COMPUTED_VALUE"""),0.463)</f>
        <v>0.463</v>
      </c>
      <c r="J1129" s="23">
        <f>IFERROR(__xludf.DUMMYFUNCTION("""COMPUTED_VALUE"""),1128.0)</f>
        <v>1128</v>
      </c>
      <c r="K1129" s="23" t="b">
        <f>IFERROR(__xludf.DUMMYFUNCTION("""COMPUTED_VALUE"""),FALSE)</f>
        <v>0</v>
      </c>
      <c r="L1129" s="23" t="str">
        <f>IFERROR(__xludf.DUMMYFUNCTION("""COMPUTED_VALUE"""),"Array;Hash Table;Counting;")</f>
        <v>Array;Hash Table;Counting;</v>
      </c>
      <c r="M1129" s="23" t="b">
        <f>IFERROR(__xludf.DUMMYFUNCTION("""COMPUTED_VALUE"""),FALSE)</f>
        <v>0</v>
      </c>
      <c r="N1129" s="23" t="b">
        <f>IFERROR(__xludf.DUMMYFUNCTION("""COMPUTED_VALUE"""),FALSE)</f>
        <v>0</v>
      </c>
      <c r="O1129" s="23">
        <f>IFERROR(__xludf.DUMMYFUNCTION("""COMPUTED_VALUE"""),46.2987807284062)</f>
        <v>46.29878073</v>
      </c>
      <c r="P1129" s="23">
        <f>IFERROR(__xludf.DUMMYFUNCTION("""COMPUTED_VALUE"""),46934.0)</f>
        <v>46934</v>
      </c>
      <c r="Q1129" s="23">
        <f>IFERROR(__xludf.DUMMYFUNCTION("""COMPUTED_VALUE"""),101372.0)</f>
        <v>101372</v>
      </c>
    </row>
    <row r="1130">
      <c r="A1130" s="23">
        <f>IFERROR(__xludf.DUMMYFUNCTION("""COMPUTED_VALUE"""),1229.0)</f>
        <v>1229</v>
      </c>
      <c r="B1130" s="23" t="str">
        <f>IFERROR(__xludf.DUMMYFUNCTION("""COMPUTED_VALUE"""),"Shortest Path with Alternating Colors")</f>
        <v>Shortest Path with Alternating Colors</v>
      </c>
      <c r="C1130" s="23" t="str">
        <f>IFERROR(__xludf.DUMMYFUNCTION("""COMPUTED_VALUE"""),"shortest-path-with-alternating-colors")</f>
        <v>shortest-path-with-alternating-colors</v>
      </c>
      <c r="D1130" s="23" t="b">
        <f>IFERROR(__xludf.DUMMYFUNCTION("""COMPUTED_VALUE"""),FALSE)</f>
        <v>0</v>
      </c>
      <c r="E1130" s="23" t="str">
        <f>IFERROR(__xludf.DUMMYFUNCTION("""COMPUTED_VALUE"""),"Medium")</f>
        <v>Medium</v>
      </c>
      <c r="F1130" s="23">
        <f>IFERROR(__xludf.DUMMYFUNCTION("""COMPUTED_VALUE"""),1207.0)</f>
        <v>1207</v>
      </c>
      <c r="G1130" s="23">
        <f>IFERROR(__xludf.DUMMYFUNCTION("""COMPUTED_VALUE"""),60.0)</f>
        <v>60</v>
      </c>
      <c r="H1130" s="23" t="str">
        <f>IFERROR(__xludf.DUMMYFUNCTION("""COMPUTED_VALUE"""),"Algorithms")</f>
        <v>Algorithms</v>
      </c>
      <c r="I1130" s="23">
        <f>IFERROR(__xludf.DUMMYFUNCTION("""COMPUTED_VALUE"""),0.422)</f>
        <v>0.422</v>
      </c>
      <c r="J1130" s="23">
        <f>IFERROR(__xludf.DUMMYFUNCTION("""COMPUTED_VALUE"""),1129.0)</f>
        <v>1129</v>
      </c>
      <c r="K1130" s="23" t="b">
        <f>IFERROR(__xludf.DUMMYFUNCTION("""COMPUTED_VALUE"""),FALSE)</f>
        <v>0</v>
      </c>
      <c r="L1130" s="23" t="str">
        <f>IFERROR(__xludf.DUMMYFUNCTION("""COMPUTED_VALUE"""),"Breadth-First Search;Graph;")</f>
        <v>Breadth-First Search;Graph;</v>
      </c>
      <c r="M1130" s="23" t="b">
        <f>IFERROR(__xludf.DUMMYFUNCTION("""COMPUTED_VALUE"""),FALSE)</f>
        <v>0</v>
      </c>
      <c r="N1130" s="23" t="b">
        <f>IFERROR(__xludf.DUMMYFUNCTION("""COMPUTED_VALUE"""),FALSE)</f>
        <v>0</v>
      </c>
      <c r="O1130" s="23">
        <f>IFERROR(__xludf.DUMMYFUNCTION("""COMPUTED_VALUE"""),42.1621751800207)</f>
        <v>42.16217518</v>
      </c>
      <c r="P1130" s="23">
        <f>IFERROR(__xludf.DUMMYFUNCTION("""COMPUTED_VALUE"""),35014.0)</f>
        <v>35014</v>
      </c>
      <c r="Q1130" s="23">
        <f>IFERROR(__xludf.DUMMYFUNCTION("""COMPUTED_VALUE"""),83046.0)</f>
        <v>83046</v>
      </c>
    </row>
    <row r="1131">
      <c r="A1131" s="23">
        <f>IFERROR(__xludf.DUMMYFUNCTION("""COMPUTED_VALUE"""),1228.0)</f>
        <v>1228</v>
      </c>
      <c r="B1131" s="23" t="str">
        <f>IFERROR(__xludf.DUMMYFUNCTION("""COMPUTED_VALUE"""),"Minimum Cost Tree From Leaf Values")</f>
        <v>Minimum Cost Tree From Leaf Values</v>
      </c>
      <c r="C1131" s="23" t="str">
        <f>IFERROR(__xludf.DUMMYFUNCTION("""COMPUTED_VALUE"""),"minimum-cost-tree-from-leaf-values")</f>
        <v>minimum-cost-tree-from-leaf-values</v>
      </c>
      <c r="D1131" s="23" t="b">
        <f>IFERROR(__xludf.DUMMYFUNCTION("""COMPUTED_VALUE"""),FALSE)</f>
        <v>0</v>
      </c>
      <c r="E1131" s="23" t="str">
        <f>IFERROR(__xludf.DUMMYFUNCTION("""COMPUTED_VALUE"""),"Medium")</f>
        <v>Medium</v>
      </c>
      <c r="F1131" s="23">
        <f>IFERROR(__xludf.DUMMYFUNCTION("""COMPUTED_VALUE"""),3043.0)</f>
        <v>3043</v>
      </c>
      <c r="G1131" s="23">
        <f>IFERROR(__xludf.DUMMYFUNCTION("""COMPUTED_VALUE"""),214.0)</f>
        <v>214</v>
      </c>
      <c r="H1131" s="23" t="str">
        <f>IFERROR(__xludf.DUMMYFUNCTION("""COMPUTED_VALUE"""),"Algorithms")</f>
        <v>Algorithms</v>
      </c>
      <c r="I1131" s="23">
        <f>IFERROR(__xludf.DUMMYFUNCTION("""COMPUTED_VALUE"""),0.685)</f>
        <v>0.685</v>
      </c>
      <c r="J1131" s="23">
        <f>IFERROR(__xludf.DUMMYFUNCTION("""COMPUTED_VALUE"""),1130.0)</f>
        <v>1130</v>
      </c>
      <c r="K1131" s="23" t="b">
        <f>IFERROR(__xludf.DUMMYFUNCTION("""COMPUTED_VALUE"""),FALSE)</f>
        <v>0</v>
      </c>
      <c r="L1131" s="23" t="str">
        <f>IFERROR(__xludf.DUMMYFUNCTION("""COMPUTED_VALUE"""),"Dynamic Programming;Stack;Greedy;Monotonic Stack;")</f>
        <v>Dynamic Programming;Stack;Greedy;Monotonic Stack;</v>
      </c>
      <c r="M1131" s="23" t="b">
        <f>IFERROR(__xludf.DUMMYFUNCTION("""COMPUTED_VALUE"""),FALSE)</f>
        <v>0</v>
      </c>
      <c r="N1131" s="23" t="b">
        <f>IFERROR(__xludf.DUMMYFUNCTION("""COMPUTED_VALUE"""),FALSE)</f>
        <v>0</v>
      </c>
      <c r="O1131" s="23">
        <f>IFERROR(__xludf.DUMMYFUNCTION("""COMPUTED_VALUE"""),68.4657309603048)</f>
        <v>68.46573096</v>
      </c>
      <c r="P1131" s="23">
        <f>IFERROR(__xludf.DUMMYFUNCTION("""COMPUTED_VALUE"""),70975.0)</f>
        <v>70975</v>
      </c>
      <c r="Q1131" s="23">
        <f>IFERROR(__xludf.DUMMYFUNCTION("""COMPUTED_VALUE"""),103665.0)</f>
        <v>103665</v>
      </c>
    </row>
    <row r="1132">
      <c r="A1132" s="23">
        <f>IFERROR(__xludf.DUMMYFUNCTION("""COMPUTED_VALUE"""),1230.0)</f>
        <v>1230</v>
      </c>
      <c r="B1132" s="23" t="str">
        <f>IFERROR(__xludf.DUMMYFUNCTION("""COMPUTED_VALUE"""),"Maximum of Absolute Value Expression")</f>
        <v>Maximum of Absolute Value Expression</v>
      </c>
      <c r="C1132" s="23" t="str">
        <f>IFERROR(__xludf.DUMMYFUNCTION("""COMPUTED_VALUE"""),"maximum-of-absolute-value-expression")</f>
        <v>maximum-of-absolute-value-expression</v>
      </c>
      <c r="D1132" s="23" t="b">
        <f>IFERROR(__xludf.DUMMYFUNCTION("""COMPUTED_VALUE"""),FALSE)</f>
        <v>0</v>
      </c>
      <c r="E1132" s="23" t="str">
        <f>IFERROR(__xludf.DUMMYFUNCTION("""COMPUTED_VALUE"""),"Medium")</f>
        <v>Medium</v>
      </c>
      <c r="F1132" s="23">
        <f>IFERROR(__xludf.DUMMYFUNCTION("""COMPUTED_VALUE"""),452.0)</f>
        <v>452</v>
      </c>
      <c r="G1132" s="23">
        <f>IFERROR(__xludf.DUMMYFUNCTION("""COMPUTED_VALUE"""),330.0)</f>
        <v>330</v>
      </c>
      <c r="H1132" s="23" t="str">
        <f>IFERROR(__xludf.DUMMYFUNCTION("""COMPUTED_VALUE"""),"Algorithms")</f>
        <v>Algorithms</v>
      </c>
      <c r="I1132" s="23">
        <f>IFERROR(__xludf.DUMMYFUNCTION("""COMPUTED_VALUE"""),0.499)</f>
        <v>0.499</v>
      </c>
      <c r="J1132" s="23">
        <f>IFERROR(__xludf.DUMMYFUNCTION("""COMPUTED_VALUE"""),1131.0)</f>
        <v>1131</v>
      </c>
      <c r="K1132" s="23" t="b">
        <f>IFERROR(__xludf.DUMMYFUNCTION("""COMPUTED_VALUE"""),FALSE)</f>
        <v>0</v>
      </c>
      <c r="L1132" s="23" t="str">
        <f>IFERROR(__xludf.DUMMYFUNCTION("""COMPUTED_VALUE"""),"Array;Math;")</f>
        <v>Array;Math;</v>
      </c>
      <c r="M1132" s="23" t="b">
        <f>IFERROR(__xludf.DUMMYFUNCTION("""COMPUTED_VALUE"""),FALSE)</f>
        <v>0</v>
      </c>
      <c r="N1132" s="23" t="b">
        <f>IFERROR(__xludf.DUMMYFUNCTION("""COMPUTED_VALUE"""),FALSE)</f>
        <v>0</v>
      </c>
      <c r="O1132" s="23">
        <f>IFERROR(__xludf.DUMMYFUNCTION("""COMPUTED_VALUE"""),49.900435594275)</f>
        <v>49.90043559</v>
      </c>
      <c r="P1132" s="23">
        <f>IFERROR(__xludf.DUMMYFUNCTION("""COMPUTED_VALUE"""),16038.0)</f>
        <v>16038</v>
      </c>
      <c r="Q1132" s="23">
        <f>IFERROR(__xludf.DUMMYFUNCTION("""COMPUTED_VALUE"""),32140.0)</f>
        <v>32140</v>
      </c>
    </row>
    <row r="1133">
      <c r="A1133" s="23">
        <f>IFERROR(__xludf.DUMMYFUNCTION("""COMPUTED_VALUE"""),1237.0)</f>
        <v>1237</v>
      </c>
      <c r="B1133" s="23" t="str">
        <f>IFERROR(__xludf.DUMMYFUNCTION("""COMPUTED_VALUE"""),"Reported Posts II")</f>
        <v>Reported Posts II</v>
      </c>
      <c r="C1133" s="23" t="str">
        <f>IFERROR(__xludf.DUMMYFUNCTION("""COMPUTED_VALUE"""),"reported-posts-ii")</f>
        <v>reported-posts-ii</v>
      </c>
      <c r="D1133" s="23" t="b">
        <f>IFERROR(__xludf.DUMMYFUNCTION("""COMPUTED_VALUE"""),TRUE)</f>
        <v>1</v>
      </c>
      <c r="E1133" s="23" t="str">
        <f>IFERROR(__xludf.DUMMYFUNCTION("""COMPUTED_VALUE"""),"Medium")</f>
        <v>Medium</v>
      </c>
      <c r="F1133" s="23">
        <f>IFERROR(__xludf.DUMMYFUNCTION("""COMPUTED_VALUE"""),117.0)</f>
        <v>117</v>
      </c>
      <c r="G1133" s="23">
        <f>IFERROR(__xludf.DUMMYFUNCTION("""COMPUTED_VALUE"""),415.0)</f>
        <v>415</v>
      </c>
      <c r="H1133" s="23" t="str">
        <f>IFERROR(__xludf.DUMMYFUNCTION("""COMPUTED_VALUE"""),"Database")</f>
        <v>Database</v>
      </c>
      <c r="I1133" s="23">
        <f>IFERROR(__xludf.DUMMYFUNCTION("""COMPUTED_VALUE"""),0.338)</f>
        <v>0.338</v>
      </c>
      <c r="J1133" s="23">
        <f>IFERROR(__xludf.DUMMYFUNCTION("""COMPUTED_VALUE"""),1132.0)</f>
        <v>1132</v>
      </c>
      <c r="K1133" s="23" t="b">
        <f>IFERROR(__xludf.DUMMYFUNCTION("""COMPUTED_VALUE"""),TRUE)</f>
        <v>1</v>
      </c>
      <c r="L1133" s="23" t="str">
        <f>IFERROR(__xludf.DUMMYFUNCTION("""COMPUTED_VALUE"""),"Database;")</f>
        <v>Database;</v>
      </c>
      <c r="M1133" s="23" t="b">
        <f>IFERROR(__xludf.DUMMYFUNCTION("""COMPUTED_VALUE"""),FALSE)</f>
        <v>0</v>
      </c>
      <c r="N1133" s="23" t="b">
        <f>IFERROR(__xludf.DUMMYFUNCTION("""COMPUTED_VALUE"""),FALSE)</f>
        <v>0</v>
      </c>
      <c r="O1133" s="23">
        <f>IFERROR(__xludf.DUMMYFUNCTION("""COMPUTED_VALUE"""),33.7518398772157)</f>
        <v>33.75183988</v>
      </c>
      <c r="P1133" s="23">
        <f>IFERROR(__xludf.DUMMYFUNCTION("""COMPUTED_VALUE"""),26829.0)</f>
        <v>26829</v>
      </c>
      <c r="Q1133" s="23">
        <f>IFERROR(__xludf.DUMMYFUNCTION("""COMPUTED_VALUE"""),79489.0)</f>
        <v>79489</v>
      </c>
    </row>
    <row r="1134">
      <c r="A1134" s="23">
        <f>IFERROR(__xludf.DUMMYFUNCTION("""COMPUTED_VALUE"""),1098.0)</f>
        <v>1098</v>
      </c>
      <c r="B1134" s="23" t="str">
        <f>IFERROR(__xludf.DUMMYFUNCTION("""COMPUTED_VALUE"""),"Largest Unique Number")</f>
        <v>Largest Unique Number</v>
      </c>
      <c r="C1134" s="23" t="str">
        <f>IFERROR(__xludf.DUMMYFUNCTION("""COMPUTED_VALUE"""),"largest-unique-number")</f>
        <v>largest-unique-number</v>
      </c>
      <c r="D1134" s="23" t="b">
        <f>IFERROR(__xludf.DUMMYFUNCTION("""COMPUTED_VALUE"""),TRUE)</f>
        <v>1</v>
      </c>
      <c r="E1134" s="23" t="str">
        <f>IFERROR(__xludf.DUMMYFUNCTION("""COMPUTED_VALUE"""),"Easy")</f>
        <v>Easy</v>
      </c>
      <c r="F1134" s="23">
        <f>IFERROR(__xludf.DUMMYFUNCTION("""COMPUTED_VALUE"""),229.0)</f>
        <v>229</v>
      </c>
      <c r="G1134" s="23">
        <f>IFERROR(__xludf.DUMMYFUNCTION("""COMPUTED_VALUE"""),16.0)</f>
        <v>16</v>
      </c>
      <c r="H1134" s="23" t="str">
        <f>IFERROR(__xludf.DUMMYFUNCTION("""COMPUTED_VALUE"""),"Algorithms")</f>
        <v>Algorithms</v>
      </c>
      <c r="I1134" s="23">
        <f>IFERROR(__xludf.DUMMYFUNCTION("""COMPUTED_VALUE"""),0.674)</f>
        <v>0.674</v>
      </c>
      <c r="J1134" s="23">
        <f>IFERROR(__xludf.DUMMYFUNCTION("""COMPUTED_VALUE"""),1133.0)</f>
        <v>1133</v>
      </c>
      <c r="K1134" s="23" t="b">
        <f>IFERROR(__xludf.DUMMYFUNCTION("""COMPUTED_VALUE"""),TRUE)</f>
        <v>1</v>
      </c>
      <c r="L1134" s="23" t="str">
        <f>IFERROR(__xludf.DUMMYFUNCTION("""COMPUTED_VALUE"""),"Array;Hash Table;Sorting;")</f>
        <v>Array;Hash Table;Sorting;</v>
      </c>
      <c r="M1134" s="23" t="b">
        <f>IFERROR(__xludf.DUMMYFUNCTION("""COMPUTED_VALUE"""),TRUE)</f>
        <v>1</v>
      </c>
      <c r="N1134" s="23" t="b">
        <f>IFERROR(__xludf.DUMMYFUNCTION("""COMPUTED_VALUE"""),FALSE)</f>
        <v>0</v>
      </c>
      <c r="O1134" s="23">
        <f>IFERROR(__xludf.DUMMYFUNCTION("""COMPUTED_VALUE"""),67.3982782893674)</f>
        <v>67.39827829</v>
      </c>
      <c r="P1134" s="23">
        <f>IFERROR(__xludf.DUMMYFUNCTION("""COMPUTED_VALUE"""),29203.0)</f>
        <v>29203</v>
      </c>
      <c r="Q1134" s="23">
        <f>IFERROR(__xludf.DUMMYFUNCTION("""COMPUTED_VALUE"""),43329.0)</f>
        <v>43329</v>
      </c>
    </row>
    <row r="1135">
      <c r="A1135" s="23">
        <f>IFERROR(__xludf.DUMMYFUNCTION("""COMPUTED_VALUE"""),1090.0)</f>
        <v>1090</v>
      </c>
      <c r="B1135" s="23" t="str">
        <f>IFERROR(__xludf.DUMMYFUNCTION("""COMPUTED_VALUE"""),"Armstrong Number")</f>
        <v>Armstrong Number</v>
      </c>
      <c r="C1135" s="23" t="str">
        <f>IFERROR(__xludf.DUMMYFUNCTION("""COMPUTED_VALUE"""),"armstrong-number")</f>
        <v>armstrong-number</v>
      </c>
      <c r="D1135" s="23" t="b">
        <f>IFERROR(__xludf.DUMMYFUNCTION("""COMPUTED_VALUE"""),TRUE)</f>
        <v>1</v>
      </c>
      <c r="E1135" s="23" t="str">
        <f>IFERROR(__xludf.DUMMYFUNCTION("""COMPUTED_VALUE"""),"Easy")</f>
        <v>Easy</v>
      </c>
      <c r="F1135" s="23">
        <f>IFERROR(__xludf.DUMMYFUNCTION("""COMPUTED_VALUE"""),149.0)</f>
        <v>149</v>
      </c>
      <c r="G1135" s="23">
        <f>IFERROR(__xludf.DUMMYFUNCTION("""COMPUTED_VALUE"""),17.0)</f>
        <v>17</v>
      </c>
      <c r="H1135" s="23" t="str">
        <f>IFERROR(__xludf.DUMMYFUNCTION("""COMPUTED_VALUE"""),"Algorithms")</f>
        <v>Algorithms</v>
      </c>
      <c r="I1135" s="23">
        <f>IFERROR(__xludf.DUMMYFUNCTION("""COMPUTED_VALUE"""),0.783)</f>
        <v>0.783</v>
      </c>
      <c r="J1135" s="23">
        <f>IFERROR(__xludf.DUMMYFUNCTION("""COMPUTED_VALUE"""),1134.0)</f>
        <v>1134</v>
      </c>
      <c r="K1135" s="23" t="b">
        <f>IFERROR(__xludf.DUMMYFUNCTION("""COMPUTED_VALUE"""),TRUE)</f>
        <v>1</v>
      </c>
      <c r="L1135" s="23" t="str">
        <f>IFERROR(__xludf.DUMMYFUNCTION("""COMPUTED_VALUE"""),"Math;")</f>
        <v>Math;</v>
      </c>
      <c r="M1135" s="23" t="b">
        <f>IFERROR(__xludf.DUMMYFUNCTION("""COMPUTED_VALUE"""),TRUE)</f>
        <v>1</v>
      </c>
      <c r="N1135" s="23" t="b">
        <f>IFERROR(__xludf.DUMMYFUNCTION("""COMPUTED_VALUE"""),FALSE)</f>
        <v>0</v>
      </c>
      <c r="O1135" s="23">
        <f>IFERROR(__xludf.DUMMYFUNCTION("""COMPUTED_VALUE"""),78.3020985299068)</f>
        <v>78.30209853</v>
      </c>
      <c r="P1135" s="23">
        <f>IFERROR(__xludf.DUMMYFUNCTION("""COMPUTED_VALUE"""),27910.0)</f>
        <v>27910</v>
      </c>
      <c r="Q1135" s="23">
        <f>IFERROR(__xludf.DUMMYFUNCTION("""COMPUTED_VALUE"""),35644.0)</f>
        <v>35644</v>
      </c>
    </row>
    <row r="1136">
      <c r="A1136" s="23">
        <f>IFERROR(__xludf.DUMMYFUNCTION("""COMPUTED_VALUE"""),1100.0)</f>
        <v>1100</v>
      </c>
      <c r="B1136" s="23" t="str">
        <f>IFERROR(__xludf.DUMMYFUNCTION("""COMPUTED_VALUE"""),"Connecting Cities With Minimum Cost")</f>
        <v>Connecting Cities With Minimum Cost</v>
      </c>
      <c r="C1136" s="23" t="str">
        <f>IFERROR(__xludf.DUMMYFUNCTION("""COMPUTED_VALUE"""),"connecting-cities-with-minimum-cost")</f>
        <v>connecting-cities-with-minimum-cost</v>
      </c>
      <c r="D1136" s="23" t="b">
        <f>IFERROR(__xludf.DUMMYFUNCTION("""COMPUTED_VALUE"""),TRUE)</f>
        <v>1</v>
      </c>
      <c r="E1136" s="23" t="str">
        <f>IFERROR(__xludf.DUMMYFUNCTION("""COMPUTED_VALUE"""),"Medium")</f>
        <v>Medium</v>
      </c>
      <c r="F1136" s="23">
        <f>IFERROR(__xludf.DUMMYFUNCTION("""COMPUTED_VALUE"""),885.0)</f>
        <v>885</v>
      </c>
      <c r="G1136" s="23">
        <f>IFERROR(__xludf.DUMMYFUNCTION("""COMPUTED_VALUE"""),47.0)</f>
        <v>47</v>
      </c>
      <c r="H1136" s="23" t="str">
        <f>IFERROR(__xludf.DUMMYFUNCTION("""COMPUTED_VALUE"""),"Algorithms")</f>
        <v>Algorithms</v>
      </c>
      <c r="I1136" s="23">
        <f>IFERROR(__xludf.DUMMYFUNCTION("""COMPUTED_VALUE"""),0.608)</f>
        <v>0.608</v>
      </c>
      <c r="J1136" s="23">
        <f>IFERROR(__xludf.DUMMYFUNCTION("""COMPUTED_VALUE"""),1135.0)</f>
        <v>1135</v>
      </c>
      <c r="K1136" s="23" t="b">
        <f>IFERROR(__xludf.DUMMYFUNCTION("""COMPUTED_VALUE"""),TRUE)</f>
        <v>1</v>
      </c>
      <c r="L1136" s="23" t="str">
        <f>IFERROR(__xludf.DUMMYFUNCTION("""COMPUTED_VALUE"""),"Union Find;Graph;Heap (Priority Queue);Minimum Spanning Tree;")</f>
        <v>Union Find;Graph;Heap (Priority Queue);Minimum Spanning Tree;</v>
      </c>
      <c r="M1136" s="23" t="b">
        <f>IFERROR(__xludf.DUMMYFUNCTION("""COMPUTED_VALUE"""),TRUE)</f>
        <v>1</v>
      </c>
      <c r="N1136" s="23" t="b">
        <f>IFERROR(__xludf.DUMMYFUNCTION("""COMPUTED_VALUE"""),FALSE)</f>
        <v>0</v>
      </c>
      <c r="O1136" s="23">
        <f>IFERROR(__xludf.DUMMYFUNCTION("""COMPUTED_VALUE"""),60.8099580005658)</f>
        <v>60.809958</v>
      </c>
      <c r="P1136" s="23">
        <f>IFERROR(__xludf.DUMMYFUNCTION("""COMPUTED_VALUE"""),55888.0)</f>
        <v>55888</v>
      </c>
      <c r="Q1136" s="23">
        <f>IFERROR(__xludf.DUMMYFUNCTION("""COMPUTED_VALUE"""),91906.0)</f>
        <v>91906</v>
      </c>
    </row>
    <row r="1137">
      <c r="A1137" s="23">
        <f>IFERROR(__xludf.DUMMYFUNCTION("""COMPUTED_VALUE"""),1101.0)</f>
        <v>1101</v>
      </c>
      <c r="B1137" s="23" t="str">
        <f>IFERROR(__xludf.DUMMYFUNCTION("""COMPUTED_VALUE"""),"Parallel Courses")</f>
        <v>Parallel Courses</v>
      </c>
      <c r="C1137" s="23" t="str">
        <f>IFERROR(__xludf.DUMMYFUNCTION("""COMPUTED_VALUE"""),"parallel-courses")</f>
        <v>parallel-courses</v>
      </c>
      <c r="D1137" s="23" t="b">
        <f>IFERROR(__xludf.DUMMYFUNCTION("""COMPUTED_VALUE"""),TRUE)</f>
        <v>1</v>
      </c>
      <c r="E1137" s="23" t="str">
        <f>IFERROR(__xludf.DUMMYFUNCTION("""COMPUTED_VALUE"""),"Medium")</f>
        <v>Medium</v>
      </c>
      <c r="F1137" s="23">
        <f>IFERROR(__xludf.DUMMYFUNCTION("""COMPUTED_VALUE"""),675.0)</f>
        <v>675</v>
      </c>
      <c r="G1137" s="23">
        <f>IFERROR(__xludf.DUMMYFUNCTION("""COMPUTED_VALUE"""),20.0)</f>
        <v>20</v>
      </c>
      <c r="H1137" s="23" t="str">
        <f>IFERROR(__xludf.DUMMYFUNCTION("""COMPUTED_VALUE"""),"Algorithms")</f>
        <v>Algorithms</v>
      </c>
      <c r="I1137" s="23">
        <f>IFERROR(__xludf.DUMMYFUNCTION("""COMPUTED_VALUE"""),0.609)</f>
        <v>0.609</v>
      </c>
      <c r="J1137" s="23">
        <f>IFERROR(__xludf.DUMMYFUNCTION("""COMPUTED_VALUE"""),1136.0)</f>
        <v>1136</v>
      </c>
      <c r="K1137" s="23" t="b">
        <f>IFERROR(__xludf.DUMMYFUNCTION("""COMPUTED_VALUE"""),TRUE)</f>
        <v>1</v>
      </c>
      <c r="L1137" s="23" t="str">
        <f>IFERROR(__xludf.DUMMYFUNCTION("""COMPUTED_VALUE"""),"Graph;Topological Sort;")</f>
        <v>Graph;Topological Sort;</v>
      </c>
      <c r="M1137" s="23" t="b">
        <f>IFERROR(__xludf.DUMMYFUNCTION("""COMPUTED_VALUE"""),TRUE)</f>
        <v>1</v>
      </c>
      <c r="N1137" s="23" t="b">
        <f>IFERROR(__xludf.DUMMYFUNCTION("""COMPUTED_VALUE"""),FALSE)</f>
        <v>0</v>
      </c>
      <c r="O1137" s="23">
        <f>IFERROR(__xludf.DUMMYFUNCTION("""COMPUTED_VALUE"""),60.8617139236496)</f>
        <v>60.86171392</v>
      </c>
      <c r="P1137" s="23">
        <f>IFERROR(__xludf.DUMMYFUNCTION("""COMPUTED_VALUE"""),38422.0)</f>
        <v>38422</v>
      </c>
      <c r="Q1137" s="23">
        <f>IFERROR(__xludf.DUMMYFUNCTION("""COMPUTED_VALUE"""),63130.0)</f>
        <v>63130</v>
      </c>
    </row>
    <row r="1138">
      <c r="A1138" s="23">
        <f>IFERROR(__xludf.DUMMYFUNCTION("""COMPUTED_VALUE"""),1236.0)</f>
        <v>1236</v>
      </c>
      <c r="B1138" s="23" t="str">
        <f>IFERROR(__xludf.DUMMYFUNCTION("""COMPUTED_VALUE"""),"N-th Tribonacci Number")</f>
        <v>N-th Tribonacci Number</v>
      </c>
      <c r="C1138" s="23" t="str">
        <f>IFERROR(__xludf.DUMMYFUNCTION("""COMPUTED_VALUE"""),"n-th-tribonacci-number")</f>
        <v>n-th-tribonacci-number</v>
      </c>
      <c r="D1138" s="23" t="b">
        <f>IFERROR(__xludf.DUMMYFUNCTION("""COMPUTED_VALUE"""),FALSE)</f>
        <v>0</v>
      </c>
      <c r="E1138" s="23" t="str">
        <f>IFERROR(__xludf.DUMMYFUNCTION("""COMPUTED_VALUE"""),"Easy")</f>
        <v>Easy</v>
      </c>
      <c r="F1138" s="23">
        <f>IFERROR(__xludf.DUMMYFUNCTION("""COMPUTED_VALUE"""),1736.0)</f>
        <v>1736</v>
      </c>
      <c r="G1138" s="23">
        <f>IFERROR(__xludf.DUMMYFUNCTION("""COMPUTED_VALUE"""),103.0)</f>
        <v>103</v>
      </c>
      <c r="H1138" s="23" t="str">
        <f>IFERROR(__xludf.DUMMYFUNCTION("""COMPUTED_VALUE"""),"Algorithms")</f>
        <v>Algorithms</v>
      </c>
      <c r="I1138" s="23">
        <f>IFERROR(__xludf.DUMMYFUNCTION("""COMPUTED_VALUE"""),0.628)</f>
        <v>0.628</v>
      </c>
      <c r="J1138" s="23">
        <f>IFERROR(__xludf.DUMMYFUNCTION("""COMPUTED_VALUE"""),1137.0)</f>
        <v>1137</v>
      </c>
      <c r="K1138" s="23" t="b">
        <f>IFERROR(__xludf.DUMMYFUNCTION("""COMPUTED_VALUE"""),FALSE)</f>
        <v>0</v>
      </c>
      <c r="L1138" s="23" t="str">
        <f>IFERROR(__xludf.DUMMYFUNCTION("""COMPUTED_VALUE"""),"Math;Dynamic Programming;Memoization;")</f>
        <v>Math;Dynamic Programming;Memoization;</v>
      </c>
      <c r="M1138" s="23" t="b">
        <f>IFERROR(__xludf.DUMMYFUNCTION("""COMPUTED_VALUE"""),TRUE)</f>
        <v>1</v>
      </c>
      <c r="N1138" s="23" t="b">
        <f>IFERROR(__xludf.DUMMYFUNCTION("""COMPUTED_VALUE"""),FALSE)</f>
        <v>0</v>
      </c>
      <c r="O1138" s="23">
        <f>IFERROR(__xludf.DUMMYFUNCTION("""COMPUTED_VALUE"""),62.8476095234432)</f>
        <v>62.84760952</v>
      </c>
      <c r="P1138" s="23">
        <f>IFERROR(__xludf.DUMMYFUNCTION("""COMPUTED_VALUE"""),261431.0)</f>
        <v>261431</v>
      </c>
      <c r="Q1138" s="23">
        <f>IFERROR(__xludf.DUMMYFUNCTION("""COMPUTED_VALUE"""),415976.0)</f>
        <v>415976</v>
      </c>
    </row>
    <row r="1139">
      <c r="A1139" s="23">
        <f>IFERROR(__xludf.DUMMYFUNCTION("""COMPUTED_VALUE"""),1238.0)</f>
        <v>1238</v>
      </c>
      <c r="B1139" s="23" t="str">
        <f>IFERROR(__xludf.DUMMYFUNCTION("""COMPUTED_VALUE"""),"Alphabet Board Path")</f>
        <v>Alphabet Board Path</v>
      </c>
      <c r="C1139" s="23" t="str">
        <f>IFERROR(__xludf.DUMMYFUNCTION("""COMPUTED_VALUE"""),"alphabet-board-path")</f>
        <v>alphabet-board-path</v>
      </c>
      <c r="D1139" s="23" t="b">
        <f>IFERROR(__xludf.DUMMYFUNCTION("""COMPUTED_VALUE"""),FALSE)</f>
        <v>0</v>
      </c>
      <c r="E1139" s="23" t="str">
        <f>IFERROR(__xludf.DUMMYFUNCTION("""COMPUTED_VALUE"""),"Medium")</f>
        <v>Medium</v>
      </c>
      <c r="F1139" s="23">
        <f>IFERROR(__xludf.DUMMYFUNCTION("""COMPUTED_VALUE"""),641.0)</f>
        <v>641</v>
      </c>
      <c r="G1139" s="23">
        <f>IFERROR(__xludf.DUMMYFUNCTION("""COMPUTED_VALUE"""),138.0)</f>
        <v>138</v>
      </c>
      <c r="H1139" s="23" t="str">
        <f>IFERROR(__xludf.DUMMYFUNCTION("""COMPUTED_VALUE"""),"Algorithms")</f>
        <v>Algorithms</v>
      </c>
      <c r="I1139" s="23">
        <f>IFERROR(__xludf.DUMMYFUNCTION("""COMPUTED_VALUE"""),0.523)</f>
        <v>0.523</v>
      </c>
      <c r="J1139" s="23">
        <f>IFERROR(__xludf.DUMMYFUNCTION("""COMPUTED_VALUE"""),1138.0)</f>
        <v>1138</v>
      </c>
      <c r="K1139" s="23" t="b">
        <f>IFERROR(__xludf.DUMMYFUNCTION("""COMPUTED_VALUE"""),FALSE)</f>
        <v>0</v>
      </c>
      <c r="L1139" s="23" t="str">
        <f>IFERROR(__xludf.DUMMYFUNCTION("""COMPUTED_VALUE"""),"Hash Table;String;")</f>
        <v>Hash Table;String;</v>
      </c>
      <c r="M1139" s="23" t="b">
        <f>IFERROR(__xludf.DUMMYFUNCTION("""COMPUTED_VALUE"""),FALSE)</f>
        <v>0</v>
      </c>
      <c r="N1139" s="23" t="b">
        <f>IFERROR(__xludf.DUMMYFUNCTION("""COMPUTED_VALUE"""),FALSE)</f>
        <v>0</v>
      </c>
      <c r="O1139" s="23">
        <f>IFERROR(__xludf.DUMMYFUNCTION("""COMPUTED_VALUE"""),52.3408697490651)</f>
        <v>52.34086975</v>
      </c>
      <c r="P1139" s="23">
        <f>IFERROR(__xludf.DUMMYFUNCTION("""COMPUTED_VALUE"""),39610.0)</f>
        <v>39610</v>
      </c>
      <c r="Q1139" s="23">
        <f>IFERROR(__xludf.DUMMYFUNCTION("""COMPUTED_VALUE"""),75677.0)</f>
        <v>75677</v>
      </c>
    </row>
    <row r="1140">
      <c r="A1140" s="23">
        <f>IFERROR(__xludf.DUMMYFUNCTION("""COMPUTED_VALUE"""),1239.0)</f>
        <v>1239</v>
      </c>
      <c r="B1140" s="23" t="str">
        <f>IFERROR(__xludf.DUMMYFUNCTION("""COMPUTED_VALUE"""),"Largest 1-Bordered Square")</f>
        <v>Largest 1-Bordered Square</v>
      </c>
      <c r="C1140" s="23" t="str">
        <f>IFERROR(__xludf.DUMMYFUNCTION("""COMPUTED_VALUE"""),"largest-1-bordered-square")</f>
        <v>largest-1-bordered-square</v>
      </c>
      <c r="D1140" s="23" t="b">
        <f>IFERROR(__xludf.DUMMYFUNCTION("""COMPUTED_VALUE"""),FALSE)</f>
        <v>0</v>
      </c>
      <c r="E1140" s="23" t="str">
        <f>IFERROR(__xludf.DUMMYFUNCTION("""COMPUTED_VALUE"""),"Medium")</f>
        <v>Medium</v>
      </c>
      <c r="F1140" s="23">
        <f>IFERROR(__xludf.DUMMYFUNCTION("""COMPUTED_VALUE"""),497.0)</f>
        <v>497</v>
      </c>
      <c r="G1140" s="23">
        <f>IFERROR(__xludf.DUMMYFUNCTION("""COMPUTED_VALUE"""),83.0)</f>
        <v>83</v>
      </c>
      <c r="H1140" s="23" t="str">
        <f>IFERROR(__xludf.DUMMYFUNCTION("""COMPUTED_VALUE"""),"Algorithms")</f>
        <v>Algorithms</v>
      </c>
      <c r="I1140" s="23">
        <f>IFERROR(__xludf.DUMMYFUNCTION("""COMPUTED_VALUE"""),0.495)</f>
        <v>0.495</v>
      </c>
      <c r="J1140" s="23">
        <f>IFERROR(__xludf.DUMMYFUNCTION("""COMPUTED_VALUE"""),1139.0)</f>
        <v>1139</v>
      </c>
      <c r="K1140" s="23" t="b">
        <f>IFERROR(__xludf.DUMMYFUNCTION("""COMPUTED_VALUE"""),FALSE)</f>
        <v>0</v>
      </c>
      <c r="L1140" s="23" t="str">
        <f>IFERROR(__xludf.DUMMYFUNCTION("""COMPUTED_VALUE"""),"Array;Dynamic Programming;Matrix;")</f>
        <v>Array;Dynamic Programming;Matrix;</v>
      </c>
      <c r="M1140" s="23" t="b">
        <f>IFERROR(__xludf.DUMMYFUNCTION("""COMPUTED_VALUE"""),FALSE)</f>
        <v>0</v>
      </c>
      <c r="N1140" s="23" t="b">
        <f>IFERROR(__xludf.DUMMYFUNCTION("""COMPUTED_VALUE"""),FALSE)</f>
        <v>0</v>
      </c>
      <c r="O1140" s="23">
        <f>IFERROR(__xludf.DUMMYFUNCTION("""COMPUTED_VALUE"""),49.5263686453328)</f>
        <v>49.52636865</v>
      </c>
      <c r="P1140" s="23">
        <f>IFERROR(__xludf.DUMMYFUNCTION("""COMPUTED_VALUE"""),18247.0)</f>
        <v>18247</v>
      </c>
      <c r="Q1140" s="23">
        <f>IFERROR(__xludf.DUMMYFUNCTION("""COMPUTED_VALUE"""),36841.0)</f>
        <v>36841</v>
      </c>
    </row>
    <row r="1141">
      <c r="A1141" s="23">
        <f>IFERROR(__xludf.DUMMYFUNCTION("""COMPUTED_VALUE"""),1240.0)</f>
        <v>1240</v>
      </c>
      <c r="B1141" s="23" t="str">
        <f>IFERROR(__xludf.DUMMYFUNCTION("""COMPUTED_VALUE"""),"Stone Game II")</f>
        <v>Stone Game II</v>
      </c>
      <c r="C1141" s="23" t="str">
        <f>IFERROR(__xludf.DUMMYFUNCTION("""COMPUTED_VALUE"""),"stone-game-ii")</f>
        <v>stone-game-ii</v>
      </c>
      <c r="D1141" s="23" t="b">
        <f>IFERROR(__xludf.DUMMYFUNCTION("""COMPUTED_VALUE"""),FALSE)</f>
        <v>0</v>
      </c>
      <c r="E1141" s="23" t="str">
        <f>IFERROR(__xludf.DUMMYFUNCTION("""COMPUTED_VALUE"""),"Medium")</f>
        <v>Medium</v>
      </c>
      <c r="F1141" s="23">
        <f>IFERROR(__xludf.DUMMYFUNCTION("""COMPUTED_VALUE"""),1304.0)</f>
        <v>1304</v>
      </c>
      <c r="G1141" s="23">
        <f>IFERROR(__xludf.DUMMYFUNCTION("""COMPUTED_VALUE"""),252.0)</f>
        <v>252</v>
      </c>
      <c r="H1141" s="23" t="str">
        <f>IFERROR(__xludf.DUMMYFUNCTION("""COMPUTED_VALUE"""),"Algorithms")</f>
        <v>Algorithms</v>
      </c>
      <c r="I1141" s="23">
        <f>IFERROR(__xludf.DUMMYFUNCTION("""COMPUTED_VALUE"""),0.649)</f>
        <v>0.649</v>
      </c>
      <c r="J1141" s="23">
        <f>IFERROR(__xludf.DUMMYFUNCTION("""COMPUTED_VALUE"""),1140.0)</f>
        <v>1140</v>
      </c>
      <c r="K1141" s="23" t="b">
        <f>IFERROR(__xludf.DUMMYFUNCTION("""COMPUTED_VALUE"""),FALSE)</f>
        <v>0</v>
      </c>
      <c r="L1141" s="23" t="str">
        <f>IFERROR(__xludf.DUMMYFUNCTION("""COMPUTED_VALUE"""),"Array;Math;Dynamic Programming;Game Theory;")</f>
        <v>Array;Math;Dynamic Programming;Game Theory;</v>
      </c>
      <c r="M1141" s="23" t="b">
        <f>IFERROR(__xludf.DUMMYFUNCTION("""COMPUTED_VALUE"""),FALSE)</f>
        <v>0</v>
      </c>
      <c r="N1141" s="23" t="b">
        <f>IFERROR(__xludf.DUMMYFUNCTION("""COMPUTED_VALUE"""),FALSE)</f>
        <v>0</v>
      </c>
      <c r="O1141" s="23">
        <f>IFERROR(__xludf.DUMMYFUNCTION("""COMPUTED_VALUE"""),64.9130377057886)</f>
        <v>64.91303771</v>
      </c>
      <c r="P1141" s="23">
        <f>IFERROR(__xludf.DUMMYFUNCTION("""COMPUTED_VALUE"""),39114.0)</f>
        <v>39114</v>
      </c>
      <c r="Q1141" s="23">
        <f>IFERROR(__xludf.DUMMYFUNCTION("""COMPUTED_VALUE"""),60256.0)</f>
        <v>60256</v>
      </c>
    </row>
    <row r="1142">
      <c r="A1142" s="23">
        <f>IFERROR(__xludf.DUMMYFUNCTION("""COMPUTED_VALUE"""),1245.0)</f>
        <v>1245</v>
      </c>
      <c r="B1142" s="23" t="str">
        <f>IFERROR(__xludf.DUMMYFUNCTION("""COMPUTED_VALUE"""),"User Activity for the Past 30 Days I")</f>
        <v>User Activity for the Past 30 Days I</v>
      </c>
      <c r="C1142" s="23" t="str">
        <f>IFERROR(__xludf.DUMMYFUNCTION("""COMPUTED_VALUE"""),"user-activity-for-the-past-30-days-i")</f>
        <v>user-activity-for-the-past-30-days-i</v>
      </c>
      <c r="D1142" s="23" t="b">
        <f>IFERROR(__xludf.DUMMYFUNCTION("""COMPUTED_VALUE"""),FALSE)</f>
        <v>0</v>
      </c>
      <c r="E1142" s="23" t="str">
        <f>IFERROR(__xludf.DUMMYFUNCTION("""COMPUTED_VALUE"""),"Easy")</f>
        <v>Easy</v>
      </c>
      <c r="F1142" s="23">
        <f>IFERROR(__xludf.DUMMYFUNCTION("""COMPUTED_VALUE"""),124.0)</f>
        <v>124</v>
      </c>
      <c r="G1142" s="23">
        <f>IFERROR(__xludf.DUMMYFUNCTION("""COMPUTED_VALUE"""),125.0)</f>
        <v>125</v>
      </c>
      <c r="H1142" s="23" t="str">
        <f>IFERROR(__xludf.DUMMYFUNCTION("""COMPUTED_VALUE"""),"Database")</f>
        <v>Database</v>
      </c>
      <c r="I1142" s="23">
        <f>IFERROR(__xludf.DUMMYFUNCTION("""COMPUTED_VALUE"""),0.541)</f>
        <v>0.541</v>
      </c>
      <c r="J1142" s="23">
        <f>IFERROR(__xludf.DUMMYFUNCTION("""COMPUTED_VALUE"""),1141.0)</f>
        <v>1141</v>
      </c>
      <c r="K1142" s="23" t="b">
        <f>IFERROR(__xludf.DUMMYFUNCTION("""COMPUTED_VALUE"""),FALSE)</f>
        <v>0</v>
      </c>
      <c r="L1142" s="23" t="str">
        <f>IFERROR(__xludf.DUMMYFUNCTION("""COMPUTED_VALUE"""),"Database;")</f>
        <v>Database;</v>
      </c>
      <c r="M1142" s="23" t="b">
        <f>IFERROR(__xludf.DUMMYFUNCTION("""COMPUTED_VALUE"""),FALSE)</f>
        <v>0</v>
      </c>
      <c r="N1142" s="23" t="b">
        <f>IFERROR(__xludf.DUMMYFUNCTION("""COMPUTED_VALUE"""),FALSE)</f>
        <v>0</v>
      </c>
      <c r="O1142" s="23">
        <f>IFERROR(__xludf.DUMMYFUNCTION("""COMPUTED_VALUE"""),54.1291771389479)</f>
        <v>54.12917714</v>
      </c>
      <c r="P1142" s="23">
        <f>IFERROR(__xludf.DUMMYFUNCTION("""COMPUTED_VALUE"""),36397.0)</f>
        <v>36397</v>
      </c>
      <c r="Q1142" s="23">
        <f>IFERROR(__xludf.DUMMYFUNCTION("""COMPUTED_VALUE"""),67241.0)</f>
        <v>67241</v>
      </c>
    </row>
    <row r="1143">
      <c r="A1143" s="23">
        <f>IFERROR(__xludf.DUMMYFUNCTION("""COMPUTED_VALUE"""),1246.0)</f>
        <v>1246</v>
      </c>
      <c r="B1143" s="23" t="str">
        <f>IFERROR(__xludf.DUMMYFUNCTION("""COMPUTED_VALUE"""),"User Activity for the Past 30 Days II")</f>
        <v>User Activity for the Past 30 Days II</v>
      </c>
      <c r="C1143" s="23" t="str">
        <f>IFERROR(__xludf.DUMMYFUNCTION("""COMPUTED_VALUE"""),"user-activity-for-the-past-30-days-ii")</f>
        <v>user-activity-for-the-past-30-days-ii</v>
      </c>
      <c r="D1143" s="23" t="b">
        <f>IFERROR(__xludf.DUMMYFUNCTION("""COMPUTED_VALUE"""),TRUE)</f>
        <v>1</v>
      </c>
      <c r="E1143" s="23" t="str">
        <f>IFERROR(__xludf.DUMMYFUNCTION("""COMPUTED_VALUE"""),"Easy")</f>
        <v>Easy</v>
      </c>
      <c r="F1143" s="23">
        <f>IFERROR(__xludf.DUMMYFUNCTION("""COMPUTED_VALUE"""),71.0)</f>
        <v>71</v>
      </c>
      <c r="G1143" s="23">
        <f>IFERROR(__xludf.DUMMYFUNCTION("""COMPUTED_VALUE"""),287.0)</f>
        <v>287</v>
      </c>
      <c r="H1143" s="23" t="str">
        <f>IFERROR(__xludf.DUMMYFUNCTION("""COMPUTED_VALUE"""),"Database")</f>
        <v>Database</v>
      </c>
      <c r="I1143" s="23">
        <f>IFERROR(__xludf.DUMMYFUNCTION("""COMPUTED_VALUE"""),0.359)</f>
        <v>0.359</v>
      </c>
      <c r="J1143" s="23">
        <f>IFERROR(__xludf.DUMMYFUNCTION("""COMPUTED_VALUE"""),1142.0)</f>
        <v>1142</v>
      </c>
      <c r="K1143" s="23" t="b">
        <f>IFERROR(__xludf.DUMMYFUNCTION("""COMPUTED_VALUE"""),TRUE)</f>
        <v>1</v>
      </c>
      <c r="L1143" s="23" t="str">
        <f>IFERROR(__xludf.DUMMYFUNCTION("""COMPUTED_VALUE"""),"Database;")</f>
        <v>Database;</v>
      </c>
      <c r="M1143" s="23" t="b">
        <f>IFERROR(__xludf.DUMMYFUNCTION("""COMPUTED_VALUE"""),FALSE)</f>
        <v>0</v>
      </c>
      <c r="N1143" s="23" t="b">
        <f>IFERROR(__xludf.DUMMYFUNCTION("""COMPUTED_VALUE"""),FALSE)</f>
        <v>0</v>
      </c>
      <c r="O1143" s="23">
        <f>IFERROR(__xludf.DUMMYFUNCTION("""COMPUTED_VALUE"""),35.919443051555)</f>
        <v>35.91944305</v>
      </c>
      <c r="P1143" s="23">
        <f>IFERROR(__xludf.DUMMYFUNCTION("""COMPUTED_VALUE"""),30802.0)</f>
        <v>30802</v>
      </c>
      <c r="Q1143" s="23">
        <f>IFERROR(__xludf.DUMMYFUNCTION("""COMPUTED_VALUE"""),85753.0)</f>
        <v>85753</v>
      </c>
    </row>
    <row r="1144">
      <c r="A1144" s="23">
        <f>IFERROR(__xludf.DUMMYFUNCTION("""COMPUTED_VALUE"""),1250.0)</f>
        <v>1250</v>
      </c>
      <c r="B1144" s="23" t="str">
        <f>IFERROR(__xludf.DUMMYFUNCTION("""COMPUTED_VALUE"""),"Longest Common Subsequence")</f>
        <v>Longest Common Subsequence</v>
      </c>
      <c r="C1144" s="23" t="str">
        <f>IFERROR(__xludf.DUMMYFUNCTION("""COMPUTED_VALUE"""),"longest-common-subsequence")</f>
        <v>longest-common-subsequence</v>
      </c>
      <c r="D1144" s="23" t="b">
        <f>IFERROR(__xludf.DUMMYFUNCTION("""COMPUTED_VALUE"""),FALSE)</f>
        <v>0</v>
      </c>
      <c r="E1144" s="23" t="str">
        <f>IFERROR(__xludf.DUMMYFUNCTION("""COMPUTED_VALUE"""),"Medium")</f>
        <v>Medium</v>
      </c>
      <c r="F1144" s="23">
        <f>IFERROR(__xludf.DUMMYFUNCTION("""COMPUTED_VALUE"""),6300.0)</f>
        <v>6300</v>
      </c>
      <c r="G1144" s="23">
        <f>IFERROR(__xludf.DUMMYFUNCTION("""COMPUTED_VALUE"""),70.0)</f>
        <v>70</v>
      </c>
      <c r="H1144" s="23" t="str">
        <f>IFERROR(__xludf.DUMMYFUNCTION("""COMPUTED_VALUE"""),"Algorithms")</f>
        <v>Algorithms</v>
      </c>
      <c r="I1144" s="23">
        <f>IFERROR(__xludf.DUMMYFUNCTION("""COMPUTED_VALUE"""),0.589)</f>
        <v>0.589</v>
      </c>
      <c r="J1144" s="23">
        <f>IFERROR(__xludf.DUMMYFUNCTION("""COMPUTED_VALUE"""),1143.0)</f>
        <v>1143</v>
      </c>
      <c r="K1144" s="23" t="b">
        <f>IFERROR(__xludf.DUMMYFUNCTION("""COMPUTED_VALUE"""),FALSE)</f>
        <v>0</v>
      </c>
      <c r="L1144" s="23" t="str">
        <f>IFERROR(__xludf.DUMMYFUNCTION("""COMPUTED_VALUE"""),"String;Dynamic Programming;")</f>
        <v>String;Dynamic Programming;</v>
      </c>
      <c r="M1144" s="23" t="b">
        <f>IFERROR(__xludf.DUMMYFUNCTION("""COMPUTED_VALUE"""),TRUE)</f>
        <v>1</v>
      </c>
      <c r="N1144" s="23" t="b">
        <f>IFERROR(__xludf.DUMMYFUNCTION("""COMPUTED_VALUE"""),FALSE)</f>
        <v>0</v>
      </c>
      <c r="O1144" s="23">
        <f>IFERROR(__xludf.DUMMYFUNCTION("""COMPUTED_VALUE"""),58.9043055567845)</f>
        <v>58.90430556</v>
      </c>
      <c r="P1144" s="23">
        <f>IFERROR(__xludf.DUMMYFUNCTION("""COMPUTED_VALUE"""),399395.0)</f>
        <v>399395</v>
      </c>
      <c r="Q1144" s="23">
        <f>IFERROR(__xludf.DUMMYFUNCTION("""COMPUTED_VALUE"""),678046.0)</f>
        <v>678046</v>
      </c>
    </row>
    <row r="1145">
      <c r="A1145" s="23">
        <f>IFERROR(__xludf.DUMMYFUNCTION("""COMPUTED_VALUE"""),1247.0)</f>
        <v>1247</v>
      </c>
      <c r="B1145" s="23" t="str">
        <f>IFERROR(__xludf.DUMMYFUNCTION("""COMPUTED_VALUE"""),"Decrease Elements To Make Array Zigzag")</f>
        <v>Decrease Elements To Make Array Zigzag</v>
      </c>
      <c r="C1145" s="23" t="str">
        <f>IFERROR(__xludf.DUMMYFUNCTION("""COMPUTED_VALUE"""),"decrease-elements-to-make-array-zigzag")</f>
        <v>decrease-elements-to-make-array-zigzag</v>
      </c>
      <c r="D1145" s="23" t="b">
        <f>IFERROR(__xludf.DUMMYFUNCTION("""COMPUTED_VALUE"""),FALSE)</f>
        <v>0</v>
      </c>
      <c r="E1145" s="23" t="str">
        <f>IFERROR(__xludf.DUMMYFUNCTION("""COMPUTED_VALUE"""),"Medium")</f>
        <v>Medium</v>
      </c>
      <c r="F1145" s="23">
        <f>IFERROR(__xludf.DUMMYFUNCTION("""COMPUTED_VALUE"""),281.0)</f>
        <v>281</v>
      </c>
      <c r="G1145" s="23">
        <f>IFERROR(__xludf.DUMMYFUNCTION("""COMPUTED_VALUE"""),141.0)</f>
        <v>141</v>
      </c>
      <c r="H1145" s="23" t="str">
        <f>IFERROR(__xludf.DUMMYFUNCTION("""COMPUTED_VALUE"""),"Algorithms")</f>
        <v>Algorithms</v>
      </c>
      <c r="I1145" s="23">
        <f>IFERROR(__xludf.DUMMYFUNCTION("""COMPUTED_VALUE"""),0.47)</f>
        <v>0.47</v>
      </c>
      <c r="J1145" s="23">
        <f>IFERROR(__xludf.DUMMYFUNCTION("""COMPUTED_VALUE"""),1144.0)</f>
        <v>1144</v>
      </c>
      <c r="K1145" s="23" t="b">
        <f>IFERROR(__xludf.DUMMYFUNCTION("""COMPUTED_VALUE"""),FALSE)</f>
        <v>0</v>
      </c>
      <c r="L1145" s="23" t="str">
        <f>IFERROR(__xludf.DUMMYFUNCTION("""COMPUTED_VALUE"""),"Array;Greedy;")</f>
        <v>Array;Greedy;</v>
      </c>
      <c r="M1145" s="23" t="b">
        <f>IFERROR(__xludf.DUMMYFUNCTION("""COMPUTED_VALUE"""),FALSE)</f>
        <v>0</v>
      </c>
      <c r="N1145" s="23" t="b">
        <f>IFERROR(__xludf.DUMMYFUNCTION("""COMPUTED_VALUE"""),FALSE)</f>
        <v>0</v>
      </c>
      <c r="O1145" s="23">
        <f>IFERROR(__xludf.DUMMYFUNCTION("""COMPUTED_VALUE"""),46.9954666752403)</f>
        <v>46.99546668</v>
      </c>
      <c r="P1145" s="23">
        <f>IFERROR(__xludf.DUMMYFUNCTION("""COMPUTED_VALUE"""),14617.0)</f>
        <v>14617</v>
      </c>
      <c r="Q1145" s="23">
        <f>IFERROR(__xludf.DUMMYFUNCTION("""COMPUTED_VALUE"""),31103.0)</f>
        <v>31103</v>
      </c>
    </row>
    <row r="1146">
      <c r="A1146" s="23">
        <f>IFERROR(__xludf.DUMMYFUNCTION("""COMPUTED_VALUE"""),1248.0)</f>
        <v>1248</v>
      </c>
      <c r="B1146" s="23" t="str">
        <f>IFERROR(__xludf.DUMMYFUNCTION("""COMPUTED_VALUE"""),"Binary Tree Coloring Game")</f>
        <v>Binary Tree Coloring Game</v>
      </c>
      <c r="C1146" s="23" t="str">
        <f>IFERROR(__xludf.DUMMYFUNCTION("""COMPUTED_VALUE"""),"binary-tree-coloring-game")</f>
        <v>binary-tree-coloring-game</v>
      </c>
      <c r="D1146" s="23" t="b">
        <f>IFERROR(__xludf.DUMMYFUNCTION("""COMPUTED_VALUE"""),FALSE)</f>
        <v>0</v>
      </c>
      <c r="E1146" s="23" t="str">
        <f>IFERROR(__xludf.DUMMYFUNCTION("""COMPUTED_VALUE"""),"Medium")</f>
        <v>Medium</v>
      </c>
      <c r="F1146" s="23">
        <f>IFERROR(__xludf.DUMMYFUNCTION("""COMPUTED_VALUE"""),958.0)</f>
        <v>958</v>
      </c>
      <c r="G1146" s="23">
        <f>IFERROR(__xludf.DUMMYFUNCTION("""COMPUTED_VALUE"""),172.0)</f>
        <v>172</v>
      </c>
      <c r="H1146" s="23" t="str">
        <f>IFERROR(__xludf.DUMMYFUNCTION("""COMPUTED_VALUE"""),"Algorithms")</f>
        <v>Algorithms</v>
      </c>
      <c r="I1146" s="23">
        <f>IFERROR(__xludf.DUMMYFUNCTION("""COMPUTED_VALUE"""),0.512)</f>
        <v>0.512</v>
      </c>
      <c r="J1146" s="23">
        <f>IFERROR(__xludf.DUMMYFUNCTION("""COMPUTED_VALUE"""),1145.0)</f>
        <v>1145</v>
      </c>
      <c r="K1146" s="23" t="b">
        <f>IFERROR(__xludf.DUMMYFUNCTION("""COMPUTED_VALUE"""),FALSE)</f>
        <v>0</v>
      </c>
      <c r="L1146" s="23" t="str">
        <f>IFERROR(__xludf.DUMMYFUNCTION("""COMPUTED_VALUE"""),"Tree;Depth-First Search;Binary Tree;")</f>
        <v>Tree;Depth-First Search;Binary Tree;</v>
      </c>
      <c r="M1146" s="23" t="b">
        <f>IFERROR(__xludf.DUMMYFUNCTION("""COMPUTED_VALUE"""),FALSE)</f>
        <v>0</v>
      </c>
      <c r="N1146" s="23" t="b">
        <f>IFERROR(__xludf.DUMMYFUNCTION("""COMPUTED_VALUE"""),FALSE)</f>
        <v>0</v>
      </c>
      <c r="O1146" s="23">
        <f>IFERROR(__xludf.DUMMYFUNCTION("""COMPUTED_VALUE"""),51.1910735897511)</f>
        <v>51.19107359</v>
      </c>
      <c r="P1146" s="23">
        <f>IFERROR(__xludf.DUMMYFUNCTION("""COMPUTED_VALUE"""),34684.0)</f>
        <v>34684</v>
      </c>
      <c r="Q1146" s="23">
        <f>IFERROR(__xludf.DUMMYFUNCTION("""COMPUTED_VALUE"""),67754.0)</f>
        <v>67754</v>
      </c>
    </row>
    <row r="1147">
      <c r="A1147" s="23">
        <f>IFERROR(__xludf.DUMMYFUNCTION("""COMPUTED_VALUE"""),1249.0)</f>
        <v>1249</v>
      </c>
      <c r="B1147" s="23" t="str">
        <f>IFERROR(__xludf.DUMMYFUNCTION("""COMPUTED_VALUE"""),"Snapshot Array")</f>
        <v>Snapshot Array</v>
      </c>
      <c r="C1147" s="23" t="str">
        <f>IFERROR(__xludf.DUMMYFUNCTION("""COMPUTED_VALUE"""),"snapshot-array")</f>
        <v>snapshot-array</v>
      </c>
      <c r="D1147" s="23" t="b">
        <f>IFERROR(__xludf.DUMMYFUNCTION("""COMPUTED_VALUE"""),FALSE)</f>
        <v>0</v>
      </c>
      <c r="E1147" s="23" t="str">
        <f>IFERROR(__xludf.DUMMYFUNCTION("""COMPUTED_VALUE"""),"Medium")</f>
        <v>Medium</v>
      </c>
      <c r="F1147" s="23">
        <f>IFERROR(__xludf.DUMMYFUNCTION("""COMPUTED_VALUE"""),1659.0)</f>
        <v>1659</v>
      </c>
      <c r="G1147" s="23">
        <f>IFERROR(__xludf.DUMMYFUNCTION("""COMPUTED_VALUE"""),250.0)</f>
        <v>250</v>
      </c>
      <c r="H1147" s="23" t="str">
        <f>IFERROR(__xludf.DUMMYFUNCTION("""COMPUTED_VALUE"""),"Algorithms")</f>
        <v>Algorithms</v>
      </c>
      <c r="I1147" s="23">
        <f>IFERROR(__xludf.DUMMYFUNCTION("""COMPUTED_VALUE"""),0.369)</f>
        <v>0.369</v>
      </c>
      <c r="J1147" s="23">
        <f>IFERROR(__xludf.DUMMYFUNCTION("""COMPUTED_VALUE"""),1146.0)</f>
        <v>1146</v>
      </c>
      <c r="K1147" s="23" t="b">
        <f>IFERROR(__xludf.DUMMYFUNCTION("""COMPUTED_VALUE"""),FALSE)</f>
        <v>0</v>
      </c>
      <c r="L1147" s="23" t="str">
        <f>IFERROR(__xludf.DUMMYFUNCTION("""COMPUTED_VALUE"""),"Array;Hash Table;Binary Search;Design;")</f>
        <v>Array;Hash Table;Binary Search;Design;</v>
      </c>
      <c r="M1147" s="23" t="b">
        <f>IFERROR(__xludf.DUMMYFUNCTION("""COMPUTED_VALUE"""),FALSE)</f>
        <v>0</v>
      </c>
      <c r="N1147" s="23" t="b">
        <f>IFERROR(__xludf.DUMMYFUNCTION("""COMPUTED_VALUE"""),FALSE)</f>
        <v>0</v>
      </c>
      <c r="O1147" s="23">
        <f>IFERROR(__xludf.DUMMYFUNCTION("""COMPUTED_VALUE"""),36.9201196509153)</f>
        <v>36.92011965</v>
      </c>
      <c r="P1147" s="23">
        <f>IFERROR(__xludf.DUMMYFUNCTION("""COMPUTED_VALUE"""),107751.0)</f>
        <v>107751</v>
      </c>
      <c r="Q1147" s="23">
        <f>IFERROR(__xludf.DUMMYFUNCTION("""COMPUTED_VALUE"""),291848.0)</f>
        <v>291848</v>
      </c>
    </row>
    <row r="1148">
      <c r="A1148" s="23">
        <f>IFERROR(__xludf.DUMMYFUNCTION("""COMPUTED_VALUE"""),1251.0)</f>
        <v>1251</v>
      </c>
      <c r="B1148" s="23" t="str">
        <f>IFERROR(__xludf.DUMMYFUNCTION("""COMPUTED_VALUE"""),"Longest Chunked Palindrome Decomposition")</f>
        <v>Longest Chunked Palindrome Decomposition</v>
      </c>
      <c r="C1148" s="23" t="str">
        <f>IFERROR(__xludf.DUMMYFUNCTION("""COMPUTED_VALUE"""),"longest-chunked-palindrome-decomposition")</f>
        <v>longest-chunked-palindrome-decomposition</v>
      </c>
      <c r="D1148" s="23" t="b">
        <f>IFERROR(__xludf.DUMMYFUNCTION("""COMPUTED_VALUE"""),FALSE)</f>
        <v>0</v>
      </c>
      <c r="E1148" s="23" t="str">
        <f>IFERROR(__xludf.DUMMYFUNCTION("""COMPUTED_VALUE"""),"Hard")</f>
        <v>Hard</v>
      </c>
      <c r="F1148" s="23">
        <f>IFERROR(__xludf.DUMMYFUNCTION("""COMPUTED_VALUE"""),423.0)</f>
        <v>423</v>
      </c>
      <c r="G1148" s="23">
        <f>IFERROR(__xludf.DUMMYFUNCTION("""COMPUTED_VALUE"""),24.0)</f>
        <v>24</v>
      </c>
      <c r="H1148" s="23" t="str">
        <f>IFERROR(__xludf.DUMMYFUNCTION("""COMPUTED_VALUE"""),"Algorithms")</f>
        <v>Algorithms</v>
      </c>
      <c r="I1148" s="23">
        <f>IFERROR(__xludf.DUMMYFUNCTION("""COMPUTED_VALUE"""),0.602)</f>
        <v>0.602</v>
      </c>
      <c r="J1148" s="23">
        <f>IFERROR(__xludf.DUMMYFUNCTION("""COMPUTED_VALUE"""),1147.0)</f>
        <v>1147</v>
      </c>
      <c r="K1148" s="23" t="b">
        <f>IFERROR(__xludf.DUMMYFUNCTION("""COMPUTED_VALUE"""),FALSE)</f>
        <v>0</v>
      </c>
      <c r="L1148" s="23" t="str">
        <f>IFERROR(__xludf.DUMMYFUNCTION("""COMPUTED_VALUE"""),"Two Pointers;String;Dynamic Programming;Greedy;Rolling Hash;Hash Function;")</f>
        <v>Two Pointers;String;Dynamic Programming;Greedy;Rolling Hash;Hash Function;</v>
      </c>
      <c r="M1148" s="23" t="b">
        <f>IFERROR(__xludf.DUMMYFUNCTION("""COMPUTED_VALUE"""),FALSE)</f>
        <v>0</v>
      </c>
      <c r="N1148" s="23" t="b">
        <f>IFERROR(__xludf.DUMMYFUNCTION("""COMPUTED_VALUE"""),FALSE)</f>
        <v>0</v>
      </c>
      <c r="O1148" s="23">
        <f>IFERROR(__xludf.DUMMYFUNCTION("""COMPUTED_VALUE"""),60.2240999265246)</f>
        <v>60.22409993</v>
      </c>
      <c r="P1148" s="23">
        <f>IFERROR(__xludf.DUMMYFUNCTION("""COMPUTED_VALUE"""),16393.0)</f>
        <v>16393</v>
      </c>
      <c r="Q1148" s="23">
        <f>IFERROR(__xludf.DUMMYFUNCTION("""COMPUTED_VALUE"""),27220.0)</f>
        <v>27220</v>
      </c>
    </row>
    <row r="1149">
      <c r="A1149" s="23">
        <f>IFERROR(__xludf.DUMMYFUNCTION("""COMPUTED_VALUE"""),1258.0)</f>
        <v>1258</v>
      </c>
      <c r="B1149" s="23" t="str">
        <f>IFERROR(__xludf.DUMMYFUNCTION("""COMPUTED_VALUE"""),"Article Views I")</f>
        <v>Article Views I</v>
      </c>
      <c r="C1149" s="23" t="str">
        <f>IFERROR(__xludf.DUMMYFUNCTION("""COMPUTED_VALUE"""),"article-views-i")</f>
        <v>article-views-i</v>
      </c>
      <c r="D1149" s="23" t="b">
        <f>IFERROR(__xludf.DUMMYFUNCTION("""COMPUTED_VALUE"""),FALSE)</f>
        <v>0</v>
      </c>
      <c r="E1149" s="23" t="str">
        <f>IFERROR(__xludf.DUMMYFUNCTION("""COMPUTED_VALUE"""),"Easy")</f>
        <v>Easy</v>
      </c>
      <c r="F1149" s="23">
        <f>IFERROR(__xludf.DUMMYFUNCTION("""COMPUTED_VALUE"""),117.0)</f>
        <v>117</v>
      </c>
      <c r="G1149" s="23">
        <f>IFERROR(__xludf.DUMMYFUNCTION("""COMPUTED_VALUE"""),16.0)</f>
        <v>16</v>
      </c>
      <c r="H1149" s="23" t="str">
        <f>IFERROR(__xludf.DUMMYFUNCTION("""COMPUTED_VALUE"""),"Database")</f>
        <v>Database</v>
      </c>
      <c r="I1149" s="23">
        <f>IFERROR(__xludf.DUMMYFUNCTION("""COMPUTED_VALUE"""),0.768)</f>
        <v>0.768</v>
      </c>
      <c r="J1149" s="23">
        <f>IFERROR(__xludf.DUMMYFUNCTION("""COMPUTED_VALUE"""),1148.0)</f>
        <v>1148</v>
      </c>
      <c r="K1149" s="23" t="b">
        <f>IFERROR(__xludf.DUMMYFUNCTION("""COMPUTED_VALUE"""),FALSE)</f>
        <v>0</v>
      </c>
      <c r="L1149" s="23" t="str">
        <f>IFERROR(__xludf.DUMMYFUNCTION("""COMPUTED_VALUE"""),"Database;")</f>
        <v>Database;</v>
      </c>
      <c r="M1149" s="23" t="b">
        <f>IFERROR(__xludf.DUMMYFUNCTION("""COMPUTED_VALUE"""),FALSE)</f>
        <v>0</v>
      </c>
      <c r="N1149" s="23" t="b">
        <f>IFERROR(__xludf.DUMMYFUNCTION("""COMPUTED_VALUE"""),FALSE)</f>
        <v>0</v>
      </c>
      <c r="O1149" s="23">
        <f>IFERROR(__xludf.DUMMYFUNCTION("""COMPUTED_VALUE"""),76.7821061989816)</f>
        <v>76.7821062</v>
      </c>
      <c r="P1149" s="23">
        <f>IFERROR(__xludf.DUMMYFUNCTION("""COMPUTED_VALUE"""),37999.0)</f>
        <v>37999</v>
      </c>
      <c r="Q1149" s="23">
        <f>IFERROR(__xludf.DUMMYFUNCTION("""COMPUTED_VALUE"""),49490.0)</f>
        <v>49490</v>
      </c>
    </row>
    <row r="1150">
      <c r="A1150" s="23">
        <f>IFERROR(__xludf.DUMMYFUNCTION("""COMPUTED_VALUE"""),1259.0)</f>
        <v>1259</v>
      </c>
      <c r="B1150" s="23" t="str">
        <f>IFERROR(__xludf.DUMMYFUNCTION("""COMPUTED_VALUE"""),"Article Views II")</f>
        <v>Article Views II</v>
      </c>
      <c r="C1150" s="23" t="str">
        <f>IFERROR(__xludf.DUMMYFUNCTION("""COMPUTED_VALUE"""),"article-views-ii")</f>
        <v>article-views-ii</v>
      </c>
      <c r="D1150" s="23" t="b">
        <f>IFERROR(__xludf.DUMMYFUNCTION("""COMPUTED_VALUE"""),TRUE)</f>
        <v>1</v>
      </c>
      <c r="E1150" s="23" t="str">
        <f>IFERROR(__xludf.DUMMYFUNCTION("""COMPUTED_VALUE"""),"Medium")</f>
        <v>Medium</v>
      </c>
      <c r="F1150" s="23">
        <f>IFERROR(__xludf.DUMMYFUNCTION("""COMPUTED_VALUE"""),85.0)</f>
        <v>85</v>
      </c>
      <c r="G1150" s="23">
        <f>IFERROR(__xludf.DUMMYFUNCTION("""COMPUTED_VALUE"""),25.0)</f>
        <v>25</v>
      </c>
      <c r="H1150" s="23" t="str">
        <f>IFERROR(__xludf.DUMMYFUNCTION("""COMPUTED_VALUE"""),"Database")</f>
        <v>Database</v>
      </c>
      <c r="I1150" s="23">
        <f>IFERROR(__xludf.DUMMYFUNCTION("""COMPUTED_VALUE"""),0.478)</f>
        <v>0.478</v>
      </c>
      <c r="J1150" s="23">
        <f>IFERROR(__xludf.DUMMYFUNCTION("""COMPUTED_VALUE"""),1149.0)</f>
        <v>1149</v>
      </c>
      <c r="K1150" s="23" t="b">
        <f>IFERROR(__xludf.DUMMYFUNCTION("""COMPUTED_VALUE"""),TRUE)</f>
        <v>1</v>
      </c>
      <c r="L1150" s="23" t="str">
        <f>IFERROR(__xludf.DUMMYFUNCTION("""COMPUTED_VALUE"""),"Database;")</f>
        <v>Database;</v>
      </c>
      <c r="M1150" s="23" t="b">
        <f>IFERROR(__xludf.DUMMYFUNCTION("""COMPUTED_VALUE"""),FALSE)</f>
        <v>0</v>
      </c>
      <c r="N1150" s="23" t="b">
        <f>IFERROR(__xludf.DUMMYFUNCTION("""COMPUTED_VALUE"""),FALSE)</f>
        <v>0</v>
      </c>
      <c r="O1150" s="23">
        <f>IFERROR(__xludf.DUMMYFUNCTION("""COMPUTED_VALUE"""),47.840544407068)</f>
        <v>47.84054441</v>
      </c>
      <c r="P1150" s="23">
        <f>IFERROR(__xludf.DUMMYFUNCTION("""COMPUTED_VALUE"""),24746.0)</f>
        <v>24746</v>
      </c>
      <c r="Q1150" s="23">
        <f>IFERROR(__xludf.DUMMYFUNCTION("""COMPUTED_VALUE"""),51726.0)</f>
        <v>51726</v>
      </c>
    </row>
    <row r="1151">
      <c r="A1151" s="23">
        <f>IFERROR(__xludf.DUMMYFUNCTION("""COMPUTED_VALUE"""),1102.0)</f>
        <v>1102</v>
      </c>
      <c r="B1151" s="23" t="str">
        <f>IFERROR(__xludf.DUMMYFUNCTION("""COMPUTED_VALUE"""),"Check If a Number Is Majority Element in a Sorted Array")</f>
        <v>Check If a Number Is Majority Element in a Sorted Array</v>
      </c>
      <c r="C1151" s="23" t="str">
        <f>IFERROR(__xludf.DUMMYFUNCTION("""COMPUTED_VALUE"""),"check-if-a-number-is-majority-element-in-a-sorted-array")</f>
        <v>check-if-a-number-is-majority-element-in-a-sorted-array</v>
      </c>
      <c r="D1151" s="23" t="b">
        <f>IFERROR(__xludf.DUMMYFUNCTION("""COMPUTED_VALUE"""),TRUE)</f>
        <v>1</v>
      </c>
      <c r="E1151" s="23" t="str">
        <f>IFERROR(__xludf.DUMMYFUNCTION("""COMPUTED_VALUE"""),"Easy")</f>
        <v>Easy</v>
      </c>
      <c r="F1151" s="23">
        <f>IFERROR(__xludf.DUMMYFUNCTION("""COMPUTED_VALUE"""),300.0)</f>
        <v>300</v>
      </c>
      <c r="G1151" s="23">
        <f>IFERROR(__xludf.DUMMYFUNCTION("""COMPUTED_VALUE"""),30.0)</f>
        <v>30</v>
      </c>
      <c r="H1151" s="23" t="str">
        <f>IFERROR(__xludf.DUMMYFUNCTION("""COMPUTED_VALUE"""),"Algorithms")</f>
        <v>Algorithms</v>
      </c>
      <c r="I1151" s="23">
        <f>IFERROR(__xludf.DUMMYFUNCTION("""COMPUTED_VALUE"""),0.567)</f>
        <v>0.567</v>
      </c>
      <c r="J1151" s="23">
        <f>IFERROR(__xludf.DUMMYFUNCTION("""COMPUTED_VALUE"""),1150.0)</f>
        <v>1150</v>
      </c>
      <c r="K1151" s="23" t="b">
        <f>IFERROR(__xludf.DUMMYFUNCTION("""COMPUTED_VALUE"""),TRUE)</f>
        <v>1</v>
      </c>
      <c r="L1151" s="23" t="str">
        <f>IFERROR(__xludf.DUMMYFUNCTION("""COMPUTED_VALUE"""),"Array;Binary Search;")</f>
        <v>Array;Binary Search;</v>
      </c>
      <c r="M1151" s="23" t="b">
        <f>IFERROR(__xludf.DUMMYFUNCTION("""COMPUTED_VALUE"""),FALSE)</f>
        <v>0</v>
      </c>
      <c r="N1151" s="23" t="b">
        <f>IFERROR(__xludf.DUMMYFUNCTION("""COMPUTED_VALUE"""),FALSE)</f>
        <v>0</v>
      </c>
      <c r="O1151" s="23">
        <f>IFERROR(__xludf.DUMMYFUNCTION("""COMPUTED_VALUE"""),56.6864347919004)</f>
        <v>56.68643479</v>
      </c>
      <c r="P1151" s="23">
        <f>IFERROR(__xludf.DUMMYFUNCTION("""COMPUTED_VALUE"""),31830.0)</f>
        <v>31830</v>
      </c>
      <c r="Q1151" s="23">
        <f>IFERROR(__xludf.DUMMYFUNCTION("""COMPUTED_VALUE"""),56151.0)</f>
        <v>56151</v>
      </c>
    </row>
    <row r="1152">
      <c r="A1152" s="23">
        <f>IFERROR(__xludf.DUMMYFUNCTION("""COMPUTED_VALUE"""),1107.0)</f>
        <v>1107</v>
      </c>
      <c r="B1152" s="23" t="str">
        <f>IFERROR(__xludf.DUMMYFUNCTION("""COMPUTED_VALUE"""),"Minimum Swaps to Group All 1's Together")</f>
        <v>Minimum Swaps to Group All 1's Together</v>
      </c>
      <c r="C1152" s="23" t="str">
        <f>IFERROR(__xludf.DUMMYFUNCTION("""COMPUTED_VALUE"""),"minimum-swaps-to-group-all-1s-together")</f>
        <v>minimum-swaps-to-group-all-1s-together</v>
      </c>
      <c r="D1152" s="23" t="b">
        <f>IFERROR(__xludf.DUMMYFUNCTION("""COMPUTED_VALUE"""),TRUE)</f>
        <v>1</v>
      </c>
      <c r="E1152" s="23" t="str">
        <f>IFERROR(__xludf.DUMMYFUNCTION("""COMPUTED_VALUE"""),"Medium")</f>
        <v>Medium</v>
      </c>
      <c r="F1152" s="23">
        <f>IFERROR(__xludf.DUMMYFUNCTION("""COMPUTED_VALUE"""),790.0)</f>
        <v>790</v>
      </c>
      <c r="G1152" s="23">
        <f>IFERROR(__xludf.DUMMYFUNCTION("""COMPUTED_VALUE"""),11.0)</f>
        <v>11</v>
      </c>
      <c r="H1152" s="23" t="str">
        <f>IFERROR(__xludf.DUMMYFUNCTION("""COMPUTED_VALUE"""),"Algorithms")</f>
        <v>Algorithms</v>
      </c>
      <c r="I1152" s="23">
        <f>IFERROR(__xludf.DUMMYFUNCTION("""COMPUTED_VALUE"""),0.593)</f>
        <v>0.593</v>
      </c>
      <c r="J1152" s="23">
        <f>IFERROR(__xludf.DUMMYFUNCTION("""COMPUTED_VALUE"""),1151.0)</f>
        <v>1151</v>
      </c>
      <c r="K1152" s="23" t="b">
        <f>IFERROR(__xludf.DUMMYFUNCTION("""COMPUTED_VALUE"""),TRUE)</f>
        <v>1</v>
      </c>
      <c r="L1152" s="23" t="str">
        <f>IFERROR(__xludf.DUMMYFUNCTION("""COMPUTED_VALUE"""),"Array;Sliding Window;")</f>
        <v>Array;Sliding Window;</v>
      </c>
      <c r="M1152" s="23" t="b">
        <f>IFERROR(__xludf.DUMMYFUNCTION("""COMPUTED_VALUE"""),TRUE)</f>
        <v>1</v>
      </c>
      <c r="N1152" s="23" t="b">
        <f>IFERROR(__xludf.DUMMYFUNCTION("""COMPUTED_VALUE"""),TRUE)</f>
        <v>1</v>
      </c>
      <c r="O1152" s="23">
        <f>IFERROR(__xludf.DUMMYFUNCTION("""COMPUTED_VALUE"""),59.2781076241636)</f>
        <v>59.27810762</v>
      </c>
      <c r="P1152" s="23">
        <f>IFERROR(__xludf.DUMMYFUNCTION("""COMPUTED_VALUE"""),37740.0)</f>
        <v>37740</v>
      </c>
      <c r="Q1152" s="23">
        <f>IFERROR(__xludf.DUMMYFUNCTION("""COMPUTED_VALUE"""),63665.0)</f>
        <v>63665</v>
      </c>
    </row>
    <row r="1153">
      <c r="A1153" s="23">
        <f>IFERROR(__xludf.DUMMYFUNCTION("""COMPUTED_VALUE"""),1108.0)</f>
        <v>1108</v>
      </c>
      <c r="B1153" s="23" t="str">
        <f>IFERROR(__xludf.DUMMYFUNCTION("""COMPUTED_VALUE"""),"Analyze User Website Visit Pattern")</f>
        <v>Analyze User Website Visit Pattern</v>
      </c>
      <c r="C1153" s="23" t="str">
        <f>IFERROR(__xludf.DUMMYFUNCTION("""COMPUTED_VALUE"""),"analyze-user-website-visit-pattern")</f>
        <v>analyze-user-website-visit-pattern</v>
      </c>
      <c r="D1153" s="23" t="b">
        <f>IFERROR(__xludf.DUMMYFUNCTION("""COMPUTED_VALUE"""),TRUE)</f>
        <v>1</v>
      </c>
      <c r="E1153" s="23" t="str">
        <f>IFERROR(__xludf.DUMMYFUNCTION("""COMPUTED_VALUE"""),"Medium")</f>
        <v>Medium</v>
      </c>
      <c r="F1153" s="23">
        <f>IFERROR(__xludf.DUMMYFUNCTION("""COMPUTED_VALUE"""),320.0)</f>
        <v>320</v>
      </c>
      <c r="G1153" s="23">
        <f>IFERROR(__xludf.DUMMYFUNCTION("""COMPUTED_VALUE"""),2689.0)</f>
        <v>2689</v>
      </c>
      <c r="H1153" s="23" t="str">
        <f>IFERROR(__xludf.DUMMYFUNCTION("""COMPUTED_VALUE"""),"Algorithms")</f>
        <v>Algorithms</v>
      </c>
      <c r="I1153" s="23">
        <f>IFERROR(__xludf.DUMMYFUNCTION("""COMPUTED_VALUE"""),0.434)</f>
        <v>0.434</v>
      </c>
      <c r="J1153" s="23">
        <f>IFERROR(__xludf.DUMMYFUNCTION("""COMPUTED_VALUE"""),1152.0)</f>
        <v>1152</v>
      </c>
      <c r="K1153" s="23" t="b">
        <f>IFERROR(__xludf.DUMMYFUNCTION("""COMPUTED_VALUE"""),TRUE)</f>
        <v>1</v>
      </c>
      <c r="L1153" s="23" t="str">
        <f>IFERROR(__xludf.DUMMYFUNCTION("""COMPUTED_VALUE"""),"Array;Hash Table;Sorting;")</f>
        <v>Array;Hash Table;Sorting;</v>
      </c>
      <c r="M1153" s="23" t="b">
        <f>IFERROR(__xludf.DUMMYFUNCTION("""COMPUTED_VALUE"""),FALSE)</f>
        <v>0</v>
      </c>
      <c r="N1153" s="23" t="b">
        <f>IFERROR(__xludf.DUMMYFUNCTION("""COMPUTED_VALUE"""),FALSE)</f>
        <v>0</v>
      </c>
      <c r="O1153" s="23">
        <f>IFERROR(__xludf.DUMMYFUNCTION("""COMPUTED_VALUE"""),43.41598914093)</f>
        <v>43.41598914</v>
      </c>
      <c r="P1153" s="23">
        <f>IFERROR(__xludf.DUMMYFUNCTION("""COMPUTED_VALUE"""),62051.0)</f>
        <v>62051</v>
      </c>
      <c r="Q1153" s="23">
        <f>IFERROR(__xludf.DUMMYFUNCTION("""COMPUTED_VALUE"""),142922.0)</f>
        <v>142922</v>
      </c>
    </row>
    <row r="1154">
      <c r="A1154" s="23">
        <f>IFERROR(__xludf.DUMMYFUNCTION("""COMPUTED_VALUE"""),1124.0)</f>
        <v>1124</v>
      </c>
      <c r="B1154" s="23" t="str">
        <f>IFERROR(__xludf.DUMMYFUNCTION("""COMPUTED_VALUE"""),"String Transforms Into Another String")</f>
        <v>String Transforms Into Another String</v>
      </c>
      <c r="C1154" s="23" t="str">
        <f>IFERROR(__xludf.DUMMYFUNCTION("""COMPUTED_VALUE"""),"string-transforms-into-another-string")</f>
        <v>string-transforms-into-another-string</v>
      </c>
      <c r="D1154" s="23" t="b">
        <f>IFERROR(__xludf.DUMMYFUNCTION("""COMPUTED_VALUE"""),TRUE)</f>
        <v>1</v>
      </c>
      <c r="E1154" s="23" t="str">
        <f>IFERROR(__xludf.DUMMYFUNCTION("""COMPUTED_VALUE"""),"Hard")</f>
        <v>Hard</v>
      </c>
      <c r="F1154" s="23">
        <f>IFERROR(__xludf.DUMMYFUNCTION("""COMPUTED_VALUE"""),798.0)</f>
        <v>798</v>
      </c>
      <c r="G1154" s="23">
        <f>IFERROR(__xludf.DUMMYFUNCTION("""COMPUTED_VALUE"""),305.0)</f>
        <v>305</v>
      </c>
      <c r="H1154" s="23" t="str">
        <f>IFERROR(__xludf.DUMMYFUNCTION("""COMPUTED_VALUE"""),"Algorithms")</f>
        <v>Algorithms</v>
      </c>
      <c r="I1154" s="23">
        <f>IFERROR(__xludf.DUMMYFUNCTION("""COMPUTED_VALUE"""),0.355)</f>
        <v>0.355</v>
      </c>
      <c r="J1154" s="23">
        <f>IFERROR(__xludf.DUMMYFUNCTION("""COMPUTED_VALUE"""),1153.0)</f>
        <v>1153</v>
      </c>
      <c r="K1154" s="23" t="b">
        <f>IFERROR(__xludf.DUMMYFUNCTION("""COMPUTED_VALUE"""),TRUE)</f>
        <v>1</v>
      </c>
      <c r="L1154" s="23" t="str">
        <f>IFERROR(__xludf.DUMMYFUNCTION("""COMPUTED_VALUE"""),"Hash Table;String;")</f>
        <v>Hash Table;String;</v>
      </c>
      <c r="M1154" s="23" t="b">
        <f>IFERROR(__xludf.DUMMYFUNCTION("""COMPUTED_VALUE"""),TRUE)</f>
        <v>1</v>
      </c>
      <c r="N1154" s="23" t="b">
        <f>IFERROR(__xludf.DUMMYFUNCTION("""COMPUTED_VALUE"""),FALSE)</f>
        <v>0</v>
      </c>
      <c r="O1154" s="23">
        <f>IFERROR(__xludf.DUMMYFUNCTION("""COMPUTED_VALUE"""),35.477010633518)</f>
        <v>35.47701063</v>
      </c>
      <c r="P1154" s="23">
        <f>IFERROR(__xludf.DUMMYFUNCTION("""COMPUTED_VALUE"""),47376.0)</f>
        <v>47376</v>
      </c>
      <c r="Q1154" s="23">
        <f>IFERROR(__xludf.DUMMYFUNCTION("""COMPUTED_VALUE"""),133538.0)</f>
        <v>133538</v>
      </c>
    </row>
    <row r="1155">
      <c r="A1155" s="23">
        <f>IFERROR(__xludf.DUMMYFUNCTION("""COMPUTED_VALUE"""),1260.0)</f>
        <v>1260</v>
      </c>
      <c r="B1155" s="23" t="str">
        <f>IFERROR(__xludf.DUMMYFUNCTION("""COMPUTED_VALUE"""),"Day of the Year")</f>
        <v>Day of the Year</v>
      </c>
      <c r="C1155" s="23" t="str">
        <f>IFERROR(__xludf.DUMMYFUNCTION("""COMPUTED_VALUE"""),"day-of-the-year")</f>
        <v>day-of-the-year</v>
      </c>
      <c r="D1155" s="23" t="b">
        <f>IFERROR(__xludf.DUMMYFUNCTION("""COMPUTED_VALUE"""),FALSE)</f>
        <v>0</v>
      </c>
      <c r="E1155" s="23" t="str">
        <f>IFERROR(__xludf.DUMMYFUNCTION("""COMPUTED_VALUE"""),"Easy")</f>
        <v>Easy</v>
      </c>
      <c r="F1155" s="23">
        <f>IFERROR(__xludf.DUMMYFUNCTION("""COMPUTED_VALUE"""),241.0)</f>
        <v>241</v>
      </c>
      <c r="G1155" s="23">
        <f>IFERROR(__xludf.DUMMYFUNCTION("""COMPUTED_VALUE"""),306.0)</f>
        <v>306</v>
      </c>
      <c r="H1155" s="23" t="str">
        <f>IFERROR(__xludf.DUMMYFUNCTION("""COMPUTED_VALUE"""),"Algorithms")</f>
        <v>Algorithms</v>
      </c>
      <c r="I1155" s="23">
        <f>IFERROR(__xludf.DUMMYFUNCTION("""COMPUTED_VALUE"""),0.509)</f>
        <v>0.509</v>
      </c>
      <c r="J1155" s="23">
        <f>IFERROR(__xludf.DUMMYFUNCTION("""COMPUTED_VALUE"""),1154.0)</f>
        <v>1154</v>
      </c>
      <c r="K1155" s="23" t="b">
        <f>IFERROR(__xludf.DUMMYFUNCTION("""COMPUTED_VALUE"""),FALSE)</f>
        <v>0</v>
      </c>
      <c r="L1155" s="23" t="str">
        <f>IFERROR(__xludf.DUMMYFUNCTION("""COMPUTED_VALUE"""),"Math;String;")</f>
        <v>Math;String;</v>
      </c>
      <c r="M1155" s="23" t="b">
        <f>IFERROR(__xludf.DUMMYFUNCTION("""COMPUTED_VALUE"""),FALSE)</f>
        <v>0</v>
      </c>
      <c r="N1155" s="23" t="b">
        <f>IFERROR(__xludf.DUMMYFUNCTION("""COMPUTED_VALUE"""),FALSE)</f>
        <v>0</v>
      </c>
      <c r="O1155" s="23">
        <f>IFERROR(__xludf.DUMMYFUNCTION("""COMPUTED_VALUE"""),50.9417914140789)</f>
        <v>50.94179141</v>
      </c>
      <c r="P1155" s="23">
        <f>IFERROR(__xludf.DUMMYFUNCTION("""COMPUTED_VALUE"""),32941.0)</f>
        <v>32941</v>
      </c>
      <c r="Q1155" s="23">
        <f>IFERROR(__xludf.DUMMYFUNCTION("""COMPUTED_VALUE"""),64664.0)</f>
        <v>64664</v>
      </c>
    </row>
    <row r="1156">
      <c r="A1156" s="23">
        <f>IFERROR(__xludf.DUMMYFUNCTION("""COMPUTED_VALUE"""),1263.0)</f>
        <v>1263</v>
      </c>
      <c r="B1156" s="23" t="str">
        <f>IFERROR(__xludf.DUMMYFUNCTION("""COMPUTED_VALUE"""),"Number of Dice Rolls With Target Sum")</f>
        <v>Number of Dice Rolls With Target Sum</v>
      </c>
      <c r="C1156" s="23" t="str">
        <f>IFERROR(__xludf.DUMMYFUNCTION("""COMPUTED_VALUE"""),"number-of-dice-rolls-with-target-sum")</f>
        <v>number-of-dice-rolls-with-target-sum</v>
      </c>
      <c r="D1156" s="23" t="b">
        <f>IFERROR(__xludf.DUMMYFUNCTION("""COMPUTED_VALUE"""),FALSE)</f>
        <v>0</v>
      </c>
      <c r="E1156" s="23" t="str">
        <f>IFERROR(__xludf.DUMMYFUNCTION("""COMPUTED_VALUE"""),"Medium")</f>
        <v>Medium</v>
      </c>
      <c r="F1156" s="23">
        <f>IFERROR(__xludf.DUMMYFUNCTION("""COMPUTED_VALUE"""),1962.0)</f>
        <v>1962</v>
      </c>
      <c r="G1156" s="23">
        <f>IFERROR(__xludf.DUMMYFUNCTION("""COMPUTED_VALUE"""),85.0)</f>
        <v>85</v>
      </c>
      <c r="H1156" s="23" t="str">
        <f>IFERROR(__xludf.DUMMYFUNCTION("""COMPUTED_VALUE"""),"Algorithms")</f>
        <v>Algorithms</v>
      </c>
      <c r="I1156" s="23">
        <f>IFERROR(__xludf.DUMMYFUNCTION("""COMPUTED_VALUE"""),0.477)</f>
        <v>0.477</v>
      </c>
      <c r="J1156" s="23">
        <f>IFERROR(__xludf.DUMMYFUNCTION("""COMPUTED_VALUE"""),1155.0)</f>
        <v>1155</v>
      </c>
      <c r="K1156" s="23" t="b">
        <f>IFERROR(__xludf.DUMMYFUNCTION("""COMPUTED_VALUE"""),FALSE)</f>
        <v>0</v>
      </c>
      <c r="L1156" s="23" t="str">
        <f>IFERROR(__xludf.DUMMYFUNCTION("""COMPUTED_VALUE"""),"Dynamic Programming;")</f>
        <v>Dynamic Programming;</v>
      </c>
      <c r="M1156" s="23" t="b">
        <f>IFERROR(__xludf.DUMMYFUNCTION("""COMPUTED_VALUE"""),FALSE)</f>
        <v>0</v>
      </c>
      <c r="N1156" s="23" t="b">
        <f>IFERROR(__xludf.DUMMYFUNCTION("""COMPUTED_VALUE"""),FALSE)</f>
        <v>0</v>
      </c>
      <c r="O1156" s="23">
        <f>IFERROR(__xludf.DUMMYFUNCTION("""COMPUTED_VALUE"""),47.7232953299203)</f>
        <v>47.72329533</v>
      </c>
      <c r="P1156" s="23">
        <f>IFERROR(__xludf.DUMMYFUNCTION("""COMPUTED_VALUE"""),102261.0)</f>
        <v>102261</v>
      </c>
      <c r="Q1156" s="23">
        <f>IFERROR(__xludf.DUMMYFUNCTION("""COMPUTED_VALUE"""),214279.0)</f>
        <v>214279</v>
      </c>
    </row>
    <row r="1157">
      <c r="A1157" s="23">
        <f>IFERROR(__xludf.DUMMYFUNCTION("""COMPUTED_VALUE"""),1261.0)</f>
        <v>1261</v>
      </c>
      <c r="B1157" s="23" t="str">
        <f>IFERROR(__xludf.DUMMYFUNCTION("""COMPUTED_VALUE"""),"Swap For Longest Repeated Character Substring")</f>
        <v>Swap For Longest Repeated Character Substring</v>
      </c>
      <c r="C1157" s="23" t="str">
        <f>IFERROR(__xludf.DUMMYFUNCTION("""COMPUTED_VALUE"""),"swap-for-longest-repeated-character-substring")</f>
        <v>swap-for-longest-repeated-character-substring</v>
      </c>
      <c r="D1157" s="23" t="b">
        <f>IFERROR(__xludf.DUMMYFUNCTION("""COMPUTED_VALUE"""),FALSE)</f>
        <v>0</v>
      </c>
      <c r="E1157" s="23" t="str">
        <f>IFERROR(__xludf.DUMMYFUNCTION("""COMPUTED_VALUE"""),"Medium")</f>
        <v>Medium</v>
      </c>
      <c r="F1157" s="23">
        <f>IFERROR(__xludf.DUMMYFUNCTION("""COMPUTED_VALUE"""),700.0)</f>
        <v>700</v>
      </c>
      <c r="G1157" s="23">
        <f>IFERROR(__xludf.DUMMYFUNCTION("""COMPUTED_VALUE"""),63.0)</f>
        <v>63</v>
      </c>
      <c r="H1157" s="23" t="str">
        <f>IFERROR(__xludf.DUMMYFUNCTION("""COMPUTED_VALUE"""),"Algorithms")</f>
        <v>Algorithms</v>
      </c>
      <c r="I1157" s="23">
        <f>IFERROR(__xludf.DUMMYFUNCTION("""COMPUTED_VALUE"""),0.462)</f>
        <v>0.462</v>
      </c>
      <c r="J1157" s="23">
        <f>IFERROR(__xludf.DUMMYFUNCTION("""COMPUTED_VALUE"""),1156.0)</f>
        <v>1156</v>
      </c>
      <c r="K1157" s="23" t="b">
        <f>IFERROR(__xludf.DUMMYFUNCTION("""COMPUTED_VALUE"""),FALSE)</f>
        <v>0</v>
      </c>
      <c r="L1157" s="23" t="str">
        <f>IFERROR(__xludf.DUMMYFUNCTION("""COMPUTED_VALUE"""),"String;Sliding Window;")</f>
        <v>String;Sliding Window;</v>
      </c>
      <c r="M1157" s="23" t="b">
        <f>IFERROR(__xludf.DUMMYFUNCTION("""COMPUTED_VALUE"""),FALSE)</f>
        <v>0</v>
      </c>
      <c r="N1157" s="23" t="b">
        <f>IFERROR(__xludf.DUMMYFUNCTION("""COMPUTED_VALUE"""),FALSE)</f>
        <v>0</v>
      </c>
      <c r="O1157" s="23">
        <f>IFERROR(__xludf.DUMMYFUNCTION("""COMPUTED_VALUE"""),46.1638623832678)</f>
        <v>46.16386238</v>
      </c>
      <c r="P1157" s="23">
        <f>IFERROR(__xludf.DUMMYFUNCTION("""COMPUTED_VALUE"""),22690.0)</f>
        <v>22690</v>
      </c>
      <c r="Q1157" s="23">
        <f>IFERROR(__xludf.DUMMYFUNCTION("""COMPUTED_VALUE"""),49151.0)</f>
        <v>49151</v>
      </c>
    </row>
    <row r="1158">
      <c r="A1158" s="23">
        <f>IFERROR(__xludf.DUMMYFUNCTION("""COMPUTED_VALUE"""),1262.0)</f>
        <v>1262</v>
      </c>
      <c r="B1158" s="23" t="str">
        <f>IFERROR(__xludf.DUMMYFUNCTION("""COMPUTED_VALUE"""),"Online Majority Element In Subarray")</f>
        <v>Online Majority Element In Subarray</v>
      </c>
      <c r="C1158" s="23" t="str">
        <f>IFERROR(__xludf.DUMMYFUNCTION("""COMPUTED_VALUE"""),"online-majority-element-in-subarray")</f>
        <v>online-majority-element-in-subarray</v>
      </c>
      <c r="D1158" s="23" t="b">
        <f>IFERROR(__xludf.DUMMYFUNCTION("""COMPUTED_VALUE"""),FALSE)</f>
        <v>0</v>
      </c>
      <c r="E1158" s="23" t="str">
        <f>IFERROR(__xludf.DUMMYFUNCTION("""COMPUTED_VALUE"""),"Hard")</f>
        <v>Hard</v>
      </c>
      <c r="F1158" s="23">
        <f>IFERROR(__xludf.DUMMYFUNCTION("""COMPUTED_VALUE"""),445.0)</f>
        <v>445</v>
      </c>
      <c r="G1158" s="23">
        <f>IFERROR(__xludf.DUMMYFUNCTION("""COMPUTED_VALUE"""),47.0)</f>
        <v>47</v>
      </c>
      <c r="H1158" s="23" t="str">
        <f>IFERROR(__xludf.DUMMYFUNCTION("""COMPUTED_VALUE"""),"Algorithms")</f>
        <v>Algorithms</v>
      </c>
      <c r="I1158" s="23">
        <f>IFERROR(__xludf.DUMMYFUNCTION("""COMPUTED_VALUE"""),0.421)</f>
        <v>0.421</v>
      </c>
      <c r="J1158" s="23">
        <f>IFERROR(__xludf.DUMMYFUNCTION("""COMPUTED_VALUE"""),1157.0)</f>
        <v>1157</v>
      </c>
      <c r="K1158" s="23" t="b">
        <f>IFERROR(__xludf.DUMMYFUNCTION("""COMPUTED_VALUE"""),FALSE)</f>
        <v>0</v>
      </c>
      <c r="L1158" s="23" t="str">
        <f>IFERROR(__xludf.DUMMYFUNCTION("""COMPUTED_VALUE"""),"Array;Binary Search;Design;Binary Indexed Tree;Segment Tree;")</f>
        <v>Array;Binary Search;Design;Binary Indexed Tree;Segment Tree;</v>
      </c>
      <c r="M1158" s="23" t="b">
        <f>IFERROR(__xludf.DUMMYFUNCTION("""COMPUTED_VALUE"""),FALSE)</f>
        <v>0</v>
      </c>
      <c r="N1158" s="23" t="b">
        <f>IFERROR(__xludf.DUMMYFUNCTION("""COMPUTED_VALUE"""),FALSE)</f>
        <v>0</v>
      </c>
      <c r="O1158" s="23">
        <f>IFERROR(__xludf.DUMMYFUNCTION("""COMPUTED_VALUE"""),42.1232876712328)</f>
        <v>42.12328767</v>
      </c>
      <c r="P1158" s="23">
        <f>IFERROR(__xludf.DUMMYFUNCTION("""COMPUTED_VALUE"""),12669.0)</f>
        <v>12669</v>
      </c>
      <c r="Q1158" s="23">
        <f>IFERROR(__xludf.DUMMYFUNCTION("""COMPUTED_VALUE"""),30076.0)</f>
        <v>30076</v>
      </c>
    </row>
    <row r="1159">
      <c r="A1159" s="23">
        <f>IFERROR(__xludf.DUMMYFUNCTION("""COMPUTED_VALUE"""),1268.0)</f>
        <v>1268</v>
      </c>
      <c r="B1159" s="23" t="str">
        <f>IFERROR(__xludf.DUMMYFUNCTION("""COMPUTED_VALUE"""),"Market Analysis I")</f>
        <v>Market Analysis I</v>
      </c>
      <c r="C1159" s="23" t="str">
        <f>IFERROR(__xludf.DUMMYFUNCTION("""COMPUTED_VALUE"""),"market-analysis-i")</f>
        <v>market-analysis-i</v>
      </c>
      <c r="D1159" s="23" t="b">
        <f>IFERROR(__xludf.DUMMYFUNCTION("""COMPUTED_VALUE"""),FALSE)</f>
        <v>0</v>
      </c>
      <c r="E1159" s="23" t="str">
        <f>IFERROR(__xludf.DUMMYFUNCTION("""COMPUTED_VALUE"""),"Medium")</f>
        <v>Medium</v>
      </c>
      <c r="F1159" s="23">
        <f>IFERROR(__xludf.DUMMYFUNCTION("""COMPUTED_VALUE"""),138.0)</f>
        <v>138</v>
      </c>
      <c r="G1159" s="23">
        <f>IFERROR(__xludf.DUMMYFUNCTION("""COMPUTED_VALUE"""),34.0)</f>
        <v>34</v>
      </c>
      <c r="H1159" s="23" t="str">
        <f>IFERROR(__xludf.DUMMYFUNCTION("""COMPUTED_VALUE"""),"Database")</f>
        <v>Database</v>
      </c>
      <c r="I1159" s="23">
        <f>IFERROR(__xludf.DUMMYFUNCTION("""COMPUTED_VALUE"""),0.658)</f>
        <v>0.658</v>
      </c>
      <c r="J1159" s="23">
        <f>IFERROR(__xludf.DUMMYFUNCTION("""COMPUTED_VALUE"""),1158.0)</f>
        <v>1158</v>
      </c>
      <c r="K1159" s="23" t="b">
        <f>IFERROR(__xludf.DUMMYFUNCTION("""COMPUTED_VALUE"""),FALSE)</f>
        <v>0</v>
      </c>
      <c r="L1159" s="23" t="str">
        <f>IFERROR(__xludf.DUMMYFUNCTION("""COMPUTED_VALUE"""),"Database;")</f>
        <v>Database;</v>
      </c>
      <c r="M1159" s="23" t="b">
        <f>IFERROR(__xludf.DUMMYFUNCTION("""COMPUTED_VALUE"""),FALSE)</f>
        <v>0</v>
      </c>
      <c r="N1159" s="23" t="b">
        <f>IFERROR(__xludf.DUMMYFUNCTION("""COMPUTED_VALUE"""),FALSE)</f>
        <v>0</v>
      </c>
      <c r="O1159" s="23">
        <f>IFERROR(__xludf.DUMMYFUNCTION("""COMPUTED_VALUE"""),65.7802641326283)</f>
        <v>65.78026413</v>
      </c>
      <c r="P1159" s="23">
        <f>IFERROR(__xludf.DUMMYFUNCTION("""COMPUTED_VALUE"""),25750.0)</f>
        <v>25750</v>
      </c>
      <c r="Q1159" s="23">
        <f>IFERROR(__xludf.DUMMYFUNCTION("""COMPUTED_VALUE"""),39146.0)</f>
        <v>39146</v>
      </c>
    </row>
    <row r="1160">
      <c r="A1160" s="23">
        <f>IFERROR(__xludf.DUMMYFUNCTION("""COMPUTED_VALUE"""),1269.0)</f>
        <v>1269</v>
      </c>
      <c r="B1160" s="23" t="str">
        <f>IFERROR(__xludf.DUMMYFUNCTION("""COMPUTED_VALUE"""),"Market Analysis II")</f>
        <v>Market Analysis II</v>
      </c>
      <c r="C1160" s="23" t="str">
        <f>IFERROR(__xludf.DUMMYFUNCTION("""COMPUTED_VALUE"""),"market-analysis-ii")</f>
        <v>market-analysis-ii</v>
      </c>
      <c r="D1160" s="23" t="b">
        <f>IFERROR(__xludf.DUMMYFUNCTION("""COMPUTED_VALUE"""),TRUE)</f>
        <v>1</v>
      </c>
      <c r="E1160" s="23" t="str">
        <f>IFERROR(__xludf.DUMMYFUNCTION("""COMPUTED_VALUE"""),"Hard")</f>
        <v>Hard</v>
      </c>
      <c r="F1160" s="23">
        <f>IFERROR(__xludf.DUMMYFUNCTION("""COMPUTED_VALUE"""),84.0)</f>
        <v>84</v>
      </c>
      <c r="G1160" s="23">
        <f>IFERROR(__xludf.DUMMYFUNCTION("""COMPUTED_VALUE"""),41.0)</f>
        <v>41</v>
      </c>
      <c r="H1160" s="23" t="str">
        <f>IFERROR(__xludf.DUMMYFUNCTION("""COMPUTED_VALUE"""),"Database")</f>
        <v>Database</v>
      </c>
      <c r="I1160" s="23">
        <f>IFERROR(__xludf.DUMMYFUNCTION("""COMPUTED_VALUE"""),0.58)</f>
        <v>0.58</v>
      </c>
      <c r="J1160" s="23">
        <f>IFERROR(__xludf.DUMMYFUNCTION("""COMPUTED_VALUE"""),1159.0)</f>
        <v>1159</v>
      </c>
      <c r="K1160" s="23" t="b">
        <f>IFERROR(__xludf.DUMMYFUNCTION("""COMPUTED_VALUE"""),TRUE)</f>
        <v>1</v>
      </c>
      <c r="L1160" s="23" t="str">
        <f>IFERROR(__xludf.DUMMYFUNCTION("""COMPUTED_VALUE"""),"Database;")</f>
        <v>Database;</v>
      </c>
      <c r="M1160" s="23" t="b">
        <f>IFERROR(__xludf.DUMMYFUNCTION("""COMPUTED_VALUE"""),FALSE)</f>
        <v>0</v>
      </c>
      <c r="N1160" s="23" t="b">
        <f>IFERROR(__xludf.DUMMYFUNCTION("""COMPUTED_VALUE"""),FALSE)</f>
        <v>0</v>
      </c>
      <c r="O1160" s="23">
        <f>IFERROR(__xludf.DUMMYFUNCTION("""COMPUTED_VALUE"""),58.0404913752514)</f>
        <v>58.04049138</v>
      </c>
      <c r="P1160" s="23">
        <f>IFERROR(__xludf.DUMMYFUNCTION("""COMPUTED_VALUE"""),13560.0)</f>
        <v>13560</v>
      </c>
      <c r="Q1160" s="23">
        <f>IFERROR(__xludf.DUMMYFUNCTION("""COMPUTED_VALUE"""),23363.0)</f>
        <v>23363</v>
      </c>
    </row>
    <row r="1161">
      <c r="A1161" s="23">
        <f>IFERROR(__xludf.DUMMYFUNCTION("""COMPUTED_VALUE"""),1112.0)</f>
        <v>1112</v>
      </c>
      <c r="B1161" s="23" t="str">
        <f>IFERROR(__xludf.DUMMYFUNCTION("""COMPUTED_VALUE"""),"Find Words That Can Be Formed by Characters")</f>
        <v>Find Words That Can Be Formed by Characters</v>
      </c>
      <c r="C1161" s="23" t="str">
        <f>IFERROR(__xludf.DUMMYFUNCTION("""COMPUTED_VALUE"""),"find-words-that-can-be-formed-by-characters")</f>
        <v>find-words-that-can-be-formed-by-characters</v>
      </c>
      <c r="D1161" s="23" t="b">
        <f>IFERROR(__xludf.DUMMYFUNCTION("""COMPUTED_VALUE"""),FALSE)</f>
        <v>0</v>
      </c>
      <c r="E1161" s="23" t="str">
        <f>IFERROR(__xludf.DUMMYFUNCTION("""COMPUTED_VALUE"""),"Easy")</f>
        <v>Easy</v>
      </c>
      <c r="F1161" s="23">
        <f>IFERROR(__xludf.DUMMYFUNCTION("""COMPUTED_VALUE"""),969.0)</f>
        <v>969</v>
      </c>
      <c r="G1161" s="23">
        <f>IFERROR(__xludf.DUMMYFUNCTION("""COMPUTED_VALUE"""),121.0)</f>
        <v>121</v>
      </c>
      <c r="H1161" s="23" t="str">
        <f>IFERROR(__xludf.DUMMYFUNCTION("""COMPUTED_VALUE"""),"Algorithms")</f>
        <v>Algorithms</v>
      </c>
      <c r="I1161" s="23">
        <f>IFERROR(__xludf.DUMMYFUNCTION("""COMPUTED_VALUE"""),0.677)</f>
        <v>0.677</v>
      </c>
      <c r="J1161" s="23">
        <f>IFERROR(__xludf.DUMMYFUNCTION("""COMPUTED_VALUE"""),1160.0)</f>
        <v>1160</v>
      </c>
      <c r="K1161" s="23" t="b">
        <f>IFERROR(__xludf.DUMMYFUNCTION("""COMPUTED_VALUE"""),FALSE)</f>
        <v>0</v>
      </c>
      <c r="L1161" s="23" t="str">
        <f>IFERROR(__xludf.DUMMYFUNCTION("""COMPUTED_VALUE"""),"Array;Hash Table;String;")</f>
        <v>Array;Hash Table;String;</v>
      </c>
      <c r="M1161" s="23" t="b">
        <f>IFERROR(__xludf.DUMMYFUNCTION("""COMPUTED_VALUE"""),FALSE)</f>
        <v>0</v>
      </c>
      <c r="N1161" s="23" t="b">
        <f>IFERROR(__xludf.DUMMYFUNCTION("""COMPUTED_VALUE"""),FALSE)</f>
        <v>0</v>
      </c>
      <c r="O1161" s="23">
        <f>IFERROR(__xludf.DUMMYFUNCTION("""COMPUTED_VALUE"""),67.6897054604571)</f>
        <v>67.68970546</v>
      </c>
      <c r="P1161" s="23">
        <f>IFERROR(__xludf.DUMMYFUNCTION("""COMPUTED_VALUE"""),113253.0)</f>
        <v>113253</v>
      </c>
      <c r="Q1161" s="23">
        <f>IFERROR(__xludf.DUMMYFUNCTION("""COMPUTED_VALUE"""),167312.0)</f>
        <v>167312</v>
      </c>
    </row>
    <row r="1162">
      <c r="A1162" s="23">
        <f>IFERROR(__xludf.DUMMYFUNCTION("""COMPUTED_VALUE"""),1116.0)</f>
        <v>1116</v>
      </c>
      <c r="B1162" s="23" t="str">
        <f>IFERROR(__xludf.DUMMYFUNCTION("""COMPUTED_VALUE"""),"Maximum Level Sum of a Binary Tree")</f>
        <v>Maximum Level Sum of a Binary Tree</v>
      </c>
      <c r="C1162" s="23" t="str">
        <f>IFERROR(__xludf.DUMMYFUNCTION("""COMPUTED_VALUE"""),"maximum-level-sum-of-a-binary-tree")</f>
        <v>maximum-level-sum-of-a-binary-tree</v>
      </c>
      <c r="D1162" s="23" t="b">
        <f>IFERROR(__xludf.DUMMYFUNCTION("""COMPUTED_VALUE"""),FALSE)</f>
        <v>0</v>
      </c>
      <c r="E1162" s="23" t="str">
        <f>IFERROR(__xludf.DUMMYFUNCTION("""COMPUTED_VALUE"""),"Medium")</f>
        <v>Medium</v>
      </c>
      <c r="F1162" s="23">
        <f>IFERROR(__xludf.DUMMYFUNCTION("""COMPUTED_VALUE"""),1394.0)</f>
        <v>1394</v>
      </c>
      <c r="G1162" s="23">
        <f>IFERROR(__xludf.DUMMYFUNCTION("""COMPUTED_VALUE"""),57.0)</f>
        <v>57</v>
      </c>
      <c r="H1162" s="23" t="str">
        <f>IFERROR(__xludf.DUMMYFUNCTION("""COMPUTED_VALUE"""),"Algorithms")</f>
        <v>Algorithms</v>
      </c>
      <c r="I1162" s="23">
        <f>IFERROR(__xludf.DUMMYFUNCTION("""COMPUTED_VALUE"""),0.666)</f>
        <v>0.666</v>
      </c>
      <c r="J1162" s="23">
        <f>IFERROR(__xludf.DUMMYFUNCTION("""COMPUTED_VALUE"""),1161.0)</f>
        <v>1161</v>
      </c>
      <c r="K1162" s="23" t="b">
        <f>IFERROR(__xludf.DUMMYFUNCTION("""COMPUTED_VALUE"""),FALSE)</f>
        <v>0</v>
      </c>
      <c r="L1162" s="23" t="str">
        <f>IFERROR(__xludf.DUMMYFUNCTION("""COMPUTED_VALUE"""),"Tree;Depth-First Search;Breadth-First Search;Binary Tree;")</f>
        <v>Tree;Depth-First Search;Breadth-First Search;Binary Tree;</v>
      </c>
      <c r="M1162" s="23" t="b">
        <f>IFERROR(__xludf.DUMMYFUNCTION("""COMPUTED_VALUE"""),TRUE)</f>
        <v>1</v>
      </c>
      <c r="N1162" s="23" t="b">
        <f>IFERROR(__xludf.DUMMYFUNCTION("""COMPUTED_VALUE"""),FALSE)</f>
        <v>0</v>
      </c>
      <c r="O1162" s="23">
        <f>IFERROR(__xludf.DUMMYFUNCTION("""COMPUTED_VALUE"""),66.5850514629201)</f>
        <v>66.58505146</v>
      </c>
      <c r="P1162" s="23">
        <f>IFERROR(__xludf.DUMMYFUNCTION("""COMPUTED_VALUE"""),102796.0)</f>
        <v>102796</v>
      </c>
      <c r="Q1162" s="23">
        <f>IFERROR(__xludf.DUMMYFUNCTION("""COMPUTED_VALUE"""),154383.0)</f>
        <v>154383</v>
      </c>
    </row>
    <row r="1163">
      <c r="A1163" s="23">
        <f>IFERROR(__xludf.DUMMYFUNCTION("""COMPUTED_VALUE"""),1117.0)</f>
        <v>1117</v>
      </c>
      <c r="B1163" s="23" t="str">
        <f>IFERROR(__xludf.DUMMYFUNCTION("""COMPUTED_VALUE"""),"As Far from Land as Possible")</f>
        <v>As Far from Land as Possible</v>
      </c>
      <c r="C1163" s="23" t="str">
        <f>IFERROR(__xludf.DUMMYFUNCTION("""COMPUTED_VALUE"""),"as-far-from-land-as-possible")</f>
        <v>as-far-from-land-as-possible</v>
      </c>
      <c r="D1163" s="23" t="b">
        <f>IFERROR(__xludf.DUMMYFUNCTION("""COMPUTED_VALUE"""),FALSE)</f>
        <v>0</v>
      </c>
      <c r="E1163" s="23" t="str">
        <f>IFERROR(__xludf.DUMMYFUNCTION("""COMPUTED_VALUE"""),"Medium")</f>
        <v>Medium</v>
      </c>
      <c r="F1163" s="23">
        <f>IFERROR(__xludf.DUMMYFUNCTION("""COMPUTED_VALUE"""),1701.0)</f>
        <v>1701</v>
      </c>
      <c r="G1163" s="23">
        <f>IFERROR(__xludf.DUMMYFUNCTION("""COMPUTED_VALUE"""),56.0)</f>
        <v>56</v>
      </c>
      <c r="H1163" s="23" t="str">
        <f>IFERROR(__xludf.DUMMYFUNCTION("""COMPUTED_VALUE"""),"Algorithms")</f>
        <v>Algorithms</v>
      </c>
      <c r="I1163" s="23">
        <f>IFERROR(__xludf.DUMMYFUNCTION("""COMPUTED_VALUE"""),0.48)</f>
        <v>0.48</v>
      </c>
      <c r="J1163" s="23">
        <f>IFERROR(__xludf.DUMMYFUNCTION("""COMPUTED_VALUE"""),1162.0)</f>
        <v>1162</v>
      </c>
      <c r="K1163" s="23" t="b">
        <f>IFERROR(__xludf.DUMMYFUNCTION("""COMPUTED_VALUE"""),FALSE)</f>
        <v>0</v>
      </c>
      <c r="L1163" s="23" t="str">
        <f>IFERROR(__xludf.DUMMYFUNCTION("""COMPUTED_VALUE"""),"Array;Dynamic Programming;Breadth-First Search;Matrix;")</f>
        <v>Array;Dynamic Programming;Breadth-First Search;Matrix;</v>
      </c>
      <c r="M1163" s="23" t="b">
        <f>IFERROR(__xludf.DUMMYFUNCTION("""COMPUTED_VALUE"""),FALSE)</f>
        <v>0</v>
      </c>
      <c r="N1163" s="23" t="b">
        <f>IFERROR(__xludf.DUMMYFUNCTION("""COMPUTED_VALUE"""),FALSE)</f>
        <v>0</v>
      </c>
      <c r="O1163" s="23">
        <f>IFERROR(__xludf.DUMMYFUNCTION("""COMPUTED_VALUE"""),47.9750627479556)</f>
        <v>47.97506275</v>
      </c>
      <c r="P1163" s="23">
        <f>IFERROR(__xludf.DUMMYFUNCTION("""COMPUTED_VALUE"""),59254.0)</f>
        <v>59254</v>
      </c>
      <c r="Q1163" s="23">
        <f>IFERROR(__xludf.DUMMYFUNCTION("""COMPUTED_VALUE"""),123510.0)</f>
        <v>123510</v>
      </c>
    </row>
    <row r="1164">
      <c r="A1164" s="23">
        <f>IFERROR(__xludf.DUMMYFUNCTION("""COMPUTED_VALUE"""),1133.0)</f>
        <v>1133</v>
      </c>
      <c r="B1164" s="23" t="str">
        <f>IFERROR(__xludf.DUMMYFUNCTION("""COMPUTED_VALUE"""),"Last Substring in Lexicographical Order")</f>
        <v>Last Substring in Lexicographical Order</v>
      </c>
      <c r="C1164" s="23" t="str">
        <f>IFERROR(__xludf.DUMMYFUNCTION("""COMPUTED_VALUE"""),"last-substring-in-lexicographical-order")</f>
        <v>last-substring-in-lexicographical-order</v>
      </c>
      <c r="D1164" s="23" t="b">
        <f>IFERROR(__xludf.DUMMYFUNCTION("""COMPUTED_VALUE"""),FALSE)</f>
        <v>0</v>
      </c>
      <c r="E1164" s="23" t="str">
        <f>IFERROR(__xludf.DUMMYFUNCTION("""COMPUTED_VALUE"""),"Hard")</f>
        <v>Hard</v>
      </c>
      <c r="F1164" s="23">
        <f>IFERROR(__xludf.DUMMYFUNCTION("""COMPUTED_VALUE"""),438.0)</f>
        <v>438</v>
      </c>
      <c r="G1164" s="23">
        <f>IFERROR(__xludf.DUMMYFUNCTION("""COMPUTED_VALUE"""),408.0)</f>
        <v>408</v>
      </c>
      <c r="H1164" s="23" t="str">
        <f>IFERROR(__xludf.DUMMYFUNCTION("""COMPUTED_VALUE"""),"Algorithms")</f>
        <v>Algorithms</v>
      </c>
      <c r="I1164" s="23">
        <f>IFERROR(__xludf.DUMMYFUNCTION("""COMPUTED_VALUE"""),0.356)</f>
        <v>0.356</v>
      </c>
      <c r="J1164" s="23">
        <f>IFERROR(__xludf.DUMMYFUNCTION("""COMPUTED_VALUE"""),1163.0)</f>
        <v>1163</v>
      </c>
      <c r="K1164" s="23" t="b">
        <f>IFERROR(__xludf.DUMMYFUNCTION("""COMPUTED_VALUE"""),FALSE)</f>
        <v>0</v>
      </c>
      <c r="L1164" s="23" t="str">
        <f>IFERROR(__xludf.DUMMYFUNCTION("""COMPUTED_VALUE"""),"Two Pointers;String;")</f>
        <v>Two Pointers;String;</v>
      </c>
      <c r="M1164" s="23" t="b">
        <f>IFERROR(__xludf.DUMMYFUNCTION("""COMPUTED_VALUE"""),FALSE)</f>
        <v>0</v>
      </c>
      <c r="N1164" s="23" t="b">
        <f>IFERROR(__xludf.DUMMYFUNCTION("""COMPUTED_VALUE"""),FALSE)</f>
        <v>0</v>
      </c>
      <c r="O1164" s="23">
        <f>IFERROR(__xludf.DUMMYFUNCTION("""COMPUTED_VALUE"""),35.587158512862)</f>
        <v>35.58715851</v>
      </c>
      <c r="P1164" s="23">
        <f>IFERROR(__xludf.DUMMYFUNCTION("""COMPUTED_VALUE"""),29453.0)</f>
        <v>29453</v>
      </c>
      <c r="Q1164" s="23">
        <f>IFERROR(__xludf.DUMMYFUNCTION("""COMPUTED_VALUE"""),82763.0)</f>
        <v>82763</v>
      </c>
    </row>
    <row r="1165">
      <c r="A1165" s="23">
        <f>IFERROR(__xludf.DUMMYFUNCTION("""COMPUTED_VALUE"""),1278.0)</f>
        <v>1278</v>
      </c>
      <c r="B1165" s="23" t="str">
        <f>IFERROR(__xludf.DUMMYFUNCTION("""COMPUTED_VALUE"""),"Product Price at a Given Date")</f>
        <v>Product Price at a Given Date</v>
      </c>
      <c r="C1165" s="23" t="str">
        <f>IFERROR(__xludf.DUMMYFUNCTION("""COMPUTED_VALUE"""),"product-price-at-a-given-date")</f>
        <v>product-price-at-a-given-date</v>
      </c>
      <c r="D1165" s="23" t="b">
        <f>IFERROR(__xludf.DUMMYFUNCTION("""COMPUTED_VALUE"""),TRUE)</f>
        <v>1</v>
      </c>
      <c r="E1165" s="23" t="str">
        <f>IFERROR(__xludf.DUMMYFUNCTION("""COMPUTED_VALUE"""),"Medium")</f>
        <v>Medium</v>
      </c>
      <c r="F1165" s="23">
        <f>IFERROR(__xludf.DUMMYFUNCTION("""COMPUTED_VALUE"""),246.0)</f>
        <v>246</v>
      </c>
      <c r="G1165" s="23">
        <f>IFERROR(__xludf.DUMMYFUNCTION("""COMPUTED_VALUE"""),68.0)</f>
        <v>68</v>
      </c>
      <c r="H1165" s="23" t="str">
        <f>IFERROR(__xludf.DUMMYFUNCTION("""COMPUTED_VALUE"""),"Database")</f>
        <v>Database</v>
      </c>
      <c r="I1165" s="23">
        <f>IFERROR(__xludf.DUMMYFUNCTION("""COMPUTED_VALUE"""),0.685)</f>
        <v>0.685</v>
      </c>
      <c r="J1165" s="23">
        <f>IFERROR(__xludf.DUMMYFUNCTION("""COMPUTED_VALUE"""),1164.0)</f>
        <v>1164</v>
      </c>
      <c r="K1165" s="23" t="b">
        <f>IFERROR(__xludf.DUMMYFUNCTION("""COMPUTED_VALUE"""),TRUE)</f>
        <v>1</v>
      </c>
      <c r="L1165" s="23" t="str">
        <f>IFERROR(__xludf.DUMMYFUNCTION("""COMPUTED_VALUE"""),"Database;")</f>
        <v>Database;</v>
      </c>
      <c r="M1165" s="23" t="b">
        <f>IFERROR(__xludf.DUMMYFUNCTION("""COMPUTED_VALUE"""),FALSE)</f>
        <v>0</v>
      </c>
      <c r="N1165" s="23" t="b">
        <f>IFERROR(__xludf.DUMMYFUNCTION("""COMPUTED_VALUE"""),FALSE)</f>
        <v>0</v>
      </c>
      <c r="O1165" s="23">
        <f>IFERROR(__xludf.DUMMYFUNCTION("""COMPUTED_VALUE"""),68.4701277771382)</f>
        <v>68.47012778</v>
      </c>
      <c r="P1165" s="23">
        <f>IFERROR(__xludf.DUMMYFUNCTION("""COMPUTED_VALUE"""),29740.0)</f>
        <v>29740</v>
      </c>
      <c r="Q1165" s="23">
        <f>IFERROR(__xludf.DUMMYFUNCTION("""COMPUTED_VALUE"""),43435.0)</f>
        <v>43435</v>
      </c>
    </row>
    <row r="1166">
      <c r="A1166" s="23">
        <f>IFERROR(__xludf.DUMMYFUNCTION("""COMPUTED_VALUE"""),1123.0)</f>
        <v>1123</v>
      </c>
      <c r="B1166" s="23" t="str">
        <f>IFERROR(__xludf.DUMMYFUNCTION("""COMPUTED_VALUE"""),"Single-Row Keyboard")</f>
        <v>Single-Row Keyboard</v>
      </c>
      <c r="C1166" s="23" t="str">
        <f>IFERROR(__xludf.DUMMYFUNCTION("""COMPUTED_VALUE"""),"single-row-keyboard")</f>
        <v>single-row-keyboard</v>
      </c>
      <c r="D1166" s="23" t="b">
        <f>IFERROR(__xludf.DUMMYFUNCTION("""COMPUTED_VALUE"""),TRUE)</f>
        <v>1</v>
      </c>
      <c r="E1166" s="23" t="str">
        <f>IFERROR(__xludf.DUMMYFUNCTION("""COMPUTED_VALUE"""),"Easy")</f>
        <v>Easy</v>
      </c>
      <c r="F1166" s="23">
        <f>IFERROR(__xludf.DUMMYFUNCTION("""COMPUTED_VALUE"""),349.0)</f>
        <v>349</v>
      </c>
      <c r="G1166" s="23">
        <f>IFERROR(__xludf.DUMMYFUNCTION("""COMPUTED_VALUE"""),17.0)</f>
        <v>17</v>
      </c>
      <c r="H1166" s="23" t="str">
        <f>IFERROR(__xludf.DUMMYFUNCTION("""COMPUTED_VALUE"""),"Algorithms")</f>
        <v>Algorithms</v>
      </c>
      <c r="I1166" s="23">
        <f>IFERROR(__xludf.DUMMYFUNCTION("""COMPUTED_VALUE"""),0.856)</f>
        <v>0.856</v>
      </c>
      <c r="J1166" s="23">
        <f>IFERROR(__xludf.DUMMYFUNCTION("""COMPUTED_VALUE"""),1165.0)</f>
        <v>1165</v>
      </c>
      <c r="K1166" s="23" t="b">
        <f>IFERROR(__xludf.DUMMYFUNCTION("""COMPUTED_VALUE"""),TRUE)</f>
        <v>1</v>
      </c>
      <c r="L1166" s="23" t="str">
        <f>IFERROR(__xludf.DUMMYFUNCTION("""COMPUTED_VALUE"""),"Hash Table;String;")</f>
        <v>Hash Table;String;</v>
      </c>
      <c r="M1166" s="23" t="b">
        <f>IFERROR(__xludf.DUMMYFUNCTION("""COMPUTED_VALUE"""),TRUE)</f>
        <v>1</v>
      </c>
      <c r="N1166" s="23" t="b">
        <f>IFERROR(__xludf.DUMMYFUNCTION("""COMPUTED_VALUE"""),FALSE)</f>
        <v>0</v>
      </c>
      <c r="O1166" s="23">
        <f>IFERROR(__xludf.DUMMYFUNCTION("""COMPUTED_VALUE"""),85.6399842213683)</f>
        <v>85.63998422</v>
      </c>
      <c r="P1166" s="23">
        <f>IFERROR(__xludf.DUMMYFUNCTION("""COMPUTED_VALUE"""),58618.0)</f>
        <v>58618</v>
      </c>
      <c r="Q1166" s="23">
        <f>IFERROR(__xludf.DUMMYFUNCTION("""COMPUTED_VALUE"""),68447.0)</f>
        <v>68447</v>
      </c>
    </row>
    <row r="1167">
      <c r="A1167" s="23">
        <f>IFERROR(__xludf.DUMMYFUNCTION("""COMPUTED_VALUE"""),1125.0)</f>
        <v>1125</v>
      </c>
      <c r="B1167" s="23" t="str">
        <f>IFERROR(__xludf.DUMMYFUNCTION("""COMPUTED_VALUE"""),"Design File System")</f>
        <v>Design File System</v>
      </c>
      <c r="C1167" s="23" t="str">
        <f>IFERROR(__xludf.DUMMYFUNCTION("""COMPUTED_VALUE"""),"design-file-system")</f>
        <v>design-file-system</v>
      </c>
      <c r="D1167" s="23" t="b">
        <f>IFERROR(__xludf.DUMMYFUNCTION("""COMPUTED_VALUE"""),TRUE)</f>
        <v>1</v>
      </c>
      <c r="E1167" s="23" t="str">
        <f>IFERROR(__xludf.DUMMYFUNCTION("""COMPUTED_VALUE"""),"Medium")</f>
        <v>Medium</v>
      </c>
      <c r="F1167" s="23">
        <f>IFERROR(__xludf.DUMMYFUNCTION("""COMPUTED_VALUE"""),339.0)</f>
        <v>339</v>
      </c>
      <c r="G1167" s="23">
        <f>IFERROR(__xludf.DUMMYFUNCTION("""COMPUTED_VALUE"""),29.0)</f>
        <v>29</v>
      </c>
      <c r="H1167" s="23" t="str">
        <f>IFERROR(__xludf.DUMMYFUNCTION("""COMPUTED_VALUE"""),"Algorithms")</f>
        <v>Algorithms</v>
      </c>
      <c r="I1167" s="23">
        <f>IFERROR(__xludf.DUMMYFUNCTION("""COMPUTED_VALUE"""),0.616)</f>
        <v>0.616</v>
      </c>
      <c r="J1167" s="23">
        <f>IFERROR(__xludf.DUMMYFUNCTION("""COMPUTED_VALUE"""),1166.0)</f>
        <v>1166</v>
      </c>
      <c r="K1167" s="23" t="b">
        <f>IFERROR(__xludf.DUMMYFUNCTION("""COMPUTED_VALUE"""),TRUE)</f>
        <v>1</v>
      </c>
      <c r="L1167" s="23" t="str">
        <f>IFERROR(__xludf.DUMMYFUNCTION("""COMPUTED_VALUE"""),"Hash Table;String;Design;Trie;")</f>
        <v>Hash Table;String;Design;Trie;</v>
      </c>
      <c r="M1167" s="23" t="b">
        <f>IFERROR(__xludf.DUMMYFUNCTION("""COMPUTED_VALUE"""),TRUE)</f>
        <v>1</v>
      </c>
      <c r="N1167" s="23" t="b">
        <f>IFERROR(__xludf.DUMMYFUNCTION("""COMPUTED_VALUE"""),FALSE)</f>
        <v>0</v>
      </c>
      <c r="O1167" s="23">
        <f>IFERROR(__xludf.DUMMYFUNCTION("""COMPUTED_VALUE"""),61.5954643831749)</f>
        <v>61.59546438</v>
      </c>
      <c r="P1167" s="23">
        <f>IFERROR(__xludf.DUMMYFUNCTION("""COMPUTED_VALUE"""),26182.0)</f>
        <v>26182</v>
      </c>
      <c r="Q1167" s="23">
        <f>IFERROR(__xludf.DUMMYFUNCTION("""COMPUTED_VALUE"""),42506.0)</f>
        <v>42506</v>
      </c>
    </row>
    <row r="1168">
      <c r="A1168" s="23">
        <f>IFERROR(__xludf.DUMMYFUNCTION("""COMPUTED_VALUE"""),1126.0)</f>
        <v>1126</v>
      </c>
      <c r="B1168" s="23" t="str">
        <f>IFERROR(__xludf.DUMMYFUNCTION("""COMPUTED_VALUE"""),"Minimum Cost to Connect Sticks")</f>
        <v>Minimum Cost to Connect Sticks</v>
      </c>
      <c r="C1168" s="23" t="str">
        <f>IFERROR(__xludf.DUMMYFUNCTION("""COMPUTED_VALUE"""),"minimum-cost-to-connect-sticks")</f>
        <v>minimum-cost-to-connect-sticks</v>
      </c>
      <c r="D1168" s="23" t="b">
        <f>IFERROR(__xludf.DUMMYFUNCTION("""COMPUTED_VALUE"""),TRUE)</f>
        <v>1</v>
      </c>
      <c r="E1168" s="23" t="str">
        <f>IFERROR(__xludf.DUMMYFUNCTION("""COMPUTED_VALUE"""),"Medium")</f>
        <v>Medium</v>
      </c>
      <c r="F1168" s="23">
        <f>IFERROR(__xludf.DUMMYFUNCTION("""COMPUTED_VALUE"""),1012.0)</f>
        <v>1012</v>
      </c>
      <c r="G1168" s="23">
        <f>IFERROR(__xludf.DUMMYFUNCTION("""COMPUTED_VALUE"""),149.0)</f>
        <v>149</v>
      </c>
      <c r="H1168" s="23" t="str">
        <f>IFERROR(__xludf.DUMMYFUNCTION("""COMPUTED_VALUE"""),"Algorithms")</f>
        <v>Algorithms</v>
      </c>
      <c r="I1168" s="23">
        <f>IFERROR(__xludf.DUMMYFUNCTION("""COMPUTED_VALUE"""),0.671)</f>
        <v>0.671</v>
      </c>
      <c r="J1168" s="23">
        <f>IFERROR(__xludf.DUMMYFUNCTION("""COMPUTED_VALUE"""),1167.0)</f>
        <v>1167</v>
      </c>
      <c r="K1168" s="23" t="b">
        <f>IFERROR(__xludf.DUMMYFUNCTION("""COMPUTED_VALUE"""),TRUE)</f>
        <v>1</v>
      </c>
      <c r="L1168" s="23" t="str">
        <f>IFERROR(__xludf.DUMMYFUNCTION("""COMPUTED_VALUE"""),"Array;Greedy;Heap (Priority Queue);")</f>
        <v>Array;Greedy;Heap (Priority Queue);</v>
      </c>
      <c r="M1168" s="23" t="b">
        <f>IFERROR(__xludf.DUMMYFUNCTION("""COMPUTED_VALUE"""),TRUE)</f>
        <v>1</v>
      </c>
      <c r="N1168" s="23" t="b">
        <f>IFERROR(__xludf.DUMMYFUNCTION("""COMPUTED_VALUE"""),TRUE)</f>
        <v>1</v>
      </c>
      <c r="O1168" s="23">
        <f>IFERROR(__xludf.DUMMYFUNCTION("""COMPUTED_VALUE"""),67.0549958841284)</f>
        <v>67.05499588</v>
      </c>
      <c r="P1168" s="23">
        <f>IFERROR(__xludf.DUMMYFUNCTION("""COMPUTED_VALUE"""),85532.0)</f>
        <v>85532</v>
      </c>
      <c r="Q1168" s="23">
        <f>IFERROR(__xludf.DUMMYFUNCTION("""COMPUTED_VALUE"""),127555.0)</f>
        <v>127555</v>
      </c>
    </row>
    <row r="1169">
      <c r="A1169" s="23">
        <f>IFERROR(__xludf.DUMMYFUNCTION("""COMPUTED_VALUE"""),1144.0)</f>
        <v>1144</v>
      </c>
      <c r="B1169" s="23" t="str">
        <f>IFERROR(__xludf.DUMMYFUNCTION("""COMPUTED_VALUE"""),"Optimize Water Distribution in a Village")</f>
        <v>Optimize Water Distribution in a Village</v>
      </c>
      <c r="C1169" s="23" t="str">
        <f>IFERROR(__xludf.DUMMYFUNCTION("""COMPUTED_VALUE"""),"optimize-water-distribution-in-a-village")</f>
        <v>optimize-water-distribution-in-a-village</v>
      </c>
      <c r="D1169" s="23" t="b">
        <f>IFERROR(__xludf.DUMMYFUNCTION("""COMPUTED_VALUE"""),TRUE)</f>
        <v>1</v>
      </c>
      <c r="E1169" s="23" t="str">
        <f>IFERROR(__xludf.DUMMYFUNCTION("""COMPUTED_VALUE"""),"Hard")</f>
        <v>Hard</v>
      </c>
      <c r="F1169" s="23">
        <f>IFERROR(__xludf.DUMMYFUNCTION("""COMPUTED_VALUE"""),811.0)</f>
        <v>811</v>
      </c>
      <c r="G1169" s="23">
        <f>IFERROR(__xludf.DUMMYFUNCTION("""COMPUTED_VALUE"""),33.0)</f>
        <v>33</v>
      </c>
      <c r="H1169" s="23" t="str">
        <f>IFERROR(__xludf.DUMMYFUNCTION("""COMPUTED_VALUE"""),"Algorithms")</f>
        <v>Algorithms</v>
      </c>
      <c r="I1169" s="23">
        <f>IFERROR(__xludf.DUMMYFUNCTION("""COMPUTED_VALUE"""),0.638)</f>
        <v>0.638</v>
      </c>
      <c r="J1169" s="23">
        <f>IFERROR(__xludf.DUMMYFUNCTION("""COMPUTED_VALUE"""),1168.0)</f>
        <v>1168</v>
      </c>
      <c r="K1169" s="23" t="b">
        <f>IFERROR(__xludf.DUMMYFUNCTION("""COMPUTED_VALUE"""),TRUE)</f>
        <v>1</v>
      </c>
      <c r="L1169" s="23" t="str">
        <f>IFERROR(__xludf.DUMMYFUNCTION("""COMPUTED_VALUE"""),"Union Find;Graph;Minimum Spanning Tree;")</f>
        <v>Union Find;Graph;Minimum Spanning Tree;</v>
      </c>
      <c r="M1169" s="23" t="b">
        <f>IFERROR(__xludf.DUMMYFUNCTION("""COMPUTED_VALUE"""),TRUE)</f>
        <v>1</v>
      </c>
      <c r="N1169" s="23" t="b">
        <f>IFERROR(__xludf.DUMMYFUNCTION("""COMPUTED_VALUE"""),FALSE)</f>
        <v>0</v>
      </c>
      <c r="O1169" s="23">
        <f>IFERROR(__xludf.DUMMYFUNCTION("""COMPUTED_VALUE"""),63.8114632387255)</f>
        <v>63.81146324</v>
      </c>
      <c r="P1169" s="23">
        <f>IFERROR(__xludf.DUMMYFUNCTION("""COMPUTED_VALUE"""),30082.0)</f>
        <v>30082</v>
      </c>
      <c r="Q1169" s="23">
        <f>IFERROR(__xludf.DUMMYFUNCTION("""COMPUTED_VALUE"""),47142.0)</f>
        <v>47142</v>
      </c>
    </row>
    <row r="1170">
      <c r="A1170" s="23">
        <f>IFERROR(__xludf.DUMMYFUNCTION("""COMPUTED_VALUE"""),1272.0)</f>
        <v>1272</v>
      </c>
      <c r="B1170" s="23" t="str">
        <f>IFERROR(__xludf.DUMMYFUNCTION("""COMPUTED_VALUE"""),"Invalid Transactions")</f>
        <v>Invalid Transactions</v>
      </c>
      <c r="C1170" s="23" t="str">
        <f>IFERROR(__xludf.DUMMYFUNCTION("""COMPUTED_VALUE"""),"invalid-transactions")</f>
        <v>invalid-transactions</v>
      </c>
      <c r="D1170" s="23" t="b">
        <f>IFERROR(__xludf.DUMMYFUNCTION("""COMPUTED_VALUE"""),FALSE)</f>
        <v>0</v>
      </c>
      <c r="E1170" s="23" t="str">
        <f>IFERROR(__xludf.DUMMYFUNCTION("""COMPUTED_VALUE"""),"Medium")</f>
        <v>Medium</v>
      </c>
      <c r="F1170" s="23">
        <f>IFERROR(__xludf.DUMMYFUNCTION("""COMPUTED_VALUE"""),293.0)</f>
        <v>293</v>
      </c>
      <c r="G1170" s="23">
        <f>IFERROR(__xludf.DUMMYFUNCTION("""COMPUTED_VALUE"""),1452.0)</f>
        <v>1452</v>
      </c>
      <c r="H1170" s="23" t="str">
        <f>IFERROR(__xludf.DUMMYFUNCTION("""COMPUTED_VALUE"""),"Algorithms")</f>
        <v>Algorithms</v>
      </c>
      <c r="I1170" s="23">
        <f>IFERROR(__xludf.DUMMYFUNCTION("""COMPUTED_VALUE"""),0.302)</f>
        <v>0.302</v>
      </c>
      <c r="J1170" s="23">
        <f>IFERROR(__xludf.DUMMYFUNCTION("""COMPUTED_VALUE"""),1169.0)</f>
        <v>1169</v>
      </c>
      <c r="K1170" s="23" t="b">
        <f>IFERROR(__xludf.DUMMYFUNCTION("""COMPUTED_VALUE"""),FALSE)</f>
        <v>0</v>
      </c>
      <c r="L1170" s="23" t="str">
        <f>IFERROR(__xludf.DUMMYFUNCTION("""COMPUTED_VALUE"""),"Array;Hash Table;String;Sorting;")</f>
        <v>Array;Hash Table;String;Sorting;</v>
      </c>
      <c r="M1170" s="23" t="b">
        <f>IFERROR(__xludf.DUMMYFUNCTION("""COMPUTED_VALUE"""),FALSE)</f>
        <v>0</v>
      </c>
      <c r="N1170" s="23" t="b">
        <f>IFERROR(__xludf.DUMMYFUNCTION("""COMPUTED_VALUE"""),FALSE)</f>
        <v>0</v>
      </c>
      <c r="O1170" s="23">
        <f>IFERROR(__xludf.DUMMYFUNCTION("""COMPUTED_VALUE"""),30.1564574879262)</f>
        <v>30.15645749</v>
      </c>
      <c r="P1170" s="23">
        <f>IFERROR(__xludf.DUMMYFUNCTION("""COMPUTED_VALUE"""),40650.0)</f>
        <v>40650</v>
      </c>
      <c r="Q1170" s="23">
        <f>IFERROR(__xludf.DUMMYFUNCTION("""COMPUTED_VALUE"""),134797.0)</f>
        <v>134797</v>
      </c>
    </row>
    <row r="1171">
      <c r="A1171" s="23">
        <f>IFERROR(__xludf.DUMMYFUNCTION("""COMPUTED_VALUE"""),1273.0)</f>
        <v>1273</v>
      </c>
      <c r="B1171" s="23" t="str">
        <f>IFERROR(__xludf.DUMMYFUNCTION("""COMPUTED_VALUE"""),"Compare Strings by Frequency of the Smallest Character")</f>
        <v>Compare Strings by Frequency of the Smallest Character</v>
      </c>
      <c r="C1171" s="23" t="str">
        <f>IFERROR(__xludf.DUMMYFUNCTION("""COMPUTED_VALUE"""),"compare-strings-by-frequency-of-the-smallest-character")</f>
        <v>compare-strings-by-frequency-of-the-smallest-character</v>
      </c>
      <c r="D1171" s="23" t="b">
        <f>IFERROR(__xludf.DUMMYFUNCTION("""COMPUTED_VALUE"""),FALSE)</f>
        <v>0</v>
      </c>
      <c r="E1171" s="23" t="str">
        <f>IFERROR(__xludf.DUMMYFUNCTION("""COMPUTED_VALUE"""),"Medium")</f>
        <v>Medium</v>
      </c>
      <c r="F1171" s="23">
        <f>IFERROR(__xludf.DUMMYFUNCTION("""COMPUTED_VALUE"""),496.0)</f>
        <v>496</v>
      </c>
      <c r="G1171" s="23">
        <f>IFERROR(__xludf.DUMMYFUNCTION("""COMPUTED_VALUE"""),891.0)</f>
        <v>891</v>
      </c>
      <c r="H1171" s="23" t="str">
        <f>IFERROR(__xludf.DUMMYFUNCTION("""COMPUTED_VALUE"""),"Algorithms")</f>
        <v>Algorithms</v>
      </c>
      <c r="I1171" s="23">
        <f>IFERROR(__xludf.DUMMYFUNCTION("""COMPUTED_VALUE"""),0.611)</f>
        <v>0.611</v>
      </c>
      <c r="J1171" s="23">
        <f>IFERROR(__xludf.DUMMYFUNCTION("""COMPUTED_VALUE"""),1170.0)</f>
        <v>1170</v>
      </c>
      <c r="K1171" s="23" t="b">
        <f>IFERROR(__xludf.DUMMYFUNCTION("""COMPUTED_VALUE"""),FALSE)</f>
        <v>0</v>
      </c>
      <c r="L1171" s="23" t="str">
        <f>IFERROR(__xludf.DUMMYFUNCTION("""COMPUTED_VALUE"""),"Array;Hash Table;String;Binary Search;Sorting;")</f>
        <v>Array;Hash Table;String;Binary Search;Sorting;</v>
      </c>
      <c r="M1171" s="23" t="b">
        <f>IFERROR(__xludf.DUMMYFUNCTION("""COMPUTED_VALUE"""),FALSE)</f>
        <v>0</v>
      </c>
      <c r="N1171" s="23" t="b">
        <f>IFERROR(__xludf.DUMMYFUNCTION("""COMPUTED_VALUE"""),FALSE)</f>
        <v>0</v>
      </c>
      <c r="O1171" s="23">
        <f>IFERROR(__xludf.DUMMYFUNCTION("""COMPUTED_VALUE"""),61.0977109123501)</f>
        <v>61.09771091</v>
      </c>
      <c r="P1171" s="23">
        <f>IFERROR(__xludf.DUMMYFUNCTION("""COMPUTED_VALUE"""),65099.0)</f>
        <v>65099</v>
      </c>
      <c r="Q1171" s="23">
        <f>IFERROR(__xludf.DUMMYFUNCTION("""COMPUTED_VALUE"""),106549.0)</f>
        <v>106549</v>
      </c>
    </row>
    <row r="1172">
      <c r="A1172" s="23">
        <f>IFERROR(__xludf.DUMMYFUNCTION("""COMPUTED_VALUE"""),1267.0)</f>
        <v>1267</v>
      </c>
      <c r="B1172" s="23" t="str">
        <f>IFERROR(__xludf.DUMMYFUNCTION("""COMPUTED_VALUE"""),"Remove Zero Sum Consecutive Nodes from Linked List")</f>
        <v>Remove Zero Sum Consecutive Nodes from Linked List</v>
      </c>
      <c r="C1172" s="23" t="str">
        <f>IFERROR(__xludf.DUMMYFUNCTION("""COMPUTED_VALUE"""),"remove-zero-sum-consecutive-nodes-from-linked-list")</f>
        <v>remove-zero-sum-consecutive-nodes-from-linked-list</v>
      </c>
      <c r="D1172" s="23" t="b">
        <f>IFERROR(__xludf.DUMMYFUNCTION("""COMPUTED_VALUE"""),FALSE)</f>
        <v>0</v>
      </c>
      <c r="E1172" s="23" t="str">
        <f>IFERROR(__xludf.DUMMYFUNCTION("""COMPUTED_VALUE"""),"Medium")</f>
        <v>Medium</v>
      </c>
      <c r="F1172" s="23">
        <f>IFERROR(__xludf.DUMMYFUNCTION("""COMPUTED_VALUE"""),1404.0)</f>
        <v>1404</v>
      </c>
      <c r="G1172" s="23">
        <f>IFERROR(__xludf.DUMMYFUNCTION("""COMPUTED_VALUE"""),71.0)</f>
        <v>71</v>
      </c>
      <c r="H1172" s="23" t="str">
        <f>IFERROR(__xludf.DUMMYFUNCTION("""COMPUTED_VALUE"""),"Algorithms")</f>
        <v>Algorithms</v>
      </c>
      <c r="I1172" s="23">
        <f>IFERROR(__xludf.DUMMYFUNCTION("""COMPUTED_VALUE"""),0.426)</f>
        <v>0.426</v>
      </c>
      <c r="J1172" s="23">
        <f>IFERROR(__xludf.DUMMYFUNCTION("""COMPUTED_VALUE"""),1171.0)</f>
        <v>1171</v>
      </c>
      <c r="K1172" s="23" t="b">
        <f>IFERROR(__xludf.DUMMYFUNCTION("""COMPUTED_VALUE"""),FALSE)</f>
        <v>0</v>
      </c>
      <c r="L1172" s="23" t="str">
        <f>IFERROR(__xludf.DUMMYFUNCTION("""COMPUTED_VALUE"""),"Hash Table;Linked List;")</f>
        <v>Hash Table;Linked List;</v>
      </c>
      <c r="M1172" s="23" t="b">
        <f>IFERROR(__xludf.DUMMYFUNCTION("""COMPUTED_VALUE"""),FALSE)</f>
        <v>0</v>
      </c>
      <c r="N1172" s="23" t="b">
        <f>IFERROR(__xludf.DUMMYFUNCTION("""COMPUTED_VALUE"""),FALSE)</f>
        <v>0</v>
      </c>
      <c r="O1172" s="23">
        <f>IFERROR(__xludf.DUMMYFUNCTION("""COMPUTED_VALUE"""),42.5935694247968)</f>
        <v>42.59356942</v>
      </c>
      <c r="P1172" s="23">
        <f>IFERROR(__xludf.DUMMYFUNCTION("""COMPUTED_VALUE"""),35529.0)</f>
        <v>35529</v>
      </c>
      <c r="Q1172" s="23">
        <f>IFERROR(__xludf.DUMMYFUNCTION("""COMPUTED_VALUE"""),83414.0)</f>
        <v>83414</v>
      </c>
    </row>
    <row r="1173">
      <c r="A1173" s="23">
        <f>IFERROR(__xludf.DUMMYFUNCTION("""COMPUTED_VALUE"""),1270.0)</f>
        <v>1270</v>
      </c>
      <c r="B1173" s="23" t="str">
        <f>IFERROR(__xludf.DUMMYFUNCTION("""COMPUTED_VALUE"""),"Dinner Plate Stacks")</f>
        <v>Dinner Plate Stacks</v>
      </c>
      <c r="C1173" s="23" t="str">
        <f>IFERROR(__xludf.DUMMYFUNCTION("""COMPUTED_VALUE"""),"dinner-plate-stacks")</f>
        <v>dinner-plate-stacks</v>
      </c>
      <c r="D1173" s="23" t="b">
        <f>IFERROR(__xludf.DUMMYFUNCTION("""COMPUTED_VALUE"""),FALSE)</f>
        <v>0</v>
      </c>
      <c r="E1173" s="23" t="str">
        <f>IFERROR(__xludf.DUMMYFUNCTION("""COMPUTED_VALUE"""),"Hard")</f>
        <v>Hard</v>
      </c>
      <c r="F1173" s="23">
        <f>IFERROR(__xludf.DUMMYFUNCTION("""COMPUTED_VALUE"""),318.0)</f>
        <v>318</v>
      </c>
      <c r="G1173" s="23">
        <f>IFERROR(__xludf.DUMMYFUNCTION("""COMPUTED_VALUE"""),49.0)</f>
        <v>49</v>
      </c>
      <c r="H1173" s="23" t="str">
        <f>IFERROR(__xludf.DUMMYFUNCTION("""COMPUTED_VALUE"""),"Algorithms")</f>
        <v>Algorithms</v>
      </c>
      <c r="I1173" s="23">
        <f>IFERROR(__xludf.DUMMYFUNCTION("""COMPUTED_VALUE"""),0.343)</f>
        <v>0.343</v>
      </c>
      <c r="J1173" s="23">
        <f>IFERROR(__xludf.DUMMYFUNCTION("""COMPUTED_VALUE"""),1172.0)</f>
        <v>1172</v>
      </c>
      <c r="K1173" s="23" t="b">
        <f>IFERROR(__xludf.DUMMYFUNCTION("""COMPUTED_VALUE"""),FALSE)</f>
        <v>0</v>
      </c>
      <c r="L1173" s="23" t="str">
        <f>IFERROR(__xludf.DUMMYFUNCTION("""COMPUTED_VALUE"""),"Hash Table;Stack;Design;Heap (Priority Queue);")</f>
        <v>Hash Table;Stack;Design;Heap (Priority Queue);</v>
      </c>
      <c r="M1173" s="23" t="b">
        <f>IFERROR(__xludf.DUMMYFUNCTION("""COMPUTED_VALUE"""),FALSE)</f>
        <v>0</v>
      </c>
      <c r="N1173" s="23" t="b">
        <f>IFERROR(__xludf.DUMMYFUNCTION("""COMPUTED_VALUE"""),FALSE)</f>
        <v>0</v>
      </c>
      <c r="O1173" s="23">
        <f>IFERROR(__xludf.DUMMYFUNCTION("""COMPUTED_VALUE"""),34.3290360017155)</f>
        <v>34.329036</v>
      </c>
      <c r="P1173" s="23">
        <f>IFERROR(__xludf.DUMMYFUNCTION("""COMPUTED_VALUE"""),13607.0)</f>
        <v>13607</v>
      </c>
      <c r="Q1173" s="23">
        <f>IFERROR(__xludf.DUMMYFUNCTION("""COMPUTED_VALUE"""),39637.0)</f>
        <v>39637</v>
      </c>
    </row>
    <row r="1174">
      <c r="A1174" s="23">
        <f>IFERROR(__xludf.DUMMYFUNCTION("""COMPUTED_VALUE"""),1291.0)</f>
        <v>1291</v>
      </c>
      <c r="B1174" s="23" t="str">
        <f>IFERROR(__xludf.DUMMYFUNCTION("""COMPUTED_VALUE"""),"Immediate Food Delivery I")</f>
        <v>Immediate Food Delivery I</v>
      </c>
      <c r="C1174" s="23" t="str">
        <f>IFERROR(__xludf.DUMMYFUNCTION("""COMPUTED_VALUE"""),"immediate-food-delivery-i")</f>
        <v>immediate-food-delivery-i</v>
      </c>
      <c r="D1174" s="23" t="b">
        <f>IFERROR(__xludf.DUMMYFUNCTION("""COMPUTED_VALUE"""),TRUE)</f>
        <v>1</v>
      </c>
      <c r="E1174" s="23" t="str">
        <f>IFERROR(__xludf.DUMMYFUNCTION("""COMPUTED_VALUE"""),"Easy")</f>
        <v>Easy</v>
      </c>
      <c r="F1174" s="23">
        <f>IFERROR(__xludf.DUMMYFUNCTION("""COMPUTED_VALUE"""),154.0)</f>
        <v>154</v>
      </c>
      <c r="G1174" s="23">
        <f>IFERROR(__xludf.DUMMYFUNCTION("""COMPUTED_VALUE"""),10.0)</f>
        <v>10</v>
      </c>
      <c r="H1174" s="23" t="str">
        <f>IFERROR(__xludf.DUMMYFUNCTION("""COMPUTED_VALUE"""),"Database")</f>
        <v>Database</v>
      </c>
      <c r="I1174" s="23">
        <f>IFERROR(__xludf.DUMMYFUNCTION("""COMPUTED_VALUE"""),0.833)</f>
        <v>0.833</v>
      </c>
      <c r="J1174" s="23">
        <f>IFERROR(__xludf.DUMMYFUNCTION("""COMPUTED_VALUE"""),1173.0)</f>
        <v>1173</v>
      </c>
      <c r="K1174" s="23" t="b">
        <f>IFERROR(__xludf.DUMMYFUNCTION("""COMPUTED_VALUE"""),TRUE)</f>
        <v>1</v>
      </c>
      <c r="L1174" s="23" t="str">
        <f>IFERROR(__xludf.DUMMYFUNCTION("""COMPUTED_VALUE"""),"Database;")</f>
        <v>Database;</v>
      </c>
      <c r="M1174" s="23" t="b">
        <f>IFERROR(__xludf.DUMMYFUNCTION("""COMPUTED_VALUE"""),FALSE)</f>
        <v>0</v>
      </c>
      <c r="N1174" s="23" t="b">
        <f>IFERROR(__xludf.DUMMYFUNCTION("""COMPUTED_VALUE"""),FALSE)</f>
        <v>0</v>
      </c>
      <c r="O1174" s="23">
        <f>IFERROR(__xludf.DUMMYFUNCTION("""COMPUTED_VALUE"""),83.2959197147761)</f>
        <v>83.29591971</v>
      </c>
      <c r="P1174" s="23">
        <f>IFERROR(__xludf.DUMMYFUNCTION("""COMPUTED_VALUE"""),37847.0)</f>
        <v>37847</v>
      </c>
      <c r="Q1174" s="23">
        <f>IFERROR(__xludf.DUMMYFUNCTION("""COMPUTED_VALUE"""),45437.0)</f>
        <v>45437</v>
      </c>
    </row>
    <row r="1175">
      <c r="A1175" s="23">
        <f>IFERROR(__xludf.DUMMYFUNCTION("""COMPUTED_VALUE"""),1292.0)</f>
        <v>1292</v>
      </c>
      <c r="B1175" s="23" t="str">
        <f>IFERROR(__xludf.DUMMYFUNCTION("""COMPUTED_VALUE"""),"Immediate Food Delivery II")</f>
        <v>Immediate Food Delivery II</v>
      </c>
      <c r="C1175" s="23" t="str">
        <f>IFERROR(__xludf.DUMMYFUNCTION("""COMPUTED_VALUE"""),"immediate-food-delivery-ii")</f>
        <v>immediate-food-delivery-ii</v>
      </c>
      <c r="D1175" s="23" t="b">
        <f>IFERROR(__xludf.DUMMYFUNCTION("""COMPUTED_VALUE"""),TRUE)</f>
        <v>1</v>
      </c>
      <c r="E1175" s="23" t="str">
        <f>IFERROR(__xludf.DUMMYFUNCTION("""COMPUTED_VALUE"""),"Medium")</f>
        <v>Medium</v>
      </c>
      <c r="F1175" s="23">
        <f>IFERROR(__xludf.DUMMYFUNCTION("""COMPUTED_VALUE"""),87.0)</f>
        <v>87</v>
      </c>
      <c r="G1175" s="23">
        <f>IFERROR(__xludf.DUMMYFUNCTION("""COMPUTED_VALUE"""),43.0)</f>
        <v>43</v>
      </c>
      <c r="H1175" s="23" t="str">
        <f>IFERROR(__xludf.DUMMYFUNCTION("""COMPUTED_VALUE"""),"Database")</f>
        <v>Database</v>
      </c>
      <c r="I1175" s="23">
        <f>IFERROR(__xludf.DUMMYFUNCTION("""COMPUTED_VALUE"""),0.638)</f>
        <v>0.638</v>
      </c>
      <c r="J1175" s="23">
        <f>IFERROR(__xludf.DUMMYFUNCTION("""COMPUTED_VALUE"""),1174.0)</f>
        <v>1174</v>
      </c>
      <c r="K1175" s="23" t="b">
        <f>IFERROR(__xludf.DUMMYFUNCTION("""COMPUTED_VALUE"""),TRUE)</f>
        <v>1</v>
      </c>
      <c r="L1175" s="23" t="str">
        <f>IFERROR(__xludf.DUMMYFUNCTION("""COMPUTED_VALUE"""),"Database;")</f>
        <v>Database;</v>
      </c>
      <c r="M1175" s="23" t="b">
        <f>IFERROR(__xludf.DUMMYFUNCTION("""COMPUTED_VALUE"""),FALSE)</f>
        <v>0</v>
      </c>
      <c r="N1175" s="23" t="b">
        <f>IFERROR(__xludf.DUMMYFUNCTION("""COMPUTED_VALUE"""),FALSE)</f>
        <v>0</v>
      </c>
      <c r="O1175" s="23">
        <f>IFERROR(__xludf.DUMMYFUNCTION("""COMPUTED_VALUE"""),63.822650656745)</f>
        <v>63.82265066</v>
      </c>
      <c r="P1175" s="23">
        <f>IFERROR(__xludf.DUMMYFUNCTION("""COMPUTED_VALUE"""),22643.0)</f>
        <v>22643</v>
      </c>
      <c r="Q1175" s="23">
        <f>IFERROR(__xludf.DUMMYFUNCTION("""COMPUTED_VALUE"""),35478.0)</f>
        <v>35478</v>
      </c>
    </row>
    <row r="1176">
      <c r="A1176" s="23">
        <f>IFERROR(__xludf.DUMMYFUNCTION("""COMPUTED_VALUE"""),1279.0)</f>
        <v>1279</v>
      </c>
      <c r="B1176" s="23" t="str">
        <f>IFERROR(__xludf.DUMMYFUNCTION("""COMPUTED_VALUE"""),"Prime Arrangements")</f>
        <v>Prime Arrangements</v>
      </c>
      <c r="C1176" s="23" t="str">
        <f>IFERROR(__xludf.DUMMYFUNCTION("""COMPUTED_VALUE"""),"prime-arrangements")</f>
        <v>prime-arrangements</v>
      </c>
      <c r="D1176" s="23" t="b">
        <f>IFERROR(__xludf.DUMMYFUNCTION("""COMPUTED_VALUE"""),FALSE)</f>
        <v>0</v>
      </c>
      <c r="E1176" s="23" t="str">
        <f>IFERROR(__xludf.DUMMYFUNCTION("""COMPUTED_VALUE"""),"Easy")</f>
        <v>Easy</v>
      </c>
      <c r="F1176" s="23">
        <f>IFERROR(__xludf.DUMMYFUNCTION("""COMPUTED_VALUE"""),244.0)</f>
        <v>244</v>
      </c>
      <c r="G1176" s="23">
        <f>IFERROR(__xludf.DUMMYFUNCTION("""COMPUTED_VALUE"""),355.0)</f>
        <v>355</v>
      </c>
      <c r="H1176" s="23" t="str">
        <f>IFERROR(__xludf.DUMMYFUNCTION("""COMPUTED_VALUE"""),"Algorithms")</f>
        <v>Algorithms</v>
      </c>
      <c r="I1176" s="23">
        <f>IFERROR(__xludf.DUMMYFUNCTION("""COMPUTED_VALUE"""),0.529)</f>
        <v>0.529</v>
      </c>
      <c r="J1176" s="23">
        <f>IFERROR(__xludf.DUMMYFUNCTION("""COMPUTED_VALUE"""),1175.0)</f>
        <v>1175</v>
      </c>
      <c r="K1176" s="23" t="b">
        <f>IFERROR(__xludf.DUMMYFUNCTION("""COMPUTED_VALUE"""),FALSE)</f>
        <v>0</v>
      </c>
      <c r="L1176" s="23" t="str">
        <f>IFERROR(__xludf.DUMMYFUNCTION("""COMPUTED_VALUE"""),"Math;")</f>
        <v>Math;</v>
      </c>
      <c r="M1176" s="23" t="b">
        <f>IFERROR(__xludf.DUMMYFUNCTION("""COMPUTED_VALUE"""),FALSE)</f>
        <v>0</v>
      </c>
      <c r="N1176" s="23" t="b">
        <f>IFERROR(__xludf.DUMMYFUNCTION("""COMPUTED_VALUE"""),FALSE)</f>
        <v>0</v>
      </c>
      <c r="O1176" s="23">
        <f>IFERROR(__xludf.DUMMYFUNCTION("""COMPUTED_VALUE"""),52.8770025155567)</f>
        <v>52.87700252</v>
      </c>
      <c r="P1176" s="23">
        <f>IFERROR(__xludf.DUMMYFUNCTION("""COMPUTED_VALUE"""),19969.0)</f>
        <v>19969</v>
      </c>
      <c r="Q1176" s="23">
        <f>IFERROR(__xludf.DUMMYFUNCTION("""COMPUTED_VALUE"""),37765.0)</f>
        <v>37765</v>
      </c>
    </row>
    <row r="1177">
      <c r="A1177" s="23">
        <f>IFERROR(__xludf.DUMMYFUNCTION("""COMPUTED_VALUE"""),1280.0)</f>
        <v>1280</v>
      </c>
      <c r="B1177" s="23" t="str">
        <f>IFERROR(__xludf.DUMMYFUNCTION("""COMPUTED_VALUE"""),"Diet Plan Performance")</f>
        <v>Diet Plan Performance</v>
      </c>
      <c r="C1177" s="23" t="str">
        <f>IFERROR(__xludf.DUMMYFUNCTION("""COMPUTED_VALUE"""),"diet-plan-performance")</f>
        <v>diet-plan-performance</v>
      </c>
      <c r="D1177" s="23" t="b">
        <f>IFERROR(__xludf.DUMMYFUNCTION("""COMPUTED_VALUE"""),TRUE)</f>
        <v>1</v>
      </c>
      <c r="E1177" s="23" t="str">
        <f>IFERROR(__xludf.DUMMYFUNCTION("""COMPUTED_VALUE"""),"Easy")</f>
        <v>Easy</v>
      </c>
      <c r="F1177" s="23">
        <f>IFERROR(__xludf.DUMMYFUNCTION("""COMPUTED_VALUE"""),122.0)</f>
        <v>122</v>
      </c>
      <c r="G1177" s="23">
        <f>IFERROR(__xludf.DUMMYFUNCTION("""COMPUTED_VALUE"""),257.0)</f>
        <v>257</v>
      </c>
      <c r="H1177" s="23" t="str">
        <f>IFERROR(__xludf.DUMMYFUNCTION("""COMPUTED_VALUE"""),"Algorithms")</f>
        <v>Algorithms</v>
      </c>
      <c r="I1177" s="23">
        <f>IFERROR(__xludf.DUMMYFUNCTION("""COMPUTED_VALUE"""),0.526)</f>
        <v>0.526</v>
      </c>
      <c r="J1177" s="23">
        <f>IFERROR(__xludf.DUMMYFUNCTION("""COMPUTED_VALUE"""),1176.0)</f>
        <v>1176</v>
      </c>
      <c r="K1177" s="23" t="b">
        <f>IFERROR(__xludf.DUMMYFUNCTION("""COMPUTED_VALUE"""),TRUE)</f>
        <v>1</v>
      </c>
      <c r="L1177" s="23" t="str">
        <f>IFERROR(__xludf.DUMMYFUNCTION("""COMPUTED_VALUE"""),"Array;Sliding Window;")</f>
        <v>Array;Sliding Window;</v>
      </c>
      <c r="M1177" s="23" t="b">
        <f>IFERROR(__xludf.DUMMYFUNCTION("""COMPUTED_VALUE"""),FALSE)</f>
        <v>0</v>
      </c>
      <c r="N1177" s="23" t="b">
        <f>IFERROR(__xludf.DUMMYFUNCTION("""COMPUTED_VALUE"""),FALSE)</f>
        <v>0</v>
      </c>
      <c r="O1177" s="23">
        <f>IFERROR(__xludf.DUMMYFUNCTION("""COMPUTED_VALUE"""),52.5548229128632)</f>
        <v>52.55482291</v>
      </c>
      <c r="P1177" s="23">
        <f>IFERROR(__xludf.DUMMYFUNCTION("""COMPUTED_VALUE"""),24469.0)</f>
        <v>24469</v>
      </c>
      <c r="Q1177" s="23">
        <f>IFERROR(__xludf.DUMMYFUNCTION("""COMPUTED_VALUE"""),46559.0)</f>
        <v>46559</v>
      </c>
    </row>
    <row r="1178">
      <c r="A1178" s="23">
        <f>IFERROR(__xludf.DUMMYFUNCTION("""COMPUTED_VALUE"""),1281.0)</f>
        <v>1281</v>
      </c>
      <c r="B1178" s="23" t="str">
        <f>IFERROR(__xludf.DUMMYFUNCTION("""COMPUTED_VALUE"""),"Can Make Palindrome from Substring")</f>
        <v>Can Make Palindrome from Substring</v>
      </c>
      <c r="C1178" s="23" t="str">
        <f>IFERROR(__xludf.DUMMYFUNCTION("""COMPUTED_VALUE"""),"can-make-palindrome-from-substring")</f>
        <v>can-make-palindrome-from-substring</v>
      </c>
      <c r="D1178" s="23" t="b">
        <f>IFERROR(__xludf.DUMMYFUNCTION("""COMPUTED_VALUE"""),FALSE)</f>
        <v>0</v>
      </c>
      <c r="E1178" s="23" t="str">
        <f>IFERROR(__xludf.DUMMYFUNCTION("""COMPUTED_VALUE"""),"Medium")</f>
        <v>Medium</v>
      </c>
      <c r="F1178" s="23">
        <f>IFERROR(__xludf.DUMMYFUNCTION("""COMPUTED_VALUE"""),528.0)</f>
        <v>528</v>
      </c>
      <c r="G1178" s="23">
        <f>IFERROR(__xludf.DUMMYFUNCTION("""COMPUTED_VALUE"""),225.0)</f>
        <v>225</v>
      </c>
      <c r="H1178" s="23" t="str">
        <f>IFERROR(__xludf.DUMMYFUNCTION("""COMPUTED_VALUE"""),"Algorithms")</f>
        <v>Algorithms</v>
      </c>
      <c r="I1178" s="23">
        <f>IFERROR(__xludf.DUMMYFUNCTION("""COMPUTED_VALUE"""),0.373)</f>
        <v>0.373</v>
      </c>
      <c r="J1178" s="23">
        <f>IFERROR(__xludf.DUMMYFUNCTION("""COMPUTED_VALUE"""),1177.0)</f>
        <v>1177</v>
      </c>
      <c r="K1178" s="23" t="b">
        <f>IFERROR(__xludf.DUMMYFUNCTION("""COMPUTED_VALUE"""),FALSE)</f>
        <v>0</v>
      </c>
      <c r="L1178" s="23" t="str">
        <f>IFERROR(__xludf.DUMMYFUNCTION("""COMPUTED_VALUE"""),"Hash Table;String;Bit Manipulation;Prefix Sum;")</f>
        <v>Hash Table;String;Bit Manipulation;Prefix Sum;</v>
      </c>
      <c r="M1178" s="23" t="b">
        <f>IFERROR(__xludf.DUMMYFUNCTION("""COMPUTED_VALUE"""),FALSE)</f>
        <v>0</v>
      </c>
      <c r="N1178" s="23" t="b">
        <f>IFERROR(__xludf.DUMMYFUNCTION("""COMPUTED_VALUE"""),FALSE)</f>
        <v>0</v>
      </c>
      <c r="O1178" s="23">
        <f>IFERROR(__xludf.DUMMYFUNCTION("""COMPUTED_VALUE"""),37.320172410576)</f>
        <v>37.32017241</v>
      </c>
      <c r="P1178" s="23">
        <f>IFERROR(__xludf.DUMMYFUNCTION("""COMPUTED_VALUE"""),20001.0)</f>
        <v>20001</v>
      </c>
      <c r="Q1178" s="23">
        <f>IFERROR(__xludf.DUMMYFUNCTION("""COMPUTED_VALUE"""),53593.0)</f>
        <v>53593</v>
      </c>
    </row>
    <row r="1179">
      <c r="A1179" s="23">
        <f>IFERROR(__xludf.DUMMYFUNCTION("""COMPUTED_VALUE"""),1282.0)</f>
        <v>1282</v>
      </c>
      <c r="B1179" s="23" t="str">
        <f>IFERROR(__xludf.DUMMYFUNCTION("""COMPUTED_VALUE"""),"Number of Valid Words for Each Puzzle")</f>
        <v>Number of Valid Words for Each Puzzle</v>
      </c>
      <c r="C1179" s="23" t="str">
        <f>IFERROR(__xludf.DUMMYFUNCTION("""COMPUTED_VALUE"""),"number-of-valid-words-for-each-puzzle")</f>
        <v>number-of-valid-words-for-each-puzzle</v>
      </c>
      <c r="D1179" s="23" t="b">
        <f>IFERROR(__xludf.DUMMYFUNCTION("""COMPUTED_VALUE"""),FALSE)</f>
        <v>0</v>
      </c>
      <c r="E1179" s="23" t="str">
        <f>IFERROR(__xludf.DUMMYFUNCTION("""COMPUTED_VALUE"""),"Hard")</f>
        <v>Hard</v>
      </c>
      <c r="F1179" s="23">
        <f>IFERROR(__xludf.DUMMYFUNCTION("""COMPUTED_VALUE"""),1078.0)</f>
        <v>1078</v>
      </c>
      <c r="G1179" s="23">
        <f>IFERROR(__xludf.DUMMYFUNCTION("""COMPUTED_VALUE"""),73.0)</f>
        <v>73</v>
      </c>
      <c r="H1179" s="23" t="str">
        <f>IFERROR(__xludf.DUMMYFUNCTION("""COMPUTED_VALUE"""),"Algorithms")</f>
        <v>Algorithms</v>
      </c>
      <c r="I1179" s="23">
        <f>IFERROR(__xludf.DUMMYFUNCTION("""COMPUTED_VALUE"""),0.468)</f>
        <v>0.468</v>
      </c>
      <c r="J1179" s="23">
        <f>IFERROR(__xludf.DUMMYFUNCTION("""COMPUTED_VALUE"""),1178.0)</f>
        <v>1178</v>
      </c>
      <c r="K1179" s="23" t="b">
        <f>IFERROR(__xludf.DUMMYFUNCTION("""COMPUTED_VALUE"""),FALSE)</f>
        <v>0</v>
      </c>
      <c r="L1179" s="23" t="str">
        <f>IFERROR(__xludf.DUMMYFUNCTION("""COMPUTED_VALUE"""),"Array;Hash Table;String;Bit Manipulation;Trie;")</f>
        <v>Array;Hash Table;String;Bit Manipulation;Trie;</v>
      </c>
      <c r="M1179" s="23" t="b">
        <f>IFERROR(__xludf.DUMMYFUNCTION("""COMPUTED_VALUE"""),TRUE)</f>
        <v>1</v>
      </c>
      <c r="N1179" s="23" t="b">
        <f>IFERROR(__xludf.DUMMYFUNCTION("""COMPUTED_VALUE"""),FALSE)</f>
        <v>0</v>
      </c>
      <c r="O1179" s="23">
        <f>IFERROR(__xludf.DUMMYFUNCTION("""COMPUTED_VALUE"""),46.8380138665172)</f>
        <v>46.83801387</v>
      </c>
      <c r="P1179" s="23">
        <f>IFERROR(__xludf.DUMMYFUNCTION("""COMPUTED_VALUE"""),26752.0)</f>
        <v>26752</v>
      </c>
      <c r="Q1179" s="23">
        <f>IFERROR(__xludf.DUMMYFUNCTION("""COMPUTED_VALUE"""),57116.0)</f>
        <v>57116</v>
      </c>
    </row>
    <row r="1180">
      <c r="A1180" s="23">
        <f>IFERROR(__xludf.DUMMYFUNCTION("""COMPUTED_VALUE"""),1301.0)</f>
        <v>1301</v>
      </c>
      <c r="B1180" s="23" t="str">
        <f>IFERROR(__xludf.DUMMYFUNCTION("""COMPUTED_VALUE"""),"Reformat Department Table")</f>
        <v>Reformat Department Table</v>
      </c>
      <c r="C1180" s="23" t="str">
        <f>IFERROR(__xludf.DUMMYFUNCTION("""COMPUTED_VALUE"""),"reformat-department-table")</f>
        <v>reformat-department-table</v>
      </c>
      <c r="D1180" s="23" t="b">
        <f>IFERROR(__xludf.DUMMYFUNCTION("""COMPUTED_VALUE"""),FALSE)</f>
        <v>0</v>
      </c>
      <c r="E1180" s="23" t="str">
        <f>IFERROR(__xludf.DUMMYFUNCTION("""COMPUTED_VALUE"""),"Easy")</f>
        <v>Easy</v>
      </c>
      <c r="F1180" s="23">
        <f>IFERROR(__xludf.DUMMYFUNCTION("""COMPUTED_VALUE"""),433.0)</f>
        <v>433</v>
      </c>
      <c r="G1180" s="23">
        <f>IFERROR(__xludf.DUMMYFUNCTION("""COMPUTED_VALUE"""),331.0)</f>
        <v>331</v>
      </c>
      <c r="H1180" s="23" t="str">
        <f>IFERROR(__xludf.DUMMYFUNCTION("""COMPUTED_VALUE"""),"Database")</f>
        <v>Database</v>
      </c>
      <c r="I1180" s="23">
        <f>IFERROR(__xludf.DUMMYFUNCTION("""COMPUTED_VALUE"""),0.824)</f>
        <v>0.824</v>
      </c>
      <c r="J1180" s="23">
        <f>IFERROR(__xludf.DUMMYFUNCTION("""COMPUTED_VALUE"""),1179.0)</f>
        <v>1179</v>
      </c>
      <c r="K1180" s="23" t="b">
        <f>IFERROR(__xludf.DUMMYFUNCTION("""COMPUTED_VALUE"""),FALSE)</f>
        <v>0</v>
      </c>
      <c r="L1180" s="23" t="str">
        <f>IFERROR(__xludf.DUMMYFUNCTION("""COMPUTED_VALUE"""),"Database;")</f>
        <v>Database;</v>
      </c>
      <c r="M1180" s="23" t="b">
        <f>IFERROR(__xludf.DUMMYFUNCTION("""COMPUTED_VALUE"""),FALSE)</f>
        <v>0</v>
      </c>
      <c r="N1180" s="23" t="b">
        <f>IFERROR(__xludf.DUMMYFUNCTION("""COMPUTED_VALUE"""),FALSE)</f>
        <v>0</v>
      </c>
      <c r="O1180" s="23">
        <f>IFERROR(__xludf.DUMMYFUNCTION("""COMPUTED_VALUE"""),82.3812244120727)</f>
        <v>82.38122441</v>
      </c>
      <c r="P1180" s="23">
        <f>IFERROR(__xludf.DUMMYFUNCTION("""COMPUTED_VALUE"""),69219.0)</f>
        <v>69219</v>
      </c>
      <c r="Q1180" s="23">
        <f>IFERROR(__xludf.DUMMYFUNCTION("""COMPUTED_VALUE"""),84023.0)</f>
        <v>84023</v>
      </c>
    </row>
    <row r="1181">
      <c r="A1181" s="23">
        <f>IFERROR(__xludf.DUMMYFUNCTION("""COMPUTED_VALUE"""),1131.0)</f>
        <v>1131</v>
      </c>
      <c r="B1181" s="23" t="str">
        <f>IFERROR(__xludf.DUMMYFUNCTION("""COMPUTED_VALUE"""),"Count Substrings with Only One Distinct Letter")</f>
        <v>Count Substrings with Only One Distinct Letter</v>
      </c>
      <c r="C1181" s="23" t="str">
        <f>IFERROR(__xludf.DUMMYFUNCTION("""COMPUTED_VALUE"""),"count-substrings-with-only-one-distinct-letter")</f>
        <v>count-substrings-with-only-one-distinct-letter</v>
      </c>
      <c r="D1181" s="23" t="b">
        <f>IFERROR(__xludf.DUMMYFUNCTION("""COMPUTED_VALUE"""),TRUE)</f>
        <v>1</v>
      </c>
      <c r="E1181" s="23" t="str">
        <f>IFERROR(__xludf.DUMMYFUNCTION("""COMPUTED_VALUE"""),"Easy")</f>
        <v>Easy</v>
      </c>
      <c r="F1181" s="23">
        <f>IFERROR(__xludf.DUMMYFUNCTION("""COMPUTED_VALUE"""),270.0)</f>
        <v>270</v>
      </c>
      <c r="G1181" s="23">
        <f>IFERROR(__xludf.DUMMYFUNCTION("""COMPUTED_VALUE"""),44.0)</f>
        <v>44</v>
      </c>
      <c r="H1181" s="23" t="str">
        <f>IFERROR(__xludf.DUMMYFUNCTION("""COMPUTED_VALUE"""),"Algorithms")</f>
        <v>Algorithms</v>
      </c>
      <c r="I1181" s="23">
        <f>IFERROR(__xludf.DUMMYFUNCTION("""COMPUTED_VALUE"""),0.788)</f>
        <v>0.788</v>
      </c>
      <c r="J1181" s="23">
        <f>IFERROR(__xludf.DUMMYFUNCTION("""COMPUTED_VALUE"""),1180.0)</f>
        <v>1180</v>
      </c>
      <c r="K1181" s="23" t="b">
        <f>IFERROR(__xludf.DUMMYFUNCTION("""COMPUTED_VALUE"""),TRUE)</f>
        <v>1</v>
      </c>
      <c r="L1181" s="23" t="str">
        <f>IFERROR(__xludf.DUMMYFUNCTION("""COMPUTED_VALUE"""),"Math;String;")</f>
        <v>Math;String;</v>
      </c>
      <c r="M1181" s="23" t="b">
        <f>IFERROR(__xludf.DUMMYFUNCTION("""COMPUTED_VALUE"""),TRUE)</f>
        <v>1</v>
      </c>
      <c r="N1181" s="23" t="b">
        <f>IFERROR(__xludf.DUMMYFUNCTION("""COMPUTED_VALUE"""),FALSE)</f>
        <v>0</v>
      </c>
      <c r="O1181" s="23">
        <f>IFERROR(__xludf.DUMMYFUNCTION("""COMPUTED_VALUE"""),78.7934326078656)</f>
        <v>78.79343261</v>
      </c>
      <c r="P1181" s="23">
        <f>IFERROR(__xludf.DUMMYFUNCTION("""COMPUTED_VALUE"""),20636.0)</f>
        <v>20636</v>
      </c>
      <c r="Q1181" s="23">
        <f>IFERROR(__xludf.DUMMYFUNCTION("""COMPUTED_VALUE"""),26190.0)</f>
        <v>26190</v>
      </c>
    </row>
    <row r="1182">
      <c r="A1182" s="23">
        <f>IFERROR(__xludf.DUMMYFUNCTION("""COMPUTED_VALUE"""),1132.0)</f>
        <v>1132</v>
      </c>
      <c r="B1182" s="23" t="str">
        <f>IFERROR(__xludf.DUMMYFUNCTION("""COMPUTED_VALUE"""),"Before and After Puzzle")</f>
        <v>Before and After Puzzle</v>
      </c>
      <c r="C1182" s="23" t="str">
        <f>IFERROR(__xludf.DUMMYFUNCTION("""COMPUTED_VALUE"""),"before-and-after-puzzle")</f>
        <v>before-and-after-puzzle</v>
      </c>
      <c r="D1182" s="23" t="b">
        <f>IFERROR(__xludf.DUMMYFUNCTION("""COMPUTED_VALUE"""),TRUE)</f>
        <v>1</v>
      </c>
      <c r="E1182" s="23" t="str">
        <f>IFERROR(__xludf.DUMMYFUNCTION("""COMPUTED_VALUE"""),"Medium")</f>
        <v>Medium</v>
      </c>
      <c r="F1182" s="23">
        <f>IFERROR(__xludf.DUMMYFUNCTION("""COMPUTED_VALUE"""),62.0)</f>
        <v>62</v>
      </c>
      <c r="G1182" s="23">
        <f>IFERROR(__xludf.DUMMYFUNCTION("""COMPUTED_VALUE"""),141.0)</f>
        <v>141</v>
      </c>
      <c r="H1182" s="23" t="str">
        <f>IFERROR(__xludf.DUMMYFUNCTION("""COMPUTED_VALUE"""),"Algorithms")</f>
        <v>Algorithms</v>
      </c>
      <c r="I1182" s="23">
        <f>IFERROR(__xludf.DUMMYFUNCTION("""COMPUTED_VALUE"""),0.45)</f>
        <v>0.45</v>
      </c>
      <c r="J1182" s="23">
        <f>IFERROR(__xludf.DUMMYFUNCTION("""COMPUTED_VALUE"""),1181.0)</f>
        <v>1181</v>
      </c>
      <c r="K1182" s="23" t="b">
        <f>IFERROR(__xludf.DUMMYFUNCTION("""COMPUTED_VALUE"""),TRUE)</f>
        <v>1</v>
      </c>
      <c r="L1182" s="23" t="str">
        <f>IFERROR(__xludf.DUMMYFUNCTION("""COMPUTED_VALUE"""),"Array;Hash Table;String;Sorting;")</f>
        <v>Array;Hash Table;String;Sorting;</v>
      </c>
      <c r="M1182" s="23" t="b">
        <f>IFERROR(__xludf.DUMMYFUNCTION("""COMPUTED_VALUE"""),FALSE)</f>
        <v>0</v>
      </c>
      <c r="N1182" s="23" t="b">
        <f>IFERROR(__xludf.DUMMYFUNCTION("""COMPUTED_VALUE"""),FALSE)</f>
        <v>0</v>
      </c>
      <c r="O1182" s="23">
        <f>IFERROR(__xludf.DUMMYFUNCTION("""COMPUTED_VALUE"""),44.9788263762855)</f>
        <v>44.97882638</v>
      </c>
      <c r="P1182" s="23">
        <f>IFERROR(__xludf.DUMMYFUNCTION("""COMPUTED_VALUE"""),8922.0)</f>
        <v>8922</v>
      </c>
      <c r="Q1182" s="23">
        <f>IFERROR(__xludf.DUMMYFUNCTION("""COMPUTED_VALUE"""),19836.0)</f>
        <v>19836</v>
      </c>
    </row>
    <row r="1183">
      <c r="A1183" s="23">
        <f>IFERROR(__xludf.DUMMYFUNCTION("""COMPUTED_VALUE"""),1134.0)</f>
        <v>1134</v>
      </c>
      <c r="B1183" s="23" t="str">
        <f>IFERROR(__xludf.DUMMYFUNCTION("""COMPUTED_VALUE"""),"Shortest Distance to Target Color")</f>
        <v>Shortest Distance to Target Color</v>
      </c>
      <c r="C1183" s="23" t="str">
        <f>IFERROR(__xludf.DUMMYFUNCTION("""COMPUTED_VALUE"""),"shortest-distance-to-target-color")</f>
        <v>shortest-distance-to-target-color</v>
      </c>
      <c r="D1183" s="23" t="b">
        <f>IFERROR(__xludf.DUMMYFUNCTION("""COMPUTED_VALUE"""),TRUE)</f>
        <v>1</v>
      </c>
      <c r="E1183" s="23" t="str">
        <f>IFERROR(__xludf.DUMMYFUNCTION("""COMPUTED_VALUE"""),"Medium")</f>
        <v>Medium</v>
      </c>
      <c r="F1183" s="23">
        <f>IFERROR(__xludf.DUMMYFUNCTION("""COMPUTED_VALUE"""),353.0)</f>
        <v>353</v>
      </c>
      <c r="G1183" s="23">
        <f>IFERROR(__xludf.DUMMYFUNCTION("""COMPUTED_VALUE"""),15.0)</f>
        <v>15</v>
      </c>
      <c r="H1183" s="23" t="str">
        <f>IFERROR(__xludf.DUMMYFUNCTION("""COMPUTED_VALUE"""),"Algorithms")</f>
        <v>Algorithms</v>
      </c>
      <c r="I1183" s="23">
        <f>IFERROR(__xludf.DUMMYFUNCTION("""COMPUTED_VALUE"""),0.542)</f>
        <v>0.542</v>
      </c>
      <c r="J1183" s="23">
        <f>IFERROR(__xludf.DUMMYFUNCTION("""COMPUTED_VALUE"""),1182.0)</f>
        <v>1182</v>
      </c>
      <c r="K1183" s="23" t="b">
        <f>IFERROR(__xludf.DUMMYFUNCTION("""COMPUTED_VALUE"""),TRUE)</f>
        <v>1</v>
      </c>
      <c r="L1183" s="23" t="str">
        <f>IFERROR(__xludf.DUMMYFUNCTION("""COMPUTED_VALUE"""),"Array;Binary Search;Dynamic Programming;")</f>
        <v>Array;Binary Search;Dynamic Programming;</v>
      </c>
      <c r="M1183" s="23" t="b">
        <f>IFERROR(__xludf.DUMMYFUNCTION("""COMPUTED_VALUE"""),TRUE)</f>
        <v>1</v>
      </c>
      <c r="N1183" s="23" t="b">
        <f>IFERROR(__xludf.DUMMYFUNCTION("""COMPUTED_VALUE"""),FALSE)</f>
        <v>0</v>
      </c>
      <c r="O1183" s="23">
        <f>IFERROR(__xludf.DUMMYFUNCTION("""COMPUTED_VALUE"""),54.2116124190976)</f>
        <v>54.21161242</v>
      </c>
      <c r="P1183" s="23">
        <f>IFERROR(__xludf.DUMMYFUNCTION("""COMPUTED_VALUE"""),23118.0)</f>
        <v>23118</v>
      </c>
      <c r="Q1183" s="23">
        <f>IFERROR(__xludf.DUMMYFUNCTION("""COMPUTED_VALUE"""),42644.0)</f>
        <v>42644</v>
      </c>
    </row>
    <row r="1184">
      <c r="A1184" s="23">
        <f>IFERROR(__xludf.DUMMYFUNCTION("""COMPUTED_VALUE"""),1152.0)</f>
        <v>1152</v>
      </c>
      <c r="B1184" s="23" t="str">
        <f>IFERROR(__xludf.DUMMYFUNCTION("""COMPUTED_VALUE"""),"Maximum Number of Ones")</f>
        <v>Maximum Number of Ones</v>
      </c>
      <c r="C1184" s="23" t="str">
        <f>IFERROR(__xludf.DUMMYFUNCTION("""COMPUTED_VALUE"""),"maximum-number-of-ones")</f>
        <v>maximum-number-of-ones</v>
      </c>
      <c r="D1184" s="23" t="b">
        <f>IFERROR(__xludf.DUMMYFUNCTION("""COMPUTED_VALUE"""),TRUE)</f>
        <v>1</v>
      </c>
      <c r="E1184" s="23" t="str">
        <f>IFERROR(__xludf.DUMMYFUNCTION("""COMPUTED_VALUE"""),"Hard")</f>
        <v>Hard</v>
      </c>
      <c r="F1184" s="23">
        <f>IFERROR(__xludf.DUMMYFUNCTION("""COMPUTED_VALUE"""),102.0)</f>
        <v>102</v>
      </c>
      <c r="G1184" s="23">
        <f>IFERROR(__xludf.DUMMYFUNCTION("""COMPUTED_VALUE"""),9.0)</f>
        <v>9</v>
      </c>
      <c r="H1184" s="23" t="str">
        <f>IFERROR(__xludf.DUMMYFUNCTION("""COMPUTED_VALUE"""),"Algorithms")</f>
        <v>Algorithms</v>
      </c>
      <c r="I1184" s="23">
        <f>IFERROR(__xludf.DUMMYFUNCTION("""COMPUTED_VALUE"""),0.604)</f>
        <v>0.604</v>
      </c>
      <c r="J1184" s="23">
        <f>IFERROR(__xludf.DUMMYFUNCTION("""COMPUTED_VALUE"""),1183.0)</f>
        <v>1183</v>
      </c>
      <c r="K1184" s="23" t="b">
        <f>IFERROR(__xludf.DUMMYFUNCTION("""COMPUTED_VALUE"""),TRUE)</f>
        <v>1</v>
      </c>
      <c r="L1184" s="23" t="str">
        <f>IFERROR(__xludf.DUMMYFUNCTION("""COMPUTED_VALUE"""),"Greedy;Heap (Priority Queue);")</f>
        <v>Greedy;Heap (Priority Queue);</v>
      </c>
      <c r="M1184" s="23" t="b">
        <f>IFERROR(__xludf.DUMMYFUNCTION("""COMPUTED_VALUE"""),FALSE)</f>
        <v>0</v>
      </c>
      <c r="N1184" s="23" t="b">
        <f>IFERROR(__xludf.DUMMYFUNCTION("""COMPUTED_VALUE"""),FALSE)</f>
        <v>0</v>
      </c>
      <c r="O1184" s="23">
        <f>IFERROR(__xludf.DUMMYFUNCTION("""COMPUTED_VALUE"""),60.4322527015793)</f>
        <v>60.4322527</v>
      </c>
      <c r="P1184" s="23">
        <f>IFERROR(__xludf.DUMMYFUNCTION("""COMPUTED_VALUE"""),2181.0)</f>
        <v>2181</v>
      </c>
      <c r="Q1184" s="23">
        <f>IFERROR(__xludf.DUMMYFUNCTION("""COMPUTED_VALUE"""),3609.0)</f>
        <v>3609</v>
      </c>
    </row>
    <row r="1185">
      <c r="A1185" s="23">
        <f>IFERROR(__xludf.DUMMYFUNCTION("""COMPUTED_VALUE"""),1287.0)</f>
        <v>1287</v>
      </c>
      <c r="B1185" s="23" t="str">
        <f>IFERROR(__xludf.DUMMYFUNCTION("""COMPUTED_VALUE"""),"Distance Between Bus Stops")</f>
        <v>Distance Between Bus Stops</v>
      </c>
      <c r="C1185" s="23" t="str">
        <f>IFERROR(__xludf.DUMMYFUNCTION("""COMPUTED_VALUE"""),"distance-between-bus-stops")</f>
        <v>distance-between-bus-stops</v>
      </c>
      <c r="D1185" s="23" t="b">
        <f>IFERROR(__xludf.DUMMYFUNCTION("""COMPUTED_VALUE"""),FALSE)</f>
        <v>0</v>
      </c>
      <c r="E1185" s="23" t="str">
        <f>IFERROR(__xludf.DUMMYFUNCTION("""COMPUTED_VALUE"""),"Easy")</f>
        <v>Easy</v>
      </c>
      <c r="F1185" s="23">
        <f>IFERROR(__xludf.DUMMYFUNCTION("""COMPUTED_VALUE"""),520.0)</f>
        <v>520</v>
      </c>
      <c r="G1185" s="23">
        <f>IFERROR(__xludf.DUMMYFUNCTION("""COMPUTED_VALUE"""),58.0)</f>
        <v>58</v>
      </c>
      <c r="H1185" s="23" t="str">
        <f>IFERROR(__xludf.DUMMYFUNCTION("""COMPUTED_VALUE"""),"Algorithms")</f>
        <v>Algorithms</v>
      </c>
      <c r="I1185" s="23">
        <f>IFERROR(__xludf.DUMMYFUNCTION("""COMPUTED_VALUE"""),0.541)</f>
        <v>0.541</v>
      </c>
      <c r="J1185" s="23">
        <f>IFERROR(__xludf.DUMMYFUNCTION("""COMPUTED_VALUE"""),1184.0)</f>
        <v>1184</v>
      </c>
      <c r="K1185" s="23" t="b">
        <f>IFERROR(__xludf.DUMMYFUNCTION("""COMPUTED_VALUE"""),FALSE)</f>
        <v>0</v>
      </c>
      <c r="L1185" s="23" t="str">
        <f>IFERROR(__xludf.DUMMYFUNCTION("""COMPUTED_VALUE"""),"Array;")</f>
        <v>Array;</v>
      </c>
      <c r="M1185" s="23" t="b">
        <f>IFERROR(__xludf.DUMMYFUNCTION("""COMPUTED_VALUE"""),FALSE)</f>
        <v>0</v>
      </c>
      <c r="N1185" s="23" t="b">
        <f>IFERROR(__xludf.DUMMYFUNCTION("""COMPUTED_VALUE"""),FALSE)</f>
        <v>0</v>
      </c>
      <c r="O1185" s="23">
        <f>IFERROR(__xludf.DUMMYFUNCTION("""COMPUTED_VALUE"""),54.0970096538733)</f>
        <v>54.09700965</v>
      </c>
      <c r="P1185" s="23">
        <f>IFERROR(__xludf.DUMMYFUNCTION("""COMPUTED_VALUE"""),41355.0)</f>
        <v>41355</v>
      </c>
      <c r="Q1185" s="23">
        <f>IFERROR(__xludf.DUMMYFUNCTION("""COMPUTED_VALUE"""),76446.0)</f>
        <v>76446</v>
      </c>
    </row>
    <row r="1186">
      <c r="A1186" s="23">
        <f>IFERROR(__xludf.DUMMYFUNCTION("""COMPUTED_VALUE"""),1289.0)</f>
        <v>1289</v>
      </c>
      <c r="B1186" s="23" t="str">
        <f>IFERROR(__xludf.DUMMYFUNCTION("""COMPUTED_VALUE"""),"Day of the Week")</f>
        <v>Day of the Week</v>
      </c>
      <c r="C1186" s="23" t="str">
        <f>IFERROR(__xludf.DUMMYFUNCTION("""COMPUTED_VALUE"""),"day-of-the-week")</f>
        <v>day-of-the-week</v>
      </c>
      <c r="D1186" s="23" t="b">
        <f>IFERROR(__xludf.DUMMYFUNCTION("""COMPUTED_VALUE"""),FALSE)</f>
        <v>0</v>
      </c>
      <c r="E1186" s="23" t="str">
        <f>IFERROR(__xludf.DUMMYFUNCTION("""COMPUTED_VALUE"""),"Easy")</f>
        <v>Easy</v>
      </c>
      <c r="F1186" s="23">
        <f>IFERROR(__xludf.DUMMYFUNCTION("""COMPUTED_VALUE"""),231.0)</f>
        <v>231</v>
      </c>
      <c r="G1186" s="23">
        <f>IFERROR(__xludf.DUMMYFUNCTION("""COMPUTED_VALUE"""),1887.0)</f>
        <v>1887</v>
      </c>
      <c r="H1186" s="23" t="str">
        <f>IFERROR(__xludf.DUMMYFUNCTION("""COMPUTED_VALUE"""),"Algorithms")</f>
        <v>Algorithms</v>
      </c>
      <c r="I1186" s="23">
        <f>IFERROR(__xludf.DUMMYFUNCTION("""COMPUTED_VALUE"""),0.584)</f>
        <v>0.584</v>
      </c>
      <c r="J1186" s="23">
        <f>IFERROR(__xludf.DUMMYFUNCTION("""COMPUTED_VALUE"""),1185.0)</f>
        <v>1185</v>
      </c>
      <c r="K1186" s="23" t="b">
        <f>IFERROR(__xludf.DUMMYFUNCTION("""COMPUTED_VALUE"""),FALSE)</f>
        <v>0</v>
      </c>
      <c r="L1186" s="23" t="str">
        <f>IFERROR(__xludf.DUMMYFUNCTION("""COMPUTED_VALUE"""),"Math;")</f>
        <v>Math;</v>
      </c>
      <c r="M1186" s="23" t="b">
        <f>IFERROR(__xludf.DUMMYFUNCTION("""COMPUTED_VALUE"""),FALSE)</f>
        <v>0</v>
      </c>
      <c r="N1186" s="23" t="b">
        <f>IFERROR(__xludf.DUMMYFUNCTION("""COMPUTED_VALUE"""),FALSE)</f>
        <v>0</v>
      </c>
      <c r="O1186" s="23">
        <f>IFERROR(__xludf.DUMMYFUNCTION("""COMPUTED_VALUE"""),58.4228369948467)</f>
        <v>58.42283699</v>
      </c>
      <c r="P1186" s="23">
        <f>IFERROR(__xludf.DUMMYFUNCTION("""COMPUTED_VALUE"""),43080.0)</f>
        <v>43080</v>
      </c>
      <c r="Q1186" s="23">
        <f>IFERROR(__xludf.DUMMYFUNCTION("""COMPUTED_VALUE"""),73739.0)</f>
        <v>73739</v>
      </c>
    </row>
    <row r="1187">
      <c r="A1187" s="23">
        <f>IFERROR(__xludf.DUMMYFUNCTION("""COMPUTED_VALUE"""),1288.0)</f>
        <v>1288</v>
      </c>
      <c r="B1187" s="23" t="str">
        <f>IFERROR(__xludf.DUMMYFUNCTION("""COMPUTED_VALUE"""),"Maximum Subarray Sum with One Deletion")</f>
        <v>Maximum Subarray Sum with One Deletion</v>
      </c>
      <c r="C1187" s="23" t="str">
        <f>IFERROR(__xludf.DUMMYFUNCTION("""COMPUTED_VALUE"""),"maximum-subarray-sum-with-one-deletion")</f>
        <v>maximum-subarray-sum-with-one-deletion</v>
      </c>
      <c r="D1187" s="23" t="b">
        <f>IFERROR(__xludf.DUMMYFUNCTION("""COMPUTED_VALUE"""),FALSE)</f>
        <v>0</v>
      </c>
      <c r="E1187" s="23" t="str">
        <f>IFERROR(__xludf.DUMMYFUNCTION("""COMPUTED_VALUE"""),"Medium")</f>
        <v>Medium</v>
      </c>
      <c r="F1187" s="23">
        <f>IFERROR(__xludf.DUMMYFUNCTION("""COMPUTED_VALUE"""),1232.0)</f>
        <v>1232</v>
      </c>
      <c r="G1187" s="23">
        <f>IFERROR(__xludf.DUMMYFUNCTION("""COMPUTED_VALUE"""),43.0)</f>
        <v>43</v>
      </c>
      <c r="H1187" s="23" t="str">
        <f>IFERROR(__xludf.DUMMYFUNCTION("""COMPUTED_VALUE"""),"Algorithms")</f>
        <v>Algorithms</v>
      </c>
      <c r="I1187" s="23">
        <f>IFERROR(__xludf.DUMMYFUNCTION("""COMPUTED_VALUE"""),0.406)</f>
        <v>0.406</v>
      </c>
      <c r="J1187" s="23">
        <f>IFERROR(__xludf.DUMMYFUNCTION("""COMPUTED_VALUE"""),1186.0)</f>
        <v>1186</v>
      </c>
      <c r="K1187" s="23" t="b">
        <f>IFERROR(__xludf.DUMMYFUNCTION("""COMPUTED_VALUE"""),FALSE)</f>
        <v>0</v>
      </c>
      <c r="L1187" s="23" t="str">
        <f>IFERROR(__xludf.DUMMYFUNCTION("""COMPUTED_VALUE"""),"Array;Dynamic Programming;")</f>
        <v>Array;Dynamic Programming;</v>
      </c>
      <c r="M1187" s="23" t="b">
        <f>IFERROR(__xludf.DUMMYFUNCTION("""COMPUTED_VALUE"""),FALSE)</f>
        <v>0</v>
      </c>
      <c r="N1187" s="23" t="b">
        <f>IFERROR(__xludf.DUMMYFUNCTION("""COMPUTED_VALUE"""),FALSE)</f>
        <v>0</v>
      </c>
      <c r="O1187" s="23">
        <f>IFERROR(__xludf.DUMMYFUNCTION("""COMPUTED_VALUE"""),40.6065733476901)</f>
        <v>40.60657335</v>
      </c>
      <c r="P1187" s="23">
        <f>IFERROR(__xludf.DUMMYFUNCTION("""COMPUTED_VALUE"""),31677.0)</f>
        <v>31677</v>
      </c>
      <c r="Q1187" s="23">
        <f>IFERROR(__xludf.DUMMYFUNCTION("""COMPUTED_VALUE"""),78011.0)</f>
        <v>78011</v>
      </c>
    </row>
    <row r="1188">
      <c r="A1188" s="23">
        <f>IFERROR(__xludf.DUMMYFUNCTION("""COMPUTED_VALUE"""),1290.0)</f>
        <v>1290</v>
      </c>
      <c r="B1188" s="23" t="str">
        <f>IFERROR(__xludf.DUMMYFUNCTION("""COMPUTED_VALUE"""),"Make Array Strictly Increasing")</f>
        <v>Make Array Strictly Increasing</v>
      </c>
      <c r="C1188" s="23" t="str">
        <f>IFERROR(__xludf.DUMMYFUNCTION("""COMPUTED_VALUE"""),"make-array-strictly-increasing")</f>
        <v>make-array-strictly-increasing</v>
      </c>
      <c r="D1188" s="23" t="b">
        <f>IFERROR(__xludf.DUMMYFUNCTION("""COMPUTED_VALUE"""),FALSE)</f>
        <v>0</v>
      </c>
      <c r="E1188" s="23" t="str">
        <f>IFERROR(__xludf.DUMMYFUNCTION("""COMPUTED_VALUE"""),"Hard")</f>
        <v>Hard</v>
      </c>
      <c r="F1188" s="23">
        <f>IFERROR(__xludf.DUMMYFUNCTION("""COMPUTED_VALUE"""),598.0)</f>
        <v>598</v>
      </c>
      <c r="G1188" s="23">
        <f>IFERROR(__xludf.DUMMYFUNCTION("""COMPUTED_VALUE"""),16.0)</f>
        <v>16</v>
      </c>
      <c r="H1188" s="23" t="str">
        <f>IFERROR(__xludf.DUMMYFUNCTION("""COMPUTED_VALUE"""),"Algorithms")</f>
        <v>Algorithms</v>
      </c>
      <c r="I1188" s="23">
        <f>IFERROR(__xludf.DUMMYFUNCTION("""COMPUTED_VALUE"""),0.445)</f>
        <v>0.445</v>
      </c>
      <c r="J1188" s="23">
        <f>IFERROR(__xludf.DUMMYFUNCTION("""COMPUTED_VALUE"""),1187.0)</f>
        <v>1187</v>
      </c>
      <c r="K1188" s="23" t="b">
        <f>IFERROR(__xludf.DUMMYFUNCTION("""COMPUTED_VALUE"""),FALSE)</f>
        <v>0</v>
      </c>
      <c r="L1188" s="23" t="str">
        <f>IFERROR(__xludf.DUMMYFUNCTION("""COMPUTED_VALUE"""),"Array;Binary Search;Dynamic Programming;")</f>
        <v>Array;Binary Search;Dynamic Programming;</v>
      </c>
      <c r="M1188" s="23" t="b">
        <f>IFERROR(__xludf.DUMMYFUNCTION("""COMPUTED_VALUE"""),FALSE)</f>
        <v>0</v>
      </c>
      <c r="N1188" s="23" t="b">
        <f>IFERROR(__xludf.DUMMYFUNCTION("""COMPUTED_VALUE"""),FALSE)</f>
        <v>0</v>
      </c>
      <c r="O1188" s="23">
        <f>IFERROR(__xludf.DUMMYFUNCTION("""COMPUTED_VALUE"""),44.4926855980599)</f>
        <v>44.4926856</v>
      </c>
      <c r="P1188" s="23">
        <f>IFERROR(__xludf.DUMMYFUNCTION("""COMPUTED_VALUE"""),11375.0)</f>
        <v>11375</v>
      </c>
      <c r="Q1188" s="23">
        <f>IFERROR(__xludf.DUMMYFUNCTION("""COMPUTED_VALUE"""),25566.0)</f>
        <v>25566</v>
      </c>
    </row>
    <row r="1189">
      <c r="A1189" s="23">
        <f>IFERROR(__xludf.DUMMYFUNCTION("""COMPUTED_VALUE"""),1209.0)</f>
        <v>1209</v>
      </c>
      <c r="B1189" s="23" t="str">
        <f>IFERROR(__xludf.DUMMYFUNCTION("""COMPUTED_VALUE"""),"Design Bounded Blocking Queue")</f>
        <v>Design Bounded Blocking Queue</v>
      </c>
      <c r="C1189" s="23" t="str">
        <f>IFERROR(__xludf.DUMMYFUNCTION("""COMPUTED_VALUE"""),"design-bounded-blocking-queue")</f>
        <v>design-bounded-blocking-queue</v>
      </c>
      <c r="D1189" s="23" t="b">
        <f>IFERROR(__xludf.DUMMYFUNCTION("""COMPUTED_VALUE"""),TRUE)</f>
        <v>1</v>
      </c>
      <c r="E1189" s="23" t="str">
        <f>IFERROR(__xludf.DUMMYFUNCTION("""COMPUTED_VALUE"""),"Medium")</f>
        <v>Medium</v>
      </c>
      <c r="F1189" s="23">
        <f>IFERROR(__xludf.DUMMYFUNCTION("""COMPUTED_VALUE"""),413.0)</f>
        <v>413</v>
      </c>
      <c r="G1189" s="23">
        <f>IFERROR(__xludf.DUMMYFUNCTION("""COMPUTED_VALUE"""),33.0)</f>
        <v>33</v>
      </c>
      <c r="H1189" s="23" t="str">
        <f>IFERROR(__xludf.DUMMYFUNCTION("""COMPUTED_VALUE"""),"Concurrency")</f>
        <v>Concurrency</v>
      </c>
      <c r="I1189" s="23">
        <f>IFERROR(__xludf.DUMMYFUNCTION("""COMPUTED_VALUE"""),0.73)</f>
        <v>0.73</v>
      </c>
      <c r="J1189" s="23">
        <f>IFERROR(__xludf.DUMMYFUNCTION("""COMPUTED_VALUE"""),1188.0)</f>
        <v>1188</v>
      </c>
      <c r="K1189" s="23" t="b">
        <f>IFERROR(__xludf.DUMMYFUNCTION("""COMPUTED_VALUE"""),TRUE)</f>
        <v>1</v>
      </c>
      <c r="L1189" s="23" t="str">
        <f>IFERROR(__xludf.DUMMYFUNCTION("""COMPUTED_VALUE"""),"Concurrency;")</f>
        <v>Concurrency;</v>
      </c>
      <c r="M1189" s="23" t="b">
        <f>IFERROR(__xludf.DUMMYFUNCTION("""COMPUTED_VALUE"""),FALSE)</f>
        <v>0</v>
      </c>
      <c r="N1189" s="23" t="b">
        <f>IFERROR(__xludf.DUMMYFUNCTION("""COMPUTED_VALUE"""),FALSE)</f>
        <v>0</v>
      </c>
      <c r="O1189" s="23">
        <f>IFERROR(__xludf.DUMMYFUNCTION("""COMPUTED_VALUE"""),72.9756531946327)</f>
        <v>72.97565319</v>
      </c>
      <c r="P1189" s="23">
        <f>IFERROR(__xludf.DUMMYFUNCTION("""COMPUTED_VALUE"""),36058.0)</f>
        <v>36058</v>
      </c>
      <c r="Q1189" s="23">
        <f>IFERROR(__xludf.DUMMYFUNCTION("""COMPUTED_VALUE"""),49411.0)</f>
        <v>49411</v>
      </c>
    </row>
    <row r="1190">
      <c r="A1190" s="23">
        <f>IFERROR(__xludf.DUMMYFUNCTION("""COMPUTED_VALUE"""),1297.0)</f>
        <v>1297</v>
      </c>
      <c r="B1190" s="23" t="str">
        <f>IFERROR(__xludf.DUMMYFUNCTION("""COMPUTED_VALUE"""),"Maximum Number of Balloons")</f>
        <v>Maximum Number of Balloons</v>
      </c>
      <c r="C1190" s="23" t="str">
        <f>IFERROR(__xludf.DUMMYFUNCTION("""COMPUTED_VALUE"""),"maximum-number-of-balloons")</f>
        <v>maximum-number-of-balloons</v>
      </c>
      <c r="D1190" s="23" t="b">
        <f>IFERROR(__xludf.DUMMYFUNCTION("""COMPUTED_VALUE"""),FALSE)</f>
        <v>0</v>
      </c>
      <c r="E1190" s="23" t="str">
        <f>IFERROR(__xludf.DUMMYFUNCTION("""COMPUTED_VALUE"""),"Easy")</f>
        <v>Easy</v>
      </c>
      <c r="F1190" s="23">
        <f>IFERROR(__xludf.DUMMYFUNCTION("""COMPUTED_VALUE"""),1010.0)</f>
        <v>1010</v>
      </c>
      <c r="G1190" s="23">
        <f>IFERROR(__xludf.DUMMYFUNCTION("""COMPUTED_VALUE"""),68.0)</f>
        <v>68</v>
      </c>
      <c r="H1190" s="23" t="str">
        <f>IFERROR(__xludf.DUMMYFUNCTION("""COMPUTED_VALUE"""),"Algorithms")</f>
        <v>Algorithms</v>
      </c>
      <c r="I1190" s="23">
        <f>IFERROR(__xludf.DUMMYFUNCTION("""COMPUTED_VALUE"""),0.625)</f>
        <v>0.625</v>
      </c>
      <c r="J1190" s="23">
        <f>IFERROR(__xludf.DUMMYFUNCTION("""COMPUTED_VALUE"""),1189.0)</f>
        <v>1189</v>
      </c>
      <c r="K1190" s="23" t="b">
        <f>IFERROR(__xludf.DUMMYFUNCTION("""COMPUTED_VALUE"""),FALSE)</f>
        <v>0</v>
      </c>
      <c r="L1190" s="23" t="str">
        <f>IFERROR(__xludf.DUMMYFUNCTION("""COMPUTED_VALUE"""),"Hash Table;String;Counting;")</f>
        <v>Hash Table;String;Counting;</v>
      </c>
      <c r="M1190" s="23" t="b">
        <f>IFERROR(__xludf.DUMMYFUNCTION("""COMPUTED_VALUE"""),TRUE)</f>
        <v>1</v>
      </c>
      <c r="N1190" s="23" t="b">
        <f>IFERROR(__xludf.DUMMYFUNCTION("""COMPUTED_VALUE"""),FALSE)</f>
        <v>0</v>
      </c>
      <c r="O1190" s="23">
        <f>IFERROR(__xludf.DUMMYFUNCTION("""COMPUTED_VALUE"""),62.5084949256977)</f>
        <v>62.50849493</v>
      </c>
      <c r="P1190" s="23">
        <f>IFERROR(__xludf.DUMMYFUNCTION("""COMPUTED_VALUE"""),110375.0)</f>
        <v>110375</v>
      </c>
      <c r="Q1190" s="23">
        <f>IFERROR(__xludf.DUMMYFUNCTION("""COMPUTED_VALUE"""),176576.0)</f>
        <v>176576</v>
      </c>
    </row>
    <row r="1191">
      <c r="A1191" s="23">
        <f>IFERROR(__xludf.DUMMYFUNCTION("""COMPUTED_VALUE"""),1298.0)</f>
        <v>1298</v>
      </c>
      <c r="B1191" s="23" t="str">
        <f>IFERROR(__xludf.DUMMYFUNCTION("""COMPUTED_VALUE"""),"Reverse Substrings Between Each Pair of Parentheses")</f>
        <v>Reverse Substrings Between Each Pair of Parentheses</v>
      </c>
      <c r="C1191" s="23" t="str">
        <f>IFERROR(__xludf.DUMMYFUNCTION("""COMPUTED_VALUE"""),"reverse-substrings-between-each-pair-of-parentheses")</f>
        <v>reverse-substrings-between-each-pair-of-parentheses</v>
      </c>
      <c r="D1191" s="23" t="b">
        <f>IFERROR(__xludf.DUMMYFUNCTION("""COMPUTED_VALUE"""),FALSE)</f>
        <v>0</v>
      </c>
      <c r="E1191" s="23" t="str">
        <f>IFERROR(__xludf.DUMMYFUNCTION("""COMPUTED_VALUE"""),"Medium")</f>
        <v>Medium</v>
      </c>
      <c r="F1191" s="23">
        <f>IFERROR(__xludf.DUMMYFUNCTION("""COMPUTED_VALUE"""),1284.0)</f>
        <v>1284</v>
      </c>
      <c r="G1191" s="23">
        <f>IFERROR(__xludf.DUMMYFUNCTION("""COMPUTED_VALUE"""),34.0)</f>
        <v>34</v>
      </c>
      <c r="H1191" s="23" t="str">
        <f>IFERROR(__xludf.DUMMYFUNCTION("""COMPUTED_VALUE"""),"Algorithms")</f>
        <v>Algorithms</v>
      </c>
      <c r="I1191" s="23">
        <f>IFERROR(__xludf.DUMMYFUNCTION("""COMPUTED_VALUE"""),0.657)</f>
        <v>0.657</v>
      </c>
      <c r="J1191" s="23">
        <f>IFERROR(__xludf.DUMMYFUNCTION("""COMPUTED_VALUE"""),1190.0)</f>
        <v>1190</v>
      </c>
      <c r="K1191" s="23" t="b">
        <f>IFERROR(__xludf.DUMMYFUNCTION("""COMPUTED_VALUE"""),FALSE)</f>
        <v>0</v>
      </c>
      <c r="L1191" s="23" t="str">
        <f>IFERROR(__xludf.DUMMYFUNCTION("""COMPUTED_VALUE"""),"String;Stack;")</f>
        <v>String;Stack;</v>
      </c>
      <c r="M1191" s="23" t="b">
        <f>IFERROR(__xludf.DUMMYFUNCTION("""COMPUTED_VALUE"""),FALSE)</f>
        <v>0</v>
      </c>
      <c r="N1191" s="23" t="b">
        <f>IFERROR(__xludf.DUMMYFUNCTION("""COMPUTED_VALUE"""),FALSE)</f>
        <v>0</v>
      </c>
      <c r="O1191" s="23">
        <f>IFERROR(__xludf.DUMMYFUNCTION("""COMPUTED_VALUE"""),65.7001934763059)</f>
        <v>65.70019348</v>
      </c>
      <c r="P1191" s="23">
        <f>IFERROR(__xludf.DUMMYFUNCTION("""COMPUTED_VALUE"""),48220.0)</f>
        <v>48220</v>
      </c>
      <c r="Q1191" s="23">
        <f>IFERROR(__xludf.DUMMYFUNCTION("""COMPUTED_VALUE"""),73394.0)</f>
        <v>73394</v>
      </c>
    </row>
    <row r="1192">
      <c r="A1192" s="23">
        <f>IFERROR(__xludf.DUMMYFUNCTION("""COMPUTED_VALUE"""),1299.0)</f>
        <v>1299</v>
      </c>
      <c r="B1192" s="23" t="str">
        <f>IFERROR(__xludf.DUMMYFUNCTION("""COMPUTED_VALUE"""),"K-Concatenation Maximum Sum")</f>
        <v>K-Concatenation Maximum Sum</v>
      </c>
      <c r="C1192" s="23" t="str">
        <f>IFERROR(__xludf.DUMMYFUNCTION("""COMPUTED_VALUE"""),"k-concatenation-maximum-sum")</f>
        <v>k-concatenation-maximum-sum</v>
      </c>
      <c r="D1192" s="23" t="b">
        <f>IFERROR(__xludf.DUMMYFUNCTION("""COMPUTED_VALUE"""),FALSE)</f>
        <v>0</v>
      </c>
      <c r="E1192" s="23" t="str">
        <f>IFERROR(__xludf.DUMMYFUNCTION("""COMPUTED_VALUE"""),"Medium")</f>
        <v>Medium</v>
      </c>
      <c r="F1192" s="23">
        <f>IFERROR(__xludf.DUMMYFUNCTION("""COMPUTED_VALUE"""),896.0)</f>
        <v>896</v>
      </c>
      <c r="G1192" s="23">
        <f>IFERROR(__xludf.DUMMYFUNCTION("""COMPUTED_VALUE"""),86.0)</f>
        <v>86</v>
      </c>
      <c r="H1192" s="23" t="str">
        <f>IFERROR(__xludf.DUMMYFUNCTION("""COMPUTED_VALUE"""),"Algorithms")</f>
        <v>Algorithms</v>
      </c>
      <c r="I1192" s="23">
        <f>IFERROR(__xludf.DUMMYFUNCTION("""COMPUTED_VALUE"""),0.241)</f>
        <v>0.241</v>
      </c>
      <c r="J1192" s="23">
        <f>IFERROR(__xludf.DUMMYFUNCTION("""COMPUTED_VALUE"""),1191.0)</f>
        <v>1191</v>
      </c>
      <c r="K1192" s="23" t="b">
        <f>IFERROR(__xludf.DUMMYFUNCTION("""COMPUTED_VALUE"""),FALSE)</f>
        <v>0</v>
      </c>
      <c r="L1192" s="23" t="str">
        <f>IFERROR(__xludf.DUMMYFUNCTION("""COMPUTED_VALUE"""),"Array;Dynamic Programming;")</f>
        <v>Array;Dynamic Programming;</v>
      </c>
      <c r="M1192" s="23" t="b">
        <f>IFERROR(__xludf.DUMMYFUNCTION("""COMPUTED_VALUE"""),FALSE)</f>
        <v>0</v>
      </c>
      <c r="N1192" s="23" t="b">
        <f>IFERROR(__xludf.DUMMYFUNCTION("""COMPUTED_VALUE"""),FALSE)</f>
        <v>0</v>
      </c>
      <c r="O1192" s="23">
        <f>IFERROR(__xludf.DUMMYFUNCTION("""COMPUTED_VALUE"""),24.1207779933343)</f>
        <v>24.12077799</v>
      </c>
      <c r="P1192" s="23">
        <f>IFERROR(__xludf.DUMMYFUNCTION("""COMPUTED_VALUE"""),24245.0)</f>
        <v>24245</v>
      </c>
      <c r="Q1192" s="23">
        <f>IFERROR(__xludf.DUMMYFUNCTION("""COMPUTED_VALUE"""),100515.0)</f>
        <v>100515</v>
      </c>
    </row>
    <row r="1193">
      <c r="A1193" s="23">
        <f>IFERROR(__xludf.DUMMYFUNCTION("""COMPUTED_VALUE"""),1300.0)</f>
        <v>1300</v>
      </c>
      <c r="B1193" s="23" t="str">
        <f>IFERROR(__xludf.DUMMYFUNCTION("""COMPUTED_VALUE"""),"Critical Connections in a Network")</f>
        <v>Critical Connections in a Network</v>
      </c>
      <c r="C1193" s="23" t="str">
        <f>IFERROR(__xludf.DUMMYFUNCTION("""COMPUTED_VALUE"""),"critical-connections-in-a-network")</f>
        <v>critical-connections-in-a-network</v>
      </c>
      <c r="D1193" s="23" t="b">
        <f>IFERROR(__xludf.DUMMYFUNCTION("""COMPUTED_VALUE"""),FALSE)</f>
        <v>0</v>
      </c>
      <c r="E1193" s="23" t="str">
        <f>IFERROR(__xludf.DUMMYFUNCTION("""COMPUTED_VALUE"""),"Hard")</f>
        <v>Hard</v>
      </c>
      <c r="F1193" s="23">
        <f>IFERROR(__xludf.DUMMYFUNCTION("""COMPUTED_VALUE"""),3489.0)</f>
        <v>3489</v>
      </c>
      <c r="G1193" s="23">
        <f>IFERROR(__xludf.DUMMYFUNCTION("""COMPUTED_VALUE"""),140.0)</f>
        <v>140</v>
      </c>
      <c r="H1193" s="23" t="str">
        <f>IFERROR(__xludf.DUMMYFUNCTION("""COMPUTED_VALUE"""),"Algorithms")</f>
        <v>Algorithms</v>
      </c>
      <c r="I1193" s="23">
        <f>IFERROR(__xludf.DUMMYFUNCTION("""COMPUTED_VALUE"""),0.521)</f>
        <v>0.521</v>
      </c>
      <c r="J1193" s="23">
        <f>IFERROR(__xludf.DUMMYFUNCTION("""COMPUTED_VALUE"""),1192.0)</f>
        <v>1192</v>
      </c>
      <c r="K1193" s="23" t="b">
        <f>IFERROR(__xludf.DUMMYFUNCTION("""COMPUTED_VALUE"""),FALSE)</f>
        <v>0</v>
      </c>
      <c r="L1193" s="23" t="str">
        <f>IFERROR(__xludf.DUMMYFUNCTION("""COMPUTED_VALUE"""),"Depth-First Search;Graph;Biconnected Component;")</f>
        <v>Depth-First Search;Graph;Biconnected Component;</v>
      </c>
      <c r="M1193" s="23" t="b">
        <f>IFERROR(__xludf.DUMMYFUNCTION("""COMPUTED_VALUE"""),TRUE)</f>
        <v>1</v>
      </c>
      <c r="N1193" s="23" t="b">
        <f>IFERROR(__xludf.DUMMYFUNCTION("""COMPUTED_VALUE"""),FALSE)</f>
        <v>0</v>
      </c>
      <c r="O1193" s="23">
        <f>IFERROR(__xludf.DUMMYFUNCTION("""COMPUTED_VALUE"""),52.0650661286225)</f>
        <v>52.06506613</v>
      </c>
      <c r="P1193" s="23">
        <f>IFERROR(__xludf.DUMMYFUNCTION("""COMPUTED_VALUE"""),145537.0)</f>
        <v>145537</v>
      </c>
      <c r="Q1193" s="23">
        <f>IFERROR(__xludf.DUMMYFUNCTION("""COMPUTED_VALUE"""),279529.0)</f>
        <v>279529</v>
      </c>
    </row>
    <row r="1194">
      <c r="A1194" s="23">
        <f>IFERROR(__xludf.DUMMYFUNCTION("""COMPUTED_VALUE"""),1317.0)</f>
        <v>1317</v>
      </c>
      <c r="B1194" s="23" t="str">
        <f>IFERROR(__xludf.DUMMYFUNCTION("""COMPUTED_VALUE"""),"Monthly Transactions I")</f>
        <v>Monthly Transactions I</v>
      </c>
      <c r="C1194" s="23" t="str">
        <f>IFERROR(__xludf.DUMMYFUNCTION("""COMPUTED_VALUE"""),"monthly-transactions-i")</f>
        <v>monthly-transactions-i</v>
      </c>
      <c r="D1194" s="23" t="b">
        <f>IFERROR(__xludf.DUMMYFUNCTION("""COMPUTED_VALUE"""),TRUE)</f>
        <v>1</v>
      </c>
      <c r="E1194" s="23" t="str">
        <f>IFERROR(__xludf.DUMMYFUNCTION("""COMPUTED_VALUE"""),"Medium")</f>
        <v>Medium</v>
      </c>
      <c r="F1194" s="23">
        <f>IFERROR(__xludf.DUMMYFUNCTION("""COMPUTED_VALUE"""),110.0)</f>
        <v>110</v>
      </c>
      <c r="G1194" s="23">
        <f>IFERROR(__xludf.DUMMYFUNCTION("""COMPUTED_VALUE"""),20.0)</f>
        <v>20</v>
      </c>
      <c r="H1194" s="23" t="str">
        <f>IFERROR(__xludf.DUMMYFUNCTION("""COMPUTED_VALUE"""),"Database")</f>
        <v>Database</v>
      </c>
      <c r="I1194" s="23">
        <f>IFERROR(__xludf.DUMMYFUNCTION("""COMPUTED_VALUE"""),0.673)</f>
        <v>0.673</v>
      </c>
      <c r="J1194" s="23">
        <f>IFERROR(__xludf.DUMMYFUNCTION("""COMPUTED_VALUE"""),1193.0)</f>
        <v>1193</v>
      </c>
      <c r="K1194" s="23" t="b">
        <f>IFERROR(__xludf.DUMMYFUNCTION("""COMPUTED_VALUE"""),TRUE)</f>
        <v>1</v>
      </c>
      <c r="L1194" s="23" t="str">
        <f>IFERROR(__xludf.DUMMYFUNCTION("""COMPUTED_VALUE"""),"Database;")</f>
        <v>Database;</v>
      </c>
      <c r="M1194" s="23" t="b">
        <f>IFERROR(__xludf.DUMMYFUNCTION("""COMPUTED_VALUE"""),FALSE)</f>
        <v>0</v>
      </c>
      <c r="N1194" s="23" t="b">
        <f>IFERROR(__xludf.DUMMYFUNCTION("""COMPUTED_VALUE"""),FALSE)</f>
        <v>0</v>
      </c>
      <c r="O1194" s="23">
        <f>IFERROR(__xludf.DUMMYFUNCTION("""COMPUTED_VALUE"""),67.3370006312562)</f>
        <v>67.33700063</v>
      </c>
      <c r="P1194" s="23">
        <f>IFERROR(__xludf.DUMMYFUNCTION("""COMPUTED_VALUE"""),22401.0)</f>
        <v>22401</v>
      </c>
      <c r="Q1194" s="23">
        <f>IFERROR(__xludf.DUMMYFUNCTION("""COMPUTED_VALUE"""),33267.0)</f>
        <v>33267</v>
      </c>
    </row>
    <row r="1195">
      <c r="A1195" s="23">
        <f>IFERROR(__xludf.DUMMYFUNCTION("""COMPUTED_VALUE"""),1318.0)</f>
        <v>1318</v>
      </c>
      <c r="B1195" s="23" t="str">
        <f>IFERROR(__xludf.DUMMYFUNCTION("""COMPUTED_VALUE"""),"Tournament Winners")</f>
        <v>Tournament Winners</v>
      </c>
      <c r="C1195" s="23" t="str">
        <f>IFERROR(__xludf.DUMMYFUNCTION("""COMPUTED_VALUE"""),"tournament-winners")</f>
        <v>tournament-winners</v>
      </c>
      <c r="D1195" s="23" t="b">
        <f>IFERROR(__xludf.DUMMYFUNCTION("""COMPUTED_VALUE"""),TRUE)</f>
        <v>1</v>
      </c>
      <c r="E1195" s="23" t="str">
        <f>IFERROR(__xludf.DUMMYFUNCTION("""COMPUTED_VALUE"""),"Hard")</f>
        <v>Hard</v>
      </c>
      <c r="F1195" s="23">
        <f>IFERROR(__xludf.DUMMYFUNCTION("""COMPUTED_VALUE"""),93.0)</f>
        <v>93</v>
      </c>
      <c r="G1195" s="23">
        <f>IFERROR(__xludf.DUMMYFUNCTION("""COMPUTED_VALUE"""),43.0)</f>
        <v>43</v>
      </c>
      <c r="H1195" s="23" t="str">
        <f>IFERROR(__xludf.DUMMYFUNCTION("""COMPUTED_VALUE"""),"Database")</f>
        <v>Database</v>
      </c>
      <c r="I1195" s="23">
        <f>IFERROR(__xludf.DUMMYFUNCTION("""COMPUTED_VALUE"""),0.52)</f>
        <v>0.52</v>
      </c>
      <c r="J1195" s="23">
        <f>IFERROR(__xludf.DUMMYFUNCTION("""COMPUTED_VALUE"""),1194.0)</f>
        <v>1194</v>
      </c>
      <c r="K1195" s="23" t="b">
        <f>IFERROR(__xludf.DUMMYFUNCTION("""COMPUTED_VALUE"""),TRUE)</f>
        <v>1</v>
      </c>
      <c r="L1195" s="23" t="str">
        <f>IFERROR(__xludf.DUMMYFUNCTION("""COMPUTED_VALUE"""),"Database;")</f>
        <v>Database;</v>
      </c>
      <c r="M1195" s="23" t="b">
        <f>IFERROR(__xludf.DUMMYFUNCTION("""COMPUTED_VALUE"""),FALSE)</f>
        <v>0</v>
      </c>
      <c r="N1195" s="23" t="b">
        <f>IFERROR(__xludf.DUMMYFUNCTION("""COMPUTED_VALUE"""),FALSE)</f>
        <v>0</v>
      </c>
      <c r="O1195" s="23">
        <f>IFERROR(__xludf.DUMMYFUNCTION("""COMPUTED_VALUE"""),51.9880597014925)</f>
        <v>51.9880597</v>
      </c>
      <c r="P1195" s="23">
        <f>IFERROR(__xludf.DUMMYFUNCTION("""COMPUTED_VALUE"""),13062.0)</f>
        <v>13062</v>
      </c>
      <c r="Q1195" s="23">
        <f>IFERROR(__xludf.DUMMYFUNCTION("""COMPUTED_VALUE"""),25125.0)</f>
        <v>25125</v>
      </c>
    </row>
    <row r="1196">
      <c r="A1196" s="23">
        <f>IFERROR(__xludf.DUMMYFUNCTION("""COMPUTED_VALUE"""),1316.0)</f>
        <v>1316</v>
      </c>
      <c r="B1196" s="23" t="str">
        <f>IFERROR(__xludf.DUMMYFUNCTION("""COMPUTED_VALUE"""),"Fizz Buzz Multithreaded")</f>
        <v>Fizz Buzz Multithreaded</v>
      </c>
      <c r="C1196" s="23" t="str">
        <f>IFERROR(__xludf.DUMMYFUNCTION("""COMPUTED_VALUE"""),"fizz-buzz-multithreaded")</f>
        <v>fizz-buzz-multithreaded</v>
      </c>
      <c r="D1196" s="23" t="b">
        <f>IFERROR(__xludf.DUMMYFUNCTION("""COMPUTED_VALUE"""),FALSE)</f>
        <v>0</v>
      </c>
      <c r="E1196" s="23" t="str">
        <f>IFERROR(__xludf.DUMMYFUNCTION("""COMPUTED_VALUE"""),"Medium")</f>
        <v>Medium</v>
      </c>
      <c r="F1196" s="23">
        <f>IFERROR(__xludf.DUMMYFUNCTION("""COMPUTED_VALUE"""),353.0)</f>
        <v>353</v>
      </c>
      <c r="G1196" s="23">
        <f>IFERROR(__xludf.DUMMYFUNCTION("""COMPUTED_VALUE"""),272.0)</f>
        <v>272</v>
      </c>
      <c r="H1196" s="23" t="str">
        <f>IFERROR(__xludf.DUMMYFUNCTION("""COMPUTED_VALUE"""),"Concurrency")</f>
        <v>Concurrency</v>
      </c>
      <c r="I1196" s="23">
        <f>IFERROR(__xludf.DUMMYFUNCTION("""COMPUTED_VALUE"""),0.722)</f>
        <v>0.722</v>
      </c>
      <c r="J1196" s="23">
        <f>IFERROR(__xludf.DUMMYFUNCTION("""COMPUTED_VALUE"""),1195.0)</f>
        <v>1195</v>
      </c>
      <c r="K1196" s="23" t="b">
        <f>IFERROR(__xludf.DUMMYFUNCTION("""COMPUTED_VALUE"""),FALSE)</f>
        <v>0</v>
      </c>
      <c r="L1196" s="23" t="str">
        <f>IFERROR(__xludf.DUMMYFUNCTION("""COMPUTED_VALUE"""),"Concurrency;")</f>
        <v>Concurrency;</v>
      </c>
      <c r="M1196" s="23" t="b">
        <f>IFERROR(__xludf.DUMMYFUNCTION("""COMPUTED_VALUE"""),FALSE)</f>
        <v>0</v>
      </c>
      <c r="N1196" s="23" t="b">
        <f>IFERROR(__xludf.DUMMYFUNCTION("""COMPUTED_VALUE"""),FALSE)</f>
        <v>0</v>
      </c>
      <c r="O1196" s="23">
        <f>IFERROR(__xludf.DUMMYFUNCTION("""COMPUTED_VALUE"""),72.1693502752199)</f>
        <v>72.16935028</v>
      </c>
      <c r="P1196" s="23">
        <f>IFERROR(__xludf.DUMMYFUNCTION("""COMPUTED_VALUE"""),28058.0)</f>
        <v>28058</v>
      </c>
      <c r="Q1196" s="23">
        <f>IFERROR(__xludf.DUMMYFUNCTION("""COMPUTED_VALUE"""),38878.0)</f>
        <v>38878</v>
      </c>
    </row>
    <row r="1197">
      <c r="A1197" s="23">
        <f>IFERROR(__xludf.DUMMYFUNCTION("""COMPUTED_VALUE"""),1141.0)</f>
        <v>1141</v>
      </c>
      <c r="B1197" s="23" t="str">
        <f>IFERROR(__xludf.DUMMYFUNCTION("""COMPUTED_VALUE"""),"How Many Apples Can You Put into the Basket")</f>
        <v>How Many Apples Can You Put into the Basket</v>
      </c>
      <c r="C1197" s="23" t="str">
        <f>IFERROR(__xludf.DUMMYFUNCTION("""COMPUTED_VALUE"""),"how-many-apples-can-you-put-into-the-basket")</f>
        <v>how-many-apples-can-you-put-into-the-basket</v>
      </c>
      <c r="D1197" s="23" t="b">
        <f>IFERROR(__xludf.DUMMYFUNCTION("""COMPUTED_VALUE"""),TRUE)</f>
        <v>1</v>
      </c>
      <c r="E1197" s="23" t="str">
        <f>IFERROR(__xludf.DUMMYFUNCTION("""COMPUTED_VALUE"""),"Easy")</f>
        <v>Easy</v>
      </c>
      <c r="F1197" s="23">
        <f>IFERROR(__xludf.DUMMYFUNCTION("""COMPUTED_VALUE"""),152.0)</f>
        <v>152</v>
      </c>
      <c r="G1197" s="23">
        <f>IFERROR(__xludf.DUMMYFUNCTION("""COMPUTED_VALUE"""),13.0)</f>
        <v>13</v>
      </c>
      <c r="H1197" s="23" t="str">
        <f>IFERROR(__xludf.DUMMYFUNCTION("""COMPUTED_VALUE"""),"Algorithms")</f>
        <v>Algorithms</v>
      </c>
      <c r="I1197" s="23">
        <f>IFERROR(__xludf.DUMMYFUNCTION("""COMPUTED_VALUE"""),0.674)</f>
        <v>0.674</v>
      </c>
      <c r="J1197" s="23">
        <f>IFERROR(__xludf.DUMMYFUNCTION("""COMPUTED_VALUE"""),1196.0)</f>
        <v>1196</v>
      </c>
      <c r="K1197" s="23" t="b">
        <f>IFERROR(__xludf.DUMMYFUNCTION("""COMPUTED_VALUE"""),TRUE)</f>
        <v>1</v>
      </c>
      <c r="L1197" s="23" t="str">
        <f>IFERROR(__xludf.DUMMYFUNCTION("""COMPUTED_VALUE"""),"Array;Greedy;Sorting;")</f>
        <v>Array;Greedy;Sorting;</v>
      </c>
      <c r="M1197" s="23" t="b">
        <f>IFERROR(__xludf.DUMMYFUNCTION("""COMPUTED_VALUE"""),TRUE)</f>
        <v>1</v>
      </c>
      <c r="N1197" s="23" t="b">
        <f>IFERROR(__xludf.DUMMYFUNCTION("""COMPUTED_VALUE"""),FALSE)</f>
        <v>0</v>
      </c>
      <c r="O1197" s="23">
        <f>IFERROR(__xludf.DUMMYFUNCTION("""COMPUTED_VALUE"""),67.3662973843485)</f>
        <v>67.36629738</v>
      </c>
      <c r="P1197" s="23">
        <f>IFERROR(__xludf.DUMMYFUNCTION("""COMPUTED_VALUE"""),19033.0)</f>
        <v>19033</v>
      </c>
      <c r="Q1197" s="23">
        <f>IFERROR(__xludf.DUMMYFUNCTION("""COMPUTED_VALUE"""),28253.0)</f>
        <v>28253</v>
      </c>
    </row>
    <row r="1198">
      <c r="A1198" s="23">
        <f>IFERROR(__xludf.DUMMYFUNCTION("""COMPUTED_VALUE"""),1142.0)</f>
        <v>1142</v>
      </c>
      <c r="B1198" s="23" t="str">
        <f>IFERROR(__xludf.DUMMYFUNCTION("""COMPUTED_VALUE"""),"Minimum Knight Moves")</f>
        <v>Minimum Knight Moves</v>
      </c>
      <c r="C1198" s="23" t="str">
        <f>IFERROR(__xludf.DUMMYFUNCTION("""COMPUTED_VALUE"""),"minimum-knight-moves")</f>
        <v>minimum-knight-moves</v>
      </c>
      <c r="D1198" s="23" t="b">
        <f>IFERROR(__xludf.DUMMYFUNCTION("""COMPUTED_VALUE"""),TRUE)</f>
        <v>1</v>
      </c>
      <c r="E1198" s="23" t="str">
        <f>IFERROR(__xludf.DUMMYFUNCTION("""COMPUTED_VALUE"""),"Medium")</f>
        <v>Medium</v>
      </c>
      <c r="F1198" s="23">
        <f>IFERROR(__xludf.DUMMYFUNCTION("""COMPUTED_VALUE"""),1104.0)</f>
        <v>1104</v>
      </c>
      <c r="G1198" s="23">
        <f>IFERROR(__xludf.DUMMYFUNCTION("""COMPUTED_VALUE"""),335.0)</f>
        <v>335</v>
      </c>
      <c r="H1198" s="23" t="str">
        <f>IFERROR(__xludf.DUMMYFUNCTION("""COMPUTED_VALUE"""),"Algorithms")</f>
        <v>Algorithms</v>
      </c>
      <c r="I1198" s="23">
        <f>IFERROR(__xludf.DUMMYFUNCTION("""COMPUTED_VALUE"""),0.396)</f>
        <v>0.396</v>
      </c>
      <c r="J1198" s="23">
        <f>IFERROR(__xludf.DUMMYFUNCTION("""COMPUTED_VALUE"""),1197.0)</f>
        <v>1197</v>
      </c>
      <c r="K1198" s="23" t="b">
        <f>IFERROR(__xludf.DUMMYFUNCTION("""COMPUTED_VALUE"""),TRUE)</f>
        <v>1</v>
      </c>
      <c r="L1198" s="23" t="str">
        <f>IFERROR(__xludf.DUMMYFUNCTION("""COMPUTED_VALUE"""),"Breadth-First Search;")</f>
        <v>Breadth-First Search;</v>
      </c>
      <c r="M1198" s="23" t="b">
        <f>IFERROR(__xludf.DUMMYFUNCTION("""COMPUTED_VALUE"""),TRUE)</f>
        <v>1</v>
      </c>
      <c r="N1198" s="23" t="b">
        <f>IFERROR(__xludf.DUMMYFUNCTION("""COMPUTED_VALUE"""),FALSE)</f>
        <v>0</v>
      </c>
      <c r="O1198" s="23">
        <f>IFERROR(__xludf.DUMMYFUNCTION("""COMPUTED_VALUE"""),39.6154563318464)</f>
        <v>39.61545633</v>
      </c>
      <c r="P1198" s="23">
        <f>IFERROR(__xludf.DUMMYFUNCTION("""COMPUTED_VALUE"""),110478.0)</f>
        <v>110478</v>
      </c>
      <c r="Q1198" s="23">
        <f>IFERROR(__xludf.DUMMYFUNCTION("""COMPUTED_VALUE"""),278876.0)</f>
        <v>278876</v>
      </c>
    </row>
    <row r="1199">
      <c r="A1199" s="23">
        <f>IFERROR(__xludf.DUMMYFUNCTION("""COMPUTED_VALUE"""),1143.0)</f>
        <v>1143</v>
      </c>
      <c r="B1199" s="23" t="str">
        <f>IFERROR(__xludf.DUMMYFUNCTION("""COMPUTED_VALUE"""),"Find Smallest Common Element in All Rows")</f>
        <v>Find Smallest Common Element in All Rows</v>
      </c>
      <c r="C1199" s="23" t="str">
        <f>IFERROR(__xludf.DUMMYFUNCTION("""COMPUTED_VALUE"""),"find-smallest-common-element-in-all-rows")</f>
        <v>find-smallest-common-element-in-all-rows</v>
      </c>
      <c r="D1199" s="23" t="b">
        <f>IFERROR(__xludf.DUMMYFUNCTION("""COMPUTED_VALUE"""),TRUE)</f>
        <v>1</v>
      </c>
      <c r="E1199" s="23" t="str">
        <f>IFERROR(__xludf.DUMMYFUNCTION("""COMPUTED_VALUE"""),"Medium")</f>
        <v>Medium</v>
      </c>
      <c r="F1199" s="23">
        <f>IFERROR(__xludf.DUMMYFUNCTION("""COMPUTED_VALUE"""),363.0)</f>
        <v>363</v>
      </c>
      <c r="G1199" s="23">
        <f>IFERROR(__xludf.DUMMYFUNCTION("""COMPUTED_VALUE"""),25.0)</f>
        <v>25</v>
      </c>
      <c r="H1199" s="23" t="str">
        <f>IFERROR(__xludf.DUMMYFUNCTION("""COMPUTED_VALUE"""),"Algorithms")</f>
        <v>Algorithms</v>
      </c>
      <c r="I1199" s="23">
        <f>IFERROR(__xludf.DUMMYFUNCTION("""COMPUTED_VALUE"""),0.759)</f>
        <v>0.759</v>
      </c>
      <c r="J1199" s="23">
        <f>IFERROR(__xludf.DUMMYFUNCTION("""COMPUTED_VALUE"""),1198.0)</f>
        <v>1198</v>
      </c>
      <c r="K1199" s="23" t="b">
        <f>IFERROR(__xludf.DUMMYFUNCTION("""COMPUTED_VALUE"""),TRUE)</f>
        <v>1</v>
      </c>
      <c r="L1199" s="23" t="str">
        <f>IFERROR(__xludf.DUMMYFUNCTION("""COMPUTED_VALUE"""),"Array;Hash Table;Binary Search;Matrix;Counting;")</f>
        <v>Array;Hash Table;Binary Search;Matrix;Counting;</v>
      </c>
      <c r="M1199" s="23" t="b">
        <f>IFERROR(__xludf.DUMMYFUNCTION("""COMPUTED_VALUE"""),TRUE)</f>
        <v>1</v>
      </c>
      <c r="N1199" s="23" t="b">
        <f>IFERROR(__xludf.DUMMYFUNCTION("""COMPUTED_VALUE"""),TRUE)</f>
        <v>1</v>
      </c>
      <c r="O1199" s="23">
        <f>IFERROR(__xludf.DUMMYFUNCTION("""COMPUTED_VALUE"""),75.9127138955465)</f>
        <v>75.9127139</v>
      </c>
      <c r="P1199" s="23">
        <f>IFERROR(__xludf.DUMMYFUNCTION("""COMPUTED_VALUE"""),27239.0)</f>
        <v>27239</v>
      </c>
      <c r="Q1199" s="23">
        <f>IFERROR(__xludf.DUMMYFUNCTION("""COMPUTED_VALUE"""),35882.0)</f>
        <v>35882</v>
      </c>
    </row>
    <row r="1200">
      <c r="A1200" s="23">
        <f>IFERROR(__xludf.DUMMYFUNCTION("""COMPUTED_VALUE"""),1167.0)</f>
        <v>1167</v>
      </c>
      <c r="B1200" s="23" t="str">
        <f>IFERROR(__xludf.DUMMYFUNCTION("""COMPUTED_VALUE"""),"Minimum Time to Build Blocks")</f>
        <v>Minimum Time to Build Blocks</v>
      </c>
      <c r="C1200" s="23" t="str">
        <f>IFERROR(__xludf.DUMMYFUNCTION("""COMPUTED_VALUE"""),"minimum-time-to-build-blocks")</f>
        <v>minimum-time-to-build-blocks</v>
      </c>
      <c r="D1200" s="23" t="b">
        <f>IFERROR(__xludf.DUMMYFUNCTION("""COMPUTED_VALUE"""),TRUE)</f>
        <v>1</v>
      </c>
      <c r="E1200" s="23" t="str">
        <f>IFERROR(__xludf.DUMMYFUNCTION("""COMPUTED_VALUE"""),"Hard")</f>
        <v>Hard</v>
      </c>
      <c r="F1200" s="23">
        <f>IFERROR(__xludf.DUMMYFUNCTION("""COMPUTED_VALUE"""),145.0)</f>
        <v>145</v>
      </c>
      <c r="G1200" s="23">
        <f>IFERROR(__xludf.DUMMYFUNCTION("""COMPUTED_VALUE"""),19.0)</f>
        <v>19</v>
      </c>
      <c r="H1200" s="23" t="str">
        <f>IFERROR(__xludf.DUMMYFUNCTION("""COMPUTED_VALUE"""),"Algorithms")</f>
        <v>Algorithms</v>
      </c>
      <c r="I1200" s="23">
        <f>IFERROR(__xludf.DUMMYFUNCTION("""COMPUTED_VALUE"""),0.404)</f>
        <v>0.404</v>
      </c>
      <c r="J1200" s="23">
        <f>IFERROR(__xludf.DUMMYFUNCTION("""COMPUTED_VALUE"""),1199.0)</f>
        <v>1199</v>
      </c>
      <c r="K1200" s="23" t="b">
        <f>IFERROR(__xludf.DUMMYFUNCTION("""COMPUTED_VALUE"""),TRUE)</f>
        <v>1</v>
      </c>
      <c r="L1200" s="23" t="str">
        <f>IFERROR(__xludf.DUMMYFUNCTION("""COMPUTED_VALUE"""),"Math;Greedy;Heap (Priority Queue);")</f>
        <v>Math;Greedy;Heap (Priority Queue);</v>
      </c>
      <c r="M1200" s="23" t="b">
        <f>IFERROR(__xludf.DUMMYFUNCTION("""COMPUTED_VALUE"""),FALSE)</f>
        <v>0</v>
      </c>
      <c r="N1200" s="23" t="b">
        <f>IFERROR(__xludf.DUMMYFUNCTION("""COMPUTED_VALUE"""),FALSE)</f>
        <v>0</v>
      </c>
      <c r="O1200" s="23">
        <f>IFERROR(__xludf.DUMMYFUNCTION("""COMPUTED_VALUE"""),40.3864503816793)</f>
        <v>40.38645038</v>
      </c>
      <c r="P1200" s="23">
        <f>IFERROR(__xludf.DUMMYFUNCTION("""COMPUTED_VALUE"""),3386.0)</f>
        <v>3386</v>
      </c>
      <c r="Q1200" s="23">
        <f>IFERROR(__xludf.DUMMYFUNCTION("""COMPUTED_VALUE"""),8384.0)</f>
        <v>8384</v>
      </c>
    </row>
    <row r="1201">
      <c r="A1201" s="23">
        <f>IFERROR(__xludf.DUMMYFUNCTION("""COMPUTED_VALUE"""),1306.0)</f>
        <v>1306</v>
      </c>
      <c r="B1201" s="23" t="str">
        <f>IFERROR(__xludf.DUMMYFUNCTION("""COMPUTED_VALUE"""),"Minimum Absolute Difference")</f>
        <v>Minimum Absolute Difference</v>
      </c>
      <c r="C1201" s="23" t="str">
        <f>IFERROR(__xludf.DUMMYFUNCTION("""COMPUTED_VALUE"""),"minimum-absolute-difference")</f>
        <v>minimum-absolute-difference</v>
      </c>
      <c r="D1201" s="23" t="b">
        <f>IFERROR(__xludf.DUMMYFUNCTION("""COMPUTED_VALUE"""),FALSE)</f>
        <v>0</v>
      </c>
      <c r="E1201" s="23" t="str">
        <f>IFERROR(__xludf.DUMMYFUNCTION("""COMPUTED_VALUE"""),"Easy")</f>
        <v>Easy</v>
      </c>
      <c r="F1201" s="23">
        <f>IFERROR(__xludf.DUMMYFUNCTION("""COMPUTED_VALUE"""),1486.0)</f>
        <v>1486</v>
      </c>
      <c r="G1201" s="23">
        <f>IFERROR(__xludf.DUMMYFUNCTION("""COMPUTED_VALUE"""),58.0)</f>
        <v>58</v>
      </c>
      <c r="H1201" s="23" t="str">
        <f>IFERROR(__xludf.DUMMYFUNCTION("""COMPUTED_VALUE"""),"Algorithms")</f>
        <v>Algorithms</v>
      </c>
      <c r="I1201" s="23">
        <f>IFERROR(__xludf.DUMMYFUNCTION("""COMPUTED_VALUE"""),0.698)</f>
        <v>0.698</v>
      </c>
      <c r="J1201" s="23">
        <f>IFERROR(__xludf.DUMMYFUNCTION("""COMPUTED_VALUE"""),1200.0)</f>
        <v>1200</v>
      </c>
      <c r="K1201" s="23" t="b">
        <f>IFERROR(__xludf.DUMMYFUNCTION("""COMPUTED_VALUE"""),FALSE)</f>
        <v>0</v>
      </c>
      <c r="L1201" s="23" t="str">
        <f>IFERROR(__xludf.DUMMYFUNCTION("""COMPUTED_VALUE"""),"Array;Sorting;")</f>
        <v>Array;Sorting;</v>
      </c>
      <c r="M1201" s="23" t="b">
        <f>IFERROR(__xludf.DUMMYFUNCTION("""COMPUTED_VALUE"""),TRUE)</f>
        <v>1</v>
      </c>
      <c r="N1201" s="23" t="b">
        <f>IFERROR(__xludf.DUMMYFUNCTION("""COMPUTED_VALUE"""),FALSE)</f>
        <v>0</v>
      </c>
      <c r="O1201" s="23">
        <f>IFERROR(__xludf.DUMMYFUNCTION("""COMPUTED_VALUE"""),69.8469548202243)</f>
        <v>69.84695482</v>
      </c>
      <c r="P1201" s="23">
        <f>IFERROR(__xludf.DUMMYFUNCTION("""COMPUTED_VALUE"""),119934.0)</f>
        <v>119934</v>
      </c>
      <c r="Q1201" s="23">
        <f>IFERROR(__xludf.DUMMYFUNCTION("""COMPUTED_VALUE"""),171711.0)</f>
        <v>171711</v>
      </c>
    </row>
    <row r="1202">
      <c r="A1202" s="23">
        <f>IFERROR(__xludf.DUMMYFUNCTION("""COMPUTED_VALUE"""),1307.0)</f>
        <v>1307</v>
      </c>
      <c r="B1202" s="23" t="str">
        <f>IFERROR(__xludf.DUMMYFUNCTION("""COMPUTED_VALUE"""),"Ugly Number III")</f>
        <v>Ugly Number III</v>
      </c>
      <c r="C1202" s="23" t="str">
        <f>IFERROR(__xludf.DUMMYFUNCTION("""COMPUTED_VALUE"""),"ugly-number-iii")</f>
        <v>ugly-number-iii</v>
      </c>
      <c r="D1202" s="23" t="b">
        <f>IFERROR(__xludf.DUMMYFUNCTION("""COMPUTED_VALUE"""),FALSE)</f>
        <v>0</v>
      </c>
      <c r="E1202" s="23" t="str">
        <f>IFERROR(__xludf.DUMMYFUNCTION("""COMPUTED_VALUE"""),"Medium")</f>
        <v>Medium</v>
      </c>
      <c r="F1202" s="23">
        <f>IFERROR(__xludf.DUMMYFUNCTION("""COMPUTED_VALUE"""),759.0)</f>
        <v>759</v>
      </c>
      <c r="G1202" s="23">
        <f>IFERROR(__xludf.DUMMYFUNCTION("""COMPUTED_VALUE"""),397.0)</f>
        <v>397</v>
      </c>
      <c r="H1202" s="23" t="str">
        <f>IFERROR(__xludf.DUMMYFUNCTION("""COMPUTED_VALUE"""),"Algorithms")</f>
        <v>Algorithms</v>
      </c>
      <c r="I1202" s="23">
        <f>IFERROR(__xludf.DUMMYFUNCTION("""COMPUTED_VALUE"""),0.28)</f>
        <v>0.28</v>
      </c>
      <c r="J1202" s="23">
        <f>IFERROR(__xludf.DUMMYFUNCTION("""COMPUTED_VALUE"""),1201.0)</f>
        <v>1201</v>
      </c>
      <c r="K1202" s="23" t="b">
        <f>IFERROR(__xludf.DUMMYFUNCTION("""COMPUTED_VALUE"""),FALSE)</f>
        <v>0</v>
      </c>
      <c r="L1202" s="23" t="str">
        <f>IFERROR(__xludf.DUMMYFUNCTION("""COMPUTED_VALUE"""),"Math;Binary Search;Number Theory;")</f>
        <v>Math;Binary Search;Number Theory;</v>
      </c>
      <c r="M1202" s="23" t="b">
        <f>IFERROR(__xludf.DUMMYFUNCTION("""COMPUTED_VALUE"""),FALSE)</f>
        <v>0</v>
      </c>
      <c r="N1202" s="23" t="b">
        <f>IFERROR(__xludf.DUMMYFUNCTION("""COMPUTED_VALUE"""),FALSE)</f>
        <v>0</v>
      </c>
      <c r="O1202" s="23">
        <f>IFERROR(__xludf.DUMMYFUNCTION("""COMPUTED_VALUE"""),27.9580692621095)</f>
        <v>27.95806926</v>
      </c>
      <c r="P1202" s="23">
        <f>IFERROR(__xludf.DUMMYFUNCTION("""COMPUTED_VALUE"""),19763.0)</f>
        <v>19763</v>
      </c>
      <c r="Q1202" s="23">
        <f>IFERROR(__xludf.DUMMYFUNCTION("""COMPUTED_VALUE"""),70688.0)</f>
        <v>70688</v>
      </c>
    </row>
    <row r="1203">
      <c r="A1203" s="23">
        <f>IFERROR(__xludf.DUMMYFUNCTION("""COMPUTED_VALUE"""),1308.0)</f>
        <v>1308</v>
      </c>
      <c r="B1203" s="23" t="str">
        <f>IFERROR(__xludf.DUMMYFUNCTION("""COMPUTED_VALUE"""),"Smallest String With Swaps")</f>
        <v>Smallest String With Swaps</v>
      </c>
      <c r="C1203" s="23" t="str">
        <f>IFERROR(__xludf.DUMMYFUNCTION("""COMPUTED_VALUE"""),"smallest-string-with-swaps")</f>
        <v>smallest-string-with-swaps</v>
      </c>
      <c r="D1203" s="23" t="b">
        <f>IFERROR(__xludf.DUMMYFUNCTION("""COMPUTED_VALUE"""),FALSE)</f>
        <v>0</v>
      </c>
      <c r="E1203" s="23" t="str">
        <f>IFERROR(__xludf.DUMMYFUNCTION("""COMPUTED_VALUE"""),"Medium")</f>
        <v>Medium</v>
      </c>
      <c r="F1203" s="23">
        <f>IFERROR(__xludf.DUMMYFUNCTION("""COMPUTED_VALUE"""),2652.0)</f>
        <v>2652</v>
      </c>
      <c r="G1203" s="23">
        <f>IFERROR(__xludf.DUMMYFUNCTION("""COMPUTED_VALUE"""),88.0)</f>
        <v>88</v>
      </c>
      <c r="H1203" s="23" t="str">
        <f>IFERROR(__xludf.DUMMYFUNCTION("""COMPUTED_VALUE"""),"Algorithms")</f>
        <v>Algorithms</v>
      </c>
      <c r="I1203" s="23">
        <f>IFERROR(__xludf.DUMMYFUNCTION("""COMPUTED_VALUE"""),0.571)</f>
        <v>0.571</v>
      </c>
      <c r="J1203" s="23">
        <f>IFERROR(__xludf.DUMMYFUNCTION("""COMPUTED_VALUE"""),1202.0)</f>
        <v>1202</v>
      </c>
      <c r="K1203" s="23" t="b">
        <f>IFERROR(__xludf.DUMMYFUNCTION("""COMPUTED_VALUE"""),FALSE)</f>
        <v>0</v>
      </c>
      <c r="L1203" s="23" t="str">
        <f>IFERROR(__xludf.DUMMYFUNCTION("""COMPUTED_VALUE"""),"Hash Table;String;Depth-First Search;Breadth-First Search;Union Find;")</f>
        <v>Hash Table;String;Depth-First Search;Breadth-First Search;Union Find;</v>
      </c>
      <c r="M1203" s="23" t="b">
        <f>IFERROR(__xludf.DUMMYFUNCTION("""COMPUTED_VALUE"""),TRUE)</f>
        <v>1</v>
      </c>
      <c r="N1203" s="23" t="b">
        <f>IFERROR(__xludf.DUMMYFUNCTION("""COMPUTED_VALUE"""),FALSE)</f>
        <v>0</v>
      </c>
      <c r="O1203" s="23">
        <f>IFERROR(__xludf.DUMMYFUNCTION("""COMPUTED_VALUE"""),57.0767275807817)</f>
        <v>57.07672758</v>
      </c>
      <c r="P1203" s="23">
        <f>IFERROR(__xludf.DUMMYFUNCTION("""COMPUTED_VALUE"""),75449.0)</f>
        <v>75449</v>
      </c>
      <c r="Q1203" s="23">
        <f>IFERROR(__xludf.DUMMYFUNCTION("""COMPUTED_VALUE"""),132178.0)</f>
        <v>132178</v>
      </c>
    </row>
    <row r="1204">
      <c r="A1204" s="23">
        <f>IFERROR(__xludf.DUMMYFUNCTION("""COMPUTED_VALUE"""),1309.0)</f>
        <v>1309</v>
      </c>
      <c r="B1204" s="23" t="str">
        <f>IFERROR(__xludf.DUMMYFUNCTION("""COMPUTED_VALUE"""),"Sort Items by Groups Respecting Dependencies")</f>
        <v>Sort Items by Groups Respecting Dependencies</v>
      </c>
      <c r="C1204" s="23" t="str">
        <f>IFERROR(__xludf.DUMMYFUNCTION("""COMPUTED_VALUE"""),"sort-items-by-groups-respecting-dependencies")</f>
        <v>sort-items-by-groups-respecting-dependencies</v>
      </c>
      <c r="D1204" s="23" t="b">
        <f>IFERROR(__xludf.DUMMYFUNCTION("""COMPUTED_VALUE"""),FALSE)</f>
        <v>0</v>
      </c>
      <c r="E1204" s="23" t="str">
        <f>IFERROR(__xludf.DUMMYFUNCTION("""COMPUTED_VALUE"""),"Hard")</f>
        <v>Hard</v>
      </c>
      <c r="F1204" s="23">
        <f>IFERROR(__xludf.DUMMYFUNCTION("""COMPUTED_VALUE"""),584.0)</f>
        <v>584</v>
      </c>
      <c r="G1204" s="23">
        <f>IFERROR(__xludf.DUMMYFUNCTION("""COMPUTED_VALUE"""),85.0)</f>
        <v>85</v>
      </c>
      <c r="H1204" s="23" t="str">
        <f>IFERROR(__xludf.DUMMYFUNCTION("""COMPUTED_VALUE"""),"Algorithms")</f>
        <v>Algorithms</v>
      </c>
      <c r="I1204" s="23">
        <f>IFERROR(__xludf.DUMMYFUNCTION("""COMPUTED_VALUE"""),0.495)</f>
        <v>0.495</v>
      </c>
      <c r="J1204" s="23">
        <f>IFERROR(__xludf.DUMMYFUNCTION("""COMPUTED_VALUE"""),1203.0)</f>
        <v>1203</v>
      </c>
      <c r="K1204" s="23" t="b">
        <f>IFERROR(__xludf.DUMMYFUNCTION("""COMPUTED_VALUE"""),FALSE)</f>
        <v>0</v>
      </c>
      <c r="L1204" s="23" t="str">
        <f>IFERROR(__xludf.DUMMYFUNCTION("""COMPUTED_VALUE"""),"Depth-First Search;Breadth-First Search;Graph;Topological Sort;")</f>
        <v>Depth-First Search;Breadth-First Search;Graph;Topological Sort;</v>
      </c>
      <c r="M1204" s="23" t="b">
        <f>IFERROR(__xludf.DUMMYFUNCTION("""COMPUTED_VALUE"""),FALSE)</f>
        <v>0</v>
      </c>
      <c r="N1204" s="23" t="b">
        <f>IFERROR(__xludf.DUMMYFUNCTION("""COMPUTED_VALUE"""),FALSE)</f>
        <v>0</v>
      </c>
      <c r="O1204" s="23">
        <f>IFERROR(__xludf.DUMMYFUNCTION("""COMPUTED_VALUE"""),49.5079516671511)</f>
        <v>49.50795167</v>
      </c>
      <c r="P1204" s="23">
        <f>IFERROR(__xludf.DUMMYFUNCTION("""COMPUTED_VALUE"""),11923.0)</f>
        <v>11923</v>
      </c>
      <c r="Q1204" s="23">
        <f>IFERROR(__xludf.DUMMYFUNCTION("""COMPUTED_VALUE"""),24083.0)</f>
        <v>24083</v>
      </c>
    </row>
    <row r="1205">
      <c r="A1205" s="23">
        <f>IFERROR(__xludf.DUMMYFUNCTION("""COMPUTED_VALUE"""),1327.0)</f>
        <v>1327</v>
      </c>
      <c r="B1205" s="23" t="str">
        <f>IFERROR(__xludf.DUMMYFUNCTION("""COMPUTED_VALUE"""),"Last Person to Fit in the Bus")</f>
        <v>Last Person to Fit in the Bus</v>
      </c>
      <c r="C1205" s="23" t="str">
        <f>IFERROR(__xludf.DUMMYFUNCTION("""COMPUTED_VALUE"""),"last-person-to-fit-in-the-bus")</f>
        <v>last-person-to-fit-in-the-bus</v>
      </c>
      <c r="D1205" s="23" t="b">
        <f>IFERROR(__xludf.DUMMYFUNCTION("""COMPUTED_VALUE"""),TRUE)</f>
        <v>1</v>
      </c>
      <c r="E1205" s="23" t="str">
        <f>IFERROR(__xludf.DUMMYFUNCTION("""COMPUTED_VALUE"""),"Medium")</f>
        <v>Medium</v>
      </c>
      <c r="F1205" s="23">
        <f>IFERROR(__xludf.DUMMYFUNCTION("""COMPUTED_VALUE"""),201.0)</f>
        <v>201</v>
      </c>
      <c r="G1205" s="23">
        <f>IFERROR(__xludf.DUMMYFUNCTION("""COMPUTED_VALUE"""),17.0)</f>
        <v>17</v>
      </c>
      <c r="H1205" s="23" t="str">
        <f>IFERROR(__xludf.DUMMYFUNCTION("""COMPUTED_VALUE"""),"Database")</f>
        <v>Database</v>
      </c>
      <c r="I1205" s="23">
        <f>IFERROR(__xludf.DUMMYFUNCTION("""COMPUTED_VALUE"""),0.737)</f>
        <v>0.737</v>
      </c>
      <c r="J1205" s="23">
        <f>IFERROR(__xludf.DUMMYFUNCTION("""COMPUTED_VALUE"""),1204.0)</f>
        <v>1204</v>
      </c>
      <c r="K1205" s="23" t="b">
        <f>IFERROR(__xludf.DUMMYFUNCTION("""COMPUTED_VALUE"""),TRUE)</f>
        <v>1</v>
      </c>
      <c r="L1205" s="23" t="str">
        <f>IFERROR(__xludf.DUMMYFUNCTION("""COMPUTED_VALUE"""),"Database;")</f>
        <v>Database;</v>
      </c>
      <c r="M1205" s="23" t="b">
        <f>IFERROR(__xludf.DUMMYFUNCTION("""COMPUTED_VALUE"""),FALSE)</f>
        <v>0</v>
      </c>
      <c r="N1205" s="23" t="b">
        <f>IFERROR(__xludf.DUMMYFUNCTION("""COMPUTED_VALUE"""),FALSE)</f>
        <v>0</v>
      </c>
      <c r="O1205" s="23">
        <f>IFERROR(__xludf.DUMMYFUNCTION("""COMPUTED_VALUE"""),73.7231830400162)</f>
        <v>73.72318304</v>
      </c>
      <c r="P1205" s="23">
        <f>IFERROR(__xludf.DUMMYFUNCTION("""COMPUTED_VALUE"""),29072.0)</f>
        <v>29072</v>
      </c>
      <c r="Q1205" s="23">
        <f>IFERROR(__xludf.DUMMYFUNCTION("""COMPUTED_VALUE"""),39434.0)</f>
        <v>39434</v>
      </c>
    </row>
    <row r="1206">
      <c r="A1206" s="23">
        <f>IFERROR(__xludf.DUMMYFUNCTION("""COMPUTED_VALUE"""),1328.0)</f>
        <v>1328</v>
      </c>
      <c r="B1206" s="23" t="str">
        <f>IFERROR(__xludf.DUMMYFUNCTION("""COMPUTED_VALUE"""),"Monthly Transactions II")</f>
        <v>Monthly Transactions II</v>
      </c>
      <c r="C1206" s="23" t="str">
        <f>IFERROR(__xludf.DUMMYFUNCTION("""COMPUTED_VALUE"""),"monthly-transactions-ii")</f>
        <v>monthly-transactions-ii</v>
      </c>
      <c r="D1206" s="23" t="b">
        <f>IFERROR(__xludf.DUMMYFUNCTION("""COMPUTED_VALUE"""),TRUE)</f>
        <v>1</v>
      </c>
      <c r="E1206" s="23" t="str">
        <f>IFERROR(__xludf.DUMMYFUNCTION("""COMPUTED_VALUE"""),"Medium")</f>
        <v>Medium</v>
      </c>
      <c r="F1206" s="23">
        <f>IFERROR(__xludf.DUMMYFUNCTION("""COMPUTED_VALUE"""),102.0)</f>
        <v>102</v>
      </c>
      <c r="G1206" s="23">
        <f>IFERROR(__xludf.DUMMYFUNCTION("""COMPUTED_VALUE"""),392.0)</f>
        <v>392</v>
      </c>
      <c r="H1206" s="23" t="str">
        <f>IFERROR(__xludf.DUMMYFUNCTION("""COMPUTED_VALUE"""),"Database")</f>
        <v>Database</v>
      </c>
      <c r="I1206" s="23">
        <f>IFERROR(__xludf.DUMMYFUNCTION("""COMPUTED_VALUE"""),0.447)</f>
        <v>0.447</v>
      </c>
      <c r="J1206" s="23">
        <f>IFERROR(__xludf.DUMMYFUNCTION("""COMPUTED_VALUE"""),1205.0)</f>
        <v>1205</v>
      </c>
      <c r="K1206" s="23" t="b">
        <f>IFERROR(__xludf.DUMMYFUNCTION("""COMPUTED_VALUE"""),TRUE)</f>
        <v>1</v>
      </c>
      <c r="L1206" s="23" t="str">
        <f>IFERROR(__xludf.DUMMYFUNCTION("""COMPUTED_VALUE"""),"Database;")</f>
        <v>Database;</v>
      </c>
      <c r="M1206" s="23" t="b">
        <f>IFERROR(__xludf.DUMMYFUNCTION("""COMPUTED_VALUE"""),FALSE)</f>
        <v>0</v>
      </c>
      <c r="N1206" s="23" t="b">
        <f>IFERROR(__xludf.DUMMYFUNCTION("""COMPUTED_VALUE"""),FALSE)</f>
        <v>0</v>
      </c>
      <c r="O1206" s="23">
        <f>IFERROR(__xludf.DUMMYFUNCTION("""COMPUTED_VALUE"""),44.6786243786156)</f>
        <v>44.67862438</v>
      </c>
      <c r="P1206" s="23">
        <f>IFERROR(__xludf.DUMMYFUNCTION("""COMPUTED_VALUE"""),15369.0)</f>
        <v>15369</v>
      </c>
      <c r="Q1206" s="23">
        <f>IFERROR(__xludf.DUMMYFUNCTION("""COMPUTED_VALUE"""),34399.0)</f>
        <v>34399</v>
      </c>
    </row>
    <row r="1207">
      <c r="A1207" s="23">
        <f>IFERROR(__xludf.DUMMYFUNCTION("""COMPUTED_VALUE"""),1337.0)</f>
        <v>1337</v>
      </c>
      <c r="B1207" s="23" t="str">
        <f>IFERROR(__xludf.DUMMYFUNCTION("""COMPUTED_VALUE"""),"Design Skiplist")</f>
        <v>Design Skiplist</v>
      </c>
      <c r="C1207" s="23" t="str">
        <f>IFERROR(__xludf.DUMMYFUNCTION("""COMPUTED_VALUE"""),"design-skiplist")</f>
        <v>design-skiplist</v>
      </c>
      <c r="D1207" s="23" t="b">
        <f>IFERROR(__xludf.DUMMYFUNCTION("""COMPUTED_VALUE"""),FALSE)</f>
        <v>0</v>
      </c>
      <c r="E1207" s="23" t="str">
        <f>IFERROR(__xludf.DUMMYFUNCTION("""COMPUTED_VALUE"""),"Hard")</f>
        <v>Hard</v>
      </c>
      <c r="F1207" s="23">
        <f>IFERROR(__xludf.DUMMYFUNCTION("""COMPUTED_VALUE"""),427.0)</f>
        <v>427</v>
      </c>
      <c r="G1207" s="23">
        <f>IFERROR(__xludf.DUMMYFUNCTION("""COMPUTED_VALUE"""),51.0)</f>
        <v>51</v>
      </c>
      <c r="H1207" s="23" t="str">
        <f>IFERROR(__xludf.DUMMYFUNCTION("""COMPUTED_VALUE"""),"Algorithms")</f>
        <v>Algorithms</v>
      </c>
      <c r="I1207" s="23">
        <f>IFERROR(__xludf.DUMMYFUNCTION("""COMPUTED_VALUE"""),0.598)</f>
        <v>0.598</v>
      </c>
      <c r="J1207" s="23">
        <f>IFERROR(__xludf.DUMMYFUNCTION("""COMPUTED_VALUE"""),1206.0)</f>
        <v>1206</v>
      </c>
      <c r="K1207" s="23" t="b">
        <f>IFERROR(__xludf.DUMMYFUNCTION("""COMPUTED_VALUE"""),FALSE)</f>
        <v>0</v>
      </c>
      <c r="L1207" s="23" t="str">
        <f>IFERROR(__xludf.DUMMYFUNCTION("""COMPUTED_VALUE"""),"Linked List;Design;")</f>
        <v>Linked List;Design;</v>
      </c>
      <c r="M1207" s="23" t="b">
        <f>IFERROR(__xludf.DUMMYFUNCTION("""COMPUTED_VALUE"""),FALSE)</f>
        <v>0</v>
      </c>
      <c r="N1207" s="23" t="b">
        <f>IFERROR(__xludf.DUMMYFUNCTION("""COMPUTED_VALUE"""),FALSE)</f>
        <v>0</v>
      </c>
      <c r="O1207" s="23">
        <f>IFERROR(__xludf.DUMMYFUNCTION("""COMPUTED_VALUE"""),59.8394528095758)</f>
        <v>59.83945281</v>
      </c>
      <c r="P1207" s="23">
        <f>IFERROR(__xludf.DUMMYFUNCTION("""COMPUTED_VALUE"""),12598.0)</f>
        <v>12598</v>
      </c>
      <c r="Q1207" s="23">
        <f>IFERROR(__xludf.DUMMYFUNCTION("""COMPUTED_VALUE"""),21053.0)</f>
        <v>21053</v>
      </c>
    </row>
    <row r="1208">
      <c r="A1208" s="23">
        <f>IFERROR(__xludf.DUMMYFUNCTION("""COMPUTED_VALUE"""),1319.0)</f>
        <v>1319</v>
      </c>
      <c r="B1208" s="23" t="str">
        <f>IFERROR(__xludf.DUMMYFUNCTION("""COMPUTED_VALUE"""),"Unique Number of Occurrences")</f>
        <v>Unique Number of Occurrences</v>
      </c>
      <c r="C1208" s="23" t="str">
        <f>IFERROR(__xludf.DUMMYFUNCTION("""COMPUTED_VALUE"""),"unique-number-of-occurrences")</f>
        <v>unique-number-of-occurrences</v>
      </c>
      <c r="D1208" s="23" t="b">
        <f>IFERROR(__xludf.DUMMYFUNCTION("""COMPUTED_VALUE"""),FALSE)</f>
        <v>0</v>
      </c>
      <c r="E1208" s="23" t="str">
        <f>IFERROR(__xludf.DUMMYFUNCTION("""COMPUTED_VALUE"""),"Easy")</f>
        <v>Easy</v>
      </c>
      <c r="F1208" s="23">
        <f>IFERROR(__xludf.DUMMYFUNCTION("""COMPUTED_VALUE"""),1420.0)</f>
        <v>1420</v>
      </c>
      <c r="G1208" s="23">
        <f>IFERROR(__xludf.DUMMYFUNCTION("""COMPUTED_VALUE"""),34.0)</f>
        <v>34</v>
      </c>
      <c r="H1208" s="23" t="str">
        <f>IFERROR(__xludf.DUMMYFUNCTION("""COMPUTED_VALUE"""),"Algorithms")</f>
        <v>Algorithms</v>
      </c>
      <c r="I1208" s="23">
        <f>IFERROR(__xludf.DUMMYFUNCTION("""COMPUTED_VALUE"""),0.719)</f>
        <v>0.719</v>
      </c>
      <c r="J1208" s="23">
        <f>IFERROR(__xludf.DUMMYFUNCTION("""COMPUTED_VALUE"""),1207.0)</f>
        <v>1207</v>
      </c>
      <c r="K1208" s="23" t="b">
        <f>IFERROR(__xludf.DUMMYFUNCTION("""COMPUTED_VALUE"""),FALSE)</f>
        <v>0</v>
      </c>
      <c r="L1208" s="23" t="str">
        <f>IFERROR(__xludf.DUMMYFUNCTION("""COMPUTED_VALUE"""),"Array;Hash Table;")</f>
        <v>Array;Hash Table;</v>
      </c>
      <c r="M1208" s="23" t="b">
        <f>IFERROR(__xludf.DUMMYFUNCTION("""COMPUTED_VALUE"""),FALSE)</f>
        <v>0</v>
      </c>
      <c r="N1208" s="23" t="b">
        <f>IFERROR(__xludf.DUMMYFUNCTION("""COMPUTED_VALUE"""),FALSE)</f>
        <v>0</v>
      </c>
      <c r="O1208" s="23">
        <f>IFERROR(__xludf.DUMMYFUNCTION("""COMPUTED_VALUE"""),71.9335043683261)</f>
        <v>71.93350437</v>
      </c>
      <c r="P1208" s="23">
        <f>IFERROR(__xludf.DUMMYFUNCTION("""COMPUTED_VALUE"""),124490.0)</f>
        <v>124490</v>
      </c>
      <c r="Q1208" s="23">
        <f>IFERROR(__xludf.DUMMYFUNCTION("""COMPUTED_VALUE"""),173063.0)</f>
        <v>173063</v>
      </c>
    </row>
    <row r="1209">
      <c r="A1209" s="23">
        <f>IFERROR(__xludf.DUMMYFUNCTION("""COMPUTED_VALUE"""),1321.0)</f>
        <v>1321</v>
      </c>
      <c r="B1209" s="23" t="str">
        <f>IFERROR(__xludf.DUMMYFUNCTION("""COMPUTED_VALUE"""),"Get Equal Substrings Within Budget")</f>
        <v>Get Equal Substrings Within Budget</v>
      </c>
      <c r="C1209" s="23" t="str">
        <f>IFERROR(__xludf.DUMMYFUNCTION("""COMPUTED_VALUE"""),"get-equal-substrings-within-budget")</f>
        <v>get-equal-substrings-within-budget</v>
      </c>
      <c r="D1209" s="23" t="b">
        <f>IFERROR(__xludf.DUMMYFUNCTION("""COMPUTED_VALUE"""),FALSE)</f>
        <v>0</v>
      </c>
      <c r="E1209" s="23" t="str">
        <f>IFERROR(__xludf.DUMMYFUNCTION("""COMPUTED_VALUE"""),"Medium")</f>
        <v>Medium</v>
      </c>
      <c r="F1209" s="23">
        <f>IFERROR(__xludf.DUMMYFUNCTION("""COMPUTED_VALUE"""),637.0)</f>
        <v>637</v>
      </c>
      <c r="G1209" s="23">
        <f>IFERROR(__xludf.DUMMYFUNCTION("""COMPUTED_VALUE"""),43.0)</f>
        <v>43</v>
      </c>
      <c r="H1209" s="23" t="str">
        <f>IFERROR(__xludf.DUMMYFUNCTION("""COMPUTED_VALUE"""),"Algorithms")</f>
        <v>Algorithms</v>
      </c>
      <c r="I1209" s="23">
        <f>IFERROR(__xludf.DUMMYFUNCTION("""COMPUTED_VALUE"""),0.465)</f>
        <v>0.465</v>
      </c>
      <c r="J1209" s="23">
        <f>IFERROR(__xludf.DUMMYFUNCTION("""COMPUTED_VALUE"""),1208.0)</f>
        <v>1208</v>
      </c>
      <c r="K1209" s="23" t="b">
        <f>IFERROR(__xludf.DUMMYFUNCTION("""COMPUTED_VALUE"""),FALSE)</f>
        <v>0</v>
      </c>
      <c r="L1209" s="23" t="str">
        <f>IFERROR(__xludf.DUMMYFUNCTION("""COMPUTED_VALUE"""),"String;Binary Search;Sliding Window;Prefix Sum;")</f>
        <v>String;Binary Search;Sliding Window;Prefix Sum;</v>
      </c>
      <c r="M1209" s="23" t="b">
        <f>IFERROR(__xludf.DUMMYFUNCTION("""COMPUTED_VALUE"""),FALSE)</f>
        <v>0</v>
      </c>
      <c r="N1209" s="23" t="b">
        <f>IFERROR(__xludf.DUMMYFUNCTION("""COMPUTED_VALUE"""),FALSE)</f>
        <v>0</v>
      </c>
      <c r="O1209" s="23">
        <f>IFERROR(__xludf.DUMMYFUNCTION("""COMPUTED_VALUE"""),46.5062741156253)</f>
        <v>46.50627412</v>
      </c>
      <c r="P1209" s="23">
        <f>IFERROR(__xludf.DUMMYFUNCTION("""COMPUTED_VALUE"""),28686.0)</f>
        <v>28686</v>
      </c>
      <c r="Q1209" s="23">
        <f>IFERROR(__xludf.DUMMYFUNCTION("""COMPUTED_VALUE"""),61682.0)</f>
        <v>61682</v>
      </c>
    </row>
    <row r="1210">
      <c r="A1210" s="23">
        <f>IFERROR(__xludf.DUMMYFUNCTION("""COMPUTED_VALUE"""),1320.0)</f>
        <v>1320</v>
      </c>
      <c r="B1210" s="23" t="str">
        <f>IFERROR(__xludf.DUMMYFUNCTION("""COMPUTED_VALUE"""),"Remove All Adjacent Duplicates in String II")</f>
        <v>Remove All Adjacent Duplicates in String II</v>
      </c>
      <c r="C1210" s="23" t="str">
        <f>IFERROR(__xludf.DUMMYFUNCTION("""COMPUTED_VALUE"""),"remove-all-adjacent-duplicates-in-string-ii")</f>
        <v>remove-all-adjacent-duplicates-in-string-ii</v>
      </c>
      <c r="D1210" s="23" t="b">
        <f>IFERROR(__xludf.DUMMYFUNCTION("""COMPUTED_VALUE"""),FALSE)</f>
        <v>0</v>
      </c>
      <c r="E1210" s="23" t="str">
        <f>IFERROR(__xludf.DUMMYFUNCTION("""COMPUTED_VALUE"""),"Medium")</f>
        <v>Medium</v>
      </c>
      <c r="F1210" s="23">
        <f>IFERROR(__xludf.DUMMYFUNCTION("""COMPUTED_VALUE"""),2598.0)</f>
        <v>2598</v>
      </c>
      <c r="G1210" s="23">
        <f>IFERROR(__xludf.DUMMYFUNCTION("""COMPUTED_VALUE"""),50.0)</f>
        <v>50</v>
      </c>
      <c r="H1210" s="23" t="str">
        <f>IFERROR(__xludf.DUMMYFUNCTION("""COMPUTED_VALUE"""),"Algorithms")</f>
        <v>Algorithms</v>
      </c>
      <c r="I1210" s="23">
        <f>IFERROR(__xludf.DUMMYFUNCTION("""COMPUTED_VALUE"""),0.56)</f>
        <v>0.56</v>
      </c>
      <c r="J1210" s="23">
        <f>IFERROR(__xludf.DUMMYFUNCTION("""COMPUTED_VALUE"""),1209.0)</f>
        <v>1209</v>
      </c>
      <c r="K1210" s="23" t="b">
        <f>IFERROR(__xludf.DUMMYFUNCTION("""COMPUTED_VALUE"""),FALSE)</f>
        <v>0</v>
      </c>
      <c r="L1210" s="23" t="str">
        <f>IFERROR(__xludf.DUMMYFUNCTION("""COMPUTED_VALUE"""),"String;Stack;")</f>
        <v>String;Stack;</v>
      </c>
      <c r="M1210" s="23" t="b">
        <f>IFERROR(__xludf.DUMMYFUNCTION("""COMPUTED_VALUE"""),TRUE)</f>
        <v>1</v>
      </c>
      <c r="N1210" s="23" t="b">
        <f>IFERROR(__xludf.DUMMYFUNCTION("""COMPUTED_VALUE"""),FALSE)</f>
        <v>0</v>
      </c>
      <c r="O1210" s="23">
        <f>IFERROR(__xludf.DUMMYFUNCTION("""COMPUTED_VALUE"""),55.9578045629126)</f>
        <v>55.95780456</v>
      </c>
      <c r="P1210" s="23">
        <f>IFERROR(__xludf.DUMMYFUNCTION("""COMPUTED_VALUE"""),158078.0)</f>
        <v>158078</v>
      </c>
      <c r="Q1210" s="23">
        <f>IFERROR(__xludf.DUMMYFUNCTION("""COMPUTED_VALUE"""),282495.0)</f>
        <v>282495</v>
      </c>
    </row>
    <row r="1211">
      <c r="A1211" s="23">
        <f>IFERROR(__xludf.DUMMYFUNCTION("""COMPUTED_VALUE"""),1322.0)</f>
        <v>1322</v>
      </c>
      <c r="B1211" s="23" t="str">
        <f>IFERROR(__xludf.DUMMYFUNCTION("""COMPUTED_VALUE"""),"Minimum Moves to Reach Target with Rotations")</f>
        <v>Minimum Moves to Reach Target with Rotations</v>
      </c>
      <c r="C1211" s="23" t="str">
        <f>IFERROR(__xludf.DUMMYFUNCTION("""COMPUTED_VALUE"""),"minimum-moves-to-reach-target-with-rotations")</f>
        <v>minimum-moves-to-reach-target-with-rotations</v>
      </c>
      <c r="D1211" s="23" t="b">
        <f>IFERROR(__xludf.DUMMYFUNCTION("""COMPUTED_VALUE"""),FALSE)</f>
        <v>0</v>
      </c>
      <c r="E1211" s="23" t="str">
        <f>IFERROR(__xludf.DUMMYFUNCTION("""COMPUTED_VALUE"""),"Hard")</f>
        <v>Hard</v>
      </c>
      <c r="F1211" s="23">
        <f>IFERROR(__xludf.DUMMYFUNCTION("""COMPUTED_VALUE"""),200.0)</f>
        <v>200</v>
      </c>
      <c r="G1211" s="23">
        <f>IFERROR(__xludf.DUMMYFUNCTION("""COMPUTED_VALUE"""),59.0)</f>
        <v>59</v>
      </c>
      <c r="H1211" s="23" t="str">
        <f>IFERROR(__xludf.DUMMYFUNCTION("""COMPUTED_VALUE"""),"Algorithms")</f>
        <v>Algorithms</v>
      </c>
      <c r="I1211" s="23">
        <f>IFERROR(__xludf.DUMMYFUNCTION("""COMPUTED_VALUE"""),0.481)</f>
        <v>0.481</v>
      </c>
      <c r="J1211" s="23">
        <f>IFERROR(__xludf.DUMMYFUNCTION("""COMPUTED_VALUE"""),1210.0)</f>
        <v>1210</v>
      </c>
      <c r="K1211" s="23" t="b">
        <f>IFERROR(__xludf.DUMMYFUNCTION("""COMPUTED_VALUE"""),FALSE)</f>
        <v>0</v>
      </c>
      <c r="L1211" s="23" t="str">
        <f>IFERROR(__xludf.DUMMYFUNCTION("""COMPUTED_VALUE"""),"Array;Breadth-First Search;Matrix;")</f>
        <v>Array;Breadth-First Search;Matrix;</v>
      </c>
      <c r="M1211" s="23" t="b">
        <f>IFERROR(__xludf.DUMMYFUNCTION("""COMPUTED_VALUE"""),FALSE)</f>
        <v>0</v>
      </c>
      <c r="N1211" s="23" t="b">
        <f>IFERROR(__xludf.DUMMYFUNCTION("""COMPUTED_VALUE"""),FALSE)</f>
        <v>0</v>
      </c>
      <c r="O1211" s="23">
        <f>IFERROR(__xludf.DUMMYFUNCTION("""COMPUTED_VALUE"""),48.1222066573277)</f>
        <v>48.12220666</v>
      </c>
      <c r="P1211" s="23">
        <f>IFERROR(__xludf.DUMMYFUNCTION("""COMPUTED_VALUE"""),7214.0)</f>
        <v>7214</v>
      </c>
      <c r="Q1211" s="23">
        <f>IFERROR(__xludf.DUMMYFUNCTION("""COMPUTED_VALUE"""),14991.0)</f>
        <v>14991</v>
      </c>
    </row>
    <row r="1212">
      <c r="A1212" s="23">
        <f>IFERROR(__xludf.DUMMYFUNCTION("""COMPUTED_VALUE"""),1338.0)</f>
        <v>1338</v>
      </c>
      <c r="B1212" s="23" t="str">
        <f>IFERROR(__xludf.DUMMYFUNCTION("""COMPUTED_VALUE"""),"Queries Quality and Percentage")</f>
        <v>Queries Quality and Percentage</v>
      </c>
      <c r="C1212" s="23" t="str">
        <f>IFERROR(__xludf.DUMMYFUNCTION("""COMPUTED_VALUE"""),"queries-quality-and-percentage")</f>
        <v>queries-quality-and-percentage</v>
      </c>
      <c r="D1212" s="23" t="b">
        <f>IFERROR(__xludf.DUMMYFUNCTION("""COMPUTED_VALUE"""),TRUE)</f>
        <v>1</v>
      </c>
      <c r="E1212" s="23" t="str">
        <f>IFERROR(__xludf.DUMMYFUNCTION("""COMPUTED_VALUE"""),"Easy")</f>
        <v>Easy</v>
      </c>
      <c r="F1212" s="23">
        <f>IFERROR(__xludf.DUMMYFUNCTION("""COMPUTED_VALUE"""),93.0)</f>
        <v>93</v>
      </c>
      <c r="G1212" s="23">
        <f>IFERROR(__xludf.DUMMYFUNCTION("""COMPUTED_VALUE"""),153.0)</f>
        <v>153</v>
      </c>
      <c r="H1212" s="23" t="str">
        <f>IFERROR(__xludf.DUMMYFUNCTION("""COMPUTED_VALUE"""),"Database")</f>
        <v>Database</v>
      </c>
      <c r="I1212" s="23">
        <f>IFERROR(__xludf.DUMMYFUNCTION("""COMPUTED_VALUE"""),0.708)</f>
        <v>0.708</v>
      </c>
      <c r="J1212" s="23">
        <f>IFERROR(__xludf.DUMMYFUNCTION("""COMPUTED_VALUE"""),1211.0)</f>
        <v>1211</v>
      </c>
      <c r="K1212" s="23" t="b">
        <f>IFERROR(__xludf.DUMMYFUNCTION("""COMPUTED_VALUE"""),TRUE)</f>
        <v>1</v>
      </c>
      <c r="L1212" s="23" t="str">
        <f>IFERROR(__xludf.DUMMYFUNCTION("""COMPUTED_VALUE"""),"Database;")</f>
        <v>Database;</v>
      </c>
      <c r="M1212" s="23" t="b">
        <f>IFERROR(__xludf.DUMMYFUNCTION("""COMPUTED_VALUE"""),FALSE)</f>
        <v>0</v>
      </c>
      <c r="N1212" s="23" t="b">
        <f>IFERROR(__xludf.DUMMYFUNCTION("""COMPUTED_VALUE"""),FALSE)</f>
        <v>0</v>
      </c>
      <c r="O1212" s="23">
        <f>IFERROR(__xludf.DUMMYFUNCTION("""COMPUTED_VALUE"""),70.8444418685522)</f>
        <v>70.84444187</v>
      </c>
      <c r="P1212" s="23">
        <f>IFERROR(__xludf.DUMMYFUNCTION("""COMPUTED_VALUE"""),24447.0)</f>
        <v>24447</v>
      </c>
      <c r="Q1212" s="23">
        <f>IFERROR(__xludf.DUMMYFUNCTION("""COMPUTED_VALUE"""),34508.0)</f>
        <v>34508</v>
      </c>
    </row>
    <row r="1213">
      <c r="A1213" s="23">
        <f>IFERROR(__xludf.DUMMYFUNCTION("""COMPUTED_VALUE"""),1339.0)</f>
        <v>1339</v>
      </c>
      <c r="B1213" s="23" t="str">
        <f>IFERROR(__xludf.DUMMYFUNCTION("""COMPUTED_VALUE"""),"Team Scores in Football Tournament")</f>
        <v>Team Scores in Football Tournament</v>
      </c>
      <c r="C1213" s="23" t="str">
        <f>IFERROR(__xludf.DUMMYFUNCTION("""COMPUTED_VALUE"""),"team-scores-in-football-tournament")</f>
        <v>team-scores-in-football-tournament</v>
      </c>
      <c r="D1213" s="23" t="b">
        <f>IFERROR(__xludf.DUMMYFUNCTION("""COMPUTED_VALUE"""),TRUE)</f>
        <v>1</v>
      </c>
      <c r="E1213" s="23" t="str">
        <f>IFERROR(__xludf.DUMMYFUNCTION("""COMPUTED_VALUE"""),"Medium")</f>
        <v>Medium</v>
      </c>
      <c r="F1213" s="23">
        <f>IFERROR(__xludf.DUMMYFUNCTION("""COMPUTED_VALUE"""),237.0)</f>
        <v>237</v>
      </c>
      <c r="G1213" s="23">
        <f>IFERROR(__xludf.DUMMYFUNCTION("""COMPUTED_VALUE"""),19.0)</f>
        <v>19</v>
      </c>
      <c r="H1213" s="23" t="str">
        <f>IFERROR(__xludf.DUMMYFUNCTION("""COMPUTED_VALUE"""),"Database")</f>
        <v>Database</v>
      </c>
      <c r="I1213" s="23">
        <f>IFERROR(__xludf.DUMMYFUNCTION("""COMPUTED_VALUE"""),0.573)</f>
        <v>0.573</v>
      </c>
      <c r="J1213" s="23">
        <f>IFERROR(__xludf.DUMMYFUNCTION("""COMPUTED_VALUE"""),1212.0)</f>
        <v>1212</v>
      </c>
      <c r="K1213" s="23" t="b">
        <f>IFERROR(__xludf.DUMMYFUNCTION("""COMPUTED_VALUE"""),TRUE)</f>
        <v>1</v>
      </c>
      <c r="L1213" s="23" t="str">
        <f>IFERROR(__xludf.DUMMYFUNCTION("""COMPUTED_VALUE"""),"Database;")</f>
        <v>Database;</v>
      </c>
      <c r="M1213" s="23" t="b">
        <f>IFERROR(__xludf.DUMMYFUNCTION("""COMPUTED_VALUE"""),FALSE)</f>
        <v>0</v>
      </c>
      <c r="N1213" s="23" t="b">
        <f>IFERROR(__xludf.DUMMYFUNCTION("""COMPUTED_VALUE"""),FALSE)</f>
        <v>0</v>
      </c>
      <c r="O1213" s="23">
        <f>IFERROR(__xludf.DUMMYFUNCTION("""COMPUTED_VALUE"""),57.320679458084)</f>
        <v>57.32067946</v>
      </c>
      <c r="P1213" s="23">
        <f>IFERROR(__xludf.DUMMYFUNCTION("""COMPUTED_VALUE"""),25005.0)</f>
        <v>25005</v>
      </c>
      <c r="Q1213" s="23">
        <f>IFERROR(__xludf.DUMMYFUNCTION("""COMPUTED_VALUE"""),43623.0)</f>
        <v>43623</v>
      </c>
    </row>
    <row r="1214">
      <c r="A1214" s="23">
        <f>IFERROR(__xludf.DUMMYFUNCTION("""COMPUTED_VALUE"""),1149.0)</f>
        <v>1149</v>
      </c>
      <c r="B1214" s="23" t="str">
        <f>IFERROR(__xludf.DUMMYFUNCTION("""COMPUTED_VALUE"""),"Intersection of Three Sorted Arrays")</f>
        <v>Intersection of Three Sorted Arrays</v>
      </c>
      <c r="C1214" s="23" t="str">
        <f>IFERROR(__xludf.DUMMYFUNCTION("""COMPUTED_VALUE"""),"intersection-of-three-sorted-arrays")</f>
        <v>intersection-of-three-sorted-arrays</v>
      </c>
      <c r="D1214" s="23" t="b">
        <f>IFERROR(__xludf.DUMMYFUNCTION("""COMPUTED_VALUE"""),TRUE)</f>
        <v>1</v>
      </c>
      <c r="E1214" s="23" t="str">
        <f>IFERROR(__xludf.DUMMYFUNCTION("""COMPUTED_VALUE"""),"Easy")</f>
        <v>Easy</v>
      </c>
      <c r="F1214" s="23">
        <f>IFERROR(__xludf.DUMMYFUNCTION("""COMPUTED_VALUE"""),436.0)</f>
        <v>436</v>
      </c>
      <c r="G1214" s="23">
        <f>IFERROR(__xludf.DUMMYFUNCTION("""COMPUTED_VALUE"""),22.0)</f>
        <v>22</v>
      </c>
      <c r="H1214" s="23" t="str">
        <f>IFERROR(__xludf.DUMMYFUNCTION("""COMPUTED_VALUE"""),"Algorithms")</f>
        <v>Algorithms</v>
      </c>
      <c r="I1214" s="23">
        <f>IFERROR(__xludf.DUMMYFUNCTION("""COMPUTED_VALUE"""),0.799)</f>
        <v>0.799</v>
      </c>
      <c r="J1214" s="23">
        <f>IFERROR(__xludf.DUMMYFUNCTION("""COMPUTED_VALUE"""),1213.0)</f>
        <v>1213</v>
      </c>
      <c r="K1214" s="23" t="b">
        <f>IFERROR(__xludf.DUMMYFUNCTION("""COMPUTED_VALUE"""),TRUE)</f>
        <v>1</v>
      </c>
      <c r="L1214" s="23" t="str">
        <f>IFERROR(__xludf.DUMMYFUNCTION("""COMPUTED_VALUE"""),"Array;Hash Table;Binary Search;Counting;")</f>
        <v>Array;Hash Table;Binary Search;Counting;</v>
      </c>
      <c r="M1214" s="23" t="b">
        <f>IFERROR(__xludf.DUMMYFUNCTION("""COMPUTED_VALUE"""),TRUE)</f>
        <v>1</v>
      </c>
      <c r="N1214" s="23" t="b">
        <f>IFERROR(__xludf.DUMMYFUNCTION("""COMPUTED_VALUE"""),FALSE)</f>
        <v>0</v>
      </c>
      <c r="O1214" s="23">
        <f>IFERROR(__xludf.DUMMYFUNCTION("""COMPUTED_VALUE"""),79.9418284918181)</f>
        <v>79.94182849</v>
      </c>
      <c r="P1214" s="23">
        <f>IFERROR(__xludf.DUMMYFUNCTION("""COMPUTED_VALUE"""),65414.0)</f>
        <v>65414</v>
      </c>
      <c r="Q1214" s="23">
        <f>IFERROR(__xludf.DUMMYFUNCTION("""COMPUTED_VALUE"""),81827.0)</f>
        <v>81827</v>
      </c>
    </row>
    <row r="1215">
      <c r="A1215" s="23">
        <f>IFERROR(__xludf.DUMMYFUNCTION("""COMPUTED_VALUE"""),1150.0)</f>
        <v>1150</v>
      </c>
      <c r="B1215" s="23" t="str">
        <f>IFERROR(__xludf.DUMMYFUNCTION("""COMPUTED_VALUE"""),"Two Sum BSTs")</f>
        <v>Two Sum BSTs</v>
      </c>
      <c r="C1215" s="23" t="str">
        <f>IFERROR(__xludf.DUMMYFUNCTION("""COMPUTED_VALUE"""),"two-sum-bsts")</f>
        <v>two-sum-bsts</v>
      </c>
      <c r="D1215" s="23" t="b">
        <f>IFERROR(__xludf.DUMMYFUNCTION("""COMPUTED_VALUE"""),TRUE)</f>
        <v>1</v>
      </c>
      <c r="E1215" s="23" t="str">
        <f>IFERROR(__xludf.DUMMYFUNCTION("""COMPUTED_VALUE"""),"Medium")</f>
        <v>Medium</v>
      </c>
      <c r="F1215" s="23">
        <f>IFERROR(__xludf.DUMMYFUNCTION("""COMPUTED_VALUE"""),389.0)</f>
        <v>389</v>
      </c>
      <c r="G1215" s="23">
        <f>IFERROR(__xludf.DUMMYFUNCTION("""COMPUTED_VALUE"""),37.0)</f>
        <v>37</v>
      </c>
      <c r="H1215" s="23" t="str">
        <f>IFERROR(__xludf.DUMMYFUNCTION("""COMPUTED_VALUE"""),"Algorithms")</f>
        <v>Algorithms</v>
      </c>
      <c r="I1215" s="23">
        <f>IFERROR(__xludf.DUMMYFUNCTION("""COMPUTED_VALUE"""),0.665)</f>
        <v>0.665</v>
      </c>
      <c r="J1215" s="23">
        <f>IFERROR(__xludf.DUMMYFUNCTION("""COMPUTED_VALUE"""),1214.0)</f>
        <v>1214</v>
      </c>
      <c r="K1215" s="23" t="b">
        <f>IFERROR(__xludf.DUMMYFUNCTION("""COMPUTED_VALUE"""),TRUE)</f>
        <v>1</v>
      </c>
      <c r="L1215" s="23" t="str">
        <f>IFERROR(__xludf.DUMMYFUNCTION("""COMPUTED_VALUE"""),"Two Pointers;Binary Search;Stack;Tree;Depth-First Search;Binary Search Tree;Binary Tree;")</f>
        <v>Two Pointers;Binary Search;Stack;Tree;Depth-First Search;Binary Search Tree;Binary Tree;</v>
      </c>
      <c r="M1215" s="23" t="b">
        <f>IFERROR(__xludf.DUMMYFUNCTION("""COMPUTED_VALUE"""),TRUE)</f>
        <v>1</v>
      </c>
      <c r="N1215" s="23" t="b">
        <f>IFERROR(__xludf.DUMMYFUNCTION("""COMPUTED_VALUE"""),FALSE)</f>
        <v>0</v>
      </c>
      <c r="O1215" s="23">
        <f>IFERROR(__xludf.DUMMYFUNCTION("""COMPUTED_VALUE"""),66.5355854846268)</f>
        <v>66.53558548</v>
      </c>
      <c r="P1215" s="23">
        <f>IFERROR(__xludf.DUMMYFUNCTION("""COMPUTED_VALUE"""),32655.0)</f>
        <v>32655</v>
      </c>
      <c r="Q1215" s="23">
        <f>IFERROR(__xludf.DUMMYFUNCTION("""COMPUTED_VALUE"""),49079.0)</f>
        <v>49079</v>
      </c>
    </row>
    <row r="1216">
      <c r="A1216" s="23">
        <f>IFERROR(__xludf.DUMMYFUNCTION("""COMPUTED_VALUE"""),1151.0)</f>
        <v>1151</v>
      </c>
      <c r="B1216" s="23" t="str">
        <f>IFERROR(__xludf.DUMMYFUNCTION("""COMPUTED_VALUE"""),"Stepping Numbers")</f>
        <v>Stepping Numbers</v>
      </c>
      <c r="C1216" s="23" t="str">
        <f>IFERROR(__xludf.DUMMYFUNCTION("""COMPUTED_VALUE"""),"stepping-numbers")</f>
        <v>stepping-numbers</v>
      </c>
      <c r="D1216" s="23" t="b">
        <f>IFERROR(__xludf.DUMMYFUNCTION("""COMPUTED_VALUE"""),TRUE)</f>
        <v>1</v>
      </c>
      <c r="E1216" s="23" t="str">
        <f>IFERROR(__xludf.DUMMYFUNCTION("""COMPUTED_VALUE"""),"Medium")</f>
        <v>Medium</v>
      </c>
      <c r="F1216" s="23">
        <f>IFERROR(__xludf.DUMMYFUNCTION("""COMPUTED_VALUE"""),158.0)</f>
        <v>158</v>
      </c>
      <c r="G1216" s="23">
        <f>IFERROR(__xludf.DUMMYFUNCTION("""COMPUTED_VALUE"""),16.0)</f>
        <v>16</v>
      </c>
      <c r="H1216" s="23" t="str">
        <f>IFERROR(__xludf.DUMMYFUNCTION("""COMPUTED_VALUE"""),"Algorithms")</f>
        <v>Algorithms</v>
      </c>
      <c r="I1216" s="23">
        <f>IFERROR(__xludf.DUMMYFUNCTION("""COMPUTED_VALUE"""),0.455)</f>
        <v>0.455</v>
      </c>
      <c r="J1216" s="23">
        <f>IFERROR(__xludf.DUMMYFUNCTION("""COMPUTED_VALUE"""),1215.0)</f>
        <v>1215</v>
      </c>
      <c r="K1216" s="23" t="b">
        <f>IFERROR(__xludf.DUMMYFUNCTION("""COMPUTED_VALUE"""),TRUE)</f>
        <v>1</v>
      </c>
      <c r="L1216" s="23" t="str">
        <f>IFERROR(__xludf.DUMMYFUNCTION("""COMPUTED_VALUE"""),"Backtracking;Breadth-First Search;")</f>
        <v>Backtracking;Breadth-First Search;</v>
      </c>
      <c r="M1216" s="23" t="b">
        <f>IFERROR(__xludf.DUMMYFUNCTION("""COMPUTED_VALUE"""),FALSE)</f>
        <v>0</v>
      </c>
      <c r="N1216" s="23" t="b">
        <f>IFERROR(__xludf.DUMMYFUNCTION("""COMPUTED_VALUE"""),FALSE)</f>
        <v>0</v>
      </c>
      <c r="O1216" s="23">
        <f>IFERROR(__xludf.DUMMYFUNCTION("""COMPUTED_VALUE"""),45.484787999758)</f>
        <v>45.484788</v>
      </c>
      <c r="P1216" s="23">
        <f>IFERROR(__xludf.DUMMYFUNCTION("""COMPUTED_VALUE"""),7520.0)</f>
        <v>7520</v>
      </c>
      <c r="Q1216" s="23">
        <f>IFERROR(__xludf.DUMMYFUNCTION("""COMPUTED_VALUE"""),16533.0)</f>
        <v>16533</v>
      </c>
    </row>
    <row r="1217">
      <c r="A1217" s="23">
        <f>IFERROR(__xludf.DUMMYFUNCTION("""COMPUTED_VALUE"""),1178.0)</f>
        <v>1178</v>
      </c>
      <c r="B1217" s="23" t="str">
        <f>IFERROR(__xludf.DUMMYFUNCTION("""COMPUTED_VALUE"""),"Valid Palindrome III")</f>
        <v>Valid Palindrome III</v>
      </c>
      <c r="C1217" s="23" t="str">
        <f>IFERROR(__xludf.DUMMYFUNCTION("""COMPUTED_VALUE"""),"valid-palindrome-iii")</f>
        <v>valid-palindrome-iii</v>
      </c>
      <c r="D1217" s="23" t="b">
        <f>IFERROR(__xludf.DUMMYFUNCTION("""COMPUTED_VALUE"""),TRUE)</f>
        <v>1</v>
      </c>
      <c r="E1217" s="23" t="str">
        <f>IFERROR(__xludf.DUMMYFUNCTION("""COMPUTED_VALUE"""),"Hard")</f>
        <v>Hard</v>
      </c>
      <c r="F1217" s="23">
        <f>IFERROR(__xludf.DUMMYFUNCTION("""COMPUTED_VALUE"""),496.0)</f>
        <v>496</v>
      </c>
      <c r="G1217" s="23">
        <f>IFERROR(__xludf.DUMMYFUNCTION("""COMPUTED_VALUE"""),7.0)</f>
        <v>7</v>
      </c>
      <c r="H1217" s="23" t="str">
        <f>IFERROR(__xludf.DUMMYFUNCTION("""COMPUTED_VALUE"""),"Algorithms")</f>
        <v>Algorithms</v>
      </c>
      <c r="I1217" s="23">
        <f>IFERROR(__xludf.DUMMYFUNCTION("""COMPUTED_VALUE"""),0.507)</f>
        <v>0.507</v>
      </c>
      <c r="J1217" s="23">
        <f>IFERROR(__xludf.DUMMYFUNCTION("""COMPUTED_VALUE"""),1216.0)</f>
        <v>1216</v>
      </c>
      <c r="K1217" s="23" t="b">
        <f>IFERROR(__xludf.DUMMYFUNCTION("""COMPUTED_VALUE"""),TRUE)</f>
        <v>1</v>
      </c>
      <c r="L1217" s="23" t="str">
        <f>IFERROR(__xludf.DUMMYFUNCTION("""COMPUTED_VALUE"""),"String;Dynamic Programming;")</f>
        <v>String;Dynamic Programming;</v>
      </c>
      <c r="M1217" s="23" t="b">
        <f>IFERROR(__xludf.DUMMYFUNCTION("""COMPUTED_VALUE"""),TRUE)</f>
        <v>1</v>
      </c>
      <c r="N1217" s="23" t="b">
        <f>IFERROR(__xludf.DUMMYFUNCTION("""COMPUTED_VALUE"""),FALSE)</f>
        <v>0</v>
      </c>
      <c r="O1217" s="23">
        <f>IFERROR(__xludf.DUMMYFUNCTION("""COMPUTED_VALUE"""),50.7428164754025)</f>
        <v>50.74281648</v>
      </c>
      <c r="P1217" s="23">
        <f>IFERROR(__xludf.DUMMYFUNCTION("""COMPUTED_VALUE"""),34223.0)</f>
        <v>34223</v>
      </c>
      <c r="Q1217" s="23">
        <f>IFERROR(__xludf.DUMMYFUNCTION("""COMPUTED_VALUE"""),67444.0)</f>
        <v>67444</v>
      </c>
    </row>
    <row r="1218">
      <c r="A1218" s="23">
        <f>IFERROR(__xludf.DUMMYFUNCTION("""COMPUTED_VALUE"""),1329.0)</f>
        <v>1329</v>
      </c>
      <c r="B1218" s="23" t="str">
        <f>IFERROR(__xludf.DUMMYFUNCTION("""COMPUTED_VALUE"""),"Minimum Cost to Move Chips to The Same Position")</f>
        <v>Minimum Cost to Move Chips to The Same Position</v>
      </c>
      <c r="C1218" s="23" t="str">
        <f>IFERROR(__xludf.DUMMYFUNCTION("""COMPUTED_VALUE"""),"minimum-cost-to-move-chips-to-the-same-position")</f>
        <v>minimum-cost-to-move-chips-to-the-same-position</v>
      </c>
      <c r="D1218" s="23" t="b">
        <f>IFERROR(__xludf.DUMMYFUNCTION("""COMPUTED_VALUE"""),FALSE)</f>
        <v>0</v>
      </c>
      <c r="E1218" s="23" t="str">
        <f>IFERROR(__xludf.DUMMYFUNCTION("""COMPUTED_VALUE"""),"Easy")</f>
        <v>Easy</v>
      </c>
      <c r="F1218" s="23">
        <f>IFERROR(__xludf.DUMMYFUNCTION("""COMPUTED_VALUE"""),1469.0)</f>
        <v>1469</v>
      </c>
      <c r="G1218" s="23">
        <f>IFERROR(__xludf.DUMMYFUNCTION("""COMPUTED_VALUE"""),200.0)</f>
        <v>200</v>
      </c>
      <c r="H1218" s="23" t="str">
        <f>IFERROR(__xludf.DUMMYFUNCTION("""COMPUTED_VALUE"""),"Algorithms")</f>
        <v>Algorithms</v>
      </c>
      <c r="I1218" s="23">
        <f>IFERROR(__xludf.DUMMYFUNCTION("""COMPUTED_VALUE"""),0.727)</f>
        <v>0.727</v>
      </c>
      <c r="J1218" s="23">
        <f>IFERROR(__xludf.DUMMYFUNCTION("""COMPUTED_VALUE"""),1217.0)</f>
        <v>1217</v>
      </c>
      <c r="K1218" s="23" t="b">
        <f>IFERROR(__xludf.DUMMYFUNCTION("""COMPUTED_VALUE"""),FALSE)</f>
        <v>0</v>
      </c>
      <c r="L1218" s="23" t="str">
        <f>IFERROR(__xludf.DUMMYFUNCTION("""COMPUTED_VALUE"""),"Array;Math;Greedy;")</f>
        <v>Array;Math;Greedy;</v>
      </c>
      <c r="M1218" s="23" t="b">
        <f>IFERROR(__xludf.DUMMYFUNCTION("""COMPUTED_VALUE"""),TRUE)</f>
        <v>1</v>
      </c>
      <c r="N1218" s="23" t="b">
        <f>IFERROR(__xludf.DUMMYFUNCTION("""COMPUTED_VALUE"""),FALSE)</f>
        <v>0</v>
      </c>
      <c r="O1218" s="23">
        <f>IFERROR(__xludf.DUMMYFUNCTION("""COMPUTED_VALUE"""),72.6970356518807)</f>
        <v>72.69703565</v>
      </c>
      <c r="P1218" s="23">
        <f>IFERROR(__xludf.DUMMYFUNCTION("""COMPUTED_VALUE"""),94858.0)</f>
        <v>94858</v>
      </c>
      <c r="Q1218" s="23">
        <f>IFERROR(__xludf.DUMMYFUNCTION("""COMPUTED_VALUE"""),130484.0)</f>
        <v>130484</v>
      </c>
    </row>
    <row r="1219">
      <c r="A1219" s="23">
        <f>IFERROR(__xludf.DUMMYFUNCTION("""COMPUTED_VALUE"""),1330.0)</f>
        <v>1330</v>
      </c>
      <c r="B1219" s="23" t="str">
        <f>IFERROR(__xludf.DUMMYFUNCTION("""COMPUTED_VALUE"""),"Longest Arithmetic Subsequence of Given Difference")</f>
        <v>Longest Arithmetic Subsequence of Given Difference</v>
      </c>
      <c r="C1219" s="23" t="str">
        <f>IFERROR(__xludf.DUMMYFUNCTION("""COMPUTED_VALUE"""),"longest-arithmetic-subsequence-of-given-difference")</f>
        <v>longest-arithmetic-subsequence-of-given-difference</v>
      </c>
      <c r="D1219" s="23" t="b">
        <f>IFERROR(__xludf.DUMMYFUNCTION("""COMPUTED_VALUE"""),FALSE)</f>
        <v>0</v>
      </c>
      <c r="E1219" s="23" t="str">
        <f>IFERROR(__xludf.DUMMYFUNCTION("""COMPUTED_VALUE"""),"Medium")</f>
        <v>Medium</v>
      </c>
      <c r="F1219" s="23">
        <f>IFERROR(__xludf.DUMMYFUNCTION("""COMPUTED_VALUE"""),997.0)</f>
        <v>997</v>
      </c>
      <c r="G1219" s="23">
        <f>IFERROR(__xludf.DUMMYFUNCTION("""COMPUTED_VALUE"""),43.0)</f>
        <v>43</v>
      </c>
      <c r="H1219" s="23" t="str">
        <f>IFERROR(__xludf.DUMMYFUNCTION("""COMPUTED_VALUE"""),"Algorithms")</f>
        <v>Algorithms</v>
      </c>
      <c r="I1219" s="23">
        <f>IFERROR(__xludf.DUMMYFUNCTION("""COMPUTED_VALUE"""),0.514)</f>
        <v>0.514</v>
      </c>
      <c r="J1219" s="23">
        <f>IFERROR(__xludf.DUMMYFUNCTION("""COMPUTED_VALUE"""),1218.0)</f>
        <v>1218</v>
      </c>
      <c r="K1219" s="23" t="b">
        <f>IFERROR(__xludf.DUMMYFUNCTION("""COMPUTED_VALUE"""),FALSE)</f>
        <v>0</v>
      </c>
      <c r="L1219" s="23" t="str">
        <f>IFERROR(__xludf.DUMMYFUNCTION("""COMPUTED_VALUE"""),"Array;Hash Table;Dynamic Programming;")</f>
        <v>Array;Hash Table;Dynamic Programming;</v>
      </c>
      <c r="M1219" s="23" t="b">
        <f>IFERROR(__xludf.DUMMYFUNCTION("""COMPUTED_VALUE"""),FALSE)</f>
        <v>0</v>
      </c>
      <c r="N1219" s="23" t="b">
        <f>IFERROR(__xludf.DUMMYFUNCTION("""COMPUTED_VALUE"""),FALSE)</f>
        <v>0</v>
      </c>
      <c r="O1219" s="23">
        <f>IFERROR(__xludf.DUMMYFUNCTION("""COMPUTED_VALUE"""),51.3765339912992)</f>
        <v>51.37653399</v>
      </c>
      <c r="P1219" s="23">
        <f>IFERROR(__xludf.DUMMYFUNCTION("""COMPUTED_VALUE"""),47475.0)</f>
        <v>47475</v>
      </c>
      <c r="Q1219" s="23">
        <f>IFERROR(__xludf.DUMMYFUNCTION("""COMPUTED_VALUE"""),92406.0)</f>
        <v>92406</v>
      </c>
    </row>
    <row r="1220">
      <c r="A1220" s="23">
        <f>IFERROR(__xludf.DUMMYFUNCTION("""COMPUTED_VALUE"""),1331.0)</f>
        <v>1331</v>
      </c>
      <c r="B1220" s="23" t="str">
        <f>IFERROR(__xludf.DUMMYFUNCTION("""COMPUTED_VALUE"""),"Path with Maximum Gold")</f>
        <v>Path with Maximum Gold</v>
      </c>
      <c r="C1220" s="23" t="str">
        <f>IFERROR(__xludf.DUMMYFUNCTION("""COMPUTED_VALUE"""),"path-with-maximum-gold")</f>
        <v>path-with-maximum-gold</v>
      </c>
      <c r="D1220" s="23" t="b">
        <f>IFERROR(__xludf.DUMMYFUNCTION("""COMPUTED_VALUE"""),FALSE)</f>
        <v>0</v>
      </c>
      <c r="E1220" s="23" t="str">
        <f>IFERROR(__xludf.DUMMYFUNCTION("""COMPUTED_VALUE"""),"Medium")</f>
        <v>Medium</v>
      </c>
      <c r="F1220" s="23">
        <f>IFERROR(__xludf.DUMMYFUNCTION("""COMPUTED_VALUE"""),1849.0)</f>
        <v>1849</v>
      </c>
      <c r="G1220" s="23">
        <f>IFERROR(__xludf.DUMMYFUNCTION("""COMPUTED_VALUE"""),48.0)</f>
        <v>48</v>
      </c>
      <c r="H1220" s="23" t="str">
        <f>IFERROR(__xludf.DUMMYFUNCTION("""COMPUTED_VALUE"""),"Algorithms")</f>
        <v>Algorithms</v>
      </c>
      <c r="I1220" s="23">
        <f>IFERROR(__xludf.DUMMYFUNCTION("""COMPUTED_VALUE"""),0.657)</f>
        <v>0.657</v>
      </c>
      <c r="J1220" s="23">
        <f>IFERROR(__xludf.DUMMYFUNCTION("""COMPUTED_VALUE"""),1219.0)</f>
        <v>1219</v>
      </c>
      <c r="K1220" s="23" t="b">
        <f>IFERROR(__xludf.DUMMYFUNCTION("""COMPUTED_VALUE"""),FALSE)</f>
        <v>0</v>
      </c>
      <c r="L1220" s="23" t="str">
        <f>IFERROR(__xludf.DUMMYFUNCTION("""COMPUTED_VALUE"""),"Array;Backtracking;Matrix;")</f>
        <v>Array;Backtracking;Matrix;</v>
      </c>
      <c r="M1220" s="23" t="b">
        <f>IFERROR(__xludf.DUMMYFUNCTION("""COMPUTED_VALUE"""),FALSE)</f>
        <v>0</v>
      </c>
      <c r="N1220" s="23" t="b">
        <f>IFERROR(__xludf.DUMMYFUNCTION("""COMPUTED_VALUE"""),FALSE)</f>
        <v>0</v>
      </c>
      <c r="O1220" s="23">
        <f>IFERROR(__xludf.DUMMYFUNCTION("""COMPUTED_VALUE"""),65.7045238440587)</f>
        <v>65.70452384</v>
      </c>
      <c r="P1220" s="23">
        <f>IFERROR(__xludf.DUMMYFUNCTION("""COMPUTED_VALUE"""),81538.0)</f>
        <v>81538</v>
      </c>
      <c r="Q1220" s="23">
        <f>IFERROR(__xludf.DUMMYFUNCTION("""COMPUTED_VALUE"""),124098.0)</f>
        <v>124098</v>
      </c>
    </row>
    <row r="1221">
      <c r="A1221" s="23">
        <f>IFERROR(__xludf.DUMMYFUNCTION("""COMPUTED_VALUE"""),1332.0)</f>
        <v>1332</v>
      </c>
      <c r="B1221" s="23" t="str">
        <f>IFERROR(__xludf.DUMMYFUNCTION("""COMPUTED_VALUE"""),"Count Vowels Permutation")</f>
        <v>Count Vowels Permutation</v>
      </c>
      <c r="C1221" s="23" t="str">
        <f>IFERROR(__xludf.DUMMYFUNCTION("""COMPUTED_VALUE"""),"count-vowels-permutation")</f>
        <v>count-vowels-permutation</v>
      </c>
      <c r="D1221" s="23" t="b">
        <f>IFERROR(__xludf.DUMMYFUNCTION("""COMPUTED_VALUE"""),FALSE)</f>
        <v>0</v>
      </c>
      <c r="E1221" s="23" t="str">
        <f>IFERROR(__xludf.DUMMYFUNCTION("""COMPUTED_VALUE"""),"Hard")</f>
        <v>Hard</v>
      </c>
      <c r="F1221" s="23">
        <f>IFERROR(__xludf.DUMMYFUNCTION("""COMPUTED_VALUE"""),939.0)</f>
        <v>939</v>
      </c>
      <c r="G1221" s="23">
        <f>IFERROR(__xludf.DUMMYFUNCTION("""COMPUTED_VALUE"""),92.0)</f>
        <v>92</v>
      </c>
      <c r="H1221" s="23" t="str">
        <f>IFERROR(__xludf.DUMMYFUNCTION("""COMPUTED_VALUE"""),"Algorithms")</f>
        <v>Algorithms</v>
      </c>
      <c r="I1221" s="23">
        <f>IFERROR(__xludf.DUMMYFUNCTION("""COMPUTED_VALUE"""),0.563)</f>
        <v>0.563</v>
      </c>
      <c r="J1221" s="23">
        <f>IFERROR(__xludf.DUMMYFUNCTION("""COMPUTED_VALUE"""),1220.0)</f>
        <v>1220</v>
      </c>
      <c r="K1221" s="23" t="b">
        <f>IFERROR(__xludf.DUMMYFUNCTION("""COMPUTED_VALUE"""),FALSE)</f>
        <v>0</v>
      </c>
      <c r="L1221" s="23" t="str">
        <f>IFERROR(__xludf.DUMMYFUNCTION("""COMPUTED_VALUE"""),"Dynamic Programming;")</f>
        <v>Dynamic Programming;</v>
      </c>
      <c r="M1221" s="23" t="b">
        <f>IFERROR(__xludf.DUMMYFUNCTION("""COMPUTED_VALUE"""),TRUE)</f>
        <v>1</v>
      </c>
      <c r="N1221" s="23" t="b">
        <f>IFERROR(__xludf.DUMMYFUNCTION("""COMPUTED_VALUE"""),FALSE)</f>
        <v>0</v>
      </c>
      <c r="O1221" s="23">
        <f>IFERROR(__xludf.DUMMYFUNCTION("""COMPUTED_VALUE"""),56.2545746889211)</f>
        <v>56.25457469</v>
      </c>
      <c r="P1221" s="23">
        <f>IFERROR(__xludf.DUMMYFUNCTION("""COMPUTED_VALUE"""),46881.0)</f>
        <v>46881</v>
      </c>
      <c r="Q1221" s="23">
        <f>IFERROR(__xludf.DUMMYFUNCTION("""COMPUTED_VALUE"""),83338.0)</f>
        <v>83338</v>
      </c>
    </row>
    <row r="1222">
      <c r="A1222" s="23">
        <f>IFERROR(__xludf.DUMMYFUNCTION("""COMPUTED_VALUE"""),1341.0)</f>
        <v>1341</v>
      </c>
      <c r="B1222" s="23" t="str">
        <f>IFERROR(__xludf.DUMMYFUNCTION("""COMPUTED_VALUE"""),"Split a String in Balanced Strings")</f>
        <v>Split a String in Balanced Strings</v>
      </c>
      <c r="C1222" s="23" t="str">
        <f>IFERROR(__xludf.DUMMYFUNCTION("""COMPUTED_VALUE"""),"split-a-string-in-balanced-strings")</f>
        <v>split-a-string-in-balanced-strings</v>
      </c>
      <c r="D1222" s="23" t="b">
        <f>IFERROR(__xludf.DUMMYFUNCTION("""COMPUTED_VALUE"""),FALSE)</f>
        <v>0</v>
      </c>
      <c r="E1222" s="23" t="str">
        <f>IFERROR(__xludf.DUMMYFUNCTION("""COMPUTED_VALUE"""),"Easy")</f>
        <v>Easy</v>
      </c>
      <c r="F1222" s="23">
        <f>IFERROR(__xludf.DUMMYFUNCTION("""COMPUTED_VALUE"""),1698.0)</f>
        <v>1698</v>
      </c>
      <c r="G1222" s="23">
        <f>IFERROR(__xludf.DUMMYFUNCTION("""COMPUTED_VALUE"""),749.0)</f>
        <v>749</v>
      </c>
      <c r="H1222" s="23" t="str">
        <f>IFERROR(__xludf.DUMMYFUNCTION("""COMPUTED_VALUE"""),"Algorithms")</f>
        <v>Algorithms</v>
      </c>
      <c r="I1222" s="23">
        <f>IFERROR(__xludf.DUMMYFUNCTION("""COMPUTED_VALUE"""),0.846)</f>
        <v>0.846</v>
      </c>
      <c r="J1222" s="23">
        <f>IFERROR(__xludf.DUMMYFUNCTION("""COMPUTED_VALUE"""),1221.0)</f>
        <v>1221</v>
      </c>
      <c r="K1222" s="23" t="b">
        <f>IFERROR(__xludf.DUMMYFUNCTION("""COMPUTED_VALUE"""),FALSE)</f>
        <v>0</v>
      </c>
      <c r="L1222" s="23" t="str">
        <f>IFERROR(__xludf.DUMMYFUNCTION("""COMPUTED_VALUE"""),"String;Greedy;Counting;")</f>
        <v>String;Greedy;Counting;</v>
      </c>
      <c r="M1222" s="23" t="b">
        <f>IFERROR(__xludf.DUMMYFUNCTION("""COMPUTED_VALUE"""),FALSE)</f>
        <v>0</v>
      </c>
      <c r="N1222" s="23" t="b">
        <f>IFERROR(__xludf.DUMMYFUNCTION("""COMPUTED_VALUE"""),FALSE)</f>
        <v>0</v>
      </c>
      <c r="O1222" s="23">
        <f>IFERROR(__xludf.DUMMYFUNCTION("""COMPUTED_VALUE"""),84.6275255240274)</f>
        <v>84.62752552</v>
      </c>
      <c r="P1222" s="23">
        <f>IFERROR(__xludf.DUMMYFUNCTION("""COMPUTED_VALUE"""),196780.0)</f>
        <v>196780</v>
      </c>
      <c r="Q1222" s="23">
        <f>IFERROR(__xludf.DUMMYFUNCTION("""COMPUTED_VALUE"""),232525.0)</f>
        <v>232525</v>
      </c>
    </row>
    <row r="1223">
      <c r="A1223" s="23">
        <f>IFERROR(__xludf.DUMMYFUNCTION("""COMPUTED_VALUE"""),1342.0)</f>
        <v>1342</v>
      </c>
      <c r="B1223" s="23" t="str">
        <f>IFERROR(__xludf.DUMMYFUNCTION("""COMPUTED_VALUE"""),"Queens That Can Attack the King")</f>
        <v>Queens That Can Attack the King</v>
      </c>
      <c r="C1223" s="23" t="str">
        <f>IFERROR(__xludf.DUMMYFUNCTION("""COMPUTED_VALUE"""),"queens-that-can-attack-the-king")</f>
        <v>queens-that-can-attack-the-king</v>
      </c>
      <c r="D1223" s="23" t="b">
        <f>IFERROR(__xludf.DUMMYFUNCTION("""COMPUTED_VALUE"""),FALSE)</f>
        <v>0</v>
      </c>
      <c r="E1223" s="23" t="str">
        <f>IFERROR(__xludf.DUMMYFUNCTION("""COMPUTED_VALUE"""),"Medium")</f>
        <v>Medium</v>
      </c>
      <c r="F1223" s="23">
        <f>IFERROR(__xludf.DUMMYFUNCTION("""COMPUTED_VALUE"""),680.0)</f>
        <v>680</v>
      </c>
      <c r="G1223" s="23">
        <f>IFERROR(__xludf.DUMMYFUNCTION("""COMPUTED_VALUE"""),124.0)</f>
        <v>124</v>
      </c>
      <c r="H1223" s="23" t="str">
        <f>IFERROR(__xludf.DUMMYFUNCTION("""COMPUTED_VALUE"""),"Algorithms")</f>
        <v>Algorithms</v>
      </c>
      <c r="I1223" s="23">
        <f>IFERROR(__xludf.DUMMYFUNCTION("""COMPUTED_VALUE"""),0.712)</f>
        <v>0.712</v>
      </c>
      <c r="J1223" s="23">
        <f>IFERROR(__xludf.DUMMYFUNCTION("""COMPUTED_VALUE"""),1222.0)</f>
        <v>1222</v>
      </c>
      <c r="K1223" s="23" t="b">
        <f>IFERROR(__xludf.DUMMYFUNCTION("""COMPUTED_VALUE"""),FALSE)</f>
        <v>0</v>
      </c>
      <c r="L1223" s="23" t="str">
        <f>IFERROR(__xludf.DUMMYFUNCTION("""COMPUTED_VALUE"""),"Array;Matrix;Simulation;")</f>
        <v>Array;Matrix;Simulation;</v>
      </c>
      <c r="M1223" s="23" t="b">
        <f>IFERROR(__xludf.DUMMYFUNCTION("""COMPUTED_VALUE"""),FALSE)</f>
        <v>0</v>
      </c>
      <c r="N1223" s="23" t="b">
        <f>IFERROR(__xludf.DUMMYFUNCTION("""COMPUTED_VALUE"""),FALSE)</f>
        <v>0</v>
      </c>
      <c r="O1223" s="23">
        <f>IFERROR(__xludf.DUMMYFUNCTION("""COMPUTED_VALUE"""),71.1527351908634)</f>
        <v>71.15273519</v>
      </c>
      <c r="P1223" s="23">
        <f>IFERROR(__xludf.DUMMYFUNCTION("""COMPUTED_VALUE"""),32023.0)</f>
        <v>32023</v>
      </c>
      <c r="Q1223" s="23">
        <f>IFERROR(__xludf.DUMMYFUNCTION("""COMPUTED_VALUE"""),45006.0)</f>
        <v>45006</v>
      </c>
    </row>
    <row r="1224">
      <c r="A1224" s="23">
        <f>IFERROR(__xludf.DUMMYFUNCTION("""COMPUTED_VALUE"""),1343.0)</f>
        <v>1343</v>
      </c>
      <c r="B1224" s="23" t="str">
        <f>IFERROR(__xludf.DUMMYFUNCTION("""COMPUTED_VALUE"""),"Dice Roll Simulation")</f>
        <v>Dice Roll Simulation</v>
      </c>
      <c r="C1224" s="23" t="str">
        <f>IFERROR(__xludf.DUMMYFUNCTION("""COMPUTED_VALUE"""),"dice-roll-simulation")</f>
        <v>dice-roll-simulation</v>
      </c>
      <c r="D1224" s="23" t="b">
        <f>IFERROR(__xludf.DUMMYFUNCTION("""COMPUTED_VALUE"""),FALSE)</f>
        <v>0</v>
      </c>
      <c r="E1224" s="23" t="str">
        <f>IFERROR(__xludf.DUMMYFUNCTION("""COMPUTED_VALUE"""),"Hard")</f>
        <v>Hard</v>
      </c>
      <c r="F1224" s="23">
        <f>IFERROR(__xludf.DUMMYFUNCTION("""COMPUTED_VALUE"""),685.0)</f>
        <v>685</v>
      </c>
      <c r="G1224" s="23">
        <f>IFERROR(__xludf.DUMMYFUNCTION("""COMPUTED_VALUE"""),176.0)</f>
        <v>176</v>
      </c>
      <c r="H1224" s="23" t="str">
        <f>IFERROR(__xludf.DUMMYFUNCTION("""COMPUTED_VALUE"""),"Algorithms")</f>
        <v>Algorithms</v>
      </c>
      <c r="I1224" s="23">
        <f>IFERROR(__xludf.DUMMYFUNCTION("""COMPUTED_VALUE"""),0.479)</f>
        <v>0.479</v>
      </c>
      <c r="J1224" s="23">
        <f>IFERROR(__xludf.DUMMYFUNCTION("""COMPUTED_VALUE"""),1223.0)</f>
        <v>1223</v>
      </c>
      <c r="K1224" s="23" t="b">
        <f>IFERROR(__xludf.DUMMYFUNCTION("""COMPUTED_VALUE"""),FALSE)</f>
        <v>0</v>
      </c>
      <c r="L1224" s="23" t="str">
        <f>IFERROR(__xludf.DUMMYFUNCTION("""COMPUTED_VALUE"""),"Array;Dynamic Programming;")</f>
        <v>Array;Dynamic Programming;</v>
      </c>
      <c r="M1224" s="23" t="b">
        <f>IFERROR(__xludf.DUMMYFUNCTION("""COMPUTED_VALUE"""),FALSE)</f>
        <v>0</v>
      </c>
      <c r="N1224" s="23" t="b">
        <f>IFERROR(__xludf.DUMMYFUNCTION("""COMPUTED_VALUE"""),FALSE)</f>
        <v>0</v>
      </c>
      <c r="O1224" s="23">
        <f>IFERROR(__xludf.DUMMYFUNCTION("""COMPUTED_VALUE"""),47.8759464694488)</f>
        <v>47.87594647</v>
      </c>
      <c r="P1224" s="23">
        <f>IFERROR(__xludf.DUMMYFUNCTION("""COMPUTED_VALUE"""),21751.0)</f>
        <v>21751</v>
      </c>
      <c r="Q1224" s="23">
        <f>IFERROR(__xludf.DUMMYFUNCTION("""COMPUTED_VALUE"""),45432.0)</f>
        <v>45432</v>
      </c>
    </row>
    <row r="1225">
      <c r="A1225" s="23">
        <f>IFERROR(__xludf.DUMMYFUNCTION("""COMPUTED_VALUE"""),1344.0)</f>
        <v>1344</v>
      </c>
      <c r="B1225" s="23" t="str">
        <f>IFERROR(__xludf.DUMMYFUNCTION("""COMPUTED_VALUE"""),"Maximum Equal Frequency")</f>
        <v>Maximum Equal Frequency</v>
      </c>
      <c r="C1225" s="23" t="str">
        <f>IFERROR(__xludf.DUMMYFUNCTION("""COMPUTED_VALUE"""),"maximum-equal-frequency")</f>
        <v>maximum-equal-frequency</v>
      </c>
      <c r="D1225" s="23" t="b">
        <f>IFERROR(__xludf.DUMMYFUNCTION("""COMPUTED_VALUE"""),FALSE)</f>
        <v>0</v>
      </c>
      <c r="E1225" s="23" t="str">
        <f>IFERROR(__xludf.DUMMYFUNCTION("""COMPUTED_VALUE"""),"Hard")</f>
        <v>Hard</v>
      </c>
      <c r="F1225" s="23">
        <f>IFERROR(__xludf.DUMMYFUNCTION("""COMPUTED_VALUE"""),360.0)</f>
        <v>360</v>
      </c>
      <c r="G1225" s="23">
        <f>IFERROR(__xludf.DUMMYFUNCTION("""COMPUTED_VALUE"""),42.0)</f>
        <v>42</v>
      </c>
      <c r="H1225" s="23" t="str">
        <f>IFERROR(__xludf.DUMMYFUNCTION("""COMPUTED_VALUE"""),"Algorithms")</f>
        <v>Algorithms</v>
      </c>
      <c r="I1225" s="23">
        <f>IFERROR(__xludf.DUMMYFUNCTION("""COMPUTED_VALUE"""),0.366)</f>
        <v>0.366</v>
      </c>
      <c r="J1225" s="23">
        <f>IFERROR(__xludf.DUMMYFUNCTION("""COMPUTED_VALUE"""),1224.0)</f>
        <v>1224</v>
      </c>
      <c r="K1225" s="23" t="b">
        <f>IFERROR(__xludf.DUMMYFUNCTION("""COMPUTED_VALUE"""),FALSE)</f>
        <v>0</v>
      </c>
      <c r="L1225" s="23" t="str">
        <f>IFERROR(__xludf.DUMMYFUNCTION("""COMPUTED_VALUE"""),"Array;Hash Table;")</f>
        <v>Array;Hash Table;</v>
      </c>
      <c r="M1225" s="23" t="b">
        <f>IFERROR(__xludf.DUMMYFUNCTION("""COMPUTED_VALUE"""),FALSE)</f>
        <v>0</v>
      </c>
      <c r="N1225" s="23" t="b">
        <f>IFERROR(__xludf.DUMMYFUNCTION("""COMPUTED_VALUE"""),FALSE)</f>
        <v>0</v>
      </c>
      <c r="O1225" s="23">
        <f>IFERROR(__xludf.DUMMYFUNCTION("""COMPUTED_VALUE"""),36.5603176776667)</f>
        <v>36.56031768</v>
      </c>
      <c r="P1225" s="23">
        <f>IFERROR(__xludf.DUMMYFUNCTION("""COMPUTED_VALUE"""),10680.0)</f>
        <v>10680</v>
      </c>
      <c r="Q1225" s="23">
        <f>IFERROR(__xludf.DUMMYFUNCTION("""COMPUTED_VALUE"""),29212.0)</f>
        <v>29212</v>
      </c>
    </row>
    <row r="1226">
      <c r="A1226" s="23">
        <f>IFERROR(__xludf.DUMMYFUNCTION("""COMPUTED_VALUE"""),1357.0)</f>
        <v>1357</v>
      </c>
      <c r="B1226" s="23" t="str">
        <f>IFERROR(__xludf.DUMMYFUNCTION("""COMPUTED_VALUE"""),"Report Contiguous Dates")</f>
        <v>Report Contiguous Dates</v>
      </c>
      <c r="C1226" s="23" t="str">
        <f>IFERROR(__xludf.DUMMYFUNCTION("""COMPUTED_VALUE"""),"report-contiguous-dates")</f>
        <v>report-contiguous-dates</v>
      </c>
      <c r="D1226" s="23" t="b">
        <f>IFERROR(__xludf.DUMMYFUNCTION("""COMPUTED_VALUE"""),TRUE)</f>
        <v>1</v>
      </c>
      <c r="E1226" s="23" t="str">
        <f>IFERROR(__xludf.DUMMYFUNCTION("""COMPUTED_VALUE"""),"Hard")</f>
        <v>Hard</v>
      </c>
      <c r="F1226" s="23">
        <f>IFERROR(__xludf.DUMMYFUNCTION("""COMPUTED_VALUE"""),221.0)</f>
        <v>221</v>
      </c>
      <c r="G1226" s="23">
        <f>IFERROR(__xludf.DUMMYFUNCTION("""COMPUTED_VALUE"""),18.0)</f>
        <v>18</v>
      </c>
      <c r="H1226" s="23" t="str">
        <f>IFERROR(__xludf.DUMMYFUNCTION("""COMPUTED_VALUE"""),"Database")</f>
        <v>Database</v>
      </c>
      <c r="I1226" s="23">
        <f>IFERROR(__xludf.DUMMYFUNCTION("""COMPUTED_VALUE"""),0.632)</f>
        <v>0.632</v>
      </c>
      <c r="J1226" s="23">
        <f>IFERROR(__xludf.DUMMYFUNCTION("""COMPUTED_VALUE"""),1225.0)</f>
        <v>1225</v>
      </c>
      <c r="K1226" s="23" t="b">
        <f>IFERROR(__xludf.DUMMYFUNCTION("""COMPUTED_VALUE"""),TRUE)</f>
        <v>1</v>
      </c>
      <c r="L1226" s="23" t="str">
        <f>IFERROR(__xludf.DUMMYFUNCTION("""COMPUTED_VALUE"""),"Database;")</f>
        <v>Database;</v>
      </c>
      <c r="M1226" s="23" t="b">
        <f>IFERROR(__xludf.DUMMYFUNCTION("""COMPUTED_VALUE"""),FALSE)</f>
        <v>0</v>
      </c>
      <c r="N1226" s="23" t="b">
        <f>IFERROR(__xludf.DUMMYFUNCTION("""COMPUTED_VALUE"""),FALSE)</f>
        <v>0</v>
      </c>
      <c r="O1226" s="23">
        <f>IFERROR(__xludf.DUMMYFUNCTION("""COMPUTED_VALUE"""),63.2316342520047)</f>
        <v>63.23163425</v>
      </c>
      <c r="P1226" s="23">
        <f>IFERROR(__xludf.DUMMYFUNCTION("""COMPUTED_VALUE"""),13720.0)</f>
        <v>13720</v>
      </c>
      <c r="Q1226" s="23">
        <f>IFERROR(__xludf.DUMMYFUNCTION("""COMPUTED_VALUE"""),21698.0)</f>
        <v>21698</v>
      </c>
    </row>
    <row r="1227">
      <c r="A1227" s="23">
        <f>IFERROR(__xludf.DUMMYFUNCTION("""COMPUTED_VALUE"""),1340.0)</f>
        <v>1340</v>
      </c>
      <c r="B1227" s="23" t="str">
        <f>IFERROR(__xludf.DUMMYFUNCTION("""COMPUTED_VALUE"""),"The Dining Philosophers")</f>
        <v>The Dining Philosophers</v>
      </c>
      <c r="C1227" s="23" t="str">
        <f>IFERROR(__xludf.DUMMYFUNCTION("""COMPUTED_VALUE"""),"the-dining-philosophers")</f>
        <v>the-dining-philosophers</v>
      </c>
      <c r="D1227" s="23" t="b">
        <f>IFERROR(__xludf.DUMMYFUNCTION("""COMPUTED_VALUE"""),FALSE)</f>
        <v>0</v>
      </c>
      <c r="E1227" s="23" t="str">
        <f>IFERROR(__xludf.DUMMYFUNCTION("""COMPUTED_VALUE"""),"Medium")</f>
        <v>Medium</v>
      </c>
      <c r="F1227" s="23">
        <f>IFERROR(__xludf.DUMMYFUNCTION("""COMPUTED_VALUE"""),181.0)</f>
        <v>181</v>
      </c>
      <c r="G1227" s="23">
        <f>IFERROR(__xludf.DUMMYFUNCTION("""COMPUTED_VALUE"""),206.0)</f>
        <v>206</v>
      </c>
      <c r="H1227" s="23" t="str">
        <f>IFERROR(__xludf.DUMMYFUNCTION("""COMPUTED_VALUE"""),"Concurrency")</f>
        <v>Concurrency</v>
      </c>
      <c r="I1227" s="23">
        <f>IFERROR(__xludf.DUMMYFUNCTION("""COMPUTED_VALUE"""),0.574)</f>
        <v>0.574</v>
      </c>
      <c r="J1227" s="23">
        <f>IFERROR(__xludf.DUMMYFUNCTION("""COMPUTED_VALUE"""),1226.0)</f>
        <v>1226</v>
      </c>
      <c r="K1227" s="23" t="b">
        <f>IFERROR(__xludf.DUMMYFUNCTION("""COMPUTED_VALUE"""),FALSE)</f>
        <v>0</v>
      </c>
      <c r="L1227" s="23" t="str">
        <f>IFERROR(__xludf.DUMMYFUNCTION("""COMPUTED_VALUE"""),"Concurrency;")</f>
        <v>Concurrency;</v>
      </c>
      <c r="M1227" s="23" t="b">
        <f>IFERROR(__xludf.DUMMYFUNCTION("""COMPUTED_VALUE"""),FALSE)</f>
        <v>0</v>
      </c>
      <c r="N1227" s="23" t="b">
        <f>IFERROR(__xludf.DUMMYFUNCTION("""COMPUTED_VALUE"""),FALSE)</f>
        <v>0</v>
      </c>
      <c r="O1227" s="23">
        <f>IFERROR(__xludf.DUMMYFUNCTION("""COMPUTED_VALUE"""),57.3518807835596)</f>
        <v>57.35188078</v>
      </c>
      <c r="P1227" s="23">
        <f>IFERROR(__xludf.DUMMYFUNCTION("""COMPUTED_VALUE"""),19089.0)</f>
        <v>19089</v>
      </c>
      <c r="Q1227" s="23">
        <f>IFERROR(__xludf.DUMMYFUNCTION("""COMPUTED_VALUE"""),33284.0)</f>
        <v>33284</v>
      </c>
    </row>
    <row r="1228">
      <c r="A1228" s="23">
        <f>IFERROR(__xludf.DUMMYFUNCTION("""COMPUTED_VALUE"""),1362.0)</f>
        <v>1362</v>
      </c>
      <c r="B1228" s="23" t="str">
        <f>IFERROR(__xludf.DUMMYFUNCTION("""COMPUTED_VALUE"""),"Airplane Seat Assignment Probability")</f>
        <v>Airplane Seat Assignment Probability</v>
      </c>
      <c r="C1228" s="23" t="str">
        <f>IFERROR(__xludf.DUMMYFUNCTION("""COMPUTED_VALUE"""),"airplane-seat-assignment-probability")</f>
        <v>airplane-seat-assignment-probability</v>
      </c>
      <c r="D1228" s="23" t="b">
        <f>IFERROR(__xludf.DUMMYFUNCTION("""COMPUTED_VALUE"""),FALSE)</f>
        <v>0</v>
      </c>
      <c r="E1228" s="23" t="str">
        <f>IFERROR(__xludf.DUMMYFUNCTION("""COMPUTED_VALUE"""),"Medium")</f>
        <v>Medium</v>
      </c>
      <c r="F1228" s="23">
        <f>IFERROR(__xludf.DUMMYFUNCTION("""COMPUTED_VALUE"""),367.0)</f>
        <v>367</v>
      </c>
      <c r="G1228" s="23">
        <f>IFERROR(__xludf.DUMMYFUNCTION("""COMPUTED_VALUE"""),667.0)</f>
        <v>667</v>
      </c>
      <c r="H1228" s="23" t="str">
        <f>IFERROR(__xludf.DUMMYFUNCTION("""COMPUTED_VALUE"""),"Algorithms")</f>
        <v>Algorithms</v>
      </c>
      <c r="I1228" s="23">
        <f>IFERROR(__xludf.DUMMYFUNCTION("""COMPUTED_VALUE"""),0.641)</f>
        <v>0.641</v>
      </c>
      <c r="J1228" s="23">
        <f>IFERROR(__xludf.DUMMYFUNCTION("""COMPUTED_VALUE"""),1227.0)</f>
        <v>1227</v>
      </c>
      <c r="K1228" s="23" t="b">
        <f>IFERROR(__xludf.DUMMYFUNCTION("""COMPUTED_VALUE"""),FALSE)</f>
        <v>0</v>
      </c>
      <c r="L1228" s="23" t="str">
        <f>IFERROR(__xludf.DUMMYFUNCTION("""COMPUTED_VALUE"""),"Math;Dynamic Programming;Brainteaser;Probability and Statistics;")</f>
        <v>Math;Dynamic Programming;Brainteaser;Probability and Statistics;</v>
      </c>
      <c r="M1228" s="23" t="b">
        <f>IFERROR(__xludf.DUMMYFUNCTION("""COMPUTED_VALUE"""),FALSE)</f>
        <v>0</v>
      </c>
      <c r="N1228" s="23" t="b">
        <f>IFERROR(__xludf.DUMMYFUNCTION("""COMPUTED_VALUE"""),FALSE)</f>
        <v>0</v>
      </c>
      <c r="O1228" s="23">
        <f>IFERROR(__xludf.DUMMYFUNCTION("""COMPUTED_VALUE"""),64.1387253647299)</f>
        <v>64.13872536</v>
      </c>
      <c r="P1228" s="23">
        <f>IFERROR(__xludf.DUMMYFUNCTION("""COMPUTED_VALUE"""),25059.0)</f>
        <v>25059</v>
      </c>
      <c r="Q1228" s="23">
        <f>IFERROR(__xludf.DUMMYFUNCTION("""COMPUTED_VALUE"""),39070.0)</f>
        <v>39070</v>
      </c>
    </row>
    <row r="1229">
      <c r="A1229" s="23">
        <f>IFERROR(__xludf.DUMMYFUNCTION("""COMPUTED_VALUE"""),1164.0)</f>
        <v>1164</v>
      </c>
      <c r="B1229" s="23" t="str">
        <f>IFERROR(__xludf.DUMMYFUNCTION("""COMPUTED_VALUE"""),"Missing Number In Arithmetic Progression")</f>
        <v>Missing Number In Arithmetic Progression</v>
      </c>
      <c r="C1229" s="23" t="str">
        <f>IFERROR(__xludf.DUMMYFUNCTION("""COMPUTED_VALUE"""),"missing-number-in-arithmetic-progression")</f>
        <v>missing-number-in-arithmetic-progression</v>
      </c>
      <c r="D1229" s="23" t="b">
        <f>IFERROR(__xludf.DUMMYFUNCTION("""COMPUTED_VALUE"""),TRUE)</f>
        <v>1</v>
      </c>
      <c r="E1229" s="23" t="str">
        <f>IFERROR(__xludf.DUMMYFUNCTION("""COMPUTED_VALUE"""),"Easy")</f>
        <v>Easy</v>
      </c>
      <c r="F1229" s="23">
        <f>IFERROR(__xludf.DUMMYFUNCTION("""COMPUTED_VALUE"""),242.0)</f>
        <v>242</v>
      </c>
      <c r="G1229" s="23">
        <f>IFERROR(__xludf.DUMMYFUNCTION("""COMPUTED_VALUE"""),31.0)</f>
        <v>31</v>
      </c>
      <c r="H1229" s="23" t="str">
        <f>IFERROR(__xludf.DUMMYFUNCTION("""COMPUTED_VALUE"""),"Algorithms")</f>
        <v>Algorithms</v>
      </c>
      <c r="I1229" s="23">
        <f>IFERROR(__xludf.DUMMYFUNCTION("""COMPUTED_VALUE"""),0.512)</f>
        <v>0.512</v>
      </c>
      <c r="J1229" s="23">
        <f>IFERROR(__xludf.DUMMYFUNCTION("""COMPUTED_VALUE"""),1228.0)</f>
        <v>1228</v>
      </c>
      <c r="K1229" s="23" t="b">
        <f>IFERROR(__xludf.DUMMYFUNCTION("""COMPUTED_VALUE"""),TRUE)</f>
        <v>1</v>
      </c>
      <c r="L1229" s="23" t="str">
        <f>IFERROR(__xludf.DUMMYFUNCTION("""COMPUTED_VALUE"""),"Array;Math;")</f>
        <v>Array;Math;</v>
      </c>
      <c r="M1229" s="23" t="b">
        <f>IFERROR(__xludf.DUMMYFUNCTION("""COMPUTED_VALUE"""),TRUE)</f>
        <v>1</v>
      </c>
      <c r="N1229" s="23" t="b">
        <f>IFERROR(__xludf.DUMMYFUNCTION("""COMPUTED_VALUE"""),TRUE)</f>
        <v>1</v>
      </c>
      <c r="O1229" s="23">
        <f>IFERROR(__xludf.DUMMYFUNCTION("""COMPUTED_VALUE"""),51.1724377763425)</f>
        <v>51.17243778</v>
      </c>
      <c r="P1229" s="23">
        <f>IFERROR(__xludf.DUMMYFUNCTION("""COMPUTED_VALUE"""),20601.0)</f>
        <v>20601</v>
      </c>
      <c r="Q1229" s="23">
        <f>IFERROR(__xludf.DUMMYFUNCTION("""COMPUTED_VALUE"""),40258.0)</f>
        <v>40258</v>
      </c>
    </row>
    <row r="1230">
      <c r="A1230" s="23">
        <f>IFERROR(__xludf.DUMMYFUNCTION("""COMPUTED_VALUE"""),1165.0)</f>
        <v>1165</v>
      </c>
      <c r="B1230" s="23" t="str">
        <f>IFERROR(__xludf.DUMMYFUNCTION("""COMPUTED_VALUE"""),"Meeting Scheduler")</f>
        <v>Meeting Scheduler</v>
      </c>
      <c r="C1230" s="23" t="str">
        <f>IFERROR(__xludf.DUMMYFUNCTION("""COMPUTED_VALUE"""),"meeting-scheduler")</f>
        <v>meeting-scheduler</v>
      </c>
      <c r="D1230" s="23" t="b">
        <f>IFERROR(__xludf.DUMMYFUNCTION("""COMPUTED_VALUE"""),TRUE)</f>
        <v>1</v>
      </c>
      <c r="E1230" s="23" t="str">
        <f>IFERROR(__xludf.DUMMYFUNCTION("""COMPUTED_VALUE"""),"Medium")</f>
        <v>Medium</v>
      </c>
      <c r="F1230" s="23">
        <f>IFERROR(__xludf.DUMMYFUNCTION("""COMPUTED_VALUE"""),628.0)</f>
        <v>628</v>
      </c>
      <c r="G1230" s="23">
        <f>IFERROR(__xludf.DUMMYFUNCTION("""COMPUTED_VALUE"""),27.0)</f>
        <v>27</v>
      </c>
      <c r="H1230" s="23" t="str">
        <f>IFERROR(__xludf.DUMMYFUNCTION("""COMPUTED_VALUE"""),"Algorithms")</f>
        <v>Algorithms</v>
      </c>
      <c r="I1230" s="23">
        <f>IFERROR(__xludf.DUMMYFUNCTION("""COMPUTED_VALUE"""),0.547)</f>
        <v>0.547</v>
      </c>
      <c r="J1230" s="23">
        <f>IFERROR(__xludf.DUMMYFUNCTION("""COMPUTED_VALUE"""),1229.0)</f>
        <v>1229</v>
      </c>
      <c r="K1230" s="23" t="b">
        <f>IFERROR(__xludf.DUMMYFUNCTION("""COMPUTED_VALUE"""),TRUE)</f>
        <v>1</v>
      </c>
      <c r="L1230" s="23" t="str">
        <f>IFERROR(__xludf.DUMMYFUNCTION("""COMPUTED_VALUE"""),"Array;Two Pointers;Sorting;")</f>
        <v>Array;Two Pointers;Sorting;</v>
      </c>
      <c r="M1230" s="23" t="b">
        <f>IFERROR(__xludf.DUMMYFUNCTION("""COMPUTED_VALUE"""),TRUE)</f>
        <v>1</v>
      </c>
      <c r="N1230" s="23" t="b">
        <f>IFERROR(__xludf.DUMMYFUNCTION("""COMPUTED_VALUE"""),FALSE)</f>
        <v>0</v>
      </c>
      <c r="O1230" s="23">
        <f>IFERROR(__xludf.DUMMYFUNCTION("""COMPUTED_VALUE"""),54.7424017204845)</f>
        <v>54.74240172</v>
      </c>
      <c r="P1230" s="23">
        <f>IFERROR(__xludf.DUMMYFUNCTION("""COMPUTED_VALUE"""),51925.0)</f>
        <v>51925</v>
      </c>
      <c r="Q1230" s="23">
        <f>IFERROR(__xludf.DUMMYFUNCTION("""COMPUTED_VALUE"""),94854.0)</f>
        <v>94854</v>
      </c>
    </row>
    <row r="1231">
      <c r="A1231" s="23">
        <f>IFERROR(__xludf.DUMMYFUNCTION("""COMPUTED_VALUE"""),1166.0)</f>
        <v>1166</v>
      </c>
      <c r="B1231" s="23" t="str">
        <f>IFERROR(__xludf.DUMMYFUNCTION("""COMPUTED_VALUE"""),"Toss Strange Coins")</f>
        <v>Toss Strange Coins</v>
      </c>
      <c r="C1231" s="23" t="str">
        <f>IFERROR(__xludf.DUMMYFUNCTION("""COMPUTED_VALUE"""),"toss-strange-coins")</f>
        <v>toss-strange-coins</v>
      </c>
      <c r="D1231" s="23" t="b">
        <f>IFERROR(__xludf.DUMMYFUNCTION("""COMPUTED_VALUE"""),TRUE)</f>
        <v>1</v>
      </c>
      <c r="E1231" s="23" t="str">
        <f>IFERROR(__xludf.DUMMYFUNCTION("""COMPUTED_VALUE"""),"Medium")</f>
        <v>Medium</v>
      </c>
      <c r="F1231" s="23">
        <f>IFERROR(__xludf.DUMMYFUNCTION("""COMPUTED_VALUE"""),232.0)</f>
        <v>232</v>
      </c>
      <c r="G1231" s="23">
        <f>IFERROR(__xludf.DUMMYFUNCTION("""COMPUTED_VALUE"""),20.0)</f>
        <v>20</v>
      </c>
      <c r="H1231" s="23" t="str">
        <f>IFERROR(__xludf.DUMMYFUNCTION("""COMPUTED_VALUE"""),"Algorithms")</f>
        <v>Algorithms</v>
      </c>
      <c r="I1231" s="23">
        <f>IFERROR(__xludf.DUMMYFUNCTION("""COMPUTED_VALUE"""),0.527)</f>
        <v>0.527</v>
      </c>
      <c r="J1231" s="23">
        <f>IFERROR(__xludf.DUMMYFUNCTION("""COMPUTED_VALUE"""),1230.0)</f>
        <v>1230</v>
      </c>
      <c r="K1231" s="23" t="b">
        <f>IFERROR(__xludf.DUMMYFUNCTION("""COMPUTED_VALUE"""),TRUE)</f>
        <v>1</v>
      </c>
      <c r="L1231" s="23" t="str">
        <f>IFERROR(__xludf.DUMMYFUNCTION("""COMPUTED_VALUE"""),"Math;Dynamic Programming;Probability and Statistics;")</f>
        <v>Math;Dynamic Programming;Probability and Statistics;</v>
      </c>
      <c r="M1231" s="23" t="b">
        <f>IFERROR(__xludf.DUMMYFUNCTION("""COMPUTED_VALUE"""),FALSE)</f>
        <v>0</v>
      </c>
      <c r="N1231" s="23" t="b">
        <f>IFERROR(__xludf.DUMMYFUNCTION("""COMPUTED_VALUE"""),FALSE)</f>
        <v>0</v>
      </c>
      <c r="O1231" s="23">
        <f>IFERROR(__xludf.DUMMYFUNCTION("""COMPUTED_VALUE"""),52.6661454261141)</f>
        <v>52.66614543</v>
      </c>
      <c r="P1231" s="23">
        <f>IFERROR(__xludf.DUMMYFUNCTION("""COMPUTED_VALUE"""),10104.0)</f>
        <v>10104</v>
      </c>
      <c r="Q1231" s="23">
        <f>IFERROR(__xludf.DUMMYFUNCTION("""COMPUTED_VALUE"""),19185.0)</f>
        <v>19185</v>
      </c>
    </row>
    <row r="1232">
      <c r="A1232" s="23">
        <f>IFERROR(__xludf.DUMMYFUNCTION("""COMPUTED_VALUE"""),1192.0)</f>
        <v>1192</v>
      </c>
      <c r="B1232" s="23" t="str">
        <f>IFERROR(__xludf.DUMMYFUNCTION("""COMPUTED_VALUE"""),"Divide Chocolate")</f>
        <v>Divide Chocolate</v>
      </c>
      <c r="C1232" s="23" t="str">
        <f>IFERROR(__xludf.DUMMYFUNCTION("""COMPUTED_VALUE"""),"divide-chocolate")</f>
        <v>divide-chocolate</v>
      </c>
      <c r="D1232" s="23" t="b">
        <f>IFERROR(__xludf.DUMMYFUNCTION("""COMPUTED_VALUE"""),TRUE)</f>
        <v>1</v>
      </c>
      <c r="E1232" s="23" t="str">
        <f>IFERROR(__xludf.DUMMYFUNCTION("""COMPUTED_VALUE"""),"Hard")</f>
        <v>Hard</v>
      </c>
      <c r="F1232" s="23">
        <f>IFERROR(__xludf.DUMMYFUNCTION("""COMPUTED_VALUE"""),723.0)</f>
        <v>723</v>
      </c>
      <c r="G1232" s="23">
        <f>IFERROR(__xludf.DUMMYFUNCTION("""COMPUTED_VALUE"""),48.0)</f>
        <v>48</v>
      </c>
      <c r="H1232" s="23" t="str">
        <f>IFERROR(__xludf.DUMMYFUNCTION("""COMPUTED_VALUE"""),"Algorithms")</f>
        <v>Algorithms</v>
      </c>
      <c r="I1232" s="23">
        <f>IFERROR(__xludf.DUMMYFUNCTION("""COMPUTED_VALUE"""),0.563)</f>
        <v>0.563</v>
      </c>
      <c r="J1232" s="23">
        <f>IFERROR(__xludf.DUMMYFUNCTION("""COMPUTED_VALUE"""),1231.0)</f>
        <v>1231</v>
      </c>
      <c r="K1232" s="23" t="b">
        <f>IFERROR(__xludf.DUMMYFUNCTION("""COMPUTED_VALUE"""),TRUE)</f>
        <v>1</v>
      </c>
      <c r="L1232" s="23" t="str">
        <f>IFERROR(__xludf.DUMMYFUNCTION("""COMPUTED_VALUE"""),"Array;Binary Search;")</f>
        <v>Array;Binary Search;</v>
      </c>
      <c r="M1232" s="23" t="b">
        <f>IFERROR(__xludf.DUMMYFUNCTION("""COMPUTED_VALUE"""),TRUE)</f>
        <v>1</v>
      </c>
      <c r="N1232" s="23" t="b">
        <f>IFERROR(__xludf.DUMMYFUNCTION("""COMPUTED_VALUE"""),FALSE)</f>
        <v>0</v>
      </c>
      <c r="O1232" s="23">
        <f>IFERROR(__xludf.DUMMYFUNCTION("""COMPUTED_VALUE"""),56.3486342652945)</f>
        <v>56.34863427</v>
      </c>
      <c r="P1232" s="23">
        <f>IFERROR(__xludf.DUMMYFUNCTION("""COMPUTED_VALUE"""),36741.0)</f>
        <v>36741</v>
      </c>
      <c r="Q1232" s="23">
        <f>IFERROR(__xludf.DUMMYFUNCTION("""COMPUTED_VALUE"""),65203.0)</f>
        <v>65203</v>
      </c>
    </row>
    <row r="1233">
      <c r="A1233" s="23">
        <f>IFERROR(__xludf.DUMMYFUNCTION("""COMPUTED_VALUE"""),1349.0)</f>
        <v>1349</v>
      </c>
      <c r="B1233" s="23" t="str">
        <f>IFERROR(__xludf.DUMMYFUNCTION("""COMPUTED_VALUE"""),"Check If It Is a Straight Line")</f>
        <v>Check If It Is a Straight Line</v>
      </c>
      <c r="C1233" s="23" t="str">
        <f>IFERROR(__xludf.DUMMYFUNCTION("""COMPUTED_VALUE"""),"check-if-it-is-a-straight-line")</f>
        <v>check-if-it-is-a-straight-line</v>
      </c>
      <c r="D1233" s="23" t="b">
        <f>IFERROR(__xludf.DUMMYFUNCTION("""COMPUTED_VALUE"""),FALSE)</f>
        <v>0</v>
      </c>
      <c r="E1233" s="23" t="str">
        <f>IFERROR(__xludf.DUMMYFUNCTION("""COMPUTED_VALUE"""),"Easy")</f>
        <v>Easy</v>
      </c>
      <c r="F1233" s="23">
        <f>IFERROR(__xludf.DUMMYFUNCTION("""COMPUTED_VALUE"""),881.0)</f>
        <v>881</v>
      </c>
      <c r="G1233" s="23">
        <f>IFERROR(__xludf.DUMMYFUNCTION("""COMPUTED_VALUE"""),135.0)</f>
        <v>135</v>
      </c>
      <c r="H1233" s="23" t="str">
        <f>IFERROR(__xludf.DUMMYFUNCTION("""COMPUTED_VALUE"""),"Algorithms")</f>
        <v>Algorithms</v>
      </c>
      <c r="I1233" s="23">
        <f>IFERROR(__xludf.DUMMYFUNCTION("""COMPUTED_VALUE"""),0.419)</f>
        <v>0.419</v>
      </c>
      <c r="J1233" s="23">
        <f>IFERROR(__xludf.DUMMYFUNCTION("""COMPUTED_VALUE"""),1232.0)</f>
        <v>1232</v>
      </c>
      <c r="K1233" s="23" t="b">
        <f>IFERROR(__xludf.DUMMYFUNCTION("""COMPUTED_VALUE"""),FALSE)</f>
        <v>0</v>
      </c>
      <c r="L1233" s="23" t="str">
        <f>IFERROR(__xludf.DUMMYFUNCTION("""COMPUTED_VALUE"""),"Array;Math;Geometry;")</f>
        <v>Array;Math;Geometry;</v>
      </c>
      <c r="M1233" s="23" t="b">
        <f>IFERROR(__xludf.DUMMYFUNCTION("""COMPUTED_VALUE"""),FALSE)</f>
        <v>0</v>
      </c>
      <c r="N1233" s="23" t="b">
        <f>IFERROR(__xludf.DUMMYFUNCTION("""COMPUTED_VALUE"""),FALSE)</f>
        <v>0</v>
      </c>
      <c r="O1233" s="23">
        <f>IFERROR(__xludf.DUMMYFUNCTION("""COMPUTED_VALUE"""),41.9123071021805)</f>
        <v>41.9123071</v>
      </c>
      <c r="P1233" s="23">
        <f>IFERROR(__xludf.DUMMYFUNCTION("""COMPUTED_VALUE"""),113635.0)</f>
        <v>113635</v>
      </c>
      <c r="Q1233" s="23">
        <f>IFERROR(__xludf.DUMMYFUNCTION("""COMPUTED_VALUE"""),271125.0)</f>
        <v>271125</v>
      </c>
    </row>
    <row r="1234">
      <c r="A1234" s="23">
        <f>IFERROR(__xludf.DUMMYFUNCTION("""COMPUTED_VALUE"""),1350.0)</f>
        <v>1350</v>
      </c>
      <c r="B1234" s="23" t="str">
        <f>IFERROR(__xludf.DUMMYFUNCTION("""COMPUTED_VALUE"""),"Remove Sub-Folders from the Filesystem")</f>
        <v>Remove Sub-Folders from the Filesystem</v>
      </c>
      <c r="C1234" s="23" t="str">
        <f>IFERROR(__xludf.DUMMYFUNCTION("""COMPUTED_VALUE"""),"remove-sub-folders-from-the-filesystem")</f>
        <v>remove-sub-folders-from-the-filesystem</v>
      </c>
      <c r="D1234" s="23" t="b">
        <f>IFERROR(__xludf.DUMMYFUNCTION("""COMPUTED_VALUE"""),FALSE)</f>
        <v>0</v>
      </c>
      <c r="E1234" s="23" t="str">
        <f>IFERROR(__xludf.DUMMYFUNCTION("""COMPUTED_VALUE"""),"Medium")</f>
        <v>Medium</v>
      </c>
      <c r="F1234" s="23">
        <f>IFERROR(__xludf.DUMMYFUNCTION("""COMPUTED_VALUE"""),586.0)</f>
        <v>586</v>
      </c>
      <c r="G1234" s="23">
        <f>IFERROR(__xludf.DUMMYFUNCTION("""COMPUTED_VALUE"""),79.0)</f>
        <v>79</v>
      </c>
      <c r="H1234" s="23" t="str">
        <f>IFERROR(__xludf.DUMMYFUNCTION("""COMPUTED_VALUE"""),"Algorithms")</f>
        <v>Algorithms</v>
      </c>
      <c r="I1234" s="23">
        <f>IFERROR(__xludf.DUMMYFUNCTION("""COMPUTED_VALUE"""),0.652)</f>
        <v>0.652</v>
      </c>
      <c r="J1234" s="23">
        <f>IFERROR(__xludf.DUMMYFUNCTION("""COMPUTED_VALUE"""),1233.0)</f>
        <v>1233</v>
      </c>
      <c r="K1234" s="23" t="b">
        <f>IFERROR(__xludf.DUMMYFUNCTION("""COMPUTED_VALUE"""),FALSE)</f>
        <v>0</v>
      </c>
      <c r="L1234" s="23" t="str">
        <f>IFERROR(__xludf.DUMMYFUNCTION("""COMPUTED_VALUE"""),"Array;String;Trie;")</f>
        <v>Array;String;Trie;</v>
      </c>
      <c r="M1234" s="23" t="b">
        <f>IFERROR(__xludf.DUMMYFUNCTION("""COMPUTED_VALUE"""),FALSE)</f>
        <v>0</v>
      </c>
      <c r="N1234" s="23" t="b">
        <f>IFERROR(__xludf.DUMMYFUNCTION("""COMPUTED_VALUE"""),FALSE)</f>
        <v>0</v>
      </c>
      <c r="O1234" s="23">
        <f>IFERROR(__xludf.DUMMYFUNCTION("""COMPUTED_VALUE"""),65.1525423728813)</f>
        <v>65.15254237</v>
      </c>
      <c r="P1234" s="23">
        <f>IFERROR(__xludf.DUMMYFUNCTION("""COMPUTED_VALUE"""),42284.0)</f>
        <v>42284</v>
      </c>
      <c r="Q1234" s="23">
        <f>IFERROR(__xludf.DUMMYFUNCTION("""COMPUTED_VALUE"""),64900.0)</f>
        <v>64900</v>
      </c>
    </row>
    <row r="1235">
      <c r="A1235" s="23">
        <f>IFERROR(__xludf.DUMMYFUNCTION("""COMPUTED_VALUE"""),1351.0)</f>
        <v>1351</v>
      </c>
      <c r="B1235" s="23" t="str">
        <f>IFERROR(__xludf.DUMMYFUNCTION("""COMPUTED_VALUE"""),"Replace the Substring for Balanced String")</f>
        <v>Replace the Substring for Balanced String</v>
      </c>
      <c r="C1235" s="23" t="str">
        <f>IFERROR(__xludf.DUMMYFUNCTION("""COMPUTED_VALUE"""),"replace-the-substring-for-balanced-string")</f>
        <v>replace-the-substring-for-balanced-string</v>
      </c>
      <c r="D1235" s="23" t="b">
        <f>IFERROR(__xludf.DUMMYFUNCTION("""COMPUTED_VALUE"""),FALSE)</f>
        <v>0</v>
      </c>
      <c r="E1235" s="23" t="str">
        <f>IFERROR(__xludf.DUMMYFUNCTION("""COMPUTED_VALUE"""),"Medium")</f>
        <v>Medium</v>
      </c>
      <c r="F1235" s="23">
        <f>IFERROR(__xludf.DUMMYFUNCTION("""COMPUTED_VALUE"""),744.0)</f>
        <v>744</v>
      </c>
      <c r="G1235" s="23">
        <f>IFERROR(__xludf.DUMMYFUNCTION("""COMPUTED_VALUE"""),155.0)</f>
        <v>155</v>
      </c>
      <c r="H1235" s="23" t="str">
        <f>IFERROR(__xludf.DUMMYFUNCTION("""COMPUTED_VALUE"""),"Algorithms")</f>
        <v>Algorithms</v>
      </c>
      <c r="I1235" s="23">
        <f>IFERROR(__xludf.DUMMYFUNCTION("""COMPUTED_VALUE"""),0.362)</f>
        <v>0.362</v>
      </c>
      <c r="J1235" s="23">
        <f>IFERROR(__xludf.DUMMYFUNCTION("""COMPUTED_VALUE"""),1234.0)</f>
        <v>1234</v>
      </c>
      <c r="K1235" s="23" t="b">
        <f>IFERROR(__xludf.DUMMYFUNCTION("""COMPUTED_VALUE"""),FALSE)</f>
        <v>0</v>
      </c>
      <c r="L1235" s="23" t="str">
        <f>IFERROR(__xludf.DUMMYFUNCTION("""COMPUTED_VALUE"""),"String;Sliding Window;")</f>
        <v>String;Sliding Window;</v>
      </c>
      <c r="M1235" s="23" t="b">
        <f>IFERROR(__xludf.DUMMYFUNCTION("""COMPUTED_VALUE"""),FALSE)</f>
        <v>0</v>
      </c>
      <c r="N1235" s="23" t="b">
        <f>IFERROR(__xludf.DUMMYFUNCTION("""COMPUTED_VALUE"""),FALSE)</f>
        <v>0</v>
      </c>
      <c r="O1235" s="23">
        <f>IFERROR(__xludf.DUMMYFUNCTION("""COMPUTED_VALUE"""),36.203412662775)</f>
        <v>36.20341266</v>
      </c>
      <c r="P1235" s="23">
        <f>IFERROR(__xludf.DUMMYFUNCTION("""COMPUTED_VALUE"""),22575.0)</f>
        <v>22575</v>
      </c>
      <c r="Q1235" s="23">
        <f>IFERROR(__xludf.DUMMYFUNCTION("""COMPUTED_VALUE"""),62356.0)</f>
        <v>62356</v>
      </c>
    </row>
    <row r="1236">
      <c r="A1236" s="23">
        <f>IFERROR(__xludf.DUMMYFUNCTION("""COMPUTED_VALUE"""),1352.0)</f>
        <v>1352</v>
      </c>
      <c r="B1236" s="23" t="str">
        <f>IFERROR(__xludf.DUMMYFUNCTION("""COMPUTED_VALUE"""),"Maximum Profit in Job Scheduling")</f>
        <v>Maximum Profit in Job Scheduling</v>
      </c>
      <c r="C1236" s="23" t="str">
        <f>IFERROR(__xludf.DUMMYFUNCTION("""COMPUTED_VALUE"""),"maximum-profit-in-job-scheduling")</f>
        <v>maximum-profit-in-job-scheduling</v>
      </c>
      <c r="D1236" s="23" t="b">
        <f>IFERROR(__xludf.DUMMYFUNCTION("""COMPUTED_VALUE"""),FALSE)</f>
        <v>0</v>
      </c>
      <c r="E1236" s="23" t="str">
        <f>IFERROR(__xludf.DUMMYFUNCTION("""COMPUTED_VALUE"""),"Hard")</f>
        <v>Hard</v>
      </c>
      <c r="F1236" s="23">
        <f>IFERROR(__xludf.DUMMYFUNCTION("""COMPUTED_VALUE"""),3143.0)</f>
        <v>3143</v>
      </c>
      <c r="G1236" s="23">
        <f>IFERROR(__xludf.DUMMYFUNCTION("""COMPUTED_VALUE"""),34.0)</f>
        <v>34</v>
      </c>
      <c r="H1236" s="23" t="str">
        <f>IFERROR(__xludf.DUMMYFUNCTION("""COMPUTED_VALUE"""),"Algorithms")</f>
        <v>Algorithms</v>
      </c>
      <c r="I1236" s="23">
        <f>IFERROR(__xludf.DUMMYFUNCTION("""COMPUTED_VALUE"""),0.509)</f>
        <v>0.509</v>
      </c>
      <c r="J1236" s="23">
        <f>IFERROR(__xludf.DUMMYFUNCTION("""COMPUTED_VALUE"""),1235.0)</f>
        <v>1235</v>
      </c>
      <c r="K1236" s="23" t="b">
        <f>IFERROR(__xludf.DUMMYFUNCTION("""COMPUTED_VALUE"""),FALSE)</f>
        <v>0</v>
      </c>
      <c r="L1236" s="23" t="str">
        <f>IFERROR(__xludf.DUMMYFUNCTION("""COMPUTED_VALUE"""),"Array;Binary Search;Dynamic Programming;Sorting;")</f>
        <v>Array;Binary Search;Dynamic Programming;Sorting;</v>
      </c>
      <c r="M1236" s="23" t="b">
        <f>IFERROR(__xludf.DUMMYFUNCTION("""COMPUTED_VALUE"""),TRUE)</f>
        <v>1</v>
      </c>
      <c r="N1236" s="23" t="b">
        <f>IFERROR(__xludf.DUMMYFUNCTION("""COMPUTED_VALUE"""),FALSE)</f>
        <v>0</v>
      </c>
      <c r="O1236" s="23">
        <f>IFERROR(__xludf.DUMMYFUNCTION("""COMPUTED_VALUE"""),50.8850766246892)</f>
        <v>50.88507662</v>
      </c>
      <c r="P1236" s="23">
        <f>IFERROR(__xludf.DUMMYFUNCTION("""COMPUTED_VALUE"""),111765.0)</f>
        <v>111765</v>
      </c>
      <c r="Q1236" s="23">
        <f>IFERROR(__xludf.DUMMYFUNCTION("""COMPUTED_VALUE"""),219641.0)</f>
        <v>219641</v>
      </c>
    </row>
    <row r="1237">
      <c r="A1237" s="23">
        <f>IFERROR(__xludf.DUMMYFUNCTION("""COMPUTED_VALUE"""),1271.0)</f>
        <v>1271</v>
      </c>
      <c r="B1237" s="23" t="str">
        <f>IFERROR(__xludf.DUMMYFUNCTION("""COMPUTED_VALUE"""),"Web Crawler")</f>
        <v>Web Crawler</v>
      </c>
      <c r="C1237" s="23" t="str">
        <f>IFERROR(__xludf.DUMMYFUNCTION("""COMPUTED_VALUE"""),"web-crawler")</f>
        <v>web-crawler</v>
      </c>
      <c r="D1237" s="23" t="b">
        <f>IFERROR(__xludf.DUMMYFUNCTION("""COMPUTED_VALUE"""),TRUE)</f>
        <v>1</v>
      </c>
      <c r="E1237" s="23" t="str">
        <f>IFERROR(__xludf.DUMMYFUNCTION("""COMPUTED_VALUE"""),"Medium")</f>
        <v>Medium</v>
      </c>
      <c r="F1237" s="23">
        <f>IFERROR(__xludf.DUMMYFUNCTION("""COMPUTED_VALUE"""),182.0)</f>
        <v>182</v>
      </c>
      <c r="G1237" s="23">
        <f>IFERROR(__xludf.DUMMYFUNCTION("""COMPUTED_VALUE"""),201.0)</f>
        <v>201</v>
      </c>
      <c r="H1237" s="23" t="str">
        <f>IFERROR(__xludf.DUMMYFUNCTION("""COMPUTED_VALUE"""),"Algorithms")</f>
        <v>Algorithms</v>
      </c>
      <c r="I1237" s="23">
        <f>IFERROR(__xludf.DUMMYFUNCTION("""COMPUTED_VALUE"""),0.656)</f>
        <v>0.656</v>
      </c>
      <c r="J1237" s="23">
        <f>IFERROR(__xludf.DUMMYFUNCTION("""COMPUTED_VALUE"""),1236.0)</f>
        <v>1236</v>
      </c>
      <c r="K1237" s="23" t="b">
        <f>IFERROR(__xludf.DUMMYFUNCTION("""COMPUTED_VALUE"""),TRUE)</f>
        <v>1</v>
      </c>
      <c r="L1237" s="23" t="str">
        <f>IFERROR(__xludf.DUMMYFUNCTION("""COMPUTED_VALUE"""),"String;Depth-First Search;Breadth-First Search;Interactive;")</f>
        <v>String;Depth-First Search;Breadth-First Search;Interactive;</v>
      </c>
      <c r="M1237" s="23" t="b">
        <f>IFERROR(__xludf.DUMMYFUNCTION("""COMPUTED_VALUE"""),FALSE)</f>
        <v>0</v>
      </c>
      <c r="N1237" s="23" t="b">
        <f>IFERROR(__xludf.DUMMYFUNCTION("""COMPUTED_VALUE"""),FALSE)</f>
        <v>0</v>
      </c>
      <c r="O1237" s="23">
        <f>IFERROR(__xludf.DUMMYFUNCTION("""COMPUTED_VALUE"""),65.643266221881)</f>
        <v>65.64326622</v>
      </c>
      <c r="P1237" s="23">
        <f>IFERROR(__xludf.DUMMYFUNCTION("""COMPUTED_VALUE"""),22236.0)</f>
        <v>22236</v>
      </c>
      <c r="Q1237" s="23">
        <f>IFERROR(__xludf.DUMMYFUNCTION("""COMPUTED_VALUE"""),33874.0)</f>
        <v>33874</v>
      </c>
    </row>
    <row r="1238">
      <c r="A1238" s="23">
        <f>IFERROR(__xludf.DUMMYFUNCTION("""COMPUTED_VALUE"""),1358.0)</f>
        <v>1358</v>
      </c>
      <c r="B1238" s="23" t="str">
        <f>IFERROR(__xludf.DUMMYFUNCTION("""COMPUTED_VALUE"""),"Find Positive Integer Solution for a Given Equation")</f>
        <v>Find Positive Integer Solution for a Given Equation</v>
      </c>
      <c r="C1238" s="23" t="str">
        <f>IFERROR(__xludf.DUMMYFUNCTION("""COMPUTED_VALUE"""),"find-positive-integer-solution-for-a-given-equation")</f>
        <v>find-positive-integer-solution-for-a-given-equation</v>
      </c>
      <c r="D1238" s="23" t="b">
        <f>IFERROR(__xludf.DUMMYFUNCTION("""COMPUTED_VALUE"""),FALSE)</f>
        <v>0</v>
      </c>
      <c r="E1238" s="23" t="str">
        <f>IFERROR(__xludf.DUMMYFUNCTION("""COMPUTED_VALUE"""),"Medium")</f>
        <v>Medium</v>
      </c>
      <c r="F1238" s="23">
        <f>IFERROR(__xludf.DUMMYFUNCTION("""COMPUTED_VALUE"""),341.0)</f>
        <v>341</v>
      </c>
      <c r="G1238" s="23">
        <f>IFERROR(__xludf.DUMMYFUNCTION("""COMPUTED_VALUE"""),1147.0)</f>
        <v>1147</v>
      </c>
      <c r="H1238" s="23" t="str">
        <f>IFERROR(__xludf.DUMMYFUNCTION("""COMPUTED_VALUE"""),"Algorithms")</f>
        <v>Algorithms</v>
      </c>
      <c r="I1238" s="23">
        <f>IFERROR(__xludf.DUMMYFUNCTION("""COMPUTED_VALUE"""),0.693)</f>
        <v>0.693</v>
      </c>
      <c r="J1238" s="23">
        <f>IFERROR(__xludf.DUMMYFUNCTION("""COMPUTED_VALUE"""),1237.0)</f>
        <v>1237</v>
      </c>
      <c r="K1238" s="23" t="b">
        <f>IFERROR(__xludf.DUMMYFUNCTION("""COMPUTED_VALUE"""),FALSE)</f>
        <v>0</v>
      </c>
      <c r="L1238" s="23" t="str">
        <f>IFERROR(__xludf.DUMMYFUNCTION("""COMPUTED_VALUE"""),"Math;Two Pointers;Binary Search;Interactive;")</f>
        <v>Math;Two Pointers;Binary Search;Interactive;</v>
      </c>
      <c r="M1238" s="23" t="b">
        <f>IFERROR(__xludf.DUMMYFUNCTION("""COMPUTED_VALUE"""),FALSE)</f>
        <v>0</v>
      </c>
      <c r="N1238" s="23" t="b">
        <f>IFERROR(__xludf.DUMMYFUNCTION("""COMPUTED_VALUE"""),FALSE)</f>
        <v>0</v>
      </c>
      <c r="O1238" s="23">
        <f>IFERROR(__xludf.DUMMYFUNCTION("""COMPUTED_VALUE"""),69.332991131263)</f>
        <v>69.33299113</v>
      </c>
      <c r="P1238" s="23">
        <f>IFERROR(__xludf.DUMMYFUNCTION("""COMPUTED_VALUE"""),48626.0)</f>
        <v>48626</v>
      </c>
      <c r="Q1238" s="23">
        <f>IFERROR(__xludf.DUMMYFUNCTION("""COMPUTED_VALUE"""),70134.0)</f>
        <v>70134</v>
      </c>
    </row>
    <row r="1239">
      <c r="A1239" s="23">
        <f>IFERROR(__xludf.DUMMYFUNCTION("""COMPUTED_VALUE"""),1359.0)</f>
        <v>1359</v>
      </c>
      <c r="B1239" s="23" t="str">
        <f>IFERROR(__xludf.DUMMYFUNCTION("""COMPUTED_VALUE"""),"Circular Permutation in Binary Representation")</f>
        <v>Circular Permutation in Binary Representation</v>
      </c>
      <c r="C1239" s="23" t="str">
        <f>IFERROR(__xludf.DUMMYFUNCTION("""COMPUTED_VALUE"""),"circular-permutation-in-binary-representation")</f>
        <v>circular-permutation-in-binary-representation</v>
      </c>
      <c r="D1239" s="23" t="b">
        <f>IFERROR(__xludf.DUMMYFUNCTION("""COMPUTED_VALUE"""),FALSE)</f>
        <v>0</v>
      </c>
      <c r="E1239" s="23" t="str">
        <f>IFERROR(__xludf.DUMMYFUNCTION("""COMPUTED_VALUE"""),"Medium")</f>
        <v>Medium</v>
      </c>
      <c r="F1239" s="23">
        <f>IFERROR(__xludf.DUMMYFUNCTION("""COMPUTED_VALUE"""),242.0)</f>
        <v>242</v>
      </c>
      <c r="G1239" s="23">
        <f>IFERROR(__xludf.DUMMYFUNCTION("""COMPUTED_VALUE"""),157.0)</f>
        <v>157</v>
      </c>
      <c r="H1239" s="23" t="str">
        <f>IFERROR(__xludf.DUMMYFUNCTION("""COMPUTED_VALUE"""),"Algorithms")</f>
        <v>Algorithms</v>
      </c>
      <c r="I1239" s="23">
        <f>IFERROR(__xludf.DUMMYFUNCTION("""COMPUTED_VALUE"""),0.68)</f>
        <v>0.68</v>
      </c>
      <c r="J1239" s="23">
        <f>IFERROR(__xludf.DUMMYFUNCTION("""COMPUTED_VALUE"""),1238.0)</f>
        <v>1238</v>
      </c>
      <c r="K1239" s="23" t="b">
        <f>IFERROR(__xludf.DUMMYFUNCTION("""COMPUTED_VALUE"""),FALSE)</f>
        <v>0</v>
      </c>
      <c r="L1239" s="23" t="str">
        <f>IFERROR(__xludf.DUMMYFUNCTION("""COMPUTED_VALUE"""),"Math;Backtracking;Bit Manipulation;")</f>
        <v>Math;Backtracking;Bit Manipulation;</v>
      </c>
      <c r="M1239" s="23" t="b">
        <f>IFERROR(__xludf.DUMMYFUNCTION("""COMPUTED_VALUE"""),FALSE)</f>
        <v>0</v>
      </c>
      <c r="N1239" s="23" t="b">
        <f>IFERROR(__xludf.DUMMYFUNCTION("""COMPUTED_VALUE"""),FALSE)</f>
        <v>0</v>
      </c>
      <c r="O1239" s="23">
        <f>IFERROR(__xludf.DUMMYFUNCTION("""COMPUTED_VALUE"""),68.0282796543597)</f>
        <v>68.02827965</v>
      </c>
      <c r="P1239" s="23">
        <f>IFERROR(__xludf.DUMMYFUNCTION("""COMPUTED_VALUE"""),12124.0)</f>
        <v>12124</v>
      </c>
      <c r="Q1239" s="23">
        <f>IFERROR(__xludf.DUMMYFUNCTION("""COMPUTED_VALUE"""),17822.0)</f>
        <v>17822</v>
      </c>
    </row>
    <row r="1240">
      <c r="A1240" s="23">
        <f>IFERROR(__xludf.DUMMYFUNCTION("""COMPUTED_VALUE"""),1360.0)</f>
        <v>1360</v>
      </c>
      <c r="B1240" s="23" t="str">
        <f>IFERROR(__xludf.DUMMYFUNCTION("""COMPUTED_VALUE"""),"Maximum Length of a Concatenated String with Unique Characters")</f>
        <v>Maximum Length of a Concatenated String with Unique Characters</v>
      </c>
      <c r="C1240" s="23" t="str">
        <f>IFERROR(__xludf.DUMMYFUNCTION("""COMPUTED_VALUE"""),"maximum-length-of-a-concatenated-string-with-unique-characters")</f>
        <v>maximum-length-of-a-concatenated-string-with-unique-characters</v>
      </c>
      <c r="D1240" s="23" t="b">
        <f>IFERROR(__xludf.DUMMYFUNCTION("""COMPUTED_VALUE"""),FALSE)</f>
        <v>0</v>
      </c>
      <c r="E1240" s="23" t="str">
        <f>IFERROR(__xludf.DUMMYFUNCTION("""COMPUTED_VALUE"""),"Medium")</f>
        <v>Medium</v>
      </c>
      <c r="F1240" s="23">
        <f>IFERROR(__xludf.DUMMYFUNCTION("""COMPUTED_VALUE"""),1730.0)</f>
        <v>1730</v>
      </c>
      <c r="G1240" s="23">
        <f>IFERROR(__xludf.DUMMYFUNCTION("""COMPUTED_VALUE"""),157.0)</f>
        <v>157</v>
      </c>
      <c r="H1240" s="23" t="str">
        <f>IFERROR(__xludf.DUMMYFUNCTION("""COMPUTED_VALUE"""),"Algorithms")</f>
        <v>Algorithms</v>
      </c>
      <c r="I1240" s="23">
        <f>IFERROR(__xludf.DUMMYFUNCTION("""COMPUTED_VALUE"""),0.505)</f>
        <v>0.505</v>
      </c>
      <c r="J1240" s="23">
        <f>IFERROR(__xludf.DUMMYFUNCTION("""COMPUTED_VALUE"""),1239.0)</f>
        <v>1239</v>
      </c>
      <c r="K1240" s="23" t="b">
        <f>IFERROR(__xludf.DUMMYFUNCTION("""COMPUTED_VALUE"""),FALSE)</f>
        <v>0</v>
      </c>
      <c r="L1240" s="23" t="str">
        <f>IFERROR(__xludf.DUMMYFUNCTION("""COMPUTED_VALUE"""),"Array;String;Backtracking;Bit Manipulation;")</f>
        <v>Array;String;Backtracking;Bit Manipulation;</v>
      </c>
      <c r="M1240" s="23" t="b">
        <f>IFERROR(__xludf.DUMMYFUNCTION("""COMPUTED_VALUE"""),TRUE)</f>
        <v>1</v>
      </c>
      <c r="N1240" s="23" t="b">
        <f>IFERROR(__xludf.DUMMYFUNCTION("""COMPUTED_VALUE"""),FALSE)</f>
        <v>0</v>
      </c>
      <c r="O1240" s="23">
        <f>IFERROR(__xludf.DUMMYFUNCTION("""COMPUTED_VALUE"""),50.5349825647679)</f>
        <v>50.53498256</v>
      </c>
      <c r="P1240" s="23">
        <f>IFERROR(__xludf.DUMMYFUNCTION("""COMPUTED_VALUE"""),105938.0)</f>
        <v>105938</v>
      </c>
      <c r="Q1240" s="23">
        <f>IFERROR(__xludf.DUMMYFUNCTION("""COMPUTED_VALUE"""),209631.0)</f>
        <v>209631</v>
      </c>
    </row>
    <row r="1241">
      <c r="A1241" s="23">
        <f>IFERROR(__xludf.DUMMYFUNCTION("""COMPUTED_VALUE"""),1361.0)</f>
        <v>1361</v>
      </c>
      <c r="B1241" s="23" t="str">
        <f>IFERROR(__xludf.DUMMYFUNCTION("""COMPUTED_VALUE"""),"Tiling a Rectangle with the Fewest Squares")</f>
        <v>Tiling a Rectangle with the Fewest Squares</v>
      </c>
      <c r="C1241" s="23" t="str">
        <f>IFERROR(__xludf.DUMMYFUNCTION("""COMPUTED_VALUE"""),"tiling-a-rectangle-with-the-fewest-squares")</f>
        <v>tiling-a-rectangle-with-the-fewest-squares</v>
      </c>
      <c r="D1241" s="23" t="b">
        <f>IFERROR(__xludf.DUMMYFUNCTION("""COMPUTED_VALUE"""),FALSE)</f>
        <v>0</v>
      </c>
      <c r="E1241" s="23" t="str">
        <f>IFERROR(__xludf.DUMMYFUNCTION("""COMPUTED_VALUE"""),"Hard")</f>
        <v>Hard</v>
      </c>
      <c r="F1241" s="23">
        <f>IFERROR(__xludf.DUMMYFUNCTION("""COMPUTED_VALUE"""),466.0)</f>
        <v>466</v>
      </c>
      <c r="G1241" s="23">
        <f>IFERROR(__xludf.DUMMYFUNCTION("""COMPUTED_VALUE"""),433.0)</f>
        <v>433</v>
      </c>
      <c r="H1241" s="23" t="str">
        <f>IFERROR(__xludf.DUMMYFUNCTION("""COMPUTED_VALUE"""),"Algorithms")</f>
        <v>Algorithms</v>
      </c>
      <c r="I1241" s="23">
        <f>IFERROR(__xludf.DUMMYFUNCTION("""COMPUTED_VALUE"""),0.537)</f>
        <v>0.537</v>
      </c>
      <c r="J1241" s="23">
        <f>IFERROR(__xludf.DUMMYFUNCTION("""COMPUTED_VALUE"""),1240.0)</f>
        <v>1240</v>
      </c>
      <c r="K1241" s="23" t="b">
        <f>IFERROR(__xludf.DUMMYFUNCTION("""COMPUTED_VALUE"""),FALSE)</f>
        <v>0</v>
      </c>
      <c r="L1241" s="23" t="str">
        <f>IFERROR(__xludf.DUMMYFUNCTION("""COMPUTED_VALUE"""),"Dynamic Programming;Backtracking;")</f>
        <v>Dynamic Programming;Backtracking;</v>
      </c>
      <c r="M1241" s="23" t="b">
        <f>IFERROR(__xludf.DUMMYFUNCTION("""COMPUTED_VALUE"""),FALSE)</f>
        <v>0</v>
      </c>
      <c r="N1241" s="23" t="b">
        <f>IFERROR(__xludf.DUMMYFUNCTION("""COMPUTED_VALUE"""),FALSE)</f>
        <v>0</v>
      </c>
      <c r="O1241" s="23">
        <f>IFERROR(__xludf.DUMMYFUNCTION("""COMPUTED_VALUE"""),53.7283838252502)</f>
        <v>53.72838383</v>
      </c>
      <c r="P1241" s="23">
        <f>IFERROR(__xludf.DUMMYFUNCTION("""COMPUTED_VALUE"""),16529.0)</f>
        <v>16529</v>
      </c>
      <c r="Q1241" s="23">
        <f>IFERROR(__xludf.DUMMYFUNCTION("""COMPUTED_VALUE"""),30764.0)</f>
        <v>30764</v>
      </c>
    </row>
    <row r="1242">
      <c r="A1242" s="23">
        <f>IFERROR(__xludf.DUMMYFUNCTION("""COMPUTED_VALUE"""),1377.0)</f>
        <v>1377</v>
      </c>
      <c r="B1242" s="23" t="str">
        <f>IFERROR(__xludf.DUMMYFUNCTION("""COMPUTED_VALUE"""),"Number of Comments per Post")</f>
        <v>Number of Comments per Post</v>
      </c>
      <c r="C1242" s="23" t="str">
        <f>IFERROR(__xludf.DUMMYFUNCTION("""COMPUTED_VALUE"""),"number-of-comments-per-post")</f>
        <v>number-of-comments-per-post</v>
      </c>
      <c r="D1242" s="23" t="b">
        <f>IFERROR(__xludf.DUMMYFUNCTION("""COMPUTED_VALUE"""),TRUE)</f>
        <v>1</v>
      </c>
      <c r="E1242" s="23" t="str">
        <f>IFERROR(__xludf.DUMMYFUNCTION("""COMPUTED_VALUE"""),"Easy")</f>
        <v>Easy</v>
      </c>
      <c r="F1242" s="23">
        <f>IFERROR(__xludf.DUMMYFUNCTION("""COMPUTED_VALUE"""),124.0)</f>
        <v>124</v>
      </c>
      <c r="G1242" s="23">
        <f>IFERROR(__xludf.DUMMYFUNCTION("""COMPUTED_VALUE"""),396.0)</f>
        <v>396</v>
      </c>
      <c r="H1242" s="23" t="str">
        <f>IFERROR(__xludf.DUMMYFUNCTION("""COMPUTED_VALUE"""),"Database")</f>
        <v>Database</v>
      </c>
      <c r="I1242" s="23">
        <f>IFERROR(__xludf.DUMMYFUNCTION("""COMPUTED_VALUE"""),0.679)</f>
        <v>0.679</v>
      </c>
      <c r="J1242" s="23">
        <f>IFERROR(__xludf.DUMMYFUNCTION("""COMPUTED_VALUE"""),1241.0)</f>
        <v>1241</v>
      </c>
      <c r="K1242" s="23" t="b">
        <f>IFERROR(__xludf.DUMMYFUNCTION("""COMPUTED_VALUE"""),TRUE)</f>
        <v>1</v>
      </c>
      <c r="L1242" s="23" t="str">
        <f>IFERROR(__xludf.DUMMYFUNCTION("""COMPUTED_VALUE"""),"Database;")</f>
        <v>Database;</v>
      </c>
      <c r="M1242" s="23" t="b">
        <f>IFERROR(__xludf.DUMMYFUNCTION("""COMPUTED_VALUE"""),FALSE)</f>
        <v>0</v>
      </c>
      <c r="N1242" s="23" t="b">
        <f>IFERROR(__xludf.DUMMYFUNCTION("""COMPUTED_VALUE"""),FALSE)</f>
        <v>0</v>
      </c>
      <c r="O1242" s="23">
        <f>IFERROR(__xludf.DUMMYFUNCTION("""COMPUTED_VALUE"""),67.929506120726)</f>
        <v>67.92950612</v>
      </c>
      <c r="P1242" s="23">
        <f>IFERROR(__xludf.DUMMYFUNCTION("""COMPUTED_VALUE"""),25748.0)</f>
        <v>25748</v>
      </c>
      <c r="Q1242" s="23">
        <f>IFERROR(__xludf.DUMMYFUNCTION("""COMPUTED_VALUE"""),37904.0)</f>
        <v>37904</v>
      </c>
    </row>
    <row r="1243">
      <c r="A1243" s="23">
        <f>IFERROR(__xludf.DUMMYFUNCTION("""COMPUTED_VALUE"""),1368.0)</f>
        <v>1368</v>
      </c>
      <c r="B1243" s="23" t="str">
        <f>IFERROR(__xludf.DUMMYFUNCTION("""COMPUTED_VALUE"""),"Web Crawler Multithreaded")</f>
        <v>Web Crawler Multithreaded</v>
      </c>
      <c r="C1243" s="23" t="str">
        <f>IFERROR(__xludf.DUMMYFUNCTION("""COMPUTED_VALUE"""),"web-crawler-multithreaded")</f>
        <v>web-crawler-multithreaded</v>
      </c>
      <c r="D1243" s="23" t="b">
        <f>IFERROR(__xludf.DUMMYFUNCTION("""COMPUTED_VALUE"""),TRUE)</f>
        <v>1</v>
      </c>
      <c r="E1243" s="23" t="str">
        <f>IFERROR(__xludf.DUMMYFUNCTION("""COMPUTED_VALUE"""),"Medium")</f>
        <v>Medium</v>
      </c>
      <c r="F1243" s="23">
        <f>IFERROR(__xludf.DUMMYFUNCTION("""COMPUTED_VALUE"""),396.0)</f>
        <v>396</v>
      </c>
      <c r="G1243" s="23">
        <f>IFERROR(__xludf.DUMMYFUNCTION("""COMPUTED_VALUE"""),71.0)</f>
        <v>71</v>
      </c>
      <c r="H1243" s="23" t="str">
        <f>IFERROR(__xludf.DUMMYFUNCTION("""COMPUTED_VALUE"""),"Concurrency")</f>
        <v>Concurrency</v>
      </c>
      <c r="I1243" s="23">
        <f>IFERROR(__xludf.DUMMYFUNCTION("""COMPUTED_VALUE"""),0.486)</f>
        <v>0.486</v>
      </c>
      <c r="J1243" s="23">
        <f>IFERROR(__xludf.DUMMYFUNCTION("""COMPUTED_VALUE"""),1242.0)</f>
        <v>1242</v>
      </c>
      <c r="K1243" s="23" t="b">
        <f>IFERROR(__xludf.DUMMYFUNCTION("""COMPUTED_VALUE"""),TRUE)</f>
        <v>1</v>
      </c>
      <c r="L1243" s="23" t="str">
        <f>IFERROR(__xludf.DUMMYFUNCTION("""COMPUTED_VALUE"""),"Depth-First Search;Breadth-First Search;Concurrency;")</f>
        <v>Depth-First Search;Breadth-First Search;Concurrency;</v>
      </c>
      <c r="M1243" s="23" t="b">
        <f>IFERROR(__xludf.DUMMYFUNCTION("""COMPUTED_VALUE"""),FALSE)</f>
        <v>0</v>
      </c>
      <c r="N1243" s="23" t="b">
        <f>IFERROR(__xludf.DUMMYFUNCTION("""COMPUTED_VALUE"""),FALSE)</f>
        <v>0</v>
      </c>
      <c r="O1243" s="23">
        <f>IFERROR(__xludf.DUMMYFUNCTION("""COMPUTED_VALUE"""),48.594963382108)</f>
        <v>48.59496338</v>
      </c>
      <c r="P1243" s="23">
        <f>IFERROR(__xludf.DUMMYFUNCTION("""COMPUTED_VALUE"""),32978.0)</f>
        <v>32978</v>
      </c>
      <c r="Q1243" s="23">
        <f>IFERROR(__xludf.DUMMYFUNCTION("""COMPUTED_VALUE"""),67863.0)</f>
        <v>67863</v>
      </c>
    </row>
    <row r="1244">
      <c r="A1244" s="23">
        <f>IFERROR(__xludf.DUMMYFUNCTION("""COMPUTED_VALUE"""),1175.0)</f>
        <v>1175</v>
      </c>
      <c r="B1244" s="23" t="str">
        <f>IFERROR(__xludf.DUMMYFUNCTION("""COMPUTED_VALUE"""),"Array Transformation")</f>
        <v>Array Transformation</v>
      </c>
      <c r="C1244" s="23" t="str">
        <f>IFERROR(__xludf.DUMMYFUNCTION("""COMPUTED_VALUE"""),"array-transformation")</f>
        <v>array-transformation</v>
      </c>
      <c r="D1244" s="23" t="b">
        <f>IFERROR(__xludf.DUMMYFUNCTION("""COMPUTED_VALUE"""),TRUE)</f>
        <v>1</v>
      </c>
      <c r="E1244" s="23" t="str">
        <f>IFERROR(__xludf.DUMMYFUNCTION("""COMPUTED_VALUE"""),"Easy")</f>
        <v>Easy</v>
      </c>
      <c r="F1244" s="23">
        <f>IFERROR(__xludf.DUMMYFUNCTION("""COMPUTED_VALUE"""),115.0)</f>
        <v>115</v>
      </c>
      <c r="G1244" s="23">
        <f>IFERROR(__xludf.DUMMYFUNCTION("""COMPUTED_VALUE"""),55.0)</f>
        <v>55</v>
      </c>
      <c r="H1244" s="23" t="str">
        <f>IFERROR(__xludf.DUMMYFUNCTION("""COMPUTED_VALUE"""),"Algorithms")</f>
        <v>Algorithms</v>
      </c>
      <c r="I1244" s="23">
        <f>IFERROR(__xludf.DUMMYFUNCTION("""COMPUTED_VALUE"""),0.504)</f>
        <v>0.504</v>
      </c>
      <c r="J1244" s="23">
        <f>IFERROR(__xludf.DUMMYFUNCTION("""COMPUTED_VALUE"""),1243.0)</f>
        <v>1243</v>
      </c>
      <c r="K1244" s="23" t="b">
        <f>IFERROR(__xludf.DUMMYFUNCTION("""COMPUTED_VALUE"""),TRUE)</f>
        <v>1</v>
      </c>
      <c r="L1244" s="23" t="str">
        <f>IFERROR(__xludf.DUMMYFUNCTION("""COMPUTED_VALUE"""),"Array;Simulation;")</f>
        <v>Array;Simulation;</v>
      </c>
      <c r="M1244" s="23" t="b">
        <f>IFERROR(__xludf.DUMMYFUNCTION("""COMPUTED_VALUE"""),FALSE)</f>
        <v>0</v>
      </c>
      <c r="N1244" s="23" t="b">
        <f>IFERROR(__xludf.DUMMYFUNCTION("""COMPUTED_VALUE"""),FALSE)</f>
        <v>0</v>
      </c>
      <c r="O1244" s="23">
        <f>IFERROR(__xludf.DUMMYFUNCTION("""COMPUTED_VALUE"""),50.3955537752853)</f>
        <v>50.39555378</v>
      </c>
      <c r="P1244" s="23">
        <f>IFERROR(__xludf.DUMMYFUNCTION("""COMPUTED_VALUE"""),10065.0)</f>
        <v>10065</v>
      </c>
      <c r="Q1244" s="23">
        <f>IFERROR(__xludf.DUMMYFUNCTION("""COMPUTED_VALUE"""),19972.0)</f>
        <v>19972</v>
      </c>
    </row>
    <row r="1245">
      <c r="A1245" s="23">
        <f>IFERROR(__xludf.DUMMYFUNCTION("""COMPUTED_VALUE"""),1176.0)</f>
        <v>1176</v>
      </c>
      <c r="B1245" s="23" t="str">
        <f>IFERROR(__xludf.DUMMYFUNCTION("""COMPUTED_VALUE"""),"Design A Leaderboard")</f>
        <v>Design A Leaderboard</v>
      </c>
      <c r="C1245" s="23" t="str">
        <f>IFERROR(__xludf.DUMMYFUNCTION("""COMPUTED_VALUE"""),"design-a-leaderboard")</f>
        <v>design-a-leaderboard</v>
      </c>
      <c r="D1245" s="23" t="b">
        <f>IFERROR(__xludf.DUMMYFUNCTION("""COMPUTED_VALUE"""),TRUE)</f>
        <v>1</v>
      </c>
      <c r="E1245" s="23" t="str">
        <f>IFERROR(__xludf.DUMMYFUNCTION("""COMPUTED_VALUE"""),"Medium")</f>
        <v>Medium</v>
      </c>
      <c r="F1245" s="23">
        <f>IFERROR(__xludf.DUMMYFUNCTION("""COMPUTED_VALUE"""),486.0)</f>
        <v>486</v>
      </c>
      <c r="G1245" s="23">
        <f>IFERROR(__xludf.DUMMYFUNCTION("""COMPUTED_VALUE"""),74.0)</f>
        <v>74</v>
      </c>
      <c r="H1245" s="23" t="str">
        <f>IFERROR(__xludf.DUMMYFUNCTION("""COMPUTED_VALUE"""),"Algorithms")</f>
        <v>Algorithms</v>
      </c>
      <c r="I1245" s="23">
        <f>IFERROR(__xludf.DUMMYFUNCTION("""COMPUTED_VALUE"""),0.681)</f>
        <v>0.681</v>
      </c>
      <c r="J1245" s="23">
        <f>IFERROR(__xludf.DUMMYFUNCTION("""COMPUTED_VALUE"""),1244.0)</f>
        <v>1244</v>
      </c>
      <c r="K1245" s="23" t="b">
        <f>IFERROR(__xludf.DUMMYFUNCTION("""COMPUTED_VALUE"""),TRUE)</f>
        <v>1</v>
      </c>
      <c r="L1245" s="23" t="str">
        <f>IFERROR(__xludf.DUMMYFUNCTION("""COMPUTED_VALUE"""),"Hash Table;Design;Sorting;")</f>
        <v>Hash Table;Design;Sorting;</v>
      </c>
      <c r="M1245" s="23" t="b">
        <f>IFERROR(__xludf.DUMMYFUNCTION("""COMPUTED_VALUE"""),TRUE)</f>
        <v>1</v>
      </c>
      <c r="N1245" s="23" t="b">
        <f>IFERROR(__xludf.DUMMYFUNCTION("""COMPUTED_VALUE"""),FALSE)</f>
        <v>0</v>
      </c>
      <c r="O1245" s="23">
        <f>IFERROR(__xludf.DUMMYFUNCTION("""COMPUTED_VALUE"""),68.073883103226)</f>
        <v>68.0738831</v>
      </c>
      <c r="P1245" s="23">
        <f>IFERROR(__xludf.DUMMYFUNCTION("""COMPUTED_VALUE"""),40135.0)</f>
        <v>40135</v>
      </c>
      <c r="Q1245" s="23">
        <f>IFERROR(__xludf.DUMMYFUNCTION("""COMPUTED_VALUE"""),58958.0)</f>
        <v>58958</v>
      </c>
    </row>
    <row r="1246">
      <c r="A1246" s="23">
        <f>IFERROR(__xludf.DUMMYFUNCTION("""COMPUTED_VALUE"""),1177.0)</f>
        <v>1177</v>
      </c>
      <c r="B1246" s="23" t="str">
        <f>IFERROR(__xludf.DUMMYFUNCTION("""COMPUTED_VALUE"""),"Tree Diameter")</f>
        <v>Tree Diameter</v>
      </c>
      <c r="C1246" s="23" t="str">
        <f>IFERROR(__xludf.DUMMYFUNCTION("""COMPUTED_VALUE"""),"tree-diameter")</f>
        <v>tree-diameter</v>
      </c>
      <c r="D1246" s="23" t="b">
        <f>IFERROR(__xludf.DUMMYFUNCTION("""COMPUTED_VALUE"""),TRUE)</f>
        <v>1</v>
      </c>
      <c r="E1246" s="23" t="str">
        <f>IFERROR(__xludf.DUMMYFUNCTION("""COMPUTED_VALUE"""),"Medium")</f>
        <v>Medium</v>
      </c>
      <c r="F1246" s="23">
        <f>IFERROR(__xludf.DUMMYFUNCTION("""COMPUTED_VALUE"""),605.0)</f>
        <v>605</v>
      </c>
      <c r="G1246" s="23">
        <f>IFERROR(__xludf.DUMMYFUNCTION("""COMPUTED_VALUE"""),13.0)</f>
        <v>13</v>
      </c>
      <c r="H1246" s="23" t="str">
        <f>IFERROR(__xludf.DUMMYFUNCTION("""COMPUTED_VALUE"""),"Algorithms")</f>
        <v>Algorithms</v>
      </c>
      <c r="I1246" s="23">
        <f>IFERROR(__xludf.DUMMYFUNCTION("""COMPUTED_VALUE"""),0.623)</f>
        <v>0.623</v>
      </c>
      <c r="J1246" s="23">
        <f>IFERROR(__xludf.DUMMYFUNCTION("""COMPUTED_VALUE"""),1245.0)</f>
        <v>1245</v>
      </c>
      <c r="K1246" s="23" t="b">
        <f>IFERROR(__xludf.DUMMYFUNCTION("""COMPUTED_VALUE"""),TRUE)</f>
        <v>1</v>
      </c>
      <c r="L1246" s="23" t="str">
        <f>IFERROR(__xludf.DUMMYFUNCTION("""COMPUTED_VALUE"""),"Tree;Depth-First Search;Breadth-First Search;Graph;Topological Sort;")</f>
        <v>Tree;Depth-First Search;Breadth-First Search;Graph;Topological Sort;</v>
      </c>
      <c r="M1246" s="23" t="b">
        <f>IFERROR(__xludf.DUMMYFUNCTION("""COMPUTED_VALUE"""),TRUE)</f>
        <v>1</v>
      </c>
      <c r="N1246" s="23" t="b">
        <f>IFERROR(__xludf.DUMMYFUNCTION("""COMPUTED_VALUE"""),FALSE)</f>
        <v>0</v>
      </c>
      <c r="O1246" s="23">
        <f>IFERROR(__xludf.DUMMYFUNCTION("""COMPUTED_VALUE"""),62.2689875735455)</f>
        <v>62.26898757</v>
      </c>
      <c r="P1246" s="23">
        <f>IFERROR(__xludf.DUMMYFUNCTION("""COMPUTED_VALUE"""),25506.0)</f>
        <v>25506</v>
      </c>
      <c r="Q1246" s="23">
        <f>IFERROR(__xludf.DUMMYFUNCTION("""COMPUTED_VALUE"""),40961.0)</f>
        <v>40961</v>
      </c>
    </row>
    <row r="1247">
      <c r="A1247" s="23">
        <f>IFERROR(__xludf.DUMMYFUNCTION("""COMPUTED_VALUE"""),1202.0)</f>
        <v>1202</v>
      </c>
      <c r="B1247" s="23" t="str">
        <f>IFERROR(__xludf.DUMMYFUNCTION("""COMPUTED_VALUE"""),"Palindrome Removal")</f>
        <v>Palindrome Removal</v>
      </c>
      <c r="C1247" s="23" t="str">
        <f>IFERROR(__xludf.DUMMYFUNCTION("""COMPUTED_VALUE"""),"palindrome-removal")</f>
        <v>palindrome-removal</v>
      </c>
      <c r="D1247" s="23" t="b">
        <f>IFERROR(__xludf.DUMMYFUNCTION("""COMPUTED_VALUE"""),TRUE)</f>
        <v>1</v>
      </c>
      <c r="E1247" s="23" t="str">
        <f>IFERROR(__xludf.DUMMYFUNCTION("""COMPUTED_VALUE"""),"Hard")</f>
        <v>Hard</v>
      </c>
      <c r="F1247" s="23">
        <f>IFERROR(__xludf.DUMMYFUNCTION("""COMPUTED_VALUE"""),273.0)</f>
        <v>273</v>
      </c>
      <c r="G1247" s="23">
        <f>IFERROR(__xludf.DUMMYFUNCTION("""COMPUTED_VALUE"""),11.0)</f>
        <v>11</v>
      </c>
      <c r="H1247" s="23" t="str">
        <f>IFERROR(__xludf.DUMMYFUNCTION("""COMPUTED_VALUE"""),"Algorithms")</f>
        <v>Algorithms</v>
      </c>
      <c r="I1247" s="23">
        <f>IFERROR(__xludf.DUMMYFUNCTION("""COMPUTED_VALUE"""),0.458)</f>
        <v>0.458</v>
      </c>
      <c r="J1247" s="23">
        <f>IFERROR(__xludf.DUMMYFUNCTION("""COMPUTED_VALUE"""),1246.0)</f>
        <v>1246</v>
      </c>
      <c r="K1247" s="23" t="b">
        <f>IFERROR(__xludf.DUMMYFUNCTION("""COMPUTED_VALUE"""),TRUE)</f>
        <v>1</v>
      </c>
      <c r="L1247" s="23" t="str">
        <f>IFERROR(__xludf.DUMMYFUNCTION("""COMPUTED_VALUE"""),"Array;Dynamic Programming;")</f>
        <v>Array;Dynamic Programming;</v>
      </c>
      <c r="M1247" s="23" t="b">
        <f>IFERROR(__xludf.DUMMYFUNCTION("""COMPUTED_VALUE"""),FALSE)</f>
        <v>0</v>
      </c>
      <c r="N1247" s="23" t="b">
        <f>IFERROR(__xludf.DUMMYFUNCTION("""COMPUTED_VALUE"""),FALSE)</f>
        <v>0</v>
      </c>
      <c r="O1247" s="23">
        <f>IFERROR(__xludf.DUMMYFUNCTION("""COMPUTED_VALUE"""),45.8279580989731)</f>
        <v>45.8279581</v>
      </c>
      <c r="P1247" s="23">
        <f>IFERROR(__xludf.DUMMYFUNCTION("""COMPUTED_VALUE"""),8881.0)</f>
        <v>8881</v>
      </c>
      <c r="Q1247" s="23">
        <f>IFERROR(__xludf.DUMMYFUNCTION("""COMPUTED_VALUE"""),19379.0)</f>
        <v>19379</v>
      </c>
    </row>
    <row r="1248">
      <c r="A1248" s="23">
        <f>IFERROR(__xludf.DUMMYFUNCTION("""COMPUTED_VALUE"""),1369.0)</f>
        <v>1369</v>
      </c>
      <c r="B1248" s="23" t="str">
        <f>IFERROR(__xludf.DUMMYFUNCTION("""COMPUTED_VALUE"""),"Minimum Swaps to Make Strings Equal")</f>
        <v>Minimum Swaps to Make Strings Equal</v>
      </c>
      <c r="C1248" s="23" t="str">
        <f>IFERROR(__xludf.DUMMYFUNCTION("""COMPUTED_VALUE"""),"minimum-swaps-to-make-strings-equal")</f>
        <v>minimum-swaps-to-make-strings-equal</v>
      </c>
      <c r="D1248" s="23" t="b">
        <f>IFERROR(__xludf.DUMMYFUNCTION("""COMPUTED_VALUE"""),FALSE)</f>
        <v>0</v>
      </c>
      <c r="E1248" s="23" t="str">
        <f>IFERROR(__xludf.DUMMYFUNCTION("""COMPUTED_VALUE"""),"Medium")</f>
        <v>Medium</v>
      </c>
      <c r="F1248" s="23">
        <f>IFERROR(__xludf.DUMMYFUNCTION("""COMPUTED_VALUE"""),862.0)</f>
        <v>862</v>
      </c>
      <c r="G1248" s="23">
        <f>IFERROR(__xludf.DUMMYFUNCTION("""COMPUTED_VALUE"""),207.0)</f>
        <v>207</v>
      </c>
      <c r="H1248" s="23" t="str">
        <f>IFERROR(__xludf.DUMMYFUNCTION("""COMPUTED_VALUE"""),"Algorithms")</f>
        <v>Algorithms</v>
      </c>
      <c r="I1248" s="23">
        <f>IFERROR(__xludf.DUMMYFUNCTION("""COMPUTED_VALUE"""),0.638)</f>
        <v>0.638</v>
      </c>
      <c r="J1248" s="23">
        <f>IFERROR(__xludf.DUMMYFUNCTION("""COMPUTED_VALUE"""),1247.0)</f>
        <v>1247</v>
      </c>
      <c r="K1248" s="23" t="b">
        <f>IFERROR(__xludf.DUMMYFUNCTION("""COMPUTED_VALUE"""),FALSE)</f>
        <v>0</v>
      </c>
      <c r="L1248" s="23" t="str">
        <f>IFERROR(__xludf.DUMMYFUNCTION("""COMPUTED_VALUE"""),"Math;String;Greedy;")</f>
        <v>Math;String;Greedy;</v>
      </c>
      <c r="M1248" s="23" t="b">
        <f>IFERROR(__xludf.DUMMYFUNCTION("""COMPUTED_VALUE"""),FALSE)</f>
        <v>0</v>
      </c>
      <c r="N1248" s="23" t="b">
        <f>IFERROR(__xludf.DUMMYFUNCTION("""COMPUTED_VALUE"""),FALSE)</f>
        <v>0</v>
      </c>
      <c r="O1248" s="23">
        <f>IFERROR(__xludf.DUMMYFUNCTION("""COMPUTED_VALUE"""),63.7697881571052)</f>
        <v>63.76978816</v>
      </c>
      <c r="P1248" s="23">
        <f>IFERROR(__xludf.DUMMYFUNCTION("""COMPUTED_VALUE"""),27634.0)</f>
        <v>27634</v>
      </c>
      <c r="Q1248" s="23">
        <f>IFERROR(__xludf.DUMMYFUNCTION("""COMPUTED_VALUE"""),43334.0)</f>
        <v>43334</v>
      </c>
    </row>
    <row r="1249">
      <c r="A1249" s="23">
        <f>IFERROR(__xludf.DUMMYFUNCTION("""COMPUTED_VALUE"""),1370.0)</f>
        <v>1370</v>
      </c>
      <c r="B1249" s="23" t="str">
        <f>IFERROR(__xludf.DUMMYFUNCTION("""COMPUTED_VALUE"""),"Count Number of Nice Subarrays")</f>
        <v>Count Number of Nice Subarrays</v>
      </c>
      <c r="C1249" s="23" t="str">
        <f>IFERROR(__xludf.DUMMYFUNCTION("""COMPUTED_VALUE"""),"count-number-of-nice-subarrays")</f>
        <v>count-number-of-nice-subarrays</v>
      </c>
      <c r="D1249" s="23" t="b">
        <f>IFERROR(__xludf.DUMMYFUNCTION("""COMPUTED_VALUE"""),FALSE)</f>
        <v>0</v>
      </c>
      <c r="E1249" s="23" t="str">
        <f>IFERROR(__xludf.DUMMYFUNCTION("""COMPUTED_VALUE"""),"Medium")</f>
        <v>Medium</v>
      </c>
      <c r="F1249" s="23">
        <f>IFERROR(__xludf.DUMMYFUNCTION("""COMPUTED_VALUE"""),1689.0)</f>
        <v>1689</v>
      </c>
      <c r="G1249" s="23">
        <f>IFERROR(__xludf.DUMMYFUNCTION("""COMPUTED_VALUE"""),42.0)</f>
        <v>42</v>
      </c>
      <c r="H1249" s="23" t="str">
        <f>IFERROR(__xludf.DUMMYFUNCTION("""COMPUTED_VALUE"""),"Algorithms")</f>
        <v>Algorithms</v>
      </c>
      <c r="I1249" s="23">
        <f>IFERROR(__xludf.DUMMYFUNCTION("""COMPUTED_VALUE"""),0.586)</f>
        <v>0.586</v>
      </c>
      <c r="J1249" s="23">
        <f>IFERROR(__xludf.DUMMYFUNCTION("""COMPUTED_VALUE"""),1248.0)</f>
        <v>1248</v>
      </c>
      <c r="K1249" s="23" t="b">
        <f>IFERROR(__xludf.DUMMYFUNCTION("""COMPUTED_VALUE"""),FALSE)</f>
        <v>0</v>
      </c>
      <c r="L1249" s="23" t="str">
        <f>IFERROR(__xludf.DUMMYFUNCTION("""COMPUTED_VALUE"""),"Array;Hash Table;Math;Sliding Window;")</f>
        <v>Array;Hash Table;Math;Sliding Window;</v>
      </c>
      <c r="M1249" s="23" t="b">
        <f>IFERROR(__xludf.DUMMYFUNCTION("""COMPUTED_VALUE"""),FALSE)</f>
        <v>0</v>
      </c>
      <c r="N1249" s="23" t="b">
        <f>IFERROR(__xludf.DUMMYFUNCTION("""COMPUTED_VALUE"""),FALSE)</f>
        <v>0</v>
      </c>
      <c r="O1249" s="23">
        <f>IFERROR(__xludf.DUMMYFUNCTION("""COMPUTED_VALUE"""),58.5810268421689)</f>
        <v>58.58102684</v>
      </c>
      <c r="P1249" s="23">
        <f>IFERROR(__xludf.DUMMYFUNCTION("""COMPUTED_VALUE"""),53271.0)</f>
        <v>53271</v>
      </c>
      <c r="Q1249" s="23">
        <f>IFERROR(__xludf.DUMMYFUNCTION("""COMPUTED_VALUE"""),90936.0)</f>
        <v>90936</v>
      </c>
    </row>
    <row r="1250">
      <c r="A1250" s="23">
        <f>IFERROR(__xludf.DUMMYFUNCTION("""COMPUTED_VALUE"""),1371.0)</f>
        <v>1371</v>
      </c>
      <c r="B1250" s="23" t="str">
        <f>IFERROR(__xludf.DUMMYFUNCTION("""COMPUTED_VALUE"""),"Minimum Remove to Make Valid Parentheses")</f>
        <v>Minimum Remove to Make Valid Parentheses</v>
      </c>
      <c r="C1250" s="23" t="str">
        <f>IFERROR(__xludf.DUMMYFUNCTION("""COMPUTED_VALUE"""),"minimum-remove-to-make-valid-parentheses")</f>
        <v>minimum-remove-to-make-valid-parentheses</v>
      </c>
      <c r="D1250" s="23" t="b">
        <f>IFERROR(__xludf.DUMMYFUNCTION("""COMPUTED_VALUE"""),FALSE)</f>
        <v>0</v>
      </c>
      <c r="E1250" s="23" t="str">
        <f>IFERROR(__xludf.DUMMYFUNCTION("""COMPUTED_VALUE"""),"Medium")</f>
        <v>Medium</v>
      </c>
      <c r="F1250" s="23">
        <f>IFERROR(__xludf.DUMMYFUNCTION("""COMPUTED_VALUE"""),4725.0)</f>
        <v>4725</v>
      </c>
      <c r="G1250" s="23">
        <f>IFERROR(__xludf.DUMMYFUNCTION("""COMPUTED_VALUE"""),79.0)</f>
        <v>79</v>
      </c>
      <c r="H1250" s="23" t="str">
        <f>IFERROR(__xludf.DUMMYFUNCTION("""COMPUTED_VALUE"""),"Algorithms")</f>
        <v>Algorithms</v>
      </c>
      <c r="I1250" s="23">
        <f>IFERROR(__xludf.DUMMYFUNCTION("""COMPUTED_VALUE"""),0.657)</f>
        <v>0.657</v>
      </c>
      <c r="J1250" s="23">
        <f>IFERROR(__xludf.DUMMYFUNCTION("""COMPUTED_VALUE"""),1249.0)</f>
        <v>1249</v>
      </c>
      <c r="K1250" s="23" t="b">
        <f>IFERROR(__xludf.DUMMYFUNCTION("""COMPUTED_VALUE"""),FALSE)</f>
        <v>0</v>
      </c>
      <c r="L1250" s="23" t="str">
        <f>IFERROR(__xludf.DUMMYFUNCTION("""COMPUTED_VALUE"""),"String;Stack;")</f>
        <v>String;Stack;</v>
      </c>
      <c r="M1250" s="23" t="b">
        <f>IFERROR(__xludf.DUMMYFUNCTION("""COMPUTED_VALUE"""),TRUE)</f>
        <v>1</v>
      </c>
      <c r="N1250" s="23" t="b">
        <f>IFERROR(__xludf.DUMMYFUNCTION("""COMPUTED_VALUE"""),FALSE)</f>
        <v>0</v>
      </c>
      <c r="O1250" s="23">
        <f>IFERROR(__xludf.DUMMYFUNCTION("""COMPUTED_VALUE"""),65.7380580588113)</f>
        <v>65.73805806</v>
      </c>
      <c r="P1250" s="23">
        <f>IFERROR(__xludf.DUMMYFUNCTION("""COMPUTED_VALUE"""),419301.0)</f>
        <v>419301</v>
      </c>
      <c r="Q1250" s="23">
        <f>IFERROR(__xludf.DUMMYFUNCTION("""COMPUTED_VALUE"""),637836.0)</f>
        <v>637836</v>
      </c>
    </row>
    <row r="1251">
      <c r="A1251" s="23">
        <f>IFERROR(__xludf.DUMMYFUNCTION("""COMPUTED_VALUE"""),1372.0)</f>
        <v>1372</v>
      </c>
      <c r="B1251" s="23" t="str">
        <f>IFERROR(__xludf.DUMMYFUNCTION("""COMPUTED_VALUE"""),"Check If It Is a Good Array")</f>
        <v>Check If It Is a Good Array</v>
      </c>
      <c r="C1251" s="23" t="str">
        <f>IFERROR(__xludf.DUMMYFUNCTION("""COMPUTED_VALUE"""),"check-if-it-is-a-good-array")</f>
        <v>check-if-it-is-a-good-array</v>
      </c>
      <c r="D1251" s="23" t="b">
        <f>IFERROR(__xludf.DUMMYFUNCTION("""COMPUTED_VALUE"""),FALSE)</f>
        <v>0</v>
      </c>
      <c r="E1251" s="23" t="str">
        <f>IFERROR(__xludf.DUMMYFUNCTION("""COMPUTED_VALUE"""),"Hard")</f>
        <v>Hard</v>
      </c>
      <c r="F1251" s="23">
        <f>IFERROR(__xludf.DUMMYFUNCTION("""COMPUTED_VALUE"""),256.0)</f>
        <v>256</v>
      </c>
      <c r="G1251" s="23">
        <f>IFERROR(__xludf.DUMMYFUNCTION("""COMPUTED_VALUE"""),280.0)</f>
        <v>280</v>
      </c>
      <c r="H1251" s="23" t="str">
        <f>IFERROR(__xludf.DUMMYFUNCTION("""COMPUTED_VALUE"""),"Algorithms")</f>
        <v>Algorithms</v>
      </c>
      <c r="I1251" s="23">
        <f>IFERROR(__xludf.DUMMYFUNCTION("""COMPUTED_VALUE"""),0.579)</f>
        <v>0.579</v>
      </c>
      <c r="J1251" s="23">
        <f>IFERROR(__xludf.DUMMYFUNCTION("""COMPUTED_VALUE"""),1250.0)</f>
        <v>1250</v>
      </c>
      <c r="K1251" s="23" t="b">
        <f>IFERROR(__xludf.DUMMYFUNCTION("""COMPUTED_VALUE"""),FALSE)</f>
        <v>0</v>
      </c>
      <c r="L1251" s="23" t="str">
        <f>IFERROR(__xludf.DUMMYFUNCTION("""COMPUTED_VALUE"""),"Array;Math;Number Theory;")</f>
        <v>Array;Math;Number Theory;</v>
      </c>
      <c r="M1251" s="23" t="b">
        <f>IFERROR(__xludf.DUMMYFUNCTION("""COMPUTED_VALUE"""),FALSE)</f>
        <v>0</v>
      </c>
      <c r="N1251" s="23" t="b">
        <f>IFERROR(__xludf.DUMMYFUNCTION("""COMPUTED_VALUE"""),FALSE)</f>
        <v>0</v>
      </c>
      <c r="O1251" s="23">
        <f>IFERROR(__xludf.DUMMYFUNCTION("""COMPUTED_VALUE"""),57.9514588627004)</f>
        <v>57.95145886</v>
      </c>
      <c r="P1251" s="23">
        <f>IFERROR(__xludf.DUMMYFUNCTION("""COMPUTED_VALUE"""),13227.0)</f>
        <v>13227</v>
      </c>
      <c r="Q1251" s="23">
        <f>IFERROR(__xludf.DUMMYFUNCTION("""COMPUTED_VALUE"""),22825.0)</f>
        <v>22825</v>
      </c>
    </row>
    <row r="1252">
      <c r="A1252" s="23">
        <f>IFERROR(__xludf.DUMMYFUNCTION("""COMPUTED_VALUE"""),1390.0)</f>
        <v>1390</v>
      </c>
      <c r="B1252" s="23" t="str">
        <f>IFERROR(__xludf.DUMMYFUNCTION("""COMPUTED_VALUE"""),"Average Selling Price")</f>
        <v>Average Selling Price</v>
      </c>
      <c r="C1252" s="23" t="str">
        <f>IFERROR(__xludf.DUMMYFUNCTION("""COMPUTED_VALUE"""),"average-selling-price")</f>
        <v>average-selling-price</v>
      </c>
      <c r="D1252" s="23" t="b">
        <f>IFERROR(__xludf.DUMMYFUNCTION("""COMPUTED_VALUE"""),TRUE)</f>
        <v>1</v>
      </c>
      <c r="E1252" s="23" t="str">
        <f>IFERROR(__xludf.DUMMYFUNCTION("""COMPUTED_VALUE"""),"Easy")</f>
        <v>Easy</v>
      </c>
      <c r="F1252" s="23">
        <f>IFERROR(__xludf.DUMMYFUNCTION("""COMPUTED_VALUE"""),228.0)</f>
        <v>228</v>
      </c>
      <c r="G1252" s="23">
        <f>IFERROR(__xludf.DUMMYFUNCTION("""COMPUTED_VALUE"""),22.0)</f>
        <v>22</v>
      </c>
      <c r="H1252" s="23" t="str">
        <f>IFERROR(__xludf.DUMMYFUNCTION("""COMPUTED_VALUE"""),"Database")</f>
        <v>Database</v>
      </c>
      <c r="I1252" s="23">
        <f>IFERROR(__xludf.DUMMYFUNCTION("""COMPUTED_VALUE"""),0.833)</f>
        <v>0.833</v>
      </c>
      <c r="J1252" s="23">
        <f>IFERROR(__xludf.DUMMYFUNCTION("""COMPUTED_VALUE"""),1251.0)</f>
        <v>1251</v>
      </c>
      <c r="K1252" s="23" t="b">
        <f>IFERROR(__xludf.DUMMYFUNCTION("""COMPUTED_VALUE"""),TRUE)</f>
        <v>1</v>
      </c>
      <c r="L1252" s="23" t="str">
        <f>IFERROR(__xludf.DUMMYFUNCTION("""COMPUTED_VALUE"""),"Database;")</f>
        <v>Database;</v>
      </c>
      <c r="M1252" s="23" t="b">
        <f>IFERROR(__xludf.DUMMYFUNCTION("""COMPUTED_VALUE"""),FALSE)</f>
        <v>0</v>
      </c>
      <c r="N1252" s="23" t="b">
        <f>IFERROR(__xludf.DUMMYFUNCTION("""COMPUTED_VALUE"""),FALSE)</f>
        <v>0</v>
      </c>
      <c r="O1252" s="23">
        <f>IFERROR(__xludf.DUMMYFUNCTION("""COMPUTED_VALUE"""),83.3337370703229)</f>
        <v>83.33373707</v>
      </c>
      <c r="P1252" s="23">
        <f>IFERROR(__xludf.DUMMYFUNCTION("""COMPUTED_VALUE"""),34400.0)</f>
        <v>34400</v>
      </c>
      <c r="Q1252" s="23">
        <f>IFERROR(__xludf.DUMMYFUNCTION("""COMPUTED_VALUE"""),41280.0)</f>
        <v>41280</v>
      </c>
    </row>
    <row r="1253">
      <c r="A1253" s="23">
        <f>IFERROR(__xludf.DUMMYFUNCTION("""COMPUTED_VALUE"""),1378.0)</f>
        <v>1378</v>
      </c>
      <c r="B1253" s="23" t="str">
        <f>IFERROR(__xludf.DUMMYFUNCTION("""COMPUTED_VALUE"""),"Cells with Odd Values in a Matrix")</f>
        <v>Cells with Odd Values in a Matrix</v>
      </c>
      <c r="C1253" s="23" t="str">
        <f>IFERROR(__xludf.DUMMYFUNCTION("""COMPUTED_VALUE"""),"cells-with-odd-values-in-a-matrix")</f>
        <v>cells-with-odd-values-in-a-matrix</v>
      </c>
      <c r="D1253" s="23" t="b">
        <f>IFERROR(__xludf.DUMMYFUNCTION("""COMPUTED_VALUE"""),FALSE)</f>
        <v>0</v>
      </c>
      <c r="E1253" s="23" t="str">
        <f>IFERROR(__xludf.DUMMYFUNCTION("""COMPUTED_VALUE"""),"Easy")</f>
        <v>Easy</v>
      </c>
      <c r="F1253" s="23">
        <f>IFERROR(__xludf.DUMMYFUNCTION("""COMPUTED_VALUE"""),738.0)</f>
        <v>738</v>
      </c>
      <c r="G1253" s="23">
        <f>IFERROR(__xludf.DUMMYFUNCTION("""COMPUTED_VALUE"""),1091.0)</f>
        <v>1091</v>
      </c>
      <c r="H1253" s="23" t="str">
        <f>IFERROR(__xludf.DUMMYFUNCTION("""COMPUTED_VALUE"""),"Algorithms")</f>
        <v>Algorithms</v>
      </c>
      <c r="I1253" s="23">
        <f>IFERROR(__xludf.DUMMYFUNCTION("""COMPUTED_VALUE"""),0.785)</f>
        <v>0.785</v>
      </c>
      <c r="J1253" s="23">
        <f>IFERROR(__xludf.DUMMYFUNCTION("""COMPUTED_VALUE"""),1252.0)</f>
        <v>1252</v>
      </c>
      <c r="K1253" s="23" t="b">
        <f>IFERROR(__xludf.DUMMYFUNCTION("""COMPUTED_VALUE"""),FALSE)</f>
        <v>0</v>
      </c>
      <c r="L1253" s="23" t="str">
        <f>IFERROR(__xludf.DUMMYFUNCTION("""COMPUTED_VALUE"""),"Array;Math;Simulation;")</f>
        <v>Array;Math;Simulation;</v>
      </c>
      <c r="M1253" s="23" t="b">
        <f>IFERROR(__xludf.DUMMYFUNCTION("""COMPUTED_VALUE"""),FALSE)</f>
        <v>0</v>
      </c>
      <c r="N1253" s="23" t="b">
        <f>IFERROR(__xludf.DUMMYFUNCTION("""COMPUTED_VALUE"""),FALSE)</f>
        <v>0</v>
      </c>
      <c r="O1253" s="23">
        <f>IFERROR(__xludf.DUMMYFUNCTION("""COMPUTED_VALUE"""),78.500472331328)</f>
        <v>78.50047233</v>
      </c>
      <c r="P1253" s="23">
        <f>IFERROR(__xludf.DUMMYFUNCTION("""COMPUTED_VALUE"""),78944.0)</f>
        <v>78944</v>
      </c>
      <c r="Q1253" s="23">
        <f>IFERROR(__xludf.DUMMYFUNCTION("""COMPUTED_VALUE"""),100565.0)</f>
        <v>100565</v>
      </c>
    </row>
    <row r="1254">
      <c r="A1254" s="23">
        <f>IFERROR(__xludf.DUMMYFUNCTION("""COMPUTED_VALUE"""),1379.0)</f>
        <v>1379</v>
      </c>
      <c r="B1254" s="23" t="str">
        <f>IFERROR(__xludf.DUMMYFUNCTION("""COMPUTED_VALUE"""),"Reconstruct a 2-Row Binary Matrix")</f>
        <v>Reconstruct a 2-Row Binary Matrix</v>
      </c>
      <c r="C1254" s="23" t="str">
        <f>IFERROR(__xludf.DUMMYFUNCTION("""COMPUTED_VALUE"""),"reconstruct-a-2-row-binary-matrix")</f>
        <v>reconstruct-a-2-row-binary-matrix</v>
      </c>
      <c r="D1254" s="23" t="b">
        <f>IFERROR(__xludf.DUMMYFUNCTION("""COMPUTED_VALUE"""),FALSE)</f>
        <v>0</v>
      </c>
      <c r="E1254" s="23" t="str">
        <f>IFERROR(__xludf.DUMMYFUNCTION("""COMPUTED_VALUE"""),"Medium")</f>
        <v>Medium</v>
      </c>
      <c r="F1254" s="23">
        <f>IFERROR(__xludf.DUMMYFUNCTION("""COMPUTED_VALUE"""),323.0)</f>
        <v>323</v>
      </c>
      <c r="G1254" s="23">
        <f>IFERROR(__xludf.DUMMYFUNCTION("""COMPUTED_VALUE"""),25.0)</f>
        <v>25</v>
      </c>
      <c r="H1254" s="23" t="str">
        <f>IFERROR(__xludf.DUMMYFUNCTION("""COMPUTED_VALUE"""),"Algorithms")</f>
        <v>Algorithms</v>
      </c>
      <c r="I1254" s="23">
        <f>IFERROR(__xludf.DUMMYFUNCTION("""COMPUTED_VALUE"""),0.433)</f>
        <v>0.433</v>
      </c>
      <c r="J1254" s="23">
        <f>IFERROR(__xludf.DUMMYFUNCTION("""COMPUTED_VALUE"""),1253.0)</f>
        <v>1253</v>
      </c>
      <c r="K1254" s="23" t="b">
        <f>IFERROR(__xludf.DUMMYFUNCTION("""COMPUTED_VALUE"""),FALSE)</f>
        <v>0</v>
      </c>
      <c r="L1254" s="23" t="str">
        <f>IFERROR(__xludf.DUMMYFUNCTION("""COMPUTED_VALUE"""),"Array;Greedy;Matrix;")</f>
        <v>Array;Greedy;Matrix;</v>
      </c>
      <c r="M1254" s="23" t="b">
        <f>IFERROR(__xludf.DUMMYFUNCTION("""COMPUTED_VALUE"""),FALSE)</f>
        <v>0</v>
      </c>
      <c r="N1254" s="23" t="b">
        <f>IFERROR(__xludf.DUMMYFUNCTION("""COMPUTED_VALUE"""),FALSE)</f>
        <v>0</v>
      </c>
      <c r="O1254" s="23">
        <f>IFERROR(__xludf.DUMMYFUNCTION("""COMPUTED_VALUE"""),43.2701400459314)</f>
        <v>43.27014005</v>
      </c>
      <c r="P1254" s="23">
        <f>IFERROR(__xludf.DUMMYFUNCTION("""COMPUTED_VALUE"""),19218.0)</f>
        <v>19218</v>
      </c>
      <c r="Q1254" s="23">
        <f>IFERROR(__xludf.DUMMYFUNCTION("""COMPUTED_VALUE"""),44414.0)</f>
        <v>44414</v>
      </c>
    </row>
    <row r="1255">
      <c r="A1255" s="23">
        <f>IFERROR(__xludf.DUMMYFUNCTION("""COMPUTED_VALUE"""),1380.0)</f>
        <v>1380</v>
      </c>
      <c r="B1255" s="23" t="str">
        <f>IFERROR(__xludf.DUMMYFUNCTION("""COMPUTED_VALUE"""),"Number of Closed Islands")</f>
        <v>Number of Closed Islands</v>
      </c>
      <c r="C1255" s="23" t="str">
        <f>IFERROR(__xludf.DUMMYFUNCTION("""COMPUTED_VALUE"""),"number-of-closed-islands")</f>
        <v>number-of-closed-islands</v>
      </c>
      <c r="D1255" s="23" t="b">
        <f>IFERROR(__xludf.DUMMYFUNCTION("""COMPUTED_VALUE"""),FALSE)</f>
        <v>0</v>
      </c>
      <c r="E1255" s="23" t="str">
        <f>IFERROR(__xludf.DUMMYFUNCTION("""COMPUTED_VALUE"""),"Medium")</f>
        <v>Medium</v>
      </c>
      <c r="F1255" s="23">
        <f>IFERROR(__xludf.DUMMYFUNCTION("""COMPUTED_VALUE"""),1789.0)</f>
        <v>1789</v>
      </c>
      <c r="G1255" s="23">
        <f>IFERROR(__xludf.DUMMYFUNCTION("""COMPUTED_VALUE"""),41.0)</f>
        <v>41</v>
      </c>
      <c r="H1255" s="23" t="str">
        <f>IFERROR(__xludf.DUMMYFUNCTION("""COMPUTED_VALUE"""),"Algorithms")</f>
        <v>Algorithms</v>
      </c>
      <c r="I1255" s="23">
        <f>IFERROR(__xludf.DUMMYFUNCTION("""COMPUTED_VALUE"""),0.633)</f>
        <v>0.633</v>
      </c>
      <c r="J1255" s="23">
        <f>IFERROR(__xludf.DUMMYFUNCTION("""COMPUTED_VALUE"""),1254.0)</f>
        <v>1254</v>
      </c>
      <c r="K1255" s="23" t="b">
        <f>IFERROR(__xludf.DUMMYFUNCTION("""COMPUTED_VALUE"""),FALSE)</f>
        <v>0</v>
      </c>
      <c r="L1255" s="23" t="str">
        <f>IFERROR(__xludf.DUMMYFUNCTION("""COMPUTED_VALUE"""),"Array;Depth-First Search;Breadth-First Search;Union Find;Matrix;")</f>
        <v>Array;Depth-First Search;Breadth-First Search;Union Find;Matrix;</v>
      </c>
      <c r="M1255" s="23" t="b">
        <f>IFERROR(__xludf.DUMMYFUNCTION("""COMPUTED_VALUE"""),FALSE)</f>
        <v>0</v>
      </c>
      <c r="N1255" s="23" t="b">
        <f>IFERROR(__xludf.DUMMYFUNCTION("""COMPUTED_VALUE"""),FALSE)</f>
        <v>0</v>
      </c>
      <c r="O1255" s="23">
        <f>IFERROR(__xludf.DUMMYFUNCTION("""COMPUTED_VALUE"""),63.3414406536802)</f>
        <v>63.34144065</v>
      </c>
      <c r="P1255" s="23">
        <f>IFERROR(__xludf.DUMMYFUNCTION("""COMPUTED_VALUE"""),86202.0)</f>
        <v>86202</v>
      </c>
      <c r="Q1255" s="23">
        <f>IFERROR(__xludf.DUMMYFUNCTION("""COMPUTED_VALUE"""),136090.0)</f>
        <v>136090</v>
      </c>
    </row>
    <row r="1256">
      <c r="A1256" s="23">
        <f>IFERROR(__xludf.DUMMYFUNCTION("""COMPUTED_VALUE"""),1381.0)</f>
        <v>1381</v>
      </c>
      <c r="B1256" s="23" t="str">
        <f>IFERROR(__xludf.DUMMYFUNCTION("""COMPUTED_VALUE"""),"Maximum Score Words Formed by Letters")</f>
        <v>Maximum Score Words Formed by Letters</v>
      </c>
      <c r="C1256" s="23" t="str">
        <f>IFERROR(__xludf.DUMMYFUNCTION("""COMPUTED_VALUE"""),"maximum-score-words-formed-by-letters")</f>
        <v>maximum-score-words-formed-by-letters</v>
      </c>
      <c r="D1256" s="23" t="b">
        <f>IFERROR(__xludf.DUMMYFUNCTION("""COMPUTED_VALUE"""),FALSE)</f>
        <v>0</v>
      </c>
      <c r="E1256" s="23" t="str">
        <f>IFERROR(__xludf.DUMMYFUNCTION("""COMPUTED_VALUE"""),"Hard")</f>
        <v>Hard</v>
      </c>
      <c r="F1256" s="23">
        <f>IFERROR(__xludf.DUMMYFUNCTION("""COMPUTED_VALUE"""),648.0)</f>
        <v>648</v>
      </c>
      <c r="G1256" s="23">
        <f>IFERROR(__xludf.DUMMYFUNCTION("""COMPUTED_VALUE"""),39.0)</f>
        <v>39</v>
      </c>
      <c r="H1256" s="23" t="str">
        <f>IFERROR(__xludf.DUMMYFUNCTION("""COMPUTED_VALUE"""),"Algorithms")</f>
        <v>Algorithms</v>
      </c>
      <c r="I1256" s="23">
        <f>IFERROR(__xludf.DUMMYFUNCTION("""COMPUTED_VALUE"""),0.721)</f>
        <v>0.721</v>
      </c>
      <c r="J1256" s="23">
        <f>IFERROR(__xludf.DUMMYFUNCTION("""COMPUTED_VALUE"""),1255.0)</f>
        <v>1255</v>
      </c>
      <c r="K1256" s="23" t="b">
        <f>IFERROR(__xludf.DUMMYFUNCTION("""COMPUTED_VALUE"""),FALSE)</f>
        <v>0</v>
      </c>
      <c r="L1256" s="23" t="str">
        <f>IFERROR(__xludf.DUMMYFUNCTION("""COMPUTED_VALUE"""),"Array;String;Dynamic Programming;Backtracking;Bit Manipulation;Bitmask;")</f>
        <v>Array;String;Dynamic Programming;Backtracking;Bit Manipulation;Bitmask;</v>
      </c>
      <c r="M1256" s="23" t="b">
        <f>IFERROR(__xludf.DUMMYFUNCTION("""COMPUTED_VALUE"""),FALSE)</f>
        <v>0</v>
      </c>
      <c r="N1256" s="23" t="b">
        <f>IFERROR(__xludf.DUMMYFUNCTION("""COMPUTED_VALUE"""),FALSE)</f>
        <v>0</v>
      </c>
      <c r="O1256" s="23">
        <f>IFERROR(__xludf.DUMMYFUNCTION("""COMPUTED_VALUE"""),72.125732189075)</f>
        <v>72.12573219</v>
      </c>
      <c r="P1256" s="23">
        <f>IFERROR(__xludf.DUMMYFUNCTION("""COMPUTED_VALUE"""),21179.0)</f>
        <v>21179</v>
      </c>
      <c r="Q1256" s="23">
        <f>IFERROR(__xludf.DUMMYFUNCTION("""COMPUTED_VALUE"""),29364.0)</f>
        <v>29364</v>
      </c>
    </row>
    <row r="1257">
      <c r="A1257" s="23">
        <f>IFERROR(__xludf.DUMMYFUNCTION("""COMPUTED_VALUE"""),1189.0)</f>
        <v>1189</v>
      </c>
      <c r="B1257" s="23" t="str">
        <f>IFERROR(__xludf.DUMMYFUNCTION("""COMPUTED_VALUE"""),"Encode Number")</f>
        <v>Encode Number</v>
      </c>
      <c r="C1257" s="23" t="str">
        <f>IFERROR(__xludf.DUMMYFUNCTION("""COMPUTED_VALUE"""),"encode-number")</f>
        <v>encode-number</v>
      </c>
      <c r="D1257" s="23" t="b">
        <f>IFERROR(__xludf.DUMMYFUNCTION("""COMPUTED_VALUE"""),TRUE)</f>
        <v>1</v>
      </c>
      <c r="E1257" s="23" t="str">
        <f>IFERROR(__xludf.DUMMYFUNCTION("""COMPUTED_VALUE"""),"Medium")</f>
        <v>Medium</v>
      </c>
      <c r="F1257" s="23">
        <f>IFERROR(__xludf.DUMMYFUNCTION("""COMPUTED_VALUE"""),62.0)</f>
        <v>62</v>
      </c>
      <c r="G1257" s="23">
        <f>IFERROR(__xludf.DUMMYFUNCTION("""COMPUTED_VALUE"""),216.0)</f>
        <v>216</v>
      </c>
      <c r="H1257" s="23" t="str">
        <f>IFERROR(__xludf.DUMMYFUNCTION("""COMPUTED_VALUE"""),"Algorithms")</f>
        <v>Algorithms</v>
      </c>
      <c r="I1257" s="23">
        <f>IFERROR(__xludf.DUMMYFUNCTION("""COMPUTED_VALUE"""),0.697)</f>
        <v>0.697</v>
      </c>
      <c r="J1257" s="23">
        <f>IFERROR(__xludf.DUMMYFUNCTION("""COMPUTED_VALUE"""),1256.0)</f>
        <v>1256</v>
      </c>
      <c r="K1257" s="23" t="b">
        <f>IFERROR(__xludf.DUMMYFUNCTION("""COMPUTED_VALUE"""),TRUE)</f>
        <v>1</v>
      </c>
      <c r="L1257" s="23" t="str">
        <f>IFERROR(__xludf.DUMMYFUNCTION("""COMPUTED_VALUE"""),"Math;String;Bit Manipulation;")</f>
        <v>Math;String;Bit Manipulation;</v>
      </c>
      <c r="M1257" s="23" t="b">
        <f>IFERROR(__xludf.DUMMYFUNCTION("""COMPUTED_VALUE"""),FALSE)</f>
        <v>0</v>
      </c>
      <c r="N1257" s="23" t="b">
        <f>IFERROR(__xludf.DUMMYFUNCTION("""COMPUTED_VALUE"""),FALSE)</f>
        <v>0</v>
      </c>
      <c r="O1257" s="23">
        <f>IFERROR(__xludf.DUMMYFUNCTION("""COMPUTED_VALUE"""),69.6979574098218)</f>
        <v>69.69795741</v>
      </c>
      <c r="P1257" s="23">
        <f>IFERROR(__xludf.DUMMYFUNCTION("""COMPUTED_VALUE"""),6415.0)</f>
        <v>6415</v>
      </c>
      <c r="Q1257" s="23">
        <f>IFERROR(__xludf.DUMMYFUNCTION("""COMPUTED_VALUE"""),9204.0)</f>
        <v>9204</v>
      </c>
    </row>
    <row r="1258">
      <c r="A1258" s="23">
        <f>IFERROR(__xludf.DUMMYFUNCTION("""COMPUTED_VALUE"""),1190.0)</f>
        <v>1190</v>
      </c>
      <c r="B1258" s="23" t="str">
        <f>IFERROR(__xludf.DUMMYFUNCTION("""COMPUTED_VALUE"""),"Smallest Common Region")</f>
        <v>Smallest Common Region</v>
      </c>
      <c r="C1258" s="23" t="str">
        <f>IFERROR(__xludf.DUMMYFUNCTION("""COMPUTED_VALUE"""),"smallest-common-region")</f>
        <v>smallest-common-region</v>
      </c>
      <c r="D1258" s="23" t="b">
        <f>IFERROR(__xludf.DUMMYFUNCTION("""COMPUTED_VALUE"""),TRUE)</f>
        <v>1</v>
      </c>
      <c r="E1258" s="23" t="str">
        <f>IFERROR(__xludf.DUMMYFUNCTION("""COMPUTED_VALUE"""),"Medium")</f>
        <v>Medium</v>
      </c>
      <c r="F1258" s="23">
        <f>IFERROR(__xludf.DUMMYFUNCTION("""COMPUTED_VALUE"""),304.0)</f>
        <v>304</v>
      </c>
      <c r="G1258" s="23">
        <f>IFERROR(__xludf.DUMMYFUNCTION("""COMPUTED_VALUE"""),27.0)</f>
        <v>27</v>
      </c>
      <c r="H1258" s="23" t="str">
        <f>IFERROR(__xludf.DUMMYFUNCTION("""COMPUTED_VALUE"""),"Algorithms")</f>
        <v>Algorithms</v>
      </c>
      <c r="I1258" s="23">
        <f>IFERROR(__xludf.DUMMYFUNCTION("""COMPUTED_VALUE"""),0.632)</f>
        <v>0.632</v>
      </c>
      <c r="J1258" s="23">
        <f>IFERROR(__xludf.DUMMYFUNCTION("""COMPUTED_VALUE"""),1257.0)</f>
        <v>1257</v>
      </c>
      <c r="K1258" s="23" t="b">
        <f>IFERROR(__xludf.DUMMYFUNCTION("""COMPUTED_VALUE"""),TRUE)</f>
        <v>1</v>
      </c>
      <c r="L1258" s="23" t="str">
        <f>IFERROR(__xludf.DUMMYFUNCTION("""COMPUTED_VALUE"""),"Array;Hash Table;String;Tree;Depth-First Search;Breadth-First Search;")</f>
        <v>Array;Hash Table;String;Tree;Depth-First Search;Breadth-First Search;</v>
      </c>
      <c r="M1258" s="23" t="b">
        <f>IFERROR(__xludf.DUMMYFUNCTION("""COMPUTED_VALUE"""),FALSE)</f>
        <v>0</v>
      </c>
      <c r="N1258" s="23" t="b">
        <f>IFERROR(__xludf.DUMMYFUNCTION("""COMPUTED_VALUE"""),FALSE)</f>
        <v>0</v>
      </c>
      <c r="O1258" s="23">
        <f>IFERROR(__xludf.DUMMYFUNCTION("""COMPUTED_VALUE"""),63.1835504741646)</f>
        <v>63.18355047</v>
      </c>
      <c r="P1258" s="23">
        <f>IFERROR(__xludf.DUMMYFUNCTION("""COMPUTED_VALUE"""),14258.0)</f>
        <v>14258</v>
      </c>
      <c r="Q1258" s="23">
        <f>IFERROR(__xludf.DUMMYFUNCTION("""COMPUTED_VALUE"""),22566.0)</f>
        <v>22566</v>
      </c>
    </row>
    <row r="1259">
      <c r="A1259" s="23">
        <f>IFERROR(__xludf.DUMMYFUNCTION("""COMPUTED_VALUE"""),1191.0)</f>
        <v>1191</v>
      </c>
      <c r="B1259" s="23" t="str">
        <f>IFERROR(__xludf.DUMMYFUNCTION("""COMPUTED_VALUE"""),"Synonymous Sentences")</f>
        <v>Synonymous Sentences</v>
      </c>
      <c r="C1259" s="23" t="str">
        <f>IFERROR(__xludf.DUMMYFUNCTION("""COMPUTED_VALUE"""),"synonymous-sentences")</f>
        <v>synonymous-sentences</v>
      </c>
      <c r="D1259" s="23" t="b">
        <f>IFERROR(__xludf.DUMMYFUNCTION("""COMPUTED_VALUE"""),TRUE)</f>
        <v>1</v>
      </c>
      <c r="E1259" s="23" t="str">
        <f>IFERROR(__xludf.DUMMYFUNCTION("""COMPUTED_VALUE"""),"Medium")</f>
        <v>Medium</v>
      </c>
      <c r="F1259" s="23">
        <f>IFERROR(__xludf.DUMMYFUNCTION("""COMPUTED_VALUE"""),228.0)</f>
        <v>228</v>
      </c>
      <c r="G1259" s="23">
        <f>IFERROR(__xludf.DUMMYFUNCTION("""COMPUTED_VALUE"""),91.0)</f>
        <v>91</v>
      </c>
      <c r="H1259" s="23" t="str">
        <f>IFERROR(__xludf.DUMMYFUNCTION("""COMPUTED_VALUE"""),"Algorithms")</f>
        <v>Algorithms</v>
      </c>
      <c r="I1259" s="23">
        <f>IFERROR(__xludf.DUMMYFUNCTION("""COMPUTED_VALUE"""),0.564)</f>
        <v>0.564</v>
      </c>
      <c r="J1259" s="23">
        <f>IFERROR(__xludf.DUMMYFUNCTION("""COMPUTED_VALUE"""),1258.0)</f>
        <v>1258</v>
      </c>
      <c r="K1259" s="23" t="b">
        <f>IFERROR(__xludf.DUMMYFUNCTION("""COMPUTED_VALUE"""),TRUE)</f>
        <v>1</v>
      </c>
      <c r="L1259" s="23" t="str">
        <f>IFERROR(__xludf.DUMMYFUNCTION("""COMPUTED_VALUE"""),"Array;Hash Table;String;Backtracking;Union Find;")</f>
        <v>Array;Hash Table;String;Backtracking;Union Find;</v>
      </c>
      <c r="M1259" s="23" t="b">
        <f>IFERROR(__xludf.DUMMYFUNCTION("""COMPUTED_VALUE"""),FALSE)</f>
        <v>0</v>
      </c>
      <c r="N1259" s="23" t="b">
        <f>IFERROR(__xludf.DUMMYFUNCTION("""COMPUTED_VALUE"""),FALSE)</f>
        <v>0</v>
      </c>
      <c r="O1259" s="23">
        <f>IFERROR(__xludf.DUMMYFUNCTION("""COMPUTED_VALUE"""),56.3805201899239)</f>
        <v>56.38052019</v>
      </c>
      <c r="P1259" s="23">
        <f>IFERROR(__xludf.DUMMYFUNCTION("""COMPUTED_VALUE"""),13418.0)</f>
        <v>13418</v>
      </c>
      <c r="Q1259" s="23">
        <f>IFERROR(__xludf.DUMMYFUNCTION("""COMPUTED_VALUE"""),23799.0)</f>
        <v>23799</v>
      </c>
    </row>
    <row r="1260">
      <c r="A1260" s="23">
        <f>IFERROR(__xludf.DUMMYFUNCTION("""COMPUTED_VALUE"""),1213.0)</f>
        <v>1213</v>
      </c>
      <c r="B1260" s="23" t="str">
        <f>IFERROR(__xludf.DUMMYFUNCTION("""COMPUTED_VALUE"""),"Handshakes That Don't Cross")</f>
        <v>Handshakes That Don't Cross</v>
      </c>
      <c r="C1260" s="23" t="str">
        <f>IFERROR(__xludf.DUMMYFUNCTION("""COMPUTED_VALUE"""),"handshakes-that-dont-cross")</f>
        <v>handshakes-that-dont-cross</v>
      </c>
      <c r="D1260" s="23" t="b">
        <f>IFERROR(__xludf.DUMMYFUNCTION("""COMPUTED_VALUE"""),TRUE)</f>
        <v>1</v>
      </c>
      <c r="E1260" s="23" t="str">
        <f>IFERROR(__xludf.DUMMYFUNCTION("""COMPUTED_VALUE"""),"Hard")</f>
        <v>Hard</v>
      </c>
      <c r="F1260" s="23">
        <f>IFERROR(__xludf.DUMMYFUNCTION("""COMPUTED_VALUE"""),111.0)</f>
        <v>111</v>
      </c>
      <c r="G1260" s="23">
        <f>IFERROR(__xludf.DUMMYFUNCTION("""COMPUTED_VALUE"""),8.0)</f>
        <v>8</v>
      </c>
      <c r="H1260" s="23" t="str">
        <f>IFERROR(__xludf.DUMMYFUNCTION("""COMPUTED_VALUE"""),"Algorithms")</f>
        <v>Algorithms</v>
      </c>
      <c r="I1260" s="23">
        <f>IFERROR(__xludf.DUMMYFUNCTION("""COMPUTED_VALUE"""),0.561)</f>
        <v>0.561</v>
      </c>
      <c r="J1260" s="23">
        <f>IFERROR(__xludf.DUMMYFUNCTION("""COMPUTED_VALUE"""),1259.0)</f>
        <v>1259</v>
      </c>
      <c r="K1260" s="23" t="b">
        <f>IFERROR(__xludf.DUMMYFUNCTION("""COMPUTED_VALUE"""),TRUE)</f>
        <v>1</v>
      </c>
      <c r="L1260" s="23" t="str">
        <f>IFERROR(__xludf.DUMMYFUNCTION("""COMPUTED_VALUE"""),"Math;Dynamic Programming;")</f>
        <v>Math;Dynamic Programming;</v>
      </c>
      <c r="M1260" s="23" t="b">
        <f>IFERROR(__xludf.DUMMYFUNCTION("""COMPUTED_VALUE"""),FALSE)</f>
        <v>0</v>
      </c>
      <c r="N1260" s="23" t="b">
        <f>IFERROR(__xludf.DUMMYFUNCTION("""COMPUTED_VALUE"""),FALSE)</f>
        <v>0</v>
      </c>
      <c r="O1260" s="23">
        <f>IFERROR(__xludf.DUMMYFUNCTION("""COMPUTED_VALUE"""),56.13838032124)</f>
        <v>56.13838032</v>
      </c>
      <c r="P1260" s="23">
        <f>IFERROR(__xludf.DUMMYFUNCTION("""COMPUTED_VALUE"""),4998.0)</f>
        <v>4998</v>
      </c>
      <c r="Q1260" s="23">
        <f>IFERROR(__xludf.DUMMYFUNCTION("""COMPUTED_VALUE"""),8903.0)</f>
        <v>8903</v>
      </c>
    </row>
    <row r="1261">
      <c r="A1261" s="23">
        <f>IFERROR(__xludf.DUMMYFUNCTION("""COMPUTED_VALUE"""),1386.0)</f>
        <v>1386</v>
      </c>
      <c r="B1261" s="23" t="str">
        <f>IFERROR(__xludf.DUMMYFUNCTION("""COMPUTED_VALUE"""),"Shift 2D Grid")</f>
        <v>Shift 2D Grid</v>
      </c>
      <c r="C1261" s="23" t="str">
        <f>IFERROR(__xludf.DUMMYFUNCTION("""COMPUTED_VALUE"""),"shift-2d-grid")</f>
        <v>shift-2d-grid</v>
      </c>
      <c r="D1261" s="23" t="b">
        <f>IFERROR(__xludf.DUMMYFUNCTION("""COMPUTED_VALUE"""),FALSE)</f>
        <v>0</v>
      </c>
      <c r="E1261" s="23" t="str">
        <f>IFERROR(__xludf.DUMMYFUNCTION("""COMPUTED_VALUE"""),"Easy")</f>
        <v>Easy</v>
      </c>
      <c r="F1261" s="23">
        <f>IFERROR(__xludf.DUMMYFUNCTION("""COMPUTED_VALUE"""),1390.0)</f>
        <v>1390</v>
      </c>
      <c r="G1261" s="23">
        <f>IFERROR(__xludf.DUMMYFUNCTION("""COMPUTED_VALUE"""),291.0)</f>
        <v>291</v>
      </c>
      <c r="H1261" s="23" t="str">
        <f>IFERROR(__xludf.DUMMYFUNCTION("""COMPUTED_VALUE"""),"Algorithms")</f>
        <v>Algorithms</v>
      </c>
      <c r="I1261" s="23">
        <f>IFERROR(__xludf.DUMMYFUNCTION("""COMPUTED_VALUE"""),0.681)</f>
        <v>0.681</v>
      </c>
      <c r="J1261" s="23">
        <f>IFERROR(__xludf.DUMMYFUNCTION("""COMPUTED_VALUE"""),1260.0)</f>
        <v>1260</v>
      </c>
      <c r="K1261" s="23" t="b">
        <f>IFERROR(__xludf.DUMMYFUNCTION("""COMPUTED_VALUE"""),FALSE)</f>
        <v>0</v>
      </c>
      <c r="L1261" s="23" t="str">
        <f>IFERROR(__xludf.DUMMYFUNCTION("""COMPUTED_VALUE"""),"Array;Matrix;Simulation;")</f>
        <v>Array;Matrix;Simulation;</v>
      </c>
      <c r="M1261" s="23" t="b">
        <f>IFERROR(__xludf.DUMMYFUNCTION("""COMPUTED_VALUE"""),TRUE)</f>
        <v>1</v>
      </c>
      <c r="N1261" s="23" t="b">
        <f>IFERROR(__xludf.DUMMYFUNCTION("""COMPUTED_VALUE"""),FALSE)</f>
        <v>0</v>
      </c>
      <c r="O1261" s="23">
        <f>IFERROR(__xludf.DUMMYFUNCTION("""COMPUTED_VALUE"""),68.0856977038835)</f>
        <v>68.0856977</v>
      </c>
      <c r="P1261" s="23">
        <f>IFERROR(__xludf.DUMMYFUNCTION("""COMPUTED_VALUE"""),83294.0)</f>
        <v>83294</v>
      </c>
      <c r="Q1261" s="23">
        <f>IFERROR(__xludf.DUMMYFUNCTION("""COMPUTED_VALUE"""),122337.0)</f>
        <v>122337</v>
      </c>
    </row>
    <row r="1262">
      <c r="A1262" s="23">
        <f>IFERROR(__xludf.DUMMYFUNCTION("""COMPUTED_VALUE"""),1387.0)</f>
        <v>1387</v>
      </c>
      <c r="B1262" s="23" t="str">
        <f>IFERROR(__xludf.DUMMYFUNCTION("""COMPUTED_VALUE"""),"Find Elements in a Contaminated Binary Tree")</f>
        <v>Find Elements in a Contaminated Binary Tree</v>
      </c>
      <c r="C1262" s="23" t="str">
        <f>IFERROR(__xludf.DUMMYFUNCTION("""COMPUTED_VALUE"""),"find-elements-in-a-contaminated-binary-tree")</f>
        <v>find-elements-in-a-contaminated-binary-tree</v>
      </c>
      <c r="D1262" s="23" t="b">
        <f>IFERROR(__xludf.DUMMYFUNCTION("""COMPUTED_VALUE"""),FALSE)</f>
        <v>0</v>
      </c>
      <c r="E1262" s="23" t="str">
        <f>IFERROR(__xludf.DUMMYFUNCTION("""COMPUTED_VALUE"""),"Medium")</f>
        <v>Medium</v>
      </c>
      <c r="F1262" s="23">
        <f>IFERROR(__xludf.DUMMYFUNCTION("""COMPUTED_VALUE"""),595.0)</f>
        <v>595</v>
      </c>
      <c r="G1262" s="23">
        <f>IFERROR(__xludf.DUMMYFUNCTION("""COMPUTED_VALUE"""),79.0)</f>
        <v>79</v>
      </c>
      <c r="H1262" s="23" t="str">
        <f>IFERROR(__xludf.DUMMYFUNCTION("""COMPUTED_VALUE"""),"Algorithms")</f>
        <v>Algorithms</v>
      </c>
      <c r="I1262" s="23">
        <f>IFERROR(__xludf.DUMMYFUNCTION("""COMPUTED_VALUE"""),0.757)</f>
        <v>0.757</v>
      </c>
      <c r="J1262" s="23">
        <f>IFERROR(__xludf.DUMMYFUNCTION("""COMPUTED_VALUE"""),1261.0)</f>
        <v>1261</v>
      </c>
      <c r="K1262" s="23" t="b">
        <f>IFERROR(__xludf.DUMMYFUNCTION("""COMPUTED_VALUE"""),FALSE)</f>
        <v>0</v>
      </c>
      <c r="L1262" s="23" t="str">
        <f>IFERROR(__xludf.DUMMYFUNCTION("""COMPUTED_VALUE"""),"Hash Table;Tree;Depth-First Search;Breadth-First Search;Design;Binary Tree;")</f>
        <v>Hash Table;Tree;Depth-First Search;Breadth-First Search;Design;Binary Tree;</v>
      </c>
      <c r="M1262" s="23" t="b">
        <f>IFERROR(__xludf.DUMMYFUNCTION("""COMPUTED_VALUE"""),FALSE)</f>
        <v>0</v>
      </c>
      <c r="N1262" s="23" t="b">
        <f>IFERROR(__xludf.DUMMYFUNCTION("""COMPUTED_VALUE"""),FALSE)</f>
        <v>0</v>
      </c>
      <c r="O1262" s="23">
        <f>IFERROR(__xludf.DUMMYFUNCTION("""COMPUTED_VALUE"""),75.749408819029)</f>
        <v>75.74940882</v>
      </c>
      <c r="P1262" s="23">
        <f>IFERROR(__xludf.DUMMYFUNCTION("""COMPUTED_VALUE"""),43565.0)</f>
        <v>43565</v>
      </c>
      <c r="Q1262" s="23">
        <f>IFERROR(__xludf.DUMMYFUNCTION("""COMPUTED_VALUE"""),57512.0)</f>
        <v>57512</v>
      </c>
    </row>
    <row r="1263">
      <c r="A1263" s="23">
        <f>IFERROR(__xludf.DUMMYFUNCTION("""COMPUTED_VALUE"""),1388.0)</f>
        <v>1388</v>
      </c>
      <c r="B1263" s="23" t="str">
        <f>IFERROR(__xludf.DUMMYFUNCTION("""COMPUTED_VALUE"""),"Greatest Sum Divisible by Three")</f>
        <v>Greatest Sum Divisible by Three</v>
      </c>
      <c r="C1263" s="23" t="str">
        <f>IFERROR(__xludf.DUMMYFUNCTION("""COMPUTED_VALUE"""),"greatest-sum-divisible-by-three")</f>
        <v>greatest-sum-divisible-by-three</v>
      </c>
      <c r="D1263" s="23" t="b">
        <f>IFERROR(__xludf.DUMMYFUNCTION("""COMPUTED_VALUE"""),FALSE)</f>
        <v>0</v>
      </c>
      <c r="E1263" s="23" t="str">
        <f>IFERROR(__xludf.DUMMYFUNCTION("""COMPUTED_VALUE"""),"Medium")</f>
        <v>Medium</v>
      </c>
      <c r="F1263" s="23">
        <f>IFERROR(__xludf.DUMMYFUNCTION("""COMPUTED_VALUE"""),1201.0)</f>
        <v>1201</v>
      </c>
      <c r="G1263" s="23">
        <f>IFERROR(__xludf.DUMMYFUNCTION("""COMPUTED_VALUE"""),33.0)</f>
        <v>33</v>
      </c>
      <c r="H1263" s="23" t="str">
        <f>IFERROR(__xludf.DUMMYFUNCTION("""COMPUTED_VALUE"""),"Algorithms")</f>
        <v>Algorithms</v>
      </c>
      <c r="I1263" s="23">
        <f>IFERROR(__xludf.DUMMYFUNCTION("""COMPUTED_VALUE"""),0.509)</f>
        <v>0.509</v>
      </c>
      <c r="J1263" s="23">
        <f>IFERROR(__xludf.DUMMYFUNCTION("""COMPUTED_VALUE"""),1262.0)</f>
        <v>1262</v>
      </c>
      <c r="K1263" s="23" t="b">
        <f>IFERROR(__xludf.DUMMYFUNCTION("""COMPUTED_VALUE"""),FALSE)</f>
        <v>0</v>
      </c>
      <c r="L1263" s="23" t="str">
        <f>IFERROR(__xludf.DUMMYFUNCTION("""COMPUTED_VALUE"""),"Array;Dynamic Programming;Greedy;")</f>
        <v>Array;Dynamic Programming;Greedy;</v>
      </c>
      <c r="M1263" s="23" t="b">
        <f>IFERROR(__xludf.DUMMYFUNCTION("""COMPUTED_VALUE"""),FALSE)</f>
        <v>0</v>
      </c>
      <c r="N1263" s="23" t="b">
        <f>IFERROR(__xludf.DUMMYFUNCTION("""COMPUTED_VALUE"""),FALSE)</f>
        <v>0</v>
      </c>
      <c r="O1263" s="23">
        <f>IFERROR(__xludf.DUMMYFUNCTION("""COMPUTED_VALUE"""),50.8577181208053)</f>
        <v>50.85771812</v>
      </c>
      <c r="P1263" s="23">
        <f>IFERROR(__xludf.DUMMYFUNCTION("""COMPUTED_VALUE"""),37889.0)</f>
        <v>37889</v>
      </c>
      <c r="Q1263" s="23">
        <f>IFERROR(__xludf.DUMMYFUNCTION("""COMPUTED_VALUE"""),74500.0)</f>
        <v>74500</v>
      </c>
    </row>
    <row r="1264">
      <c r="A1264" s="23">
        <f>IFERROR(__xludf.DUMMYFUNCTION("""COMPUTED_VALUE"""),1389.0)</f>
        <v>1389</v>
      </c>
      <c r="B1264" s="23" t="str">
        <f>IFERROR(__xludf.DUMMYFUNCTION("""COMPUTED_VALUE"""),"Minimum Moves to Move a Box to Their Target Location")</f>
        <v>Minimum Moves to Move a Box to Their Target Location</v>
      </c>
      <c r="C1264" s="23" t="str">
        <f>IFERROR(__xludf.DUMMYFUNCTION("""COMPUTED_VALUE"""),"minimum-moves-to-move-a-box-to-their-target-location")</f>
        <v>minimum-moves-to-move-a-box-to-their-target-location</v>
      </c>
      <c r="D1264" s="23" t="b">
        <f>IFERROR(__xludf.DUMMYFUNCTION("""COMPUTED_VALUE"""),FALSE)</f>
        <v>0</v>
      </c>
      <c r="E1264" s="23" t="str">
        <f>IFERROR(__xludf.DUMMYFUNCTION("""COMPUTED_VALUE"""),"Hard")</f>
        <v>Hard</v>
      </c>
      <c r="F1264" s="23">
        <f>IFERROR(__xludf.DUMMYFUNCTION("""COMPUTED_VALUE"""),624.0)</f>
        <v>624</v>
      </c>
      <c r="G1264" s="23">
        <f>IFERROR(__xludf.DUMMYFUNCTION("""COMPUTED_VALUE"""),47.0)</f>
        <v>47</v>
      </c>
      <c r="H1264" s="23" t="str">
        <f>IFERROR(__xludf.DUMMYFUNCTION("""COMPUTED_VALUE"""),"Algorithms")</f>
        <v>Algorithms</v>
      </c>
      <c r="I1264" s="23">
        <f>IFERROR(__xludf.DUMMYFUNCTION("""COMPUTED_VALUE"""),0.483)</f>
        <v>0.483</v>
      </c>
      <c r="J1264" s="23">
        <f>IFERROR(__xludf.DUMMYFUNCTION("""COMPUTED_VALUE"""),1263.0)</f>
        <v>1263</v>
      </c>
      <c r="K1264" s="23" t="b">
        <f>IFERROR(__xludf.DUMMYFUNCTION("""COMPUTED_VALUE"""),FALSE)</f>
        <v>0</v>
      </c>
      <c r="L1264" s="23" t="str">
        <f>IFERROR(__xludf.DUMMYFUNCTION("""COMPUTED_VALUE"""),"Array;Breadth-First Search;Heap (Priority Queue);Matrix;")</f>
        <v>Array;Breadth-First Search;Heap (Priority Queue);Matrix;</v>
      </c>
      <c r="M1264" s="23" t="b">
        <f>IFERROR(__xludf.DUMMYFUNCTION("""COMPUTED_VALUE"""),FALSE)</f>
        <v>0</v>
      </c>
      <c r="N1264" s="23" t="b">
        <f>IFERROR(__xludf.DUMMYFUNCTION("""COMPUTED_VALUE"""),FALSE)</f>
        <v>0</v>
      </c>
      <c r="O1264" s="23">
        <f>IFERROR(__xludf.DUMMYFUNCTION("""COMPUTED_VALUE"""),48.2809020044543)</f>
        <v>48.280902</v>
      </c>
      <c r="P1264" s="23">
        <f>IFERROR(__xludf.DUMMYFUNCTION("""COMPUTED_VALUE"""),20811.0)</f>
        <v>20811</v>
      </c>
      <c r="Q1264" s="23">
        <f>IFERROR(__xludf.DUMMYFUNCTION("""COMPUTED_VALUE"""),43104.0)</f>
        <v>43104</v>
      </c>
    </row>
    <row r="1265">
      <c r="A1265" s="23">
        <f>IFERROR(__xludf.DUMMYFUNCTION("""COMPUTED_VALUE"""),1399.0)</f>
        <v>1399</v>
      </c>
      <c r="B1265" s="23" t="str">
        <f>IFERROR(__xludf.DUMMYFUNCTION("""COMPUTED_VALUE"""),"Page Recommendations")</f>
        <v>Page Recommendations</v>
      </c>
      <c r="C1265" s="23" t="str">
        <f>IFERROR(__xludf.DUMMYFUNCTION("""COMPUTED_VALUE"""),"page-recommendations")</f>
        <v>page-recommendations</v>
      </c>
      <c r="D1265" s="23" t="b">
        <f>IFERROR(__xludf.DUMMYFUNCTION("""COMPUTED_VALUE"""),TRUE)</f>
        <v>1</v>
      </c>
      <c r="E1265" s="23" t="str">
        <f>IFERROR(__xludf.DUMMYFUNCTION("""COMPUTED_VALUE"""),"Medium")</f>
        <v>Medium</v>
      </c>
      <c r="F1265" s="23">
        <f>IFERROR(__xludf.DUMMYFUNCTION("""COMPUTED_VALUE"""),144.0)</f>
        <v>144</v>
      </c>
      <c r="G1265" s="23">
        <f>IFERROR(__xludf.DUMMYFUNCTION("""COMPUTED_VALUE"""),12.0)</f>
        <v>12</v>
      </c>
      <c r="H1265" s="23" t="str">
        <f>IFERROR(__xludf.DUMMYFUNCTION("""COMPUTED_VALUE"""),"Database")</f>
        <v>Database</v>
      </c>
      <c r="I1265" s="23">
        <f>IFERROR(__xludf.DUMMYFUNCTION("""COMPUTED_VALUE"""),0.678)</f>
        <v>0.678</v>
      </c>
      <c r="J1265" s="23">
        <f>IFERROR(__xludf.DUMMYFUNCTION("""COMPUTED_VALUE"""),1264.0)</f>
        <v>1264</v>
      </c>
      <c r="K1265" s="23" t="b">
        <f>IFERROR(__xludf.DUMMYFUNCTION("""COMPUTED_VALUE"""),TRUE)</f>
        <v>1</v>
      </c>
      <c r="L1265" s="23" t="str">
        <f>IFERROR(__xludf.DUMMYFUNCTION("""COMPUTED_VALUE"""),"Database;")</f>
        <v>Database;</v>
      </c>
      <c r="M1265" s="23" t="b">
        <f>IFERROR(__xludf.DUMMYFUNCTION("""COMPUTED_VALUE"""),FALSE)</f>
        <v>0</v>
      </c>
      <c r="N1265" s="23" t="b">
        <f>IFERROR(__xludf.DUMMYFUNCTION("""COMPUTED_VALUE"""),FALSE)</f>
        <v>0</v>
      </c>
      <c r="O1265" s="23">
        <f>IFERROR(__xludf.DUMMYFUNCTION("""COMPUTED_VALUE"""),67.7998755149826)</f>
        <v>67.79987551</v>
      </c>
      <c r="P1265" s="23">
        <f>IFERROR(__xludf.DUMMYFUNCTION("""COMPUTED_VALUE"""),22875.0)</f>
        <v>22875</v>
      </c>
      <c r="Q1265" s="23">
        <f>IFERROR(__xludf.DUMMYFUNCTION("""COMPUTED_VALUE"""),33739.0)</f>
        <v>33739</v>
      </c>
    </row>
    <row r="1266">
      <c r="A1266" s="23">
        <f>IFERROR(__xludf.DUMMYFUNCTION("""COMPUTED_VALUE"""),1404.0)</f>
        <v>1404</v>
      </c>
      <c r="B1266" s="23" t="str">
        <f>IFERROR(__xludf.DUMMYFUNCTION("""COMPUTED_VALUE"""),"Print Immutable Linked List in Reverse")</f>
        <v>Print Immutable Linked List in Reverse</v>
      </c>
      <c r="C1266" s="23" t="str">
        <f>IFERROR(__xludf.DUMMYFUNCTION("""COMPUTED_VALUE"""),"print-immutable-linked-list-in-reverse")</f>
        <v>print-immutable-linked-list-in-reverse</v>
      </c>
      <c r="D1266" s="23" t="b">
        <f>IFERROR(__xludf.DUMMYFUNCTION("""COMPUTED_VALUE"""),TRUE)</f>
        <v>1</v>
      </c>
      <c r="E1266" s="23" t="str">
        <f>IFERROR(__xludf.DUMMYFUNCTION("""COMPUTED_VALUE"""),"Medium")</f>
        <v>Medium</v>
      </c>
      <c r="F1266" s="23">
        <f>IFERROR(__xludf.DUMMYFUNCTION("""COMPUTED_VALUE"""),429.0)</f>
        <v>429</v>
      </c>
      <c r="G1266" s="23">
        <f>IFERROR(__xludf.DUMMYFUNCTION("""COMPUTED_VALUE"""),75.0)</f>
        <v>75</v>
      </c>
      <c r="H1266" s="23" t="str">
        <f>IFERROR(__xludf.DUMMYFUNCTION("""COMPUTED_VALUE"""),"Algorithms")</f>
        <v>Algorithms</v>
      </c>
      <c r="I1266" s="23">
        <f>IFERROR(__xludf.DUMMYFUNCTION("""COMPUTED_VALUE"""),0.943)</f>
        <v>0.943</v>
      </c>
      <c r="J1266" s="23">
        <f>IFERROR(__xludf.DUMMYFUNCTION("""COMPUTED_VALUE"""),1265.0)</f>
        <v>1265</v>
      </c>
      <c r="K1266" s="23" t="b">
        <f>IFERROR(__xludf.DUMMYFUNCTION("""COMPUTED_VALUE"""),TRUE)</f>
        <v>1</v>
      </c>
      <c r="L1266" s="23" t="str">
        <f>IFERROR(__xludf.DUMMYFUNCTION("""COMPUTED_VALUE"""),"Linked List;Two Pointers;Stack;Recursion;")</f>
        <v>Linked List;Two Pointers;Stack;Recursion;</v>
      </c>
      <c r="M1266" s="23" t="b">
        <f>IFERROR(__xludf.DUMMYFUNCTION("""COMPUTED_VALUE"""),FALSE)</f>
        <v>0</v>
      </c>
      <c r="N1266" s="23" t="b">
        <f>IFERROR(__xludf.DUMMYFUNCTION("""COMPUTED_VALUE"""),FALSE)</f>
        <v>0</v>
      </c>
      <c r="O1266" s="23">
        <f>IFERROR(__xludf.DUMMYFUNCTION("""COMPUTED_VALUE"""),94.2798893940104)</f>
        <v>94.27988939</v>
      </c>
      <c r="P1266" s="23">
        <f>IFERROR(__xludf.DUMMYFUNCTION("""COMPUTED_VALUE"""),40233.0)</f>
        <v>40233</v>
      </c>
      <c r="Q1266" s="23">
        <f>IFERROR(__xludf.DUMMYFUNCTION("""COMPUTED_VALUE"""),42674.0)</f>
        <v>42674</v>
      </c>
    </row>
    <row r="1267">
      <c r="A1267" s="23">
        <f>IFERROR(__xludf.DUMMYFUNCTION("""COMPUTED_VALUE"""),1395.0)</f>
        <v>1395</v>
      </c>
      <c r="B1267" s="23" t="str">
        <f>IFERROR(__xludf.DUMMYFUNCTION("""COMPUTED_VALUE"""),"Minimum Time Visiting All Points")</f>
        <v>Minimum Time Visiting All Points</v>
      </c>
      <c r="C1267" s="23" t="str">
        <f>IFERROR(__xludf.DUMMYFUNCTION("""COMPUTED_VALUE"""),"minimum-time-visiting-all-points")</f>
        <v>minimum-time-visiting-all-points</v>
      </c>
      <c r="D1267" s="23" t="b">
        <f>IFERROR(__xludf.DUMMYFUNCTION("""COMPUTED_VALUE"""),FALSE)</f>
        <v>0</v>
      </c>
      <c r="E1267" s="23" t="str">
        <f>IFERROR(__xludf.DUMMYFUNCTION("""COMPUTED_VALUE"""),"Easy")</f>
        <v>Easy</v>
      </c>
      <c r="F1267" s="23">
        <f>IFERROR(__xludf.DUMMYFUNCTION("""COMPUTED_VALUE"""),1180.0)</f>
        <v>1180</v>
      </c>
      <c r="G1267" s="23">
        <f>IFERROR(__xludf.DUMMYFUNCTION("""COMPUTED_VALUE"""),158.0)</f>
        <v>158</v>
      </c>
      <c r="H1267" s="23" t="str">
        <f>IFERROR(__xludf.DUMMYFUNCTION("""COMPUTED_VALUE"""),"Algorithms")</f>
        <v>Algorithms</v>
      </c>
      <c r="I1267" s="23">
        <f>IFERROR(__xludf.DUMMYFUNCTION("""COMPUTED_VALUE"""),0.791)</f>
        <v>0.791</v>
      </c>
      <c r="J1267" s="23">
        <f>IFERROR(__xludf.DUMMYFUNCTION("""COMPUTED_VALUE"""),1266.0)</f>
        <v>1266</v>
      </c>
      <c r="K1267" s="23" t="b">
        <f>IFERROR(__xludf.DUMMYFUNCTION("""COMPUTED_VALUE"""),FALSE)</f>
        <v>0</v>
      </c>
      <c r="L1267" s="23" t="str">
        <f>IFERROR(__xludf.DUMMYFUNCTION("""COMPUTED_VALUE"""),"Array;Math;Geometry;")</f>
        <v>Array;Math;Geometry;</v>
      </c>
      <c r="M1267" s="23" t="b">
        <f>IFERROR(__xludf.DUMMYFUNCTION("""COMPUTED_VALUE"""),FALSE)</f>
        <v>0</v>
      </c>
      <c r="N1267" s="23" t="b">
        <f>IFERROR(__xludf.DUMMYFUNCTION("""COMPUTED_VALUE"""),FALSE)</f>
        <v>0</v>
      </c>
      <c r="O1267" s="23">
        <f>IFERROR(__xludf.DUMMYFUNCTION("""COMPUTED_VALUE"""),79.1260029615345)</f>
        <v>79.12600296</v>
      </c>
      <c r="P1267" s="23">
        <f>IFERROR(__xludf.DUMMYFUNCTION("""COMPUTED_VALUE"""),114885.0)</f>
        <v>114885</v>
      </c>
      <c r="Q1267" s="23">
        <f>IFERROR(__xludf.DUMMYFUNCTION("""COMPUTED_VALUE"""),145193.0)</f>
        <v>145193</v>
      </c>
    </row>
    <row r="1268">
      <c r="A1268" s="23">
        <f>IFERROR(__xludf.DUMMYFUNCTION("""COMPUTED_VALUE"""),1396.0)</f>
        <v>1396</v>
      </c>
      <c r="B1268" s="23" t="str">
        <f>IFERROR(__xludf.DUMMYFUNCTION("""COMPUTED_VALUE"""),"Count Servers that Communicate")</f>
        <v>Count Servers that Communicate</v>
      </c>
      <c r="C1268" s="23" t="str">
        <f>IFERROR(__xludf.DUMMYFUNCTION("""COMPUTED_VALUE"""),"count-servers-that-communicate")</f>
        <v>count-servers-that-communicate</v>
      </c>
      <c r="D1268" s="23" t="b">
        <f>IFERROR(__xludf.DUMMYFUNCTION("""COMPUTED_VALUE"""),FALSE)</f>
        <v>0</v>
      </c>
      <c r="E1268" s="23" t="str">
        <f>IFERROR(__xludf.DUMMYFUNCTION("""COMPUTED_VALUE"""),"Medium")</f>
        <v>Medium</v>
      </c>
      <c r="F1268" s="23">
        <f>IFERROR(__xludf.DUMMYFUNCTION("""COMPUTED_VALUE"""),861.0)</f>
        <v>861</v>
      </c>
      <c r="G1268" s="23">
        <f>IFERROR(__xludf.DUMMYFUNCTION("""COMPUTED_VALUE"""),73.0)</f>
        <v>73</v>
      </c>
      <c r="H1268" s="23" t="str">
        <f>IFERROR(__xludf.DUMMYFUNCTION("""COMPUTED_VALUE"""),"Algorithms")</f>
        <v>Algorithms</v>
      </c>
      <c r="I1268" s="23">
        <f>IFERROR(__xludf.DUMMYFUNCTION("""COMPUTED_VALUE"""),0.583)</f>
        <v>0.583</v>
      </c>
      <c r="J1268" s="23">
        <f>IFERROR(__xludf.DUMMYFUNCTION("""COMPUTED_VALUE"""),1267.0)</f>
        <v>1267</v>
      </c>
      <c r="K1268" s="23" t="b">
        <f>IFERROR(__xludf.DUMMYFUNCTION("""COMPUTED_VALUE"""),FALSE)</f>
        <v>0</v>
      </c>
      <c r="L1268" s="23" t="str">
        <f>IFERROR(__xludf.DUMMYFUNCTION("""COMPUTED_VALUE"""),"Array;Depth-First Search;Breadth-First Search;Union Find;Matrix;Counting;")</f>
        <v>Array;Depth-First Search;Breadth-First Search;Union Find;Matrix;Counting;</v>
      </c>
      <c r="M1268" s="23" t="b">
        <f>IFERROR(__xludf.DUMMYFUNCTION("""COMPUTED_VALUE"""),FALSE)</f>
        <v>0</v>
      </c>
      <c r="N1268" s="23" t="b">
        <f>IFERROR(__xludf.DUMMYFUNCTION("""COMPUTED_VALUE"""),FALSE)</f>
        <v>0</v>
      </c>
      <c r="O1268" s="23">
        <f>IFERROR(__xludf.DUMMYFUNCTION("""COMPUTED_VALUE"""),58.3119581571971)</f>
        <v>58.31195816</v>
      </c>
      <c r="P1268" s="23">
        <f>IFERROR(__xludf.DUMMYFUNCTION("""COMPUTED_VALUE"""),40693.0)</f>
        <v>40693</v>
      </c>
      <c r="Q1268" s="23">
        <f>IFERROR(__xludf.DUMMYFUNCTION("""COMPUTED_VALUE"""),69785.0)</f>
        <v>69785</v>
      </c>
    </row>
    <row r="1269">
      <c r="A1269" s="23">
        <f>IFERROR(__xludf.DUMMYFUNCTION("""COMPUTED_VALUE"""),1397.0)</f>
        <v>1397</v>
      </c>
      <c r="B1269" s="23" t="str">
        <f>IFERROR(__xludf.DUMMYFUNCTION("""COMPUTED_VALUE"""),"Search Suggestions System")</f>
        <v>Search Suggestions System</v>
      </c>
      <c r="C1269" s="23" t="str">
        <f>IFERROR(__xludf.DUMMYFUNCTION("""COMPUTED_VALUE"""),"search-suggestions-system")</f>
        <v>search-suggestions-system</v>
      </c>
      <c r="D1269" s="23" t="b">
        <f>IFERROR(__xludf.DUMMYFUNCTION("""COMPUTED_VALUE"""),FALSE)</f>
        <v>0</v>
      </c>
      <c r="E1269" s="23" t="str">
        <f>IFERROR(__xludf.DUMMYFUNCTION("""COMPUTED_VALUE"""),"Medium")</f>
        <v>Medium</v>
      </c>
      <c r="F1269" s="23">
        <f>IFERROR(__xludf.DUMMYFUNCTION("""COMPUTED_VALUE"""),2242.0)</f>
        <v>2242</v>
      </c>
      <c r="G1269" s="23">
        <f>IFERROR(__xludf.DUMMYFUNCTION("""COMPUTED_VALUE"""),135.0)</f>
        <v>135</v>
      </c>
      <c r="H1269" s="23" t="str">
        <f>IFERROR(__xludf.DUMMYFUNCTION("""COMPUTED_VALUE"""),"Algorithms")</f>
        <v>Algorithms</v>
      </c>
      <c r="I1269" s="23">
        <f>IFERROR(__xludf.DUMMYFUNCTION("""COMPUTED_VALUE"""),0.654)</f>
        <v>0.654</v>
      </c>
      <c r="J1269" s="23">
        <f>IFERROR(__xludf.DUMMYFUNCTION("""COMPUTED_VALUE"""),1268.0)</f>
        <v>1268</v>
      </c>
      <c r="K1269" s="23" t="b">
        <f>IFERROR(__xludf.DUMMYFUNCTION("""COMPUTED_VALUE"""),FALSE)</f>
        <v>0</v>
      </c>
      <c r="L1269" s="23" t="str">
        <f>IFERROR(__xludf.DUMMYFUNCTION("""COMPUTED_VALUE"""),"Array;String;Trie;")</f>
        <v>Array;String;Trie;</v>
      </c>
      <c r="M1269" s="23" t="b">
        <f>IFERROR(__xludf.DUMMYFUNCTION("""COMPUTED_VALUE"""),TRUE)</f>
        <v>1</v>
      </c>
      <c r="N1269" s="23" t="b">
        <f>IFERROR(__xludf.DUMMYFUNCTION("""COMPUTED_VALUE"""),FALSE)</f>
        <v>0</v>
      </c>
      <c r="O1269" s="23">
        <f>IFERROR(__xludf.DUMMYFUNCTION("""COMPUTED_VALUE"""),65.3520055384142)</f>
        <v>65.35200554</v>
      </c>
      <c r="P1269" s="23">
        <f>IFERROR(__xludf.DUMMYFUNCTION("""COMPUTED_VALUE"""),152925.0)</f>
        <v>152925</v>
      </c>
      <c r="Q1269" s="23">
        <f>IFERROR(__xludf.DUMMYFUNCTION("""COMPUTED_VALUE"""),234002.0)</f>
        <v>234002</v>
      </c>
    </row>
    <row r="1270">
      <c r="A1270" s="23">
        <f>IFERROR(__xludf.DUMMYFUNCTION("""COMPUTED_VALUE"""),1398.0)</f>
        <v>1398</v>
      </c>
      <c r="B1270" s="23" t="str">
        <f>IFERROR(__xludf.DUMMYFUNCTION("""COMPUTED_VALUE"""),"Number of Ways to Stay in the Same Place After Some Steps")</f>
        <v>Number of Ways to Stay in the Same Place After Some Steps</v>
      </c>
      <c r="C1270" s="23" t="str">
        <f>IFERROR(__xludf.DUMMYFUNCTION("""COMPUTED_VALUE"""),"number-of-ways-to-stay-in-the-same-place-after-some-steps")</f>
        <v>number-of-ways-to-stay-in-the-same-place-after-some-steps</v>
      </c>
      <c r="D1270" s="23" t="b">
        <f>IFERROR(__xludf.DUMMYFUNCTION("""COMPUTED_VALUE"""),FALSE)</f>
        <v>0</v>
      </c>
      <c r="E1270" s="23" t="str">
        <f>IFERROR(__xludf.DUMMYFUNCTION("""COMPUTED_VALUE"""),"Hard")</f>
        <v>Hard</v>
      </c>
      <c r="F1270" s="23">
        <f>IFERROR(__xludf.DUMMYFUNCTION("""COMPUTED_VALUE"""),538.0)</f>
        <v>538</v>
      </c>
      <c r="G1270" s="23">
        <f>IFERROR(__xludf.DUMMYFUNCTION("""COMPUTED_VALUE"""),30.0)</f>
        <v>30</v>
      </c>
      <c r="H1270" s="23" t="str">
        <f>IFERROR(__xludf.DUMMYFUNCTION("""COMPUTED_VALUE"""),"Algorithms")</f>
        <v>Algorithms</v>
      </c>
      <c r="I1270" s="23">
        <f>IFERROR(__xludf.DUMMYFUNCTION("""COMPUTED_VALUE"""),0.434)</f>
        <v>0.434</v>
      </c>
      <c r="J1270" s="23">
        <f>IFERROR(__xludf.DUMMYFUNCTION("""COMPUTED_VALUE"""),1269.0)</f>
        <v>1269</v>
      </c>
      <c r="K1270" s="23" t="b">
        <f>IFERROR(__xludf.DUMMYFUNCTION("""COMPUTED_VALUE"""),FALSE)</f>
        <v>0</v>
      </c>
      <c r="L1270" s="23" t="str">
        <f>IFERROR(__xludf.DUMMYFUNCTION("""COMPUTED_VALUE"""),"Dynamic Programming;")</f>
        <v>Dynamic Programming;</v>
      </c>
      <c r="M1270" s="23" t="b">
        <f>IFERROR(__xludf.DUMMYFUNCTION("""COMPUTED_VALUE"""),FALSE)</f>
        <v>0</v>
      </c>
      <c r="N1270" s="23" t="b">
        <f>IFERROR(__xludf.DUMMYFUNCTION("""COMPUTED_VALUE"""),FALSE)</f>
        <v>0</v>
      </c>
      <c r="O1270" s="23">
        <f>IFERROR(__xludf.DUMMYFUNCTION("""COMPUTED_VALUE"""),43.3863184785694)</f>
        <v>43.38631848</v>
      </c>
      <c r="P1270" s="23">
        <f>IFERROR(__xludf.DUMMYFUNCTION("""COMPUTED_VALUE"""),27513.0)</f>
        <v>27513</v>
      </c>
      <c r="Q1270" s="23">
        <f>IFERROR(__xludf.DUMMYFUNCTION("""COMPUTED_VALUE"""),63414.0)</f>
        <v>63414</v>
      </c>
    </row>
    <row r="1271">
      <c r="A1271" s="23">
        <f>IFERROR(__xludf.DUMMYFUNCTION("""COMPUTED_VALUE"""),1405.0)</f>
        <v>1405</v>
      </c>
      <c r="B1271" s="23" t="str">
        <f>IFERROR(__xludf.DUMMYFUNCTION("""COMPUTED_VALUE"""),"All People Report to the Given Manager")</f>
        <v>All People Report to the Given Manager</v>
      </c>
      <c r="C1271" s="23" t="str">
        <f>IFERROR(__xludf.DUMMYFUNCTION("""COMPUTED_VALUE"""),"all-people-report-to-the-given-manager")</f>
        <v>all-people-report-to-the-given-manager</v>
      </c>
      <c r="D1271" s="23" t="b">
        <f>IFERROR(__xludf.DUMMYFUNCTION("""COMPUTED_VALUE"""),TRUE)</f>
        <v>1</v>
      </c>
      <c r="E1271" s="23" t="str">
        <f>IFERROR(__xludf.DUMMYFUNCTION("""COMPUTED_VALUE"""),"Medium")</f>
        <v>Medium</v>
      </c>
      <c r="F1271" s="23">
        <f>IFERROR(__xludf.DUMMYFUNCTION("""COMPUTED_VALUE"""),288.0)</f>
        <v>288</v>
      </c>
      <c r="G1271" s="23">
        <f>IFERROR(__xludf.DUMMYFUNCTION("""COMPUTED_VALUE"""),22.0)</f>
        <v>22</v>
      </c>
      <c r="H1271" s="23" t="str">
        <f>IFERROR(__xludf.DUMMYFUNCTION("""COMPUTED_VALUE"""),"Database")</f>
        <v>Database</v>
      </c>
      <c r="I1271" s="23">
        <f>IFERROR(__xludf.DUMMYFUNCTION("""COMPUTED_VALUE"""),0.88)</f>
        <v>0.88</v>
      </c>
      <c r="J1271" s="23">
        <f>IFERROR(__xludf.DUMMYFUNCTION("""COMPUTED_VALUE"""),1270.0)</f>
        <v>1270</v>
      </c>
      <c r="K1271" s="23" t="b">
        <f>IFERROR(__xludf.DUMMYFUNCTION("""COMPUTED_VALUE"""),TRUE)</f>
        <v>1</v>
      </c>
      <c r="L1271" s="23" t="str">
        <f>IFERROR(__xludf.DUMMYFUNCTION("""COMPUTED_VALUE"""),"Database;")</f>
        <v>Database;</v>
      </c>
      <c r="M1271" s="23" t="b">
        <f>IFERROR(__xludf.DUMMYFUNCTION("""COMPUTED_VALUE"""),FALSE)</f>
        <v>0</v>
      </c>
      <c r="N1271" s="23" t="b">
        <f>IFERROR(__xludf.DUMMYFUNCTION("""COMPUTED_VALUE"""),FALSE)</f>
        <v>0</v>
      </c>
      <c r="O1271" s="23">
        <f>IFERROR(__xludf.DUMMYFUNCTION("""COMPUTED_VALUE"""),88.0358552784357)</f>
        <v>88.03585528</v>
      </c>
      <c r="P1271" s="23">
        <f>IFERROR(__xludf.DUMMYFUNCTION("""COMPUTED_VALUE"""),37910.0)</f>
        <v>37910</v>
      </c>
      <c r="Q1271" s="23">
        <f>IFERROR(__xludf.DUMMYFUNCTION("""COMPUTED_VALUE"""),43062.0)</f>
        <v>43062</v>
      </c>
    </row>
    <row r="1272">
      <c r="A1272" s="23">
        <f>IFERROR(__xludf.DUMMYFUNCTION("""COMPUTED_VALUE"""),1199.0)</f>
        <v>1199</v>
      </c>
      <c r="B1272" s="23" t="str">
        <f>IFERROR(__xludf.DUMMYFUNCTION("""COMPUTED_VALUE"""),"Hexspeak")</f>
        <v>Hexspeak</v>
      </c>
      <c r="C1272" s="23" t="str">
        <f>IFERROR(__xludf.DUMMYFUNCTION("""COMPUTED_VALUE"""),"hexspeak")</f>
        <v>hexspeak</v>
      </c>
      <c r="D1272" s="23" t="b">
        <f>IFERROR(__xludf.DUMMYFUNCTION("""COMPUTED_VALUE"""),TRUE)</f>
        <v>1</v>
      </c>
      <c r="E1272" s="23" t="str">
        <f>IFERROR(__xludf.DUMMYFUNCTION("""COMPUTED_VALUE"""),"Easy")</f>
        <v>Easy</v>
      </c>
      <c r="F1272" s="23">
        <f>IFERROR(__xludf.DUMMYFUNCTION("""COMPUTED_VALUE"""),58.0)</f>
        <v>58</v>
      </c>
      <c r="G1272" s="23">
        <f>IFERROR(__xludf.DUMMYFUNCTION("""COMPUTED_VALUE"""),104.0)</f>
        <v>104</v>
      </c>
      <c r="H1272" s="23" t="str">
        <f>IFERROR(__xludf.DUMMYFUNCTION("""COMPUTED_VALUE"""),"Algorithms")</f>
        <v>Algorithms</v>
      </c>
      <c r="I1272" s="23">
        <f>IFERROR(__xludf.DUMMYFUNCTION("""COMPUTED_VALUE"""),0.564)</f>
        <v>0.564</v>
      </c>
      <c r="J1272" s="23">
        <f>IFERROR(__xludf.DUMMYFUNCTION("""COMPUTED_VALUE"""),1271.0)</f>
        <v>1271</v>
      </c>
      <c r="K1272" s="23" t="b">
        <f>IFERROR(__xludf.DUMMYFUNCTION("""COMPUTED_VALUE"""),TRUE)</f>
        <v>1</v>
      </c>
      <c r="L1272" s="23" t="str">
        <f>IFERROR(__xludf.DUMMYFUNCTION("""COMPUTED_VALUE"""),"Math;String;")</f>
        <v>Math;String;</v>
      </c>
      <c r="M1272" s="23" t="b">
        <f>IFERROR(__xludf.DUMMYFUNCTION("""COMPUTED_VALUE"""),FALSE)</f>
        <v>0</v>
      </c>
      <c r="N1272" s="23" t="b">
        <f>IFERROR(__xludf.DUMMYFUNCTION("""COMPUTED_VALUE"""),FALSE)</f>
        <v>0</v>
      </c>
      <c r="O1272" s="23">
        <f>IFERROR(__xludf.DUMMYFUNCTION("""COMPUTED_VALUE"""),56.3509729302793)</f>
        <v>56.35097293</v>
      </c>
      <c r="P1272" s="23">
        <f>IFERROR(__xludf.DUMMYFUNCTION("""COMPUTED_VALUE"""),7848.0)</f>
        <v>7848</v>
      </c>
      <c r="Q1272" s="23">
        <f>IFERROR(__xludf.DUMMYFUNCTION("""COMPUTED_VALUE"""),13927.0)</f>
        <v>13927</v>
      </c>
    </row>
    <row r="1273">
      <c r="A1273" s="23">
        <f>IFERROR(__xludf.DUMMYFUNCTION("""COMPUTED_VALUE"""),1200.0)</f>
        <v>1200</v>
      </c>
      <c r="B1273" s="23" t="str">
        <f>IFERROR(__xludf.DUMMYFUNCTION("""COMPUTED_VALUE"""),"Remove Interval")</f>
        <v>Remove Interval</v>
      </c>
      <c r="C1273" s="23" t="str">
        <f>IFERROR(__xludf.DUMMYFUNCTION("""COMPUTED_VALUE"""),"remove-interval")</f>
        <v>remove-interval</v>
      </c>
      <c r="D1273" s="23" t="b">
        <f>IFERROR(__xludf.DUMMYFUNCTION("""COMPUTED_VALUE"""),TRUE)</f>
        <v>1</v>
      </c>
      <c r="E1273" s="23" t="str">
        <f>IFERROR(__xludf.DUMMYFUNCTION("""COMPUTED_VALUE"""),"Medium")</f>
        <v>Medium</v>
      </c>
      <c r="F1273" s="23">
        <f>IFERROR(__xludf.DUMMYFUNCTION("""COMPUTED_VALUE"""),269.0)</f>
        <v>269</v>
      </c>
      <c r="G1273" s="23">
        <f>IFERROR(__xludf.DUMMYFUNCTION("""COMPUTED_VALUE"""),21.0)</f>
        <v>21</v>
      </c>
      <c r="H1273" s="23" t="str">
        <f>IFERROR(__xludf.DUMMYFUNCTION("""COMPUTED_VALUE"""),"Algorithms")</f>
        <v>Algorithms</v>
      </c>
      <c r="I1273" s="23">
        <f>IFERROR(__xludf.DUMMYFUNCTION("""COMPUTED_VALUE"""),0.612)</f>
        <v>0.612</v>
      </c>
      <c r="J1273" s="23">
        <f>IFERROR(__xludf.DUMMYFUNCTION("""COMPUTED_VALUE"""),1272.0)</f>
        <v>1272</v>
      </c>
      <c r="K1273" s="23" t="b">
        <f>IFERROR(__xludf.DUMMYFUNCTION("""COMPUTED_VALUE"""),TRUE)</f>
        <v>1</v>
      </c>
      <c r="L1273" s="23" t="str">
        <f>IFERROR(__xludf.DUMMYFUNCTION("""COMPUTED_VALUE"""),"Array;")</f>
        <v>Array;</v>
      </c>
      <c r="M1273" s="23" t="b">
        <f>IFERROR(__xludf.DUMMYFUNCTION("""COMPUTED_VALUE"""),TRUE)</f>
        <v>1</v>
      </c>
      <c r="N1273" s="23" t="b">
        <f>IFERROR(__xludf.DUMMYFUNCTION("""COMPUTED_VALUE"""),TRUE)</f>
        <v>1</v>
      </c>
      <c r="O1273" s="23">
        <f>IFERROR(__xludf.DUMMYFUNCTION("""COMPUTED_VALUE"""),61.2004794347716)</f>
        <v>61.20047943</v>
      </c>
      <c r="P1273" s="23">
        <f>IFERROR(__xludf.DUMMYFUNCTION("""COMPUTED_VALUE"""),19403.0)</f>
        <v>19403</v>
      </c>
      <c r="Q1273" s="23">
        <f>IFERROR(__xludf.DUMMYFUNCTION("""COMPUTED_VALUE"""),31704.0)</f>
        <v>31704</v>
      </c>
    </row>
    <row r="1274">
      <c r="A1274" s="23">
        <f>IFERROR(__xludf.DUMMYFUNCTION("""COMPUTED_VALUE"""),1201.0)</f>
        <v>1201</v>
      </c>
      <c r="B1274" s="23" t="str">
        <f>IFERROR(__xludf.DUMMYFUNCTION("""COMPUTED_VALUE"""),"Delete Tree Nodes")</f>
        <v>Delete Tree Nodes</v>
      </c>
      <c r="C1274" s="23" t="str">
        <f>IFERROR(__xludf.DUMMYFUNCTION("""COMPUTED_VALUE"""),"delete-tree-nodes")</f>
        <v>delete-tree-nodes</v>
      </c>
      <c r="D1274" s="23" t="b">
        <f>IFERROR(__xludf.DUMMYFUNCTION("""COMPUTED_VALUE"""),TRUE)</f>
        <v>1</v>
      </c>
      <c r="E1274" s="23" t="str">
        <f>IFERROR(__xludf.DUMMYFUNCTION("""COMPUTED_VALUE"""),"Medium")</f>
        <v>Medium</v>
      </c>
      <c r="F1274" s="23">
        <f>IFERROR(__xludf.DUMMYFUNCTION("""COMPUTED_VALUE"""),191.0)</f>
        <v>191</v>
      </c>
      <c r="G1274" s="23">
        <f>IFERROR(__xludf.DUMMYFUNCTION("""COMPUTED_VALUE"""),59.0)</f>
        <v>59</v>
      </c>
      <c r="H1274" s="23" t="str">
        <f>IFERROR(__xludf.DUMMYFUNCTION("""COMPUTED_VALUE"""),"Algorithms")</f>
        <v>Algorithms</v>
      </c>
      <c r="I1274" s="23">
        <f>IFERROR(__xludf.DUMMYFUNCTION("""COMPUTED_VALUE"""),0.611)</f>
        <v>0.611</v>
      </c>
      <c r="J1274" s="23">
        <f>IFERROR(__xludf.DUMMYFUNCTION("""COMPUTED_VALUE"""),1273.0)</f>
        <v>1273</v>
      </c>
      <c r="K1274" s="23" t="b">
        <f>IFERROR(__xludf.DUMMYFUNCTION("""COMPUTED_VALUE"""),TRUE)</f>
        <v>1</v>
      </c>
      <c r="L1274" s="23" t="str">
        <f>IFERROR(__xludf.DUMMYFUNCTION("""COMPUTED_VALUE"""),"Tree;Depth-First Search;Breadth-First Search;")</f>
        <v>Tree;Depth-First Search;Breadth-First Search;</v>
      </c>
      <c r="M1274" s="23" t="b">
        <f>IFERROR(__xludf.DUMMYFUNCTION("""COMPUTED_VALUE"""),FALSE)</f>
        <v>0</v>
      </c>
      <c r="N1274" s="23" t="b">
        <f>IFERROR(__xludf.DUMMYFUNCTION("""COMPUTED_VALUE"""),FALSE)</f>
        <v>0</v>
      </c>
      <c r="O1274" s="23">
        <f>IFERROR(__xludf.DUMMYFUNCTION("""COMPUTED_VALUE"""),61.0758338807386)</f>
        <v>61.07583388</v>
      </c>
      <c r="P1274" s="23">
        <f>IFERROR(__xludf.DUMMYFUNCTION("""COMPUTED_VALUE"""),8368.0)</f>
        <v>8368</v>
      </c>
      <c r="Q1274" s="23">
        <f>IFERROR(__xludf.DUMMYFUNCTION("""COMPUTED_VALUE"""),13701.0)</f>
        <v>13701</v>
      </c>
    </row>
    <row r="1275">
      <c r="A1275" s="23">
        <f>IFERROR(__xludf.DUMMYFUNCTION("""COMPUTED_VALUE"""),1233.0)</f>
        <v>1233</v>
      </c>
      <c r="B1275" s="23" t="str">
        <f>IFERROR(__xludf.DUMMYFUNCTION("""COMPUTED_VALUE"""),"Number of Ships in a Rectangle")</f>
        <v>Number of Ships in a Rectangle</v>
      </c>
      <c r="C1275" s="23" t="str">
        <f>IFERROR(__xludf.DUMMYFUNCTION("""COMPUTED_VALUE"""),"number-of-ships-in-a-rectangle")</f>
        <v>number-of-ships-in-a-rectangle</v>
      </c>
      <c r="D1275" s="23" t="b">
        <f>IFERROR(__xludf.DUMMYFUNCTION("""COMPUTED_VALUE"""),TRUE)</f>
        <v>1</v>
      </c>
      <c r="E1275" s="23" t="str">
        <f>IFERROR(__xludf.DUMMYFUNCTION("""COMPUTED_VALUE"""),"Hard")</f>
        <v>Hard</v>
      </c>
      <c r="F1275" s="23">
        <f>IFERROR(__xludf.DUMMYFUNCTION("""COMPUTED_VALUE"""),366.0)</f>
        <v>366</v>
      </c>
      <c r="G1275" s="23">
        <f>IFERROR(__xludf.DUMMYFUNCTION("""COMPUTED_VALUE"""),43.0)</f>
        <v>43</v>
      </c>
      <c r="H1275" s="23" t="str">
        <f>IFERROR(__xludf.DUMMYFUNCTION("""COMPUTED_VALUE"""),"Algorithms")</f>
        <v>Algorithms</v>
      </c>
      <c r="I1275" s="23">
        <f>IFERROR(__xludf.DUMMYFUNCTION("""COMPUTED_VALUE"""),0.687)</f>
        <v>0.687</v>
      </c>
      <c r="J1275" s="23">
        <f>IFERROR(__xludf.DUMMYFUNCTION("""COMPUTED_VALUE"""),1274.0)</f>
        <v>1274</v>
      </c>
      <c r="K1275" s="23" t="b">
        <f>IFERROR(__xludf.DUMMYFUNCTION("""COMPUTED_VALUE"""),TRUE)</f>
        <v>1</v>
      </c>
      <c r="L1275" s="23" t="str">
        <f>IFERROR(__xludf.DUMMYFUNCTION("""COMPUTED_VALUE"""),"Array;Divide and Conquer;Interactive;")</f>
        <v>Array;Divide and Conquer;Interactive;</v>
      </c>
      <c r="M1275" s="23" t="b">
        <f>IFERROR(__xludf.DUMMYFUNCTION("""COMPUTED_VALUE"""),TRUE)</f>
        <v>1</v>
      </c>
      <c r="N1275" s="23" t="b">
        <f>IFERROR(__xludf.DUMMYFUNCTION("""COMPUTED_VALUE"""),FALSE)</f>
        <v>0</v>
      </c>
      <c r="O1275" s="23">
        <f>IFERROR(__xludf.DUMMYFUNCTION("""COMPUTED_VALUE"""),68.6615161378877)</f>
        <v>68.66151614</v>
      </c>
      <c r="P1275" s="23">
        <f>IFERROR(__xludf.DUMMYFUNCTION("""COMPUTED_VALUE"""),17508.0)</f>
        <v>17508</v>
      </c>
      <c r="Q1275" s="23">
        <f>IFERROR(__xludf.DUMMYFUNCTION("""COMPUTED_VALUE"""),25499.0)</f>
        <v>25499</v>
      </c>
    </row>
    <row r="1276">
      <c r="A1276" s="23">
        <f>IFERROR(__xludf.DUMMYFUNCTION("""COMPUTED_VALUE"""),1400.0)</f>
        <v>1400</v>
      </c>
      <c r="B1276" s="23" t="str">
        <f>IFERROR(__xludf.DUMMYFUNCTION("""COMPUTED_VALUE"""),"Find Winner on a Tic Tac Toe Game")</f>
        <v>Find Winner on a Tic Tac Toe Game</v>
      </c>
      <c r="C1276" s="23" t="str">
        <f>IFERROR(__xludf.DUMMYFUNCTION("""COMPUTED_VALUE"""),"find-winner-on-a-tic-tac-toe-game")</f>
        <v>find-winner-on-a-tic-tac-toe-game</v>
      </c>
      <c r="D1276" s="23" t="b">
        <f>IFERROR(__xludf.DUMMYFUNCTION("""COMPUTED_VALUE"""),FALSE)</f>
        <v>0</v>
      </c>
      <c r="E1276" s="23" t="str">
        <f>IFERROR(__xludf.DUMMYFUNCTION("""COMPUTED_VALUE"""),"Easy")</f>
        <v>Easy</v>
      </c>
      <c r="F1276" s="23">
        <f>IFERROR(__xludf.DUMMYFUNCTION("""COMPUTED_VALUE"""),855.0)</f>
        <v>855</v>
      </c>
      <c r="G1276" s="23">
        <f>IFERROR(__xludf.DUMMYFUNCTION("""COMPUTED_VALUE"""),226.0)</f>
        <v>226</v>
      </c>
      <c r="H1276" s="23" t="str">
        <f>IFERROR(__xludf.DUMMYFUNCTION("""COMPUTED_VALUE"""),"Algorithms")</f>
        <v>Algorithms</v>
      </c>
      <c r="I1276" s="23">
        <f>IFERROR(__xludf.DUMMYFUNCTION("""COMPUTED_VALUE"""),0.548)</f>
        <v>0.548</v>
      </c>
      <c r="J1276" s="23">
        <f>IFERROR(__xludf.DUMMYFUNCTION("""COMPUTED_VALUE"""),1275.0)</f>
        <v>1275</v>
      </c>
      <c r="K1276" s="23" t="b">
        <f>IFERROR(__xludf.DUMMYFUNCTION("""COMPUTED_VALUE"""),FALSE)</f>
        <v>0</v>
      </c>
      <c r="L1276" s="23" t="str">
        <f>IFERROR(__xludf.DUMMYFUNCTION("""COMPUTED_VALUE"""),"Array;Hash Table;Matrix;Simulation;")</f>
        <v>Array;Hash Table;Matrix;Simulation;</v>
      </c>
      <c r="M1276" s="23" t="b">
        <f>IFERROR(__xludf.DUMMYFUNCTION("""COMPUTED_VALUE"""),TRUE)</f>
        <v>1</v>
      </c>
      <c r="N1276" s="23" t="b">
        <f>IFERROR(__xludf.DUMMYFUNCTION("""COMPUTED_VALUE"""),FALSE)</f>
        <v>0</v>
      </c>
      <c r="O1276" s="23">
        <f>IFERROR(__xludf.DUMMYFUNCTION("""COMPUTED_VALUE"""),54.7938561034761)</f>
        <v>54.7938561</v>
      </c>
      <c r="P1276" s="23">
        <f>IFERROR(__xludf.DUMMYFUNCTION("""COMPUTED_VALUE"""),74558.0)</f>
        <v>74558</v>
      </c>
      <c r="Q1276" s="23">
        <f>IFERROR(__xludf.DUMMYFUNCTION("""COMPUTED_VALUE"""),136070.0)</f>
        <v>136070</v>
      </c>
    </row>
    <row r="1277">
      <c r="A1277" s="23">
        <f>IFERROR(__xludf.DUMMYFUNCTION("""COMPUTED_VALUE"""),1401.0)</f>
        <v>1401</v>
      </c>
      <c r="B1277" s="23" t="str">
        <f>IFERROR(__xludf.DUMMYFUNCTION("""COMPUTED_VALUE"""),"Number of Burgers with No Waste of Ingredients")</f>
        <v>Number of Burgers with No Waste of Ingredients</v>
      </c>
      <c r="C1277" s="23" t="str">
        <f>IFERROR(__xludf.DUMMYFUNCTION("""COMPUTED_VALUE"""),"number-of-burgers-with-no-waste-of-ingredients")</f>
        <v>number-of-burgers-with-no-waste-of-ingredients</v>
      </c>
      <c r="D1277" s="23" t="b">
        <f>IFERROR(__xludf.DUMMYFUNCTION("""COMPUTED_VALUE"""),FALSE)</f>
        <v>0</v>
      </c>
      <c r="E1277" s="23" t="str">
        <f>IFERROR(__xludf.DUMMYFUNCTION("""COMPUTED_VALUE"""),"Medium")</f>
        <v>Medium</v>
      </c>
      <c r="F1277" s="23">
        <f>IFERROR(__xludf.DUMMYFUNCTION("""COMPUTED_VALUE"""),214.0)</f>
        <v>214</v>
      </c>
      <c r="G1277" s="23">
        <f>IFERROR(__xludf.DUMMYFUNCTION("""COMPUTED_VALUE"""),187.0)</f>
        <v>187</v>
      </c>
      <c r="H1277" s="23" t="str">
        <f>IFERROR(__xludf.DUMMYFUNCTION("""COMPUTED_VALUE"""),"Algorithms")</f>
        <v>Algorithms</v>
      </c>
      <c r="I1277" s="23">
        <f>IFERROR(__xludf.DUMMYFUNCTION("""COMPUTED_VALUE"""),0.506)</f>
        <v>0.506</v>
      </c>
      <c r="J1277" s="23">
        <f>IFERROR(__xludf.DUMMYFUNCTION("""COMPUTED_VALUE"""),1276.0)</f>
        <v>1276</v>
      </c>
      <c r="K1277" s="23" t="b">
        <f>IFERROR(__xludf.DUMMYFUNCTION("""COMPUTED_VALUE"""),FALSE)</f>
        <v>0</v>
      </c>
      <c r="L1277" s="23" t="str">
        <f>IFERROR(__xludf.DUMMYFUNCTION("""COMPUTED_VALUE"""),"Math;")</f>
        <v>Math;</v>
      </c>
      <c r="M1277" s="23" t="b">
        <f>IFERROR(__xludf.DUMMYFUNCTION("""COMPUTED_VALUE"""),FALSE)</f>
        <v>0</v>
      </c>
      <c r="N1277" s="23" t="b">
        <f>IFERROR(__xludf.DUMMYFUNCTION("""COMPUTED_VALUE"""),FALSE)</f>
        <v>0</v>
      </c>
      <c r="O1277" s="23">
        <f>IFERROR(__xludf.DUMMYFUNCTION("""COMPUTED_VALUE"""),50.6180835187114)</f>
        <v>50.61808352</v>
      </c>
      <c r="P1277" s="23">
        <f>IFERROR(__xludf.DUMMYFUNCTION("""COMPUTED_VALUE"""),17976.0)</f>
        <v>17976</v>
      </c>
      <c r="Q1277" s="23">
        <f>IFERROR(__xludf.DUMMYFUNCTION("""COMPUTED_VALUE"""),35513.0)</f>
        <v>35513</v>
      </c>
    </row>
    <row r="1278">
      <c r="A1278" s="23">
        <f>IFERROR(__xludf.DUMMYFUNCTION("""COMPUTED_VALUE"""),1402.0)</f>
        <v>1402</v>
      </c>
      <c r="B1278" s="23" t="str">
        <f>IFERROR(__xludf.DUMMYFUNCTION("""COMPUTED_VALUE"""),"Count Square Submatrices with All Ones")</f>
        <v>Count Square Submatrices with All Ones</v>
      </c>
      <c r="C1278" s="23" t="str">
        <f>IFERROR(__xludf.DUMMYFUNCTION("""COMPUTED_VALUE"""),"count-square-submatrices-with-all-ones")</f>
        <v>count-square-submatrices-with-all-ones</v>
      </c>
      <c r="D1278" s="23" t="b">
        <f>IFERROR(__xludf.DUMMYFUNCTION("""COMPUTED_VALUE"""),FALSE)</f>
        <v>0</v>
      </c>
      <c r="E1278" s="23" t="str">
        <f>IFERROR(__xludf.DUMMYFUNCTION("""COMPUTED_VALUE"""),"Medium")</f>
        <v>Medium</v>
      </c>
      <c r="F1278" s="23">
        <f>IFERROR(__xludf.DUMMYFUNCTION("""COMPUTED_VALUE"""),3251.0)</f>
        <v>3251</v>
      </c>
      <c r="G1278" s="23">
        <f>IFERROR(__xludf.DUMMYFUNCTION("""COMPUTED_VALUE"""),54.0)</f>
        <v>54</v>
      </c>
      <c r="H1278" s="23" t="str">
        <f>IFERROR(__xludf.DUMMYFUNCTION("""COMPUTED_VALUE"""),"Algorithms")</f>
        <v>Algorithms</v>
      </c>
      <c r="I1278" s="23">
        <f>IFERROR(__xludf.DUMMYFUNCTION("""COMPUTED_VALUE"""),0.742)</f>
        <v>0.742</v>
      </c>
      <c r="J1278" s="23">
        <f>IFERROR(__xludf.DUMMYFUNCTION("""COMPUTED_VALUE"""),1277.0)</f>
        <v>1277</v>
      </c>
      <c r="K1278" s="23" t="b">
        <f>IFERROR(__xludf.DUMMYFUNCTION("""COMPUTED_VALUE"""),FALSE)</f>
        <v>0</v>
      </c>
      <c r="L1278" s="23" t="str">
        <f>IFERROR(__xludf.DUMMYFUNCTION("""COMPUTED_VALUE"""),"Array;Dynamic Programming;Matrix;")</f>
        <v>Array;Dynamic Programming;Matrix;</v>
      </c>
      <c r="M1278" s="23" t="b">
        <f>IFERROR(__xludf.DUMMYFUNCTION("""COMPUTED_VALUE"""),FALSE)</f>
        <v>0</v>
      </c>
      <c r="N1278" s="23" t="b">
        <f>IFERROR(__xludf.DUMMYFUNCTION("""COMPUTED_VALUE"""),FALSE)</f>
        <v>0</v>
      </c>
      <c r="O1278" s="23">
        <f>IFERROR(__xludf.DUMMYFUNCTION("""COMPUTED_VALUE"""),74.179914177333)</f>
        <v>74.17991418</v>
      </c>
      <c r="P1278" s="23">
        <f>IFERROR(__xludf.DUMMYFUNCTION("""COMPUTED_VALUE"""),160939.0)</f>
        <v>160939</v>
      </c>
      <c r="Q1278" s="23">
        <f>IFERROR(__xludf.DUMMYFUNCTION("""COMPUTED_VALUE"""),216957.0)</f>
        <v>216957</v>
      </c>
    </row>
    <row r="1279">
      <c r="A1279" s="23">
        <f>IFERROR(__xludf.DUMMYFUNCTION("""COMPUTED_VALUE"""),1403.0)</f>
        <v>1403</v>
      </c>
      <c r="B1279" s="23" t="str">
        <f>IFERROR(__xludf.DUMMYFUNCTION("""COMPUTED_VALUE"""),"Palindrome Partitioning III")</f>
        <v>Palindrome Partitioning III</v>
      </c>
      <c r="C1279" s="23" t="str">
        <f>IFERROR(__xludf.DUMMYFUNCTION("""COMPUTED_VALUE"""),"palindrome-partitioning-iii")</f>
        <v>palindrome-partitioning-iii</v>
      </c>
      <c r="D1279" s="23" t="b">
        <f>IFERROR(__xludf.DUMMYFUNCTION("""COMPUTED_VALUE"""),FALSE)</f>
        <v>0</v>
      </c>
      <c r="E1279" s="23" t="str">
        <f>IFERROR(__xludf.DUMMYFUNCTION("""COMPUTED_VALUE"""),"Hard")</f>
        <v>Hard</v>
      </c>
      <c r="F1279" s="23">
        <f>IFERROR(__xludf.DUMMYFUNCTION("""COMPUTED_VALUE"""),713.0)</f>
        <v>713</v>
      </c>
      <c r="G1279" s="23">
        <f>IFERROR(__xludf.DUMMYFUNCTION("""COMPUTED_VALUE"""),12.0)</f>
        <v>12</v>
      </c>
      <c r="H1279" s="23" t="str">
        <f>IFERROR(__xludf.DUMMYFUNCTION("""COMPUTED_VALUE"""),"Algorithms")</f>
        <v>Algorithms</v>
      </c>
      <c r="I1279" s="23">
        <f>IFERROR(__xludf.DUMMYFUNCTION("""COMPUTED_VALUE"""),0.609)</f>
        <v>0.609</v>
      </c>
      <c r="J1279" s="23">
        <f>IFERROR(__xludf.DUMMYFUNCTION("""COMPUTED_VALUE"""),1278.0)</f>
        <v>1278</v>
      </c>
      <c r="K1279" s="23" t="b">
        <f>IFERROR(__xludf.DUMMYFUNCTION("""COMPUTED_VALUE"""),FALSE)</f>
        <v>0</v>
      </c>
      <c r="L1279" s="23" t="str">
        <f>IFERROR(__xludf.DUMMYFUNCTION("""COMPUTED_VALUE"""),"String;Dynamic Programming;")</f>
        <v>String;Dynamic Programming;</v>
      </c>
      <c r="M1279" s="23" t="b">
        <f>IFERROR(__xludf.DUMMYFUNCTION("""COMPUTED_VALUE"""),FALSE)</f>
        <v>0</v>
      </c>
      <c r="N1279" s="23" t="b">
        <f>IFERROR(__xludf.DUMMYFUNCTION("""COMPUTED_VALUE"""),FALSE)</f>
        <v>0</v>
      </c>
      <c r="O1279" s="23">
        <f>IFERROR(__xludf.DUMMYFUNCTION("""COMPUTED_VALUE"""),60.8518530785281)</f>
        <v>60.85185308</v>
      </c>
      <c r="P1279" s="23">
        <f>IFERROR(__xludf.DUMMYFUNCTION("""COMPUTED_VALUE"""),18373.0)</f>
        <v>18373</v>
      </c>
      <c r="Q1279" s="23">
        <f>IFERROR(__xludf.DUMMYFUNCTION("""COMPUTED_VALUE"""),30193.0)</f>
        <v>30193</v>
      </c>
    </row>
    <row r="1280">
      <c r="A1280" s="23">
        <f>IFERROR(__xludf.DUMMYFUNCTION("""COMPUTED_VALUE"""),1410.0)</f>
        <v>1410</v>
      </c>
      <c r="B1280" s="23" t="str">
        <f>IFERROR(__xludf.DUMMYFUNCTION("""COMPUTED_VALUE"""),"Traffic Light Controlled Intersection")</f>
        <v>Traffic Light Controlled Intersection</v>
      </c>
      <c r="C1280" s="23" t="str">
        <f>IFERROR(__xludf.DUMMYFUNCTION("""COMPUTED_VALUE"""),"traffic-light-controlled-intersection")</f>
        <v>traffic-light-controlled-intersection</v>
      </c>
      <c r="D1280" s="23" t="b">
        <f>IFERROR(__xludf.DUMMYFUNCTION("""COMPUTED_VALUE"""),TRUE)</f>
        <v>1</v>
      </c>
      <c r="E1280" s="23" t="str">
        <f>IFERROR(__xludf.DUMMYFUNCTION("""COMPUTED_VALUE"""),"Easy")</f>
        <v>Easy</v>
      </c>
      <c r="F1280" s="23">
        <f>IFERROR(__xludf.DUMMYFUNCTION("""COMPUTED_VALUE"""),50.0)</f>
        <v>50</v>
      </c>
      <c r="G1280" s="23">
        <f>IFERROR(__xludf.DUMMYFUNCTION("""COMPUTED_VALUE"""),246.0)</f>
        <v>246</v>
      </c>
      <c r="H1280" s="23" t="str">
        <f>IFERROR(__xludf.DUMMYFUNCTION("""COMPUTED_VALUE"""),"Concurrency")</f>
        <v>Concurrency</v>
      </c>
      <c r="I1280" s="23">
        <f>IFERROR(__xludf.DUMMYFUNCTION("""COMPUTED_VALUE"""),0.753)</f>
        <v>0.753</v>
      </c>
      <c r="J1280" s="23">
        <f>IFERROR(__xludf.DUMMYFUNCTION("""COMPUTED_VALUE"""),1279.0)</f>
        <v>1279</v>
      </c>
      <c r="K1280" s="23" t="b">
        <f>IFERROR(__xludf.DUMMYFUNCTION("""COMPUTED_VALUE"""),TRUE)</f>
        <v>1</v>
      </c>
      <c r="L1280" s="23" t="str">
        <f>IFERROR(__xludf.DUMMYFUNCTION("""COMPUTED_VALUE"""),"Concurrency;")</f>
        <v>Concurrency;</v>
      </c>
      <c r="M1280" s="23" t="b">
        <f>IFERROR(__xludf.DUMMYFUNCTION("""COMPUTED_VALUE"""),FALSE)</f>
        <v>0</v>
      </c>
      <c r="N1280" s="23" t="b">
        <f>IFERROR(__xludf.DUMMYFUNCTION("""COMPUTED_VALUE"""),FALSE)</f>
        <v>0</v>
      </c>
      <c r="O1280" s="23">
        <f>IFERROR(__xludf.DUMMYFUNCTION("""COMPUTED_VALUE"""),75.2565564424173)</f>
        <v>75.25655644</v>
      </c>
      <c r="P1280" s="23">
        <f>IFERROR(__xludf.DUMMYFUNCTION("""COMPUTED_VALUE"""),8580.0)</f>
        <v>8580</v>
      </c>
      <c r="Q1280" s="23">
        <f>IFERROR(__xludf.DUMMYFUNCTION("""COMPUTED_VALUE"""),11401.0)</f>
        <v>11401</v>
      </c>
    </row>
    <row r="1281">
      <c r="A1281" s="23">
        <f>IFERROR(__xludf.DUMMYFUNCTION("""COMPUTED_VALUE"""),1415.0)</f>
        <v>1415</v>
      </c>
      <c r="B1281" s="23" t="str">
        <f>IFERROR(__xludf.DUMMYFUNCTION("""COMPUTED_VALUE"""),"Students and Examinations")</f>
        <v>Students and Examinations</v>
      </c>
      <c r="C1281" s="23" t="str">
        <f>IFERROR(__xludf.DUMMYFUNCTION("""COMPUTED_VALUE"""),"students-and-examinations")</f>
        <v>students-and-examinations</v>
      </c>
      <c r="D1281" s="23" t="b">
        <f>IFERROR(__xludf.DUMMYFUNCTION("""COMPUTED_VALUE"""),TRUE)</f>
        <v>1</v>
      </c>
      <c r="E1281" s="23" t="str">
        <f>IFERROR(__xludf.DUMMYFUNCTION("""COMPUTED_VALUE"""),"Easy")</f>
        <v>Easy</v>
      </c>
      <c r="F1281" s="23">
        <f>IFERROR(__xludf.DUMMYFUNCTION("""COMPUTED_VALUE"""),242.0)</f>
        <v>242</v>
      </c>
      <c r="G1281" s="23">
        <f>IFERROR(__xludf.DUMMYFUNCTION("""COMPUTED_VALUE"""),33.0)</f>
        <v>33</v>
      </c>
      <c r="H1281" s="23" t="str">
        <f>IFERROR(__xludf.DUMMYFUNCTION("""COMPUTED_VALUE"""),"Database")</f>
        <v>Database</v>
      </c>
      <c r="I1281" s="23">
        <f>IFERROR(__xludf.DUMMYFUNCTION("""COMPUTED_VALUE"""),0.745)</f>
        <v>0.745</v>
      </c>
      <c r="J1281" s="23">
        <f>IFERROR(__xludf.DUMMYFUNCTION("""COMPUTED_VALUE"""),1280.0)</f>
        <v>1280</v>
      </c>
      <c r="K1281" s="23" t="b">
        <f>IFERROR(__xludf.DUMMYFUNCTION("""COMPUTED_VALUE"""),TRUE)</f>
        <v>1</v>
      </c>
      <c r="L1281" s="23" t="str">
        <f>IFERROR(__xludf.DUMMYFUNCTION("""COMPUTED_VALUE"""),"Database;")</f>
        <v>Database;</v>
      </c>
      <c r="M1281" s="23" t="b">
        <f>IFERROR(__xludf.DUMMYFUNCTION("""COMPUTED_VALUE"""),FALSE)</f>
        <v>0</v>
      </c>
      <c r="N1281" s="23" t="b">
        <f>IFERROR(__xludf.DUMMYFUNCTION("""COMPUTED_VALUE"""),FALSE)</f>
        <v>0</v>
      </c>
      <c r="O1281" s="23">
        <f>IFERROR(__xludf.DUMMYFUNCTION("""COMPUTED_VALUE"""),74.4799974977323)</f>
        <v>74.4799975</v>
      </c>
      <c r="P1281" s="23">
        <f>IFERROR(__xludf.DUMMYFUNCTION("""COMPUTED_VALUE"""),23812.0)</f>
        <v>23812</v>
      </c>
      <c r="Q1281" s="23">
        <f>IFERROR(__xludf.DUMMYFUNCTION("""COMPUTED_VALUE"""),31971.0)</f>
        <v>31971</v>
      </c>
    </row>
    <row r="1282">
      <c r="A1282" s="23">
        <f>IFERROR(__xludf.DUMMYFUNCTION("""COMPUTED_VALUE"""),1406.0)</f>
        <v>1406</v>
      </c>
      <c r="B1282" s="23" t="str">
        <f>IFERROR(__xludf.DUMMYFUNCTION("""COMPUTED_VALUE"""),"Subtract the Product and Sum of Digits of an Integer")</f>
        <v>Subtract the Product and Sum of Digits of an Integer</v>
      </c>
      <c r="C1282" s="23" t="str">
        <f>IFERROR(__xludf.DUMMYFUNCTION("""COMPUTED_VALUE"""),"subtract-the-product-and-sum-of-digits-of-an-integer")</f>
        <v>subtract-the-product-and-sum-of-digits-of-an-integer</v>
      </c>
      <c r="D1282" s="23" t="b">
        <f>IFERROR(__xludf.DUMMYFUNCTION("""COMPUTED_VALUE"""),FALSE)</f>
        <v>0</v>
      </c>
      <c r="E1282" s="23" t="str">
        <f>IFERROR(__xludf.DUMMYFUNCTION("""COMPUTED_VALUE"""),"Easy")</f>
        <v>Easy</v>
      </c>
      <c r="F1282" s="23">
        <f>IFERROR(__xludf.DUMMYFUNCTION("""COMPUTED_VALUE"""),1147.0)</f>
        <v>1147</v>
      </c>
      <c r="G1282" s="23">
        <f>IFERROR(__xludf.DUMMYFUNCTION("""COMPUTED_VALUE"""),188.0)</f>
        <v>188</v>
      </c>
      <c r="H1282" s="23" t="str">
        <f>IFERROR(__xludf.DUMMYFUNCTION("""COMPUTED_VALUE"""),"Algorithms")</f>
        <v>Algorithms</v>
      </c>
      <c r="I1282" s="23">
        <f>IFERROR(__xludf.DUMMYFUNCTION("""COMPUTED_VALUE"""),0.863)</f>
        <v>0.863</v>
      </c>
      <c r="J1282" s="23">
        <f>IFERROR(__xludf.DUMMYFUNCTION("""COMPUTED_VALUE"""),1281.0)</f>
        <v>1281</v>
      </c>
      <c r="K1282" s="23" t="b">
        <f>IFERROR(__xludf.DUMMYFUNCTION("""COMPUTED_VALUE"""),FALSE)</f>
        <v>0</v>
      </c>
      <c r="L1282" s="23" t="str">
        <f>IFERROR(__xludf.DUMMYFUNCTION("""COMPUTED_VALUE"""),"Math;")</f>
        <v>Math;</v>
      </c>
      <c r="M1282" s="23" t="b">
        <f>IFERROR(__xludf.DUMMYFUNCTION("""COMPUTED_VALUE"""),FALSE)</f>
        <v>0</v>
      </c>
      <c r="N1282" s="23" t="b">
        <f>IFERROR(__xludf.DUMMYFUNCTION("""COMPUTED_VALUE"""),FALSE)</f>
        <v>0</v>
      </c>
      <c r="O1282" s="23">
        <f>IFERROR(__xludf.DUMMYFUNCTION("""COMPUTED_VALUE"""),86.3472407296788)</f>
        <v>86.34724073</v>
      </c>
      <c r="P1282" s="23">
        <f>IFERROR(__xludf.DUMMYFUNCTION("""COMPUTED_VALUE"""),225498.0)</f>
        <v>225498</v>
      </c>
      <c r="Q1282" s="23">
        <f>IFERROR(__xludf.DUMMYFUNCTION("""COMPUTED_VALUE"""),261153.0)</f>
        <v>261153</v>
      </c>
    </row>
    <row r="1283">
      <c r="A1283" s="23">
        <f>IFERROR(__xludf.DUMMYFUNCTION("""COMPUTED_VALUE"""),1407.0)</f>
        <v>1407</v>
      </c>
      <c r="B1283" s="23" t="str">
        <f>IFERROR(__xludf.DUMMYFUNCTION("""COMPUTED_VALUE"""),"Group the People Given the Group Size They Belong To")</f>
        <v>Group the People Given the Group Size They Belong To</v>
      </c>
      <c r="C1283" s="23" t="str">
        <f>IFERROR(__xludf.DUMMYFUNCTION("""COMPUTED_VALUE"""),"group-the-people-given-the-group-size-they-belong-to")</f>
        <v>group-the-people-given-the-group-size-they-belong-to</v>
      </c>
      <c r="D1283" s="23" t="b">
        <f>IFERROR(__xludf.DUMMYFUNCTION("""COMPUTED_VALUE"""),FALSE)</f>
        <v>0</v>
      </c>
      <c r="E1283" s="23" t="str">
        <f>IFERROR(__xludf.DUMMYFUNCTION("""COMPUTED_VALUE"""),"Medium")</f>
        <v>Medium</v>
      </c>
      <c r="F1283" s="23">
        <f>IFERROR(__xludf.DUMMYFUNCTION("""COMPUTED_VALUE"""),1007.0)</f>
        <v>1007</v>
      </c>
      <c r="G1283" s="23">
        <f>IFERROR(__xludf.DUMMYFUNCTION("""COMPUTED_VALUE"""),462.0)</f>
        <v>462</v>
      </c>
      <c r="H1283" s="23" t="str">
        <f>IFERROR(__xludf.DUMMYFUNCTION("""COMPUTED_VALUE"""),"Algorithms")</f>
        <v>Algorithms</v>
      </c>
      <c r="I1283" s="23">
        <f>IFERROR(__xludf.DUMMYFUNCTION("""COMPUTED_VALUE"""),0.853)</f>
        <v>0.853</v>
      </c>
      <c r="J1283" s="23">
        <f>IFERROR(__xludf.DUMMYFUNCTION("""COMPUTED_VALUE"""),1282.0)</f>
        <v>1282</v>
      </c>
      <c r="K1283" s="23" t="b">
        <f>IFERROR(__xludf.DUMMYFUNCTION("""COMPUTED_VALUE"""),FALSE)</f>
        <v>0</v>
      </c>
      <c r="L1283" s="23" t="str">
        <f>IFERROR(__xludf.DUMMYFUNCTION("""COMPUTED_VALUE"""),"Array;Hash Table;")</f>
        <v>Array;Hash Table;</v>
      </c>
      <c r="M1283" s="23" t="b">
        <f>IFERROR(__xludf.DUMMYFUNCTION("""COMPUTED_VALUE"""),FALSE)</f>
        <v>0</v>
      </c>
      <c r="N1283" s="23" t="b">
        <f>IFERROR(__xludf.DUMMYFUNCTION("""COMPUTED_VALUE"""),FALSE)</f>
        <v>0</v>
      </c>
      <c r="O1283" s="23">
        <f>IFERROR(__xludf.DUMMYFUNCTION("""COMPUTED_VALUE"""),85.2651388152842)</f>
        <v>85.26513882</v>
      </c>
      <c r="P1283" s="23">
        <f>IFERROR(__xludf.DUMMYFUNCTION("""COMPUTED_VALUE"""),78836.0)</f>
        <v>78836</v>
      </c>
      <c r="Q1283" s="23">
        <f>IFERROR(__xludf.DUMMYFUNCTION("""COMPUTED_VALUE"""),92460.0)</f>
        <v>92460</v>
      </c>
    </row>
    <row r="1284">
      <c r="A1284" s="23">
        <f>IFERROR(__xludf.DUMMYFUNCTION("""COMPUTED_VALUE"""),1408.0)</f>
        <v>1408</v>
      </c>
      <c r="B1284" s="23" t="str">
        <f>IFERROR(__xludf.DUMMYFUNCTION("""COMPUTED_VALUE"""),"Find the Smallest Divisor Given a Threshold")</f>
        <v>Find the Smallest Divisor Given a Threshold</v>
      </c>
      <c r="C1284" s="23" t="str">
        <f>IFERROR(__xludf.DUMMYFUNCTION("""COMPUTED_VALUE"""),"find-the-smallest-divisor-given-a-threshold")</f>
        <v>find-the-smallest-divisor-given-a-threshold</v>
      </c>
      <c r="D1284" s="23" t="b">
        <f>IFERROR(__xludf.DUMMYFUNCTION("""COMPUTED_VALUE"""),FALSE)</f>
        <v>0</v>
      </c>
      <c r="E1284" s="23" t="str">
        <f>IFERROR(__xludf.DUMMYFUNCTION("""COMPUTED_VALUE"""),"Medium")</f>
        <v>Medium</v>
      </c>
      <c r="F1284" s="23">
        <f>IFERROR(__xludf.DUMMYFUNCTION("""COMPUTED_VALUE"""),1375.0)</f>
        <v>1375</v>
      </c>
      <c r="G1284" s="23">
        <f>IFERROR(__xludf.DUMMYFUNCTION("""COMPUTED_VALUE"""),151.0)</f>
        <v>151</v>
      </c>
      <c r="H1284" s="23" t="str">
        <f>IFERROR(__xludf.DUMMYFUNCTION("""COMPUTED_VALUE"""),"Algorithms")</f>
        <v>Algorithms</v>
      </c>
      <c r="I1284" s="23">
        <f>IFERROR(__xludf.DUMMYFUNCTION("""COMPUTED_VALUE"""),0.539)</f>
        <v>0.539</v>
      </c>
      <c r="J1284" s="23">
        <f>IFERROR(__xludf.DUMMYFUNCTION("""COMPUTED_VALUE"""),1283.0)</f>
        <v>1283</v>
      </c>
      <c r="K1284" s="23" t="b">
        <f>IFERROR(__xludf.DUMMYFUNCTION("""COMPUTED_VALUE"""),FALSE)</f>
        <v>0</v>
      </c>
      <c r="L1284" s="23" t="str">
        <f>IFERROR(__xludf.DUMMYFUNCTION("""COMPUTED_VALUE"""),"Array;Binary Search;")</f>
        <v>Array;Binary Search;</v>
      </c>
      <c r="M1284" s="23" t="b">
        <f>IFERROR(__xludf.DUMMYFUNCTION("""COMPUTED_VALUE"""),FALSE)</f>
        <v>0</v>
      </c>
      <c r="N1284" s="23" t="b">
        <f>IFERROR(__xludf.DUMMYFUNCTION("""COMPUTED_VALUE"""),FALSE)</f>
        <v>0</v>
      </c>
      <c r="O1284" s="23">
        <f>IFERROR(__xludf.DUMMYFUNCTION("""COMPUTED_VALUE"""),53.8509914902816)</f>
        <v>53.85099149</v>
      </c>
      <c r="P1284" s="23">
        <f>IFERROR(__xludf.DUMMYFUNCTION("""COMPUTED_VALUE"""),82201.0)</f>
        <v>82201</v>
      </c>
      <c r="Q1284" s="23">
        <f>IFERROR(__xludf.DUMMYFUNCTION("""COMPUTED_VALUE"""),152646.0)</f>
        <v>152646</v>
      </c>
    </row>
    <row r="1285">
      <c r="A1285" s="23">
        <f>IFERROR(__xludf.DUMMYFUNCTION("""COMPUTED_VALUE"""),1409.0)</f>
        <v>1409</v>
      </c>
      <c r="B1285" s="23" t="str">
        <f>IFERROR(__xludf.DUMMYFUNCTION("""COMPUTED_VALUE"""),"Minimum Number of Flips to Convert Binary Matrix to Zero Matrix")</f>
        <v>Minimum Number of Flips to Convert Binary Matrix to Zero Matrix</v>
      </c>
      <c r="C1285" s="23" t="str">
        <f>IFERROR(__xludf.DUMMYFUNCTION("""COMPUTED_VALUE"""),"minimum-number-of-flips-to-convert-binary-matrix-to-zero-matrix")</f>
        <v>minimum-number-of-flips-to-convert-binary-matrix-to-zero-matrix</v>
      </c>
      <c r="D1285" s="23" t="b">
        <f>IFERROR(__xludf.DUMMYFUNCTION("""COMPUTED_VALUE"""),FALSE)</f>
        <v>0</v>
      </c>
      <c r="E1285" s="23" t="str">
        <f>IFERROR(__xludf.DUMMYFUNCTION("""COMPUTED_VALUE"""),"Hard")</f>
        <v>Hard</v>
      </c>
      <c r="F1285" s="23">
        <f>IFERROR(__xludf.DUMMYFUNCTION("""COMPUTED_VALUE"""),590.0)</f>
        <v>590</v>
      </c>
      <c r="G1285" s="23">
        <f>IFERROR(__xludf.DUMMYFUNCTION("""COMPUTED_VALUE"""),64.0)</f>
        <v>64</v>
      </c>
      <c r="H1285" s="23" t="str">
        <f>IFERROR(__xludf.DUMMYFUNCTION("""COMPUTED_VALUE"""),"Algorithms")</f>
        <v>Algorithms</v>
      </c>
      <c r="I1285" s="23">
        <f>IFERROR(__xludf.DUMMYFUNCTION("""COMPUTED_VALUE"""),0.72)</f>
        <v>0.72</v>
      </c>
      <c r="J1285" s="23">
        <f>IFERROR(__xludf.DUMMYFUNCTION("""COMPUTED_VALUE"""),1284.0)</f>
        <v>1284</v>
      </c>
      <c r="K1285" s="23" t="b">
        <f>IFERROR(__xludf.DUMMYFUNCTION("""COMPUTED_VALUE"""),FALSE)</f>
        <v>0</v>
      </c>
      <c r="L1285" s="23" t="str">
        <f>IFERROR(__xludf.DUMMYFUNCTION("""COMPUTED_VALUE"""),"Array;Bit Manipulation;Breadth-First Search;Matrix;")</f>
        <v>Array;Bit Manipulation;Breadth-First Search;Matrix;</v>
      </c>
      <c r="M1285" s="23" t="b">
        <f>IFERROR(__xludf.DUMMYFUNCTION("""COMPUTED_VALUE"""),FALSE)</f>
        <v>0</v>
      </c>
      <c r="N1285" s="23" t="b">
        <f>IFERROR(__xludf.DUMMYFUNCTION("""COMPUTED_VALUE"""),FALSE)</f>
        <v>0</v>
      </c>
      <c r="O1285" s="23">
        <f>IFERROR(__xludf.DUMMYFUNCTION("""COMPUTED_VALUE"""),72.0466329799531)</f>
        <v>72.04663298</v>
      </c>
      <c r="P1285" s="23">
        <f>IFERROR(__xludf.DUMMYFUNCTION("""COMPUTED_VALUE"""),21815.0)</f>
        <v>21815</v>
      </c>
      <c r="Q1285" s="23">
        <f>IFERROR(__xludf.DUMMYFUNCTION("""COMPUTED_VALUE"""),30279.0)</f>
        <v>30279</v>
      </c>
    </row>
    <row r="1286">
      <c r="A1286" s="23">
        <f>IFERROR(__xludf.DUMMYFUNCTION("""COMPUTED_VALUE"""),1420.0)</f>
        <v>1420</v>
      </c>
      <c r="B1286" s="23" t="str">
        <f>IFERROR(__xludf.DUMMYFUNCTION("""COMPUTED_VALUE"""),"Find the Start and End Number of Continuous Ranges")</f>
        <v>Find the Start and End Number of Continuous Ranges</v>
      </c>
      <c r="C1286" s="23" t="str">
        <f>IFERROR(__xludf.DUMMYFUNCTION("""COMPUTED_VALUE"""),"find-the-start-and-end-number-of-continuous-ranges")</f>
        <v>find-the-start-and-end-number-of-continuous-ranges</v>
      </c>
      <c r="D1286" s="23" t="b">
        <f>IFERROR(__xludf.DUMMYFUNCTION("""COMPUTED_VALUE"""),TRUE)</f>
        <v>1</v>
      </c>
      <c r="E1286" s="23" t="str">
        <f>IFERROR(__xludf.DUMMYFUNCTION("""COMPUTED_VALUE"""),"Medium")</f>
        <v>Medium</v>
      </c>
      <c r="F1286" s="23">
        <f>IFERROR(__xludf.DUMMYFUNCTION("""COMPUTED_VALUE"""),348.0)</f>
        <v>348</v>
      </c>
      <c r="G1286" s="23">
        <f>IFERROR(__xludf.DUMMYFUNCTION("""COMPUTED_VALUE"""),23.0)</f>
        <v>23</v>
      </c>
      <c r="H1286" s="23" t="str">
        <f>IFERROR(__xludf.DUMMYFUNCTION("""COMPUTED_VALUE"""),"Database")</f>
        <v>Database</v>
      </c>
      <c r="I1286" s="23">
        <f>IFERROR(__xludf.DUMMYFUNCTION("""COMPUTED_VALUE"""),0.882)</f>
        <v>0.882</v>
      </c>
      <c r="J1286" s="23">
        <f>IFERROR(__xludf.DUMMYFUNCTION("""COMPUTED_VALUE"""),1285.0)</f>
        <v>1285</v>
      </c>
      <c r="K1286" s="23" t="b">
        <f>IFERROR(__xludf.DUMMYFUNCTION("""COMPUTED_VALUE"""),TRUE)</f>
        <v>1</v>
      </c>
      <c r="L1286" s="23" t="str">
        <f>IFERROR(__xludf.DUMMYFUNCTION("""COMPUTED_VALUE"""),"Database;")</f>
        <v>Database;</v>
      </c>
      <c r="M1286" s="23" t="b">
        <f>IFERROR(__xludf.DUMMYFUNCTION("""COMPUTED_VALUE"""),FALSE)</f>
        <v>0</v>
      </c>
      <c r="N1286" s="23" t="b">
        <f>IFERROR(__xludf.DUMMYFUNCTION("""COMPUTED_VALUE"""),FALSE)</f>
        <v>0</v>
      </c>
      <c r="O1286" s="23">
        <f>IFERROR(__xludf.DUMMYFUNCTION("""COMPUTED_VALUE"""),88.2297590312154)</f>
        <v>88.22975903</v>
      </c>
      <c r="P1286" s="23">
        <f>IFERROR(__xludf.DUMMYFUNCTION("""COMPUTED_VALUE"""),21566.0)</f>
        <v>21566</v>
      </c>
      <c r="Q1286" s="23">
        <f>IFERROR(__xludf.DUMMYFUNCTION("""COMPUTED_VALUE"""),24443.0)</f>
        <v>24443</v>
      </c>
    </row>
    <row r="1287">
      <c r="A1287" s="23">
        <f>IFERROR(__xludf.DUMMYFUNCTION("""COMPUTED_VALUE"""),1211.0)</f>
        <v>1211</v>
      </c>
      <c r="B1287" s="23" t="str">
        <f>IFERROR(__xludf.DUMMYFUNCTION("""COMPUTED_VALUE"""),"Iterator for Combination")</f>
        <v>Iterator for Combination</v>
      </c>
      <c r="C1287" s="23" t="str">
        <f>IFERROR(__xludf.DUMMYFUNCTION("""COMPUTED_VALUE"""),"iterator-for-combination")</f>
        <v>iterator-for-combination</v>
      </c>
      <c r="D1287" s="23" t="b">
        <f>IFERROR(__xludf.DUMMYFUNCTION("""COMPUTED_VALUE"""),FALSE)</f>
        <v>0</v>
      </c>
      <c r="E1287" s="23" t="str">
        <f>IFERROR(__xludf.DUMMYFUNCTION("""COMPUTED_VALUE"""),"Medium")</f>
        <v>Medium</v>
      </c>
      <c r="F1287" s="23">
        <f>IFERROR(__xludf.DUMMYFUNCTION("""COMPUTED_VALUE"""),1140.0)</f>
        <v>1140</v>
      </c>
      <c r="G1287" s="23">
        <f>IFERROR(__xludf.DUMMYFUNCTION("""COMPUTED_VALUE"""),92.0)</f>
        <v>92</v>
      </c>
      <c r="H1287" s="23" t="str">
        <f>IFERROR(__xludf.DUMMYFUNCTION("""COMPUTED_VALUE"""),"Algorithms")</f>
        <v>Algorithms</v>
      </c>
      <c r="I1287" s="23">
        <f>IFERROR(__xludf.DUMMYFUNCTION("""COMPUTED_VALUE"""),0.732)</f>
        <v>0.732</v>
      </c>
      <c r="J1287" s="23">
        <f>IFERROR(__xludf.DUMMYFUNCTION("""COMPUTED_VALUE"""),1286.0)</f>
        <v>1286</v>
      </c>
      <c r="K1287" s="23" t="b">
        <f>IFERROR(__xludf.DUMMYFUNCTION("""COMPUTED_VALUE"""),FALSE)</f>
        <v>0</v>
      </c>
      <c r="L1287" s="23" t="str">
        <f>IFERROR(__xludf.DUMMYFUNCTION("""COMPUTED_VALUE"""),"String;Backtracking;Design;Iterator;")</f>
        <v>String;Backtracking;Design;Iterator;</v>
      </c>
      <c r="M1287" s="23" t="b">
        <f>IFERROR(__xludf.DUMMYFUNCTION("""COMPUTED_VALUE"""),TRUE)</f>
        <v>1</v>
      </c>
      <c r="N1287" s="23" t="b">
        <f>IFERROR(__xludf.DUMMYFUNCTION("""COMPUTED_VALUE"""),FALSE)</f>
        <v>0</v>
      </c>
      <c r="O1287" s="23">
        <f>IFERROR(__xludf.DUMMYFUNCTION("""COMPUTED_VALUE"""),73.2358438444086)</f>
        <v>73.23584384</v>
      </c>
      <c r="P1287" s="23">
        <f>IFERROR(__xludf.DUMMYFUNCTION("""COMPUTED_VALUE"""),62301.0)</f>
        <v>62301</v>
      </c>
      <c r="Q1287" s="23">
        <f>IFERROR(__xludf.DUMMYFUNCTION("""COMPUTED_VALUE"""),85069.0)</f>
        <v>85069</v>
      </c>
    </row>
    <row r="1288">
      <c r="A1288" s="23">
        <f>IFERROR(__xludf.DUMMYFUNCTION("""COMPUTED_VALUE"""),1221.0)</f>
        <v>1221</v>
      </c>
      <c r="B1288" s="23" t="str">
        <f>IFERROR(__xludf.DUMMYFUNCTION("""COMPUTED_VALUE"""),"Element Appearing More Than 25% In Sorted Array")</f>
        <v>Element Appearing More Than 25% In Sorted Array</v>
      </c>
      <c r="C1288" s="23" t="str">
        <f>IFERROR(__xludf.DUMMYFUNCTION("""COMPUTED_VALUE"""),"element-appearing-more-than-25-in-sorted-array")</f>
        <v>element-appearing-more-than-25-in-sorted-array</v>
      </c>
      <c r="D1288" s="23" t="b">
        <f>IFERROR(__xludf.DUMMYFUNCTION("""COMPUTED_VALUE"""),FALSE)</f>
        <v>0</v>
      </c>
      <c r="E1288" s="23" t="str">
        <f>IFERROR(__xludf.DUMMYFUNCTION("""COMPUTED_VALUE"""),"Easy")</f>
        <v>Easy</v>
      </c>
      <c r="F1288" s="23">
        <f>IFERROR(__xludf.DUMMYFUNCTION("""COMPUTED_VALUE"""),642.0)</f>
        <v>642</v>
      </c>
      <c r="G1288" s="23">
        <f>IFERROR(__xludf.DUMMYFUNCTION("""COMPUTED_VALUE"""),36.0)</f>
        <v>36</v>
      </c>
      <c r="H1288" s="23" t="str">
        <f>IFERROR(__xludf.DUMMYFUNCTION("""COMPUTED_VALUE"""),"Algorithms")</f>
        <v>Algorithms</v>
      </c>
      <c r="I1288" s="23">
        <f>IFERROR(__xludf.DUMMYFUNCTION("""COMPUTED_VALUE"""),0.596)</f>
        <v>0.596</v>
      </c>
      <c r="J1288" s="23">
        <f>IFERROR(__xludf.DUMMYFUNCTION("""COMPUTED_VALUE"""),1287.0)</f>
        <v>1287</v>
      </c>
      <c r="K1288" s="23" t="b">
        <f>IFERROR(__xludf.DUMMYFUNCTION("""COMPUTED_VALUE"""),FALSE)</f>
        <v>0</v>
      </c>
      <c r="L1288" s="23" t="str">
        <f>IFERROR(__xludf.DUMMYFUNCTION("""COMPUTED_VALUE"""),"Array;")</f>
        <v>Array;</v>
      </c>
      <c r="M1288" s="23" t="b">
        <f>IFERROR(__xludf.DUMMYFUNCTION("""COMPUTED_VALUE"""),FALSE)</f>
        <v>0</v>
      </c>
      <c r="N1288" s="23" t="b">
        <f>IFERROR(__xludf.DUMMYFUNCTION("""COMPUTED_VALUE"""),FALSE)</f>
        <v>0</v>
      </c>
      <c r="O1288" s="23">
        <f>IFERROR(__xludf.DUMMYFUNCTION("""COMPUTED_VALUE"""),59.5673302725033)</f>
        <v>59.56733027</v>
      </c>
      <c r="P1288" s="23">
        <f>IFERROR(__xludf.DUMMYFUNCTION("""COMPUTED_VALUE"""),62146.0)</f>
        <v>62146</v>
      </c>
      <c r="Q1288" s="23">
        <f>IFERROR(__xludf.DUMMYFUNCTION("""COMPUTED_VALUE"""),104329.0)</f>
        <v>104329</v>
      </c>
    </row>
    <row r="1289">
      <c r="A1289" s="23">
        <f>IFERROR(__xludf.DUMMYFUNCTION("""COMPUTED_VALUE"""),1222.0)</f>
        <v>1222</v>
      </c>
      <c r="B1289" s="23" t="str">
        <f>IFERROR(__xludf.DUMMYFUNCTION("""COMPUTED_VALUE"""),"Remove Covered Intervals")</f>
        <v>Remove Covered Intervals</v>
      </c>
      <c r="C1289" s="23" t="str">
        <f>IFERROR(__xludf.DUMMYFUNCTION("""COMPUTED_VALUE"""),"remove-covered-intervals")</f>
        <v>remove-covered-intervals</v>
      </c>
      <c r="D1289" s="23" t="b">
        <f>IFERROR(__xludf.DUMMYFUNCTION("""COMPUTED_VALUE"""),FALSE)</f>
        <v>0</v>
      </c>
      <c r="E1289" s="23" t="str">
        <f>IFERROR(__xludf.DUMMYFUNCTION("""COMPUTED_VALUE"""),"Medium")</f>
        <v>Medium</v>
      </c>
      <c r="F1289" s="23">
        <f>IFERROR(__xludf.DUMMYFUNCTION("""COMPUTED_VALUE"""),1855.0)</f>
        <v>1855</v>
      </c>
      <c r="G1289" s="23">
        <f>IFERROR(__xludf.DUMMYFUNCTION("""COMPUTED_VALUE"""),44.0)</f>
        <v>44</v>
      </c>
      <c r="H1289" s="23" t="str">
        <f>IFERROR(__xludf.DUMMYFUNCTION("""COMPUTED_VALUE"""),"Algorithms")</f>
        <v>Algorithms</v>
      </c>
      <c r="I1289" s="23">
        <f>IFERROR(__xludf.DUMMYFUNCTION("""COMPUTED_VALUE"""),0.574)</f>
        <v>0.574</v>
      </c>
      <c r="J1289" s="23">
        <f>IFERROR(__xludf.DUMMYFUNCTION("""COMPUTED_VALUE"""),1288.0)</f>
        <v>1288</v>
      </c>
      <c r="K1289" s="23" t="b">
        <f>IFERROR(__xludf.DUMMYFUNCTION("""COMPUTED_VALUE"""),FALSE)</f>
        <v>0</v>
      </c>
      <c r="L1289" s="23" t="str">
        <f>IFERROR(__xludf.DUMMYFUNCTION("""COMPUTED_VALUE"""),"Array;Sorting;")</f>
        <v>Array;Sorting;</v>
      </c>
      <c r="M1289" s="23" t="b">
        <f>IFERROR(__xludf.DUMMYFUNCTION("""COMPUTED_VALUE"""),TRUE)</f>
        <v>1</v>
      </c>
      <c r="N1289" s="23" t="b">
        <f>IFERROR(__xludf.DUMMYFUNCTION("""COMPUTED_VALUE"""),FALSE)</f>
        <v>0</v>
      </c>
      <c r="O1289" s="23">
        <f>IFERROR(__xludf.DUMMYFUNCTION("""COMPUTED_VALUE"""),57.4135169380095)</f>
        <v>57.41351694</v>
      </c>
      <c r="P1289" s="23">
        <f>IFERROR(__xludf.DUMMYFUNCTION("""COMPUTED_VALUE"""),96062.0)</f>
        <v>96062</v>
      </c>
      <c r="Q1289" s="23">
        <f>IFERROR(__xludf.DUMMYFUNCTION("""COMPUTED_VALUE"""),167316.0)</f>
        <v>167316</v>
      </c>
    </row>
    <row r="1290">
      <c r="A1290" s="23">
        <f>IFERROR(__xludf.DUMMYFUNCTION("""COMPUTED_VALUE"""),1224.0)</f>
        <v>1224</v>
      </c>
      <c r="B1290" s="23" t="str">
        <f>IFERROR(__xludf.DUMMYFUNCTION("""COMPUTED_VALUE"""),"Minimum Falling Path Sum II")</f>
        <v>Minimum Falling Path Sum II</v>
      </c>
      <c r="C1290" s="23" t="str">
        <f>IFERROR(__xludf.DUMMYFUNCTION("""COMPUTED_VALUE"""),"minimum-falling-path-sum-ii")</f>
        <v>minimum-falling-path-sum-ii</v>
      </c>
      <c r="D1290" s="23" t="b">
        <f>IFERROR(__xludf.DUMMYFUNCTION("""COMPUTED_VALUE"""),FALSE)</f>
        <v>0</v>
      </c>
      <c r="E1290" s="23" t="str">
        <f>IFERROR(__xludf.DUMMYFUNCTION("""COMPUTED_VALUE"""),"Hard")</f>
        <v>Hard</v>
      </c>
      <c r="F1290" s="23">
        <f>IFERROR(__xludf.DUMMYFUNCTION("""COMPUTED_VALUE"""),769.0)</f>
        <v>769</v>
      </c>
      <c r="G1290" s="23">
        <f>IFERROR(__xludf.DUMMYFUNCTION("""COMPUTED_VALUE"""),65.0)</f>
        <v>65</v>
      </c>
      <c r="H1290" s="23" t="str">
        <f>IFERROR(__xludf.DUMMYFUNCTION("""COMPUTED_VALUE"""),"Algorithms")</f>
        <v>Algorithms</v>
      </c>
      <c r="I1290" s="23">
        <f>IFERROR(__xludf.DUMMYFUNCTION("""COMPUTED_VALUE"""),0.611)</f>
        <v>0.611</v>
      </c>
      <c r="J1290" s="23">
        <f>IFERROR(__xludf.DUMMYFUNCTION("""COMPUTED_VALUE"""),1289.0)</f>
        <v>1289</v>
      </c>
      <c r="K1290" s="23" t="b">
        <f>IFERROR(__xludf.DUMMYFUNCTION("""COMPUTED_VALUE"""),FALSE)</f>
        <v>0</v>
      </c>
      <c r="L1290" s="23" t="str">
        <f>IFERROR(__xludf.DUMMYFUNCTION("""COMPUTED_VALUE"""),"Array;Dynamic Programming;Matrix;")</f>
        <v>Array;Dynamic Programming;Matrix;</v>
      </c>
      <c r="M1290" s="23" t="b">
        <f>IFERROR(__xludf.DUMMYFUNCTION("""COMPUTED_VALUE"""),FALSE)</f>
        <v>0</v>
      </c>
      <c r="N1290" s="23" t="b">
        <f>IFERROR(__xludf.DUMMYFUNCTION("""COMPUTED_VALUE"""),FALSE)</f>
        <v>0</v>
      </c>
      <c r="O1290" s="23">
        <f>IFERROR(__xludf.DUMMYFUNCTION("""COMPUTED_VALUE"""),61.1120906245867)</f>
        <v>61.11209062</v>
      </c>
      <c r="P1290" s="23">
        <f>IFERROR(__xludf.DUMMYFUNCTION("""COMPUTED_VALUE"""),27729.0)</f>
        <v>27729</v>
      </c>
      <c r="Q1290" s="23">
        <f>IFERROR(__xludf.DUMMYFUNCTION("""COMPUTED_VALUE"""),45374.0)</f>
        <v>45374</v>
      </c>
    </row>
    <row r="1291">
      <c r="A1291" s="23">
        <f>IFERROR(__xludf.DUMMYFUNCTION("""COMPUTED_VALUE"""),1411.0)</f>
        <v>1411</v>
      </c>
      <c r="B1291" s="23" t="str">
        <f>IFERROR(__xludf.DUMMYFUNCTION("""COMPUTED_VALUE"""),"Convert Binary Number in a Linked List to Integer")</f>
        <v>Convert Binary Number in a Linked List to Integer</v>
      </c>
      <c r="C1291" s="23" t="str">
        <f>IFERROR(__xludf.DUMMYFUNCTION("""COMPUTED_VALUE"""),"convert-binary-number-in-a-linked-list-to-integer")</f>
        <v>convert-binary-number-in-a-linked-list-to-integer</v>
      </c>
      <c r="D1291" s="23" t="b">
        <f>IFERROR(__xludf.DUMMYFUNCTION("""COMPUTED_VALUE"""),FALSE)</f>
        <v>0</v>
      </c>
      <c r="E1291" s="23" t="str">
        <f>IFERROR(__xludf.DUMMYFUNCTION("""COMPUTED_VALUE"""),"Easy")</f>
        <v>Easy</v>
      </c>
      <c r="F1291" s="23">
        <f>IFERROR(__xludf.DUMMYFUNCTION("""COMPUTED_VALUE"""),2491.0)</f>
        <v>2491</v>
      </c>
      <c r="G1291" s="23">
        <f>IFERROR(__xludf.DUMMYFUNCTION("""COMPUTED_VALUE"""),126.0)</f>
        <v>126</v>
      </c>
      <c r="H1291" s="23" t="str">
        <f>IFERROR(__xludf.DUMMYFUNCTION("""COMPUTED_VALUE"""),"Algorithms")</f>
        <v>Algorithms</v>
      </c>
      <c r="I1291" s="23">
        <f>IFERROR(__xludf.DUMMYFUNCTION("""COMPUTED_VALUE"""),0.827)</f>
        <v>0.827</v>
      </c>
      <c r="J1291" s="23">
        <f>IFERROR(__xludf.DUMMYFUNCTION("""COMPUTED_VALUE"""),1290.0)</f>
        <v>1290</v>
      </c>
      <c r="K1291" s="23" t="b">
        <f>IFERROR(__xludf.DUMMYFUNCTION("""COMPUTED_VALUE"""),FALSE)</f>
        <v>0</v>
      </c>
      <c r="L1291" s="23" t="str">
        <f>IFERROR(__xludf.DUMMYFUNCTION("""COMPUTED_VALUE"""),"Linked List;Math;")</f>
        <v>Linked List;Math;</v>
      </c>
      <c r="M1291" s="23" t="b">
        <f>IFERROR(__xludf.DUMMYFUNCTION("""COMPUTED_VALUE"""),TRUE)</f>
        <v>1</v>
      </c>
      <c r="N1291" s="23" t="b">
        <f>IFERROR(__xludf.DUMMYFUNCTION("""COMPUTED_VALUE"""),FALSE)</f>
        <v>0</v>
      </c>
      <c r="O1291" s="23">
        <f>IFERROR(__xludf.DUMMYFUNCTION("""COMPUTED_VALUE"""),82.656916727022)</f>
        <v>82.65691673</v>
      </c>
      <c r="P1291" s="23">
        <f>IFERROR(__xludf.DUMMYFUNCTION("""COMPUTED_VALUE"""),284172.0)</f>
        <v>284172</v>
      </c>
      <c r="Q1291" s="23">
        <f>IFERROR(__xludf.DUMMYFUNCTION("""COMPUTED_VALUE"""),343797.0)</f>
        <v>343797</v>
      </c>
    </row>
    <row r="1292">
      <c r="A1292" s="23">
        <f>IFERROR(__xludf.DUMMYFUNCTION("""COMPUTED_VALUE"""),1212.0)</f>
        <v>1212</v>
      </c>
      <c r="B1292" s="23" t="str">
        <f>IFERROR(__xludf.DUMMYFUNCTION("""COMPUTED_VALUE"""),"Sequential Digits")</f>
        <v>Sequential Digits</v>
      </c>
      <c r="C1292" s="23" t="str">
        <f>IFERROR(__xludf.DUMMYFUNCTION("""COMPUTED_VALUE"""),"sequential-digits")</f>
        <v>sequential-digits</v>
      </c>
      <c r="D1292" s="23" t="b">
        <f>IFERROR(__xludf.DUMMYFUNCTION("""COMPUTED_VALUE"""),FALSE)</f>
        <v>0</v>
      </c>
      <c r="E1292" s="23" t="str">
        <f>IFERROR(__xludf.DUMMYFUNCTION("""COMPUTED_VALUE"""),"Medium")</f>
        <v>Medium</v>
      </c>
      <c r="F1292" s="23">
        <f>IFERROR(__xludf.DUMMYFUNCTION("""COMPUTED_VALUE"""),1592.0)</f>
        <v>1592</v>
      </c>
      <c r="G1292" s="23">
        <f>IFERROR(__xludf.DUMMYFUNCTION("""COMPUTED_VALUE"""),98.0)</f>
        <v>98</v>
      </c>
      <c r="H1292" s="23" t="str">
        <f>IFERROR(__xludf.DUMMYFUNCTION("""COMPUTED_VALUE"""),"Algorithms")</f>
        <v>Algorithms</v>
      </c>
      <c r="I1292" s="23">
        <f>IFERROR(__xludf.DUMMYFUNCTION("""COMPUTED_VALUE"""),0.609)</f>
        <v>0.609</v>
      </c>
      <c r="J1292" s="23">
        <f>IFERROR(__xludf.DUMMYFUNCTION("""COMPUTED_VALUE"""),1291.0)</f>
        <v>1291</v>
      </c>
      <c r="K1292" s="23" t="b">
        <f>IFERROR(__xludf.DUMMYFUNCTION("""COMPUTED_VALUE"""),FALSE)</f>
        <v>0</v>
      </c>
      <c r="L1292" s="23" t="str">
        <f>IFERROR(__xludf.DUMMYFUNCTION("""COMPUTED_VALUE"""),"Enumeration;")</f>
        <v>Enumeration;</v>
      </c>
      <c r="M1292" s="23" t="b">
        <f>IFERROR(__xludf.DUMMYFUNCTION("""COMPUTED_VALUE"""),TRUE)</f>
        <v>1</v>
      </c>
      <c r="N1292" s="23" t="b">
        <f>IFERROR(__xludf.DUMMYFUNCTION("""COMPUTED_VALUE"""),FALSE)</f>
        <v>0</v>
      </c>
      <c r="O1292" s="23">
        <f>IFERROR(__xludf.DUMMYFUNCTION("""COMPUTED_VALUE"""),60.8833085964138)</f>
        <v>60.8833086</v>
      </c>
      <c r="P1292" s="23">
        <f>IFERROR(__xludf.DUMMYFUNCTION("""COMPUTED_VALUE"""),75888.0)</f>
        <v>75888</v>
      </c>
      <c r="Q1292" s="23">
        <f>IFERROR(__xludf.DUMMYFUNCTION("""COMPUTED_VALUE"""),124645.0)</f>
        <v>124645</v>
      </c>
    </row>
    <row r="1293">
      <c r="A1293" s="23">
        <f>IFERROR(__xludf.DUMMYFUNCTION("""COMPUTED_VALUE"""),1413.0)</f>
        <v>1413</v>
      </c>
      <c r="B1293" s="23" t="str">
        <f>IFERROR(__xludf.DUMMYFUNCTION("""COMPUTED_VALUE"""),"Maximum Side Length of a Square with Sum Less than or Equal to Threshold")</f>
        <v>Maximum Side Length of a Square with Sum Less than or Equal to Threshold</v>
      </c>
      <c r="C1293" s="23" t="str">
        <f>IFERROR(__xludf.DUMMYFUNCTION("""COMPUTED_VALUE"""),"maximum-side-length-of-a-square-with-sum-less-than-or-equal-to-threshold")</f>
        <v>maximum-side-length-of-a-square-with-sum-less-than-or-equal-to-threshold</v>
      </c>
      <c r="D1293" s="23" t="b">
        <f>IFERROR(__xludf.DUMMYFUNCTION("""COMPUTED_VALUE"""),FALSE)</f>
        <v>0</v>
      </c>
      <c r="E1293" s="23" t="str">
        <f>IFERROR(__xludf.DUMMYFUNCTION("""COMPUTED_VALUE"""),"Medium")</f>
        <v>Medium</v>
      </c>
      <c r="F1293" s="23">
        <f>IFERROR(__xludf.DUMMYFUNCTION("""COMPUTED_VALUE"""),777.0)</f>
        <v>777</v>
      </c>
      <c r="G1293" s="23">
        <f>IFERROR(__xludf.DUMMYFUNCTION("""COMPUTED_VALUE"""),61.0)</f>
        <v>61</v>
      </c>
      <c r="H1293" s="23" t="str">
        <f>IFERROR(__xludf.DUMMYFUNCTION("""COMPUTED_VALUE"""),"Algorithms")</f>
        <v>Algorithms</v>
      </c>
      <c r="I1293" s="23">
        <f>IFERROR(__xludf.DUMMYFUNCTION("""COMPUTED_VALUE"""),0.525)</f>
        <v>0.525</v>
      </c>
      <c r="J1293" s="23">
        <f>IFERROR(__xludf.DUMMYFUNCTION("""COMPUTED_VALUE"""),1292.0)</f>
        <v>1292</v>
      </c>
      <c r="K1293" s="23" t="b">
        <f>IFERROR(__xludf.DUMMYFUNCTION("""COMPUTED_VALUE"""),FALSE)</f>
        <v>0</v>
      </c>
      <c r="L1293" s="23" t="str">
        <f>IFERROR(__xludf.DUMMYFUNCTION("""COMPUTED_VALUE"""),"Array;Binary Search;Matrix;Prefix Sum;")</f>
        <v>Array;Binary Search;Matrix;Prefix Sum;</v>
      </c>
      <c r="M1293" s="23" t="b">
        <f>IFERROR(__xludf.DUMMYFUNCTION("""COMPUTED_VALUE"""),FALSE)</f>
        <v>0</v>
      </c>
      <c r="N1293" s="23" t="b">
        <f>IFERROR(__xludf.DUMMYFUNCTION("""COMPUTED_VALUE"""),FALSE)</f>
        <v>0</v>
      </c>
      <c r="O1293" s="23">
        <f>IFERROR(__xludf.DUMMYFUNCTION("""COMPUTED_VALUE"""),52.493381363656)</f>
        <v>52.49338136</v>
      </c>
      <c r="P1293" s="23">
        <f>IFERROR(__xludf.DUMMYFUNCTION("""COMPUTED_VALUE"""),24190.0)</f>
        <v>24190</v>
      </c>
      <c r="Q1293" s="23">
        <f>IFERROR(__xludf.DUMMYFUNCTION("""COMPUTED_VALUE"""),46082.0)</f>
        <v>46082</v>
      </c>
    </row>
    <row r="1294">
      <c r="A1294" s="23">
        <f>IFERROR(__xludf.DUMMYFUNCTION("""COMPUTED_VALUE"""),1414.0)</f>
        <v>1414</v>
      </c>
      <c r="B1294" s="23" t="str">
        <f>IFERROR(__xludf.DUMMYFUNCTION("""COMPUTED_VALUE"""),"Shortest Path in a Grid with Obstacles Elimination")</f>
        <v>Shortest Path in a Grid with Obstacles Elimination</v>
      </c>
      <c r="C1294" s="23" t="str">
        <f>IFERROR(__xludf.DUMMYFUNCTION("""COMPUTED_VALUE"""),"shortest-path-in-a-grid-with-obstacles-elimination")</f>
        <v>shortest-path-in-a-grid-with-obstacles-elimination</v>
      </c>
      <c r="D1294" s="23" t="b">
        <f>IFERROR(__xludf.DUMMYFUNCTION("""COMPUTED_VALUE"""),FALSE)</f>
        <v>0</v>
      </c>
      <c r="E1294" s="23" t="str">
        <f>IFERROR(__xludf.DUMMYFUNCTION("""COMPUTED_VALUE"""),"Hard")</f>
        <v>Hard</v>
      </c>
      <c r="F1294" s="23">
        <f>IFERROR(__xludf.DUMMYFUNCTION("""COMPUTED_VALUE"""),2141.0)</f>
        <v>2141</v>
      </c>
      <c r="G1294" s="23">
        <f>IFERROR(__xludf.DUMMYFUNCTION("""COMPUTED_VALUE"""),41.0)</f>
        <v>41</v>
      </c>
      <c r="H1294" s="23" t="str">
        <f>IFERROR(__xludf.DUMMYFUNCTION("""COMPUTED_VALUE"""),"Algorithms")</f>
        <v>Algorithms</v>
      </c>
      <c r="I1294" s="23">
        <f>IFERROR(__xludf.DUMMYFUNCTION("""COMPUTED_VALUE"""),0.436)</f>
        <v>0.436</v>
      </c>
      <c r="J1294" s="23">
        <f>IFERROR(__xludf.DUMMYFUNCTION("""COMPUTED_VALUE"""),1293.0)</f>
        <v>1293</v>
      </c>
      <c r="K1294" s="23" t="b">
        <f>IFERROR(__xludf.DUMMYFUNCTION("""COMPUTED_VALUE"""),FALSE)</f>
        <v>0</v>
      </c>
      <c r="L1294" s="23" t="str">
        <f>IFERROR(__xludf.DUMMYFUNCTION("""COMPUTED_VALUE"""),"Array;Breadth-First Search;Matrix;")</f>
        <v>Array;Breadth-First Search;Matrix;</v>
      </c>
      <c r="M1294" s="23" t="b">
        <f>IFERROR(__xludf.DUMMYFUNCTION("""COMPUTED_VALUE"""),TRUE)</f>
        <v>1</v>
      </c>
      <c r="N1294" s="23" t="b">
        <f>IFERROR(__xludf.DUMMYFUNCTION("""COMPUTED_VALUE"""),FALSE)</f>
        <v>0</v>
      </c>
      <c r="O1294" s="23">
        <f>IFERROR(__xludf.DUMMYFUNCTION("""COMPUTED_VALUE"""),43.5774426802026)</f>
        <v>43.57744268</v>
      </c>
      <c r="P1294" s="23">
        <f>IFERROR(__xludf.DUMMYFUNCTION("""COMPUTED_VALUE"""),93834.0)</f>
        <v>93834</v>
      </c>
      <c r="Q1294" s="23">
        <f>IFERROR(__xludf.DUMMYFUNCTION("""COMPUTED_VALUE"""),215327.0)</f>
        <v>215327</v>
      </c>
    </row>
    <row r="1295">
      <c r="A1295" s="23">
        <f>IFERROR(__xludf.DUMMYFUNCTION("""COMPUTED_VALUE"""),1425.0)</f>
        <v>1425</v>
      </c>
      <c r="B1295" s="23" t="str">
        <f>IFERROR(__xludf.DUMMYFUNCTION("""COMPUTED_VALUE"""),"Weather Type in Each Country")</f>
        <v>Weather Type in Each Country</v>
      </c>
      <c r="C1295" s="23" t="str">
        <f>IFERROR(__xludf.DUMMYFUNCTION("""COMPUTED_VALUE"""),"weather-type-in-each-country")</f>
        <v>weather-type-in-each-country</v>
      </c>
      <c r="D1295" s="23" t="b">
        <f>IFERROR(__xludf.DUMMYFUNCTION("""COMPUTED_VALUE"""),TRUE)</f>
        <v>1</v>
      </c>
      <c r="E1295" s="23" t="str">
        <f>IFERROR(__xludf.DUMMYFUNCTION("""COMPUTED_VALUE"""),"Easy")</f>
        <v>Easy</v>
      </c>
      <c r="F1295" s="23">
        <f>IFERROR(__xludf.DUMMYFUNCTION("""COMPUTED_VALUE"""),82.0)</f>
        <v>82</v>
      </c>
      <c r="G1295" s="23">
        <f>IFERROR(__xludf.DUMMYFUNCTION("""COMPUTED_VALUE"""),18.0)</f>
        <v>18</v>
      </c>
      <c r="H1295" s="23" t="str">
        <f>IFERROR(__xludf.DUMMYFUNCTION("""COMPUTED_VALUE"""),"Database")</f>
        <v>Database</v>
      </c>
      <c r="I1295" s="23">
        <f>IFERROR(__xludf.DUMMYFUNCTION("""COMPUTED_VALUE"""),0.676)</f>
        <v>0.676</v>
      </c>
      <c r="J1295" s="23">
        <f>IFERROR(__xludf.DUMMYFUNCTION("""COMPUTED_VALUE"""),1294.0)</f>
        <v>1294</v>
      </c>
      <c r="K1295" s="23" t="b">
        <f>IFERROR(__xludf.DUMMYFUNCTION("""COMPUTED_VALUE"""),TRUE)</f>
        <v>1</v>
      </c>
      <c r="L1295" s="23" t="str">
        <f>IFERROR(__xludf.DUMMYFUNCTION("""COMPUTED_VALUE"""),"Database;")</f>
        <v>Database;</v>
      </c>
      <c r="M1295" s="23" t="b">
        <f>IFERROR(__xludf.DUMMYFUNCTION("""COMPUTED_VALUE"""),FALSE)</f>
        <v>0</v>
      </c>
      <c r="N1295" s="23" t="b">
        <f>IFERROR(__xludf.DUMMYFUNCTION("""COMPUTED_VALUE"""),FALSE)</f>
        <v>0</v>
      </c>
      <c r="O1295" s="23">
        <f>IFERROR(__xludf.DUMMYFUNCTION("""COMPUTED_VALUE"""),67.5773874234708)</f>
        <v>67.57738742</v>
      </c>
      <c r="P1295" s="23">
        <f>IFERROR(__xludf.DUMMYFUNCTION("""COMPUTED_VALUE"""),23621.0)</f>
        <v>23621</v>
      </c>
      <c r="Q1295" s="23">
        <f>IFERROR(__xludf.DUMMYFUNCTION("""COMPUTED_VALUE"""),34954.0)</f>
        <v>34954</v>
      </c>
    </row>
    <row r="1296">
      <c r="A1296" s="23">
        <f>IFERROR(__xludf.DUMMYFUNCTION("""COMPUTED_VALUE"""),1421.0)</f>
        <v>1421</v>
      </c>
      <c r="B1296" s="23" t="str">
        <f>IFERROR(__xludf.DUMMYFUNCTION("""COMPUTED_VALUE"""),"Find Numbers with Even Number of Digits")</f>
        <v>Find Numbers with Even Number of Digits</v>
      </c>
      <c r="C1296" s="23" t="str">
        <f>IFERROR(__xludf.DUMMYFUNCTION("""COMPUTED_VALUE"""),"find-numbers-with-even-number-of-digits")</f>
        <v>find-numbers-with-even-number-of-digits</v>
      </c>
      <c r="D1296" s="23" t="b">
        <f>IFERROR(__xludf.DUMMYFUNCTION("""COMPUTED_VALUE"""),FALSE)</f>
        <v>0</v>
      </c>
      <c r="E1296" s="23" t="str">
        <f>IFERROR(__xludf.DUMMYFUNCTION("""COMPUTED_VALUE"""),"Easy")</f>
        <v>Easy</v>
      </c>
      <c r="F1296" s="23">
        <f>IFERROR(__xludf.DUMMYFUNCTION("""COMPUTED_VALUE"""),1244.0)</f>
        <v>1244</v>
      </c>
      <c r="G1296" s="23">
        <f>IFERROR(__xludf.DUMMYFUNCTION("""COMPUTED_VALUE"""),98.0)</f>
        <v>98</v>
      </c>
      <c r="H1296" s="23" t="str">
        <f>IFERROR(__xludf.DUMMYFUNCTION("""COMPUTED_VALUE"""),"Algorithms")</f>
        <v>Algorithms</v>
      </c>
      <c r="I1296" s="23">
        <f>IFERROR(__xludf.DUMMYFUNCTION("""COMPUTED_VALUE"""),0.771)</f>
        <v>0.771</v>
      </c>
      <c r="J1296" s="23">
        <f>IFERROR(__xludf.DUMMYFUNCTION("""COMPUTED_VALUE"""),1295.0)</f>
        <v>1295</v>
      </c>
      <c r="K1296" s="23" t="b">
        <f>IFERROR(__xludf.DUMMYFUNCTION("""COMPUTED_VALUE"""),FALSE)</f>
        <v>0</v>
      </c>
      <c r="L1296" s="23" t="str">
        <f>IFERROR(__xludf.DUMMYFUNCTION("""COMPUTED_VALUE"""),"Array;")</f>
        <v>Array;</v>
      </c>
      <c r="M1296" s="23" t="b">
        <f>IFERROR(__xludf.DUMMYFUNCTION("""COMPUTED_VALUE"""),FALSE)</f>
        <v>0</v>
      </c>
      <c r="N1296" s="23" t="b">
        <f>IFERROR(__xludf.DUMMYFUNCTION("""COMPUTED_VALUE"""),FALSE)</f>
        <v>0</v>
      </c>
      <c r="O1296" s="23">
        <f>IFERROR(__xludf.DUMMYFUNCTION("""COMPUTED_VALUE"""),77.1127252029749)</f>
        <v>77.1127252</v>
      </c>
      <c r="P1296" s="23">
        <f>IFERROR(__xludf.DUMMYFUNCTION("""COMPUTED_VALUE"""),425405.0)</f>
        <v>425405</v>
      </c>
      <c r="Q1296" s="23">
        <f>IFERROR(__xludf.DUMMYFUNCTION("""COMPUTED_VALUE"""),551666.0)</f>
        <v>551666</v>
      </c>
    </row>
    <row r="1297">
      <c r="A1297" s="23">
        <f>IFERROR(__xludf.DUMMYFUNCTION("""COMPUTED_VALUE"""),1422.0)</f>
        <v>1422</v>
      </c>
      <c r="B1297" s="23" t="str">
        <f>IFERROR(__xludf.DUMMYFUNCTION("""COMPUTED_VALUE"""),"Divide Array in Sets of K Consecutive Numbers")</f>
        <v>Divide Array in Sets of K Consecutive Numbers</v>
      </c>
      <c r="C1297" s="23" t="str">
        <f>IFERROR(__xludf.DUMMYFUNCTION("""COMPUTED_VALUE"""),"divide-array-in-sets-of-k-consecutive-numbers")</f>
        <v>divide-array-in-sets-of-k-consecutive-numbers</v>
      </c>
      <c r="D1297" s="23" t="b">
        <f>IFERROR(__xludf.DUMMYFUNCTION("""COMPUTED_VALUE"""),FALSE)</f>
        <v>0</v>
      </c>
      <c r="E1297" s="23" t="str">
        <f>IFERROR(__xludf.DUMMYFUNCTION("""COMPUTED_VALUE"""),"Medium")</f>
        <v>Medium</v>
      </c>
      <c r="F1297" s="23">
        <f>IFERROR(__xludf.DUMMYFUNCTION("""COMPUTED_VALUE"""),1074.0)</f>
        <v>1074</v>
      </c>
      <c r="G1297" s="23">
        <f>IFERROR(__xludf.DUMMYFUNCTION("""COMPUTED_VALUE"""),82.0)</f>
        <v>82</v>
      </c>
      <c r="H1297" s="23" t="str">
        <f>IFERROR(__xludf.DUMMYFUNCTION("""COMPUTED_VALUE"""),"Algorithms")</f>
        <v>Algorithms</v>
      </c>
      <c r="I1297" s="23">
        <f>IFERROR(__xludf.DUMMYFUNCTION("""COMPUTED_VALUE"""),0.565)</f>
        <v>0.565</v>
      </c>
      <c r="J1297" s="23">
        <f>IFERROR(__xludf.DUMMYFUNCTION("""COMPUTED_VALUE"""),1296.0)</f>
        <v>1296</v>
      </c>
      <c r="K1297" s="23" t="b">
        <f>IFERROR(__xludf.DUMMYFUNCTION("""COMPUTED_VALUE"""),FALSE)</f>
        <v>0</v>
      </c>
      <c r="L1297" s="23" t="str">
        <f>IFERROR(__xludf.DUMMYFUNCTION("""COMPUTED_VALUE"""),"Array;Hash Table;Greedy;Sorting;")</f>
        <v>Array;Hash Table;Greedy;Sorting;</v>
      </c>
      <c r="M1297" s="23" t="b">
        <f>IFERROR(__xludf.DUMMYFUNCTION("""COMPUTED_VALUE"""),FALSE)</f>
        <v>0</v>
      </c>
      <c r="N1297" s="23" t="b">
        <f>IFERROR(__xludf.DUMMYFUNCTION("""COMPUTED_VALUE"""),FALSE)</f>
        <v>0</v>
      </c>
      <c r="O1297" s="23">
        <f>IFERROR(__xludf.DUMMYFUNCTION("""COMPUTED_VALUE"""),56.4877565220706)</f>
        <v>56.48775652</v>
      </c>
      <c r="P1297" s="23">
        <f>IFERROR(__xludf.DUMMYFUNCTION("""COMPUTED_VALUE"""),59263.0)</f>
        <v>59263</v>
      </c>
      <c r="Q1297" s="23">
        <f>IFERROR(__xludf.DUMMYFUNCTION("""COMPUTED_VALUE"""),104913.0)</f>
        <v>104913</v>
      </c>
    </row>
    <row r="1298">
      <c r="A1298" s="23">
        <f>IFERROR(__xludf.DUMMYFUNCTION("""COMPUTED_VALUE"""),1423.0)</f>
        <v>1423</v>
      </c>
      <c r="B1298" s="23" t="str">
        <f>IFERROR(__xludf.DUMMYFUNCTION("""COMPUTED_VALUE"""),"Maximum Number of Occurrences of a Substring")</f>
        <v>Maximum Number of Occurrences of a Substring</v>
      </c>
      <c r="C1298" s="23" t="str">
        <f>IFERROR(__xludf.DUMMYFUNCTION("""COMPUTED_VALUE"""),"maximum-number-of-occurrences-of-a-substring")</f>
        <v>maximum-number-of-occurrences-of-a-substring</v>
      </c>
      <c r="D1298" s="23" t="b">
        <f>IFERROR(__xludf.DUMMYFUNCTION("""COMPUTED_VALUE"""),FALSE)</f>
        <v>0</v>
      </c>
      <c r="E1298" s="23" t="str">
        <f>IFERROR(__xludf.DUMMYFUNCTION("""COMPUTED_VALUE"""),"Medium")</f>
        <v>Medium</v>
      </c>
      <c r="F1298" s="23">
        <f>IFERROR(__xludf.DUMMYFUNCTION("""COMPUTED_VALUE"""),604.0)</f>
        <v>604</v>
      </c>
      <c r="G1298" s="23">
        <f>IFERROR(__xludf.DUMMYFUNCTION("""COMPUTED_VALUE"""),294.0)</f>
        <v>294</v>
      </c>
      <c r="H1298" s="23" t="str">
        <f>IFERROR(__xludf.DUMMYFUNCTION("""COMPUTED_VALUE"""),"Algorithms")</f>
        <v>Algorithms</v>
      </c>
      <c r="I1298" s="23">
        <f>IFERROR(__xludf.DUMMYFUNCTION("""COMPUTED_VALUE"""),0.524)</f>
        <v>0.524</v>
      </c>
      <c r="J1298" s="23">
        <f>IFERROR(__xludf.DUMMYFUNCTION("""COMPUTED_VALUE"""),1297.0)</f>
        <v>1297</v>
      </c>
      <c r="K1298" s="23" t="b">
        <f>IFERROR(__xludf.DUMMYFUNCTION("""COMPUTED_VALUE"""),FALSE)</f>
        <v>0</v>
      </c>
      <c r="L1298" s="23" t="str">
        <f>IFERROR(__xludf.DUMMYFUNCTION("""COMPUTED_VALUE"""),"Hash Table;String;Sliding Window;")</f>
        <v>Hash Table;String;Sliding Window;</v>
      </c>
      <c r="M1298" s="23" t="b">
        <f>IFERROR(__xludf.DUMMYFUNCTION("""COMPUTED_VALUE"""),FALSE)</f>
        <v>0</v>
      </c>
      <c r="N1298" s="23" t="b">
        <f>IFERROR(__xludf.DUMMYFUNCTION("""COMPUTED_VALUE"""),FALSE)</f>
        <v>0</v>
      </c>
      <c r="O1298" s="23">
        <f>IFERROR(__xludf.DUMMYFUNCTION("""COMPUTED_VALUE"""),52.3963969750004)</f>
        <v>52.39639698</v>
      </c>
      <c r="P1298" s="23">
        <f>IFERROR(__xludf.DUMMYFUNCTION("""COMPUTED_VALUE"""),32633.0)</f>
        <v>32633</v>
      </c>
      <c r="Q1298" s="23">
        <f>IFERROR(__xludf.DUMMYFUNCTION("""COMPUTED_VALUE"""),62281.0)</f>
        <v>62281</v>
      </c>
    </row>
    <row r="1299">
      <c r="A1299" s="23">
        <f>IFERROR(__xludf.DUMMYFUNCTION("""COMPUTED_VALUE"""),1424.0)</f>
        <v>1424</v>
      </c>
      <c r="B1299" s="23" t="str">
        <f>IFERROR(__xludf.DUMMYFUNCTION("""COMPUTED_VALUE"""),"Maximum Candies You Can Get from Boxes")</f>
        <v>Maximum Candies You Can Get from Boxes</v>
      </c>
      <c r="C1299" s="23" t="str">
        <f>IFERROR(__xludf.DUMMYFUNCTION("""COMPUTED_VALUE"""),"maximum-candies-you-can-get-from-boxes")</f>
        <v>maximum-candies-you-can-get-from-boxes</v>
      </c>
      <c r="D1299" s="23" t="b">
        <f>IFERROR(__xludf.DUMMYFUNCTION("""COMPUTED_VALUE"""),FALSE)</f>
        <v>0</v>
      </c>
      <c r="E1299" s="23" t="str">
        <f>IFERROR(__xludf.DUMMYFUNCTION("""COMPUTED_VALUE"""),"Hard")</f>
        <v>Hard</v>
      </c>
      <c r="F1299" s="23">
        <f>IFERROR(__xludf.DUMMYFUNCTION("""COMPUTED_VALUE"""),179.0)</f>
        <v>179</v>
      </c>
      <c r="G1299" s="23">
        <f>IFERROR(__xludf.DUMMYFUNCTION("""COMPUTED_VALUE"""),112.0)</f>
        <v>112</v>
      </c>
      <c r="H1299" s="23" t="str">
        <f>IFERROR(__xludf.DUMMYFUNCTION("""COMPUTED_VALUE"""),"Algorithms")</f>
        <v>Algorithms</v>
      </c>
      <c r="I1299" s="23">
        <f>IFERROR(__xludf.DUMMYFUNCTION("""COMPUTED_VALUE"""),0.608)</f>
        <v>0.608</v>
      </c>
      <c r="J1299" s="23">
        <f>IFERROR(__xludf.DUMMYFUNCTION("""COMPUTED_VALUE"""),1298.0)</f>
        <v>1298</v>
      </c>
      <c r="K1299" s="23" t="b">
        <f>IFERROR(__xludf.DUMMYFUNCTION("""COMPUTED_VALUE"""),FALSE)</f>
        <v>0</v>
      </c>
      <c r="L1299" s="23" t="str">
        <f>IFERROR(__xludf.DUMMYFUNCTION("""COMPUTED_VALUE"""),"Array;Breadth-First Search;")</f>
        <v>Array;Breadth-First Search;</v>
      </c>
      <c r="M1299" s="23" t="b">
        <f>IFERROR(__xludf.DUMMYFUNCTION("""COMPUTED_VALUE"""),FALSE)</f>
        <v>0</v>
      </c>
      <c r="N1299" s="23" t="b">
        <f>IFERROR(__xludf.DUMMYFUNCTION("""COMPUTED_VALUE"""),FALSE)</f>
        <v>0</v>
      </c>
      <c r="O1299" s="23">
        <f>IFERROR(__xludf.DUMMYFUNCTION("""COMPUTED_VALUE"""),60.8496810687206)</f>
        <v>60.84968107</v>
      </c>
      <c r="P1299" s="23">
        <f>IFERROR(__xludf.DUMMYFUNCTION("""COMPUTED_VALUE"""),10112.0)</f>
        <v>10112</v>
      </c>
      <c r="Q1299" s="23">
        <f>IFERROR(__xludf.DUMMYFUNCTION("""COMPUTED_VALUE"""),16618.0)</f>
        <v>16618</v>
      </c>
    </row>
    <row r="1300">
      <c r="A1300" s="23">
        <f>IFERROR(__xludf.DUMMYFUNCTION("""COMPUTED_VALUE"""),1231.0)</f>
        <v>1231</v>
      </c>
      <c r="B1300" s="23" t="str">
        <f>IFERROR(__xludf.DUMMYFUNCTION("""COMPUTED_VALUE"""),"Replace Elements with Greatest Element on Right Side")</f>
        <v>Replace Elements with Greatest Element on Right Side</v>
      </c>
      <c r="C1300" s="23" t="str">
        <f>IFERROR(__xludf.DUMMYFUNCTION("""COMPUTED_VALUE"""),"replace-elements-with-greatest-element-on-right-side")</f>
        <v>replace-elements-with-greatest-element-on-right-side</v>
      </c>
      <c r="D1300" s="23" t="b">
        <f>IFERROR(__xludf.DUMMYFUNCTION("""COMPUTED_VALUE"""),FALSE)</f>
        <v>0</v>
      </c>
      <c r="E1300" s="23" t="str">
        <f>IFERROR(__xludf.DUMMYFUNCTION("""COMPUTED_VALUE"""),"Easy")</f>
        <v>Easy</v>
      </c>
      <c r="F1300" s="23">
        <f>IFERROR(__xludf.DUMMYFUNCTION("""COMPUTED_VALUE"""),1223.0)</f>
        <v>1223</v>
      </c>
      <c r="G1300" s="23">
        <f>IFERROR(__xludf.DUMMYFUNCTION("""COMPUTED_VALUE"""),164.0)</f>
        <v>164</v>
      </c>
      <c r="H1300" s="23" t="str">
        <f>IFERROR(__xludf.DUMMYFUNCTION("""COMPUTED_VALUE"""),"Algorithms")</f>
        <v>Algorithms</v>
      </c>
      <c r="I1300" s="23">
        <f>IFERROR(__xludf.DUMMYFUNCTION("""COMPUTED_VALUE"""),0.745)</f>
        <v>0.745</v>
      </c>
      <c r="J1300" s="23">
        <f>IFERROR(__xludf.DUMMYFUNCTION("""COMPUTED_VALUE"""),1299.0)</f>
        <v>1299</v>
      </c>
      <c r="K1300" s="23" t="b">
        <f>IFERROR(__xludf.DUMMYFUNCTION("""COMPUTED_VALUE"""),FALSE)</f>
        <v>0</v>
      </c>
      <c r="L1300" s="23" t="str">
        <f>IFERROR(__xludf.DUMMYFUNCTION("""COMPUTED_VALUE"""),"Array;")</f>
        <v>Array;</v>
      </c>
      <c r="M1300" s="23" t="b">
        <f>IFERROR(__xludf.DUMMYFUNCTION("""COMPUTED_VALUE"""),FALSE)</f>
        <v>0</v>
      </c>
      <c r="N1300" s="23" t="b">
        <f>IFERROR(__xludf.DUMMYFUNCTION("""COMPUTED_VALUE"""),FALSE)</f>
        <v>0</v>
      </c>
      <c r="O1300" s="23">
        <f>IFERROR(__xludf.DUMMYFUNCTION("""COMPUTED_VALUE"""),74.454579048079)</f>
        <v>74.45457905</v>
      </c>
      <c r="P1300" s="23">
        <f>IFERROR(__xludf.DUMMYFUNCTION("""COMPUTED_VALUE"""),203494.0)</f>
        <v>203494</v>
      </c>
      <c r="Q1300" s="23">
        <f>IFERROR(__xludf.DUMMYFUNCTION("""COMPUTED_VALUE"""),273314.0)</f>
        <v>273314</v>
      </c>
    </row>
    <row r="1301">
      <c r="A1301" s="23">
        <f>IFERROR(__xludf.DUMMYFUNCTION("""COMPUTED_VALUE"""),1232.0)</f>
        <v>1232</v>
      </c>
      <c r="B1301" s="23" t="str">
        <f>IFERROR(__xludf.DUMMYFUNCTION("""COMPUTED_VALUE"""),"Sum of Mutated Array Closest to Target")</f>
        <v>Sum of Mutated Array Closest to Target</v>
      </c>
      <c r="C1301" s="23" t="str">
        <f>IFERROR(__xludf.DUMMYFUNCTION("""COMPUTED_VALUE"""),"sum-of-mutated-array-closest-to-target")</f>
        <v>sum-of-mutated-array-closest-to-target</v>
      </c>
      <c r="D1301" s="23" t="b">
        <f>IFERROR(__xludf.DUMMYFUNCTION("""COMPUTED_VALUE"""),FALSE)</f>
        <v>0</v>
      </c>
      <c r="E1301" s="23" t="str">
        <f>IFERROR(__xludf.DUMMYFUNCTION("""COMPUTED_VALUE"""),"Medium")</f>
        <v>Medium</v>
      </c>
      <c r="F1301" s="23">
        <f>IFERROR(__xludf.DUMMYFUNCTION("""COMPUTED_VALUE"""),744.0)</f>
        <v>744</v>
      </c>
      <c r="G1301" s="23">
        <f>IFERROR(__xludf.DUMMYFUNCTION("""COMPUTED_VALUE"""),91.0)</f>
        <v>91</v>
      </c>
      <c r="H1301" s="23" t="str">
        <f>IFERROR(__xludf.DUMMYFUNCTION("""COMPUTED_VALUE"""),"Algorithms")</f>
        <v>Algorithms</v>
      </c>
      <c r="I1301" s="23">
        <f>IFERROR(__xludf.DUMMYFUNCTION("""COMPUTED_VALUE"""),0.428)</f>
        <v>0.428</v>
      </c>
      <c r="J1301" s="23">
        <f>IFERROR(__xludf.DUMMYFUNCTION("""COMPUTED_VALUE"""),1300.0)</f>
        <v>1300</v>
      </c>
      <c r="K1301" s="23" t="b">
        <f>IFERROR(__xludf.DUMMYFUNCTION("""COMPUTED_VALUE"""),FALSE)</f>
        <v>0</v>
      </c>
      <c r="L1301" s="23" t="str">
        <f>IFERROR(__xludf.DUMMYFUNCTION("""COMPUTED_VALUE"""),"Array;Binary Search;Sorting;")</f>
        <v>Array;Binary Search;Sorting;</v>
      </c>
      <c r="M1301" s="23" t="b">
        <f>IFERROR(__xludf.DUMMYFUNCTION("""COMPUTED_VALUE"""),FALSE)</f>
        <v>0</v>
      </c>
      <c r="N1301" s="23" t="b">
        <f>IFERROR(__xludf.DUMMYFUNCTION("""COMPUTED_VALUE"""),FALSE)</f>
        <v>0</v>
      </c>
      <c r="O1301" s="23">
        <f>IFERROR(__xludf.DUMMYFUNCTION("""COMPUTED_VALUE"""),42.7596051319093)</f>
        <v>42.75960513</v>
      </c>
      <c r="P1301" s="23">
        <f>IFERROR(__xludf.DUMMYFUNCTION("""COMPUTED_VALUE"""),24863.0)</f>
        <v>24863</v>
      </c>
      <c r="Q1301" s="23">
        <f>IFERROR(__xludf.DUMMYFUNCTION("""COMPUTED_VALUE"""),58146.0)</f>
        <v>58146</v>
      </c>
    </row>
    <row r="1302">
      <c r="A1302" s="23">
        <f>IFERROR(__xludf.DUMMYFUNCTION("""COMPUTED_VALUE"""),1234.0)</f>
        <v>1234</v>
      </c>
      <c r="B1302" s="23" t="str">
        <f>IFERROR(__xludf.DUMMYFUNCTION("""COMPUTED_VALUE"""),"Number of Paths with Max Score")</f>
        <v>Number of Paths with Max Score</v>
      </c>
      <c r="C1302" s="23" t="str">
        <f>IFERROR(__xludf.DUMMYFUNCTION("""COMPUTED_VALUE"""),"number-of-paths-with-max-score")</f>
        <v>number-of-paths-with-max-score</v>
      </c>
      <c r="D1302" s="23" t="b">
        <f>IFERROR(__xludf.DUMMYFUNCTION("""COMPUTED_VALUE"""),FALSE)</f>
        <v>0</v>
      </c>
      <c r="E1302" s="23" t="str">
        <f>IFERROR(__xludf.DUMMYFUNCTION("""COMPUTED_VALUE"""),"Hard")</f>
        <v>Hard</v>
      </c>
      <c r="F1302" s="23">
        <f>IFERROR(__xludf.DUMMYFUNCTION("""COMPUTED_VALUE"""),323.0)</f>
        <v>323</v>
      </c>
      <c r="G1302" s="23">
        <f>IFERROR(__xludf.DUMMYFUNCTION("""COMPUTED_VALUE"""),17.0)</f>
        <v>17</v>
      </c>
      <c r="H1302" s="23" t="str">
        <f>IFERROR(__xludf.DUMMYFUNCTION("""COMPUTED_VALUE"""),"Algorithms")</f>
        <v>Algorithms</v>
      </c>
      <c r="I1302" s="23">
        <f>IFERROR(__xludf.DUMMYFUNCTION("""COMPUTED_VALUE"""),0.388)</f>
        <v>0.388</v>
      </c>
      <c r="J1302" s="23">
        <f>IFERROR(__xludf.DUMMYFUNCTION("""COMPUTED_VALUE"""),1301.0)</f>
        <v>1301</v>
      </c>
      <c r="K1302" s="23" t="b">
        <f>IFERROR(__xludf.DUMMYFUNCTION("""COMPUTED_VALUE"""),FALSE)</f>
        <v>0</v>
      </c>
      <c r="L1302" s="23" t="str">
        <f>IFERROR(__xludf.DUMMYFUNCTION("""COMPUTED_VALUE"""),"Array;Dynamic Programming;Matrix;")</f>
        <v>Array;Dynamic Programming;Matrix;</v>
      </c>
      <c r="M1302" s="23" t="b">
        <f>IFERROR(__xludf.DUMMYFUNCTION("""COMPUTED_VALUE"""),FALSE)</f>
        <v>0</v>
      </c>
      <c r="N1302" s="23" t="b">
        <f>IFERROR(__xludf.DUMMYFUNCTION("""COMPUTED_VALUE"""),FALSE)</f>
        <v>0</v>
      </c>
      <c r="O1302" s="23">
        <f>IFERROR(__xludf.DUMMYFUNCTION("""COMPUTED_VALUE"""),38.8142461079121)</f>
        <v>38.81424611</v>
      </c>
      <c r="P1302" s="23">
        <f>IFERROR(__xludf.DUMMYFUNCTION("""COMPUTED_VALUE"""),9100.0)</f>
        <v>9100</v>
      </c>
      <c r="Q1302" s="23">
        <f>IFERROR(__xludf.DUMMYFUNCTION("""COMPUTED_VALUE"""),23445.0)</f>
        <v>23445</v>
      </c>
    </row>
    <row r="1303">
      <c r="A1303" s="23">
        <f>IFERROR(__xludf.DUMMYFUNCTION("""COMPUTED_VALUE"""),1254.0)</f>
        <v>1254</v>
      </c>
      <c r="B1303" s="23" t="str">
        <f>IFERROR(__xludf.DUMMYFUNCTION("""COMPUTED_VALUE"""),"Deepest Leaves Sum")</f>
        <v>Deepest Leaves Sum</v>
      </c>
      <c r="C1303" s="23" t="str">
        <f>IFERROR(__xludf.DUMMYFUNCTION("""COMPUTED_VALUE"""),"deepest-leaves-sum")</f>
        <v>deepest-leaves-sum</v>
      </c>
      <c r="D1303" s="23" t="b">
        <f>IFERROR(__xludf.DUMMYFUNCTION("""COMPUTED_VALUE"""),FALSE)</f>
        <v>0</v>
      </c>
      <c r="E1303" s="23" t="str">
        <f>IFERROR(__xludf.DUMMYFUNCTION("""COMPUTED_VALUE"""),"Medium")</f>
        <v>Medium</v>
      </c>
      <c r="F1303" s="23">
        <f>IFERROR(__xludf.DUMMYFUNCTION("""COMPUTED_VALUE"""),2441.0)</f>
        <v>2441</v>
      </c>
      <c r="G1303" s="23">
        <f>IFERROR(__xludf.DUMMYFUNCTION("""COMPUTED_VALUE"""),77.0)</f>
        <v>77</v>
      </c>
      <c r="H1303" s="23" t="str">
        <f>IFERROR(__xludf.DUMMYFUNCTION("""COMPUTED_VALUE"""),"Algorithms")</f>
        <v>Algorithms</v>
      </c>
      <c r="I1303" s="23">
        <f>IFERROR(__xludf.DUMMYFUNCTION("""COMPUTED_VALUE"""),0.857)</f>
        <v>0.857</v>
      </c>
      <c r="J1303" s="23">
        <f>IFERROR(__xludf.DUMMYFUNCTION("""COMPUTED_VALUE"""),1302.0)</f>
        <v>1302</v>
      </c>
      <c r="K1303" s="23" t="b">
        <f>IFERROR(__xludf.DUMMYFUNCTION("""COMPUTED_VALUE"""),FALSE)</f>
        <v>0</v>
      </c>
      <c r="L1303" s="23" t="str">
        <f>IFERROR(__xludf.DUMMYFUNCTION("""COMPUTED_VALUE"""),"Tree;Depth-First Search;Breadth-First Search;Binary Tree;")</f>
        <v>Tree;Depth-First Search;Breadth-First Search;Binary Tree;</v>
      </c>
      <c r="M1303" s="23" t="b">
        <f>IFERROR(__xludf.DUMMYFUNCTION("""COMPUTED_VALUE"""),TRUE)</f>
        <v>1</v>
      </c>
      <c r="N1303" s="23" t="b">
        <f>IFERROR(__xludf.DUMMYFUNCTION("""COMPUTED_VALUE"""),FALSE)</f>
        <v>0</v>
      </c>
      <c r="O1303" s="23">
        <f>IFERROR(__xludf.DUMMYFUNCTION("""COMPUTED_VALUE"""),85.6643178364928)</f>
        <v>85.66431784</v>
      </c>
      <c r="P1303" s="23">
        <f>IFERROR(__xludf.DUMMYFUNCTION("""COMPUTED_VALUE"""),168008.0)</f>
        <v>168008</v>
      </c>
      <c r="Q1303" s="23">
        <f>IFERROR(__xludf.DUMMYFUNCTION("""COMPUTED_VALUE"""),196124.0)</f>
        <v>196124</v>
      </c>
    </row>
    <row r="1304">
      <c r="A1304" s="23">
        <f>IFERROR(__xludf.DUMMYFUNCTION("""COMPUTED_VALUE"""),1438.0)</f>
        <v>1438</v>
      </c>
      <c r="B1304" s="23" t="str">
        <f>IFERROR(__xludf.DUMMYFUNCTION("""COMPUTED_VALUE"""),"Find the Team Size")</f>
        <v>Find the Team Size</v>
      </c>
      <c r="C1304" s="23" t="str">
        <f>IFERROR(__xludf.DUMMYFUNCTION("""COMPUTED_VALUE"""),"find-the-team-size")</f>
        <v>find-the-team-size</v>
      </c>
      <c r="D1304" s="23" t="b">
        <f>IFERROR(__xludf.DUMMYFUNCTION("""COMPUTED_VALUE"""),TRUE)</f>
        <v>1</v>
      </c>
      <c r="E1304" s="23" t="str">
        <f>IFERROR(__xludf.DUMMYFUNCTION("""COMPUTED_VALUE"""),"Easy")</f>
        <v>Easy</v>
      </c>
      <c r="F1304" s="23">
        <f>IFERROR(__xludf.DUMMYFUNCTION("""COMPUTED_VALUE"""),214.0)</f>
        <v>214</v>
      </c>
      <c r="G1304" s="23">
        <f>IFERROR(__xludf.DUMMYFUNCTION("""COMPUTED_VALUE"""),12.0)</f>
        <v>12</v>
      </c>
      <c r="H1304" s="23" t="str">
        <f>IFERROR(__xludf.DUMMYFUNCTION("""COMPUTED_VALUE"""),"Database")</f>
        <v>Database</v>
      </c>
      <c r="I1304" s="23">
        <f>IFERROR(__xludf.DUMMYFUNCTION("""COMPUTED_VALUE"""),0.908)</f>
        <v>0.908</v>
      </c>
      <c r="J1304" s="23">
        <f>IFERROR(__xludf.DUMMYFUNCTION("""COMPUTED_VALUE"""),1303.0)</f>
        <v>1303</v>
      </c>
      <c r="K1304" s="23" t="b">
        <f>IFERROR(__xludf.DUMMYFUNCTION("""COMPUTED_VALUE"""),TRUE)</f>
        <v>1</v>
      </c>
      <c r="L1304" s="23" t="str">
        <f>IFERROR(__xludf.DUMMYFUNCTION("""COMPUTED_VALUE"""),"Database;")</f>
        <v>Database;</v>
      </c>
      <c r="M1304" s="23" t="b">
        <f>IFERROR(__xludf.DUMMYFUNCTION("""COMPUTED_VALUE"""),FALSE)</f>
        <v>0</v>
      </c>
      <c r="N1304" s="23" t="b">
        <f>IFERROR(__xludf.DUMMYFUNCTION("""COMPUTED_VALUE"""),FALSE)</f>
        <v>0</v>
      </c>
      <c r="O1304" s="23">
        <f>IFERROR(__xludf.DUMMYFUNCTION("""COMPUTED_VALUE"""),90.7965313785088)</f>
        <v>90.79653138</v>
      </c>
      <c r="P1304" s="23">
        <f>IFERROR(__xludf.DUMMYFUNCTION("""COMPUTED_VALUE"""),40624.0)</f>
        <v>40624</v>
      </c>
      <c r="Q1304" s="23">
        <f>IFERROR(__xludf.DUMMYFUNCTION("""COMPUTED_VALUE"""),44742.0)</f>
        <v>44742</v>
      </c>
    </row>
    <row r="1305">
      <c r="A1305" s="23">
        <f>IFERROR(__xludf.DUMMYFUNCTION("""COMPUTED_VALUE"""),1426.0)</f>
        <v>1426</v>
      </c>
      <c r="B1305" s="23" t="str">
        <f>IFERROR(__xludf.DUMMYFUNCTION("""COMPUTED_VALUE"""),"Find N Unique Integers Sum up to Zero")</f>
        <v>Find N Unique Integers Sum up to Zero</v>
      </c>
      <c r="C1305" s="23" t="str">
        <f>IFERROR(__xludf.DUMMYFUNCTION("""COMPUTED_VALUE"""),"find-n-unique-integers-sum-up-to-zero")</f>
        <v>find-n-unique-integers-sum-up-to-zero</v>
      </c>
      <c r="D1305" s="23" t="b">
        <f>IFERROR(__xludf.DUMMYFUNCTION("""COMPUTED_VALUE"""),FALSE)</f>
        <v>0</v>
      </c>
      <c r="E1305" s="23" t="str">
        <f>IFERROR(__xludf.DUMMYFUNCTION("""COMPUTED_VALUE"""),"Easy")</f>
        <v>Easy</v>
      </c>
      <c r="F1305" s="23">
        <f>IFERROR(__xludf.DUMMYFUNCTION("""COMPUTED_VALUE"""),1062.0)</f>
        <v>1062</v>
      </c>
      <c r="G1305" s="23">
        <f>IFERROR(__xludf.DUMMYFUNCTION("""COMPUTED_VALUE"""),458.0)</f>
        <v>458</v>
      </c>
      <c r="H1305" s="23" t="str">
        <f>IFERROR(__xludf.DUMMYFUNCTION("""COMPUTED_VALUE"""),"Algorithms")</f>
        <v>Algorithms</v>
      </c>
      <c r="I1305" s="23">
        <f>IFERROR(__xludf.DUMMYFUNCTION("""COMPUTED_VALUE"""),0.769)</f>
        <v>0.769</v>
      </c>
      <c r="J1305" s="23">
        <f>IFERROR(__xludf.DUMMYFUNCTION("""COMPUTED_VALUE"""),1304.0)</f>
        <v>1304</v>
      </c>
      <c r="K1305" s="23" t="b">
        <f>IFERROR(__xludf.DUMMYFUNCTION("""COMPUTED_VALUE"""),FALSE)</f>
        <v>0</v>
      </c>
      <c r="L1305" s="23" t="str">
        <f>IFERROR(__xludf.DUMMYFUNCTION("""COMPUTED_VALUE"""),"Array;Math;")</f>
        <v>Array;Math;</v>
      </c>
      <c r="M1305" s="23" t="b">
        <f>IFERROR(__xludf.DUMMYFUNCTION("""COMPUTED_VALUE"""),FALSE)</f>
        <v>0</v>
      </c>
      <c r="N1305" s="23" t="b">
        <f>IFERROR(__xludf.DUMMYFUNCTION("""COMPUTED_VALUE"""),FALSE)</f>
        <v>0</v>
      </c>
      <c r="O1305" s="23">
        <f>IFERROR(__xludf.DUMMYFUNCTION("""COMPUTED_VALUE"""),76.9437192982456)</f>
        <v>76.9437193</v>
      </c>
      <c r="P1305" s="23">
        <f>IFERROR(__xludf.DUMMYFUNCTION("""COMPUTED_VALUE"""),137056.0)</f>
        <v>137056</v>
      </c>
      <c r="Q1305" s="23">
        <f>IFERROR(__xludf.DUMMYFUNCTION("""COMPUTED_VALUE"""),178125.0)</f>
        <v>178125</v>
      </c>
    </row>
    <row r="1306">
      <c r="A1306" s="23">
        <f>IFERROR(__xludf.DUMMYFUNCTION("""COMPUTED_VALUE"""),1427.0)</f>
        <v>1427</v>
      </c>
      <c r="B1306" s="23" t="str">
        <f>IFERROR(__xludf.DUMMYFUNCTION("""COMPUTED_VALUE"""),"All Elements in Two Binary Search Trees")</f>
        <v>All Elements in Two Binary Search Trees</v>
      </c>
      <c r="C1306" s="23" t="str">
        <f>IFERROR(__xludf.DUMMYFUNCTION("""COMPUTED_VALUE"""),"all-elements-in-two-binary-search-trees")</f>
        <v>all-elements-in-two-binary-search-trees</v>
      </c>
      <c r="D1306" s="23" t="b">
        <f>IFERROR(__xludf.DUMMYFUNCTION("""COMPUTED_VALUE"""),FALSE)</f>
        <v>0</v>
      </c>
      <c r="E1306" s="23" t="str">
        <f>IFERROR(__xludf.DUMMYFUNCTION("""COMPUTED_VALUE"""),"Medium")</f>
        <v>Medium</v>
      </c>
      <c r="F1306" s="23">
        <f>IFERROR(__xludf.DUMMYFUNCTION("""COMPUTED_VALUE"""),2203.0)</f>
        <v>2203</v>
      </c>
      <c r="G1306" s="23">
        <f>IFERROR(__xludf.DUMMYFUNCTION("""COMPUTED_VALUE"""),64.0)</f>
        <v>64</v>
      </c>
      <c r="H1306" s="23" t="str">
        <f>IFERROR(__xludf.DUMMYFUNCTION("""COMPUTED_VALUE"""),"Algorithms")</f>
        <v>Algorithms</v>
      </c>
      <c r="I1306" s="23">
        <f>IFERROR(__xludf.DUMMYFUNCTION("""COMPUTED_VALUE"""),0.796)</f>
        <v>0.796</v>
      </c>
      <c r="J1306" s="23">
        <f>IFERROR(__xludf.DUMMYFUNCTION("""COMPUTED_VALUE"""),1305.0)</f>
        <v>1305</v>
      </c>
      <c r="K1306" s="23" t="b">
        <f>IFERROR(__xludf.DUMMYFUNCTION("""COMPUTED_VALUE"""),FALSE)</f>
        <v>0</v>
      </c>
      <c r="L1306" s="23" t="str">
        <f>IFERROR(__xludf.DUMMYFUNCTION("""COMPUTED_VALUE"""),"Tree;Depth-First Search;Binary Search Tree;Sorting;Binary Tree;")</f>
        <v>Tree;Depth-First Search;Binary Search Tree;Sorting;Binary Tree;</v>
      </c>
      <c r="M1306" s="23" t="b">
        <f>IFERROR(__xludf.DUMMYFUNCTION("""COMPUTED_VALUE"""),TRUE)</f>
        <v>1</v>
      </c>
      <c r="N1306" s="23" t="b">
        <f>IFERROR(__xludf.DUMMYFUNCTION("""COMPUTED_VALUE"""),FALSE)</f>
        <v>0</v>
      </c>
      <c r="O1306" s="23">
        <f>IFERROR(__xludf.DUMMYFUNCTION("""COMPUTED_VALUE"""),79.6080663120128)</f>
        <v>79.60806631</v>
      </c>
      <c r="P1306" s="23">
        <f>IFERROR(__xludf.DUMMYFUNCTION("""COMPUTED_VALUE"""),160867.0)</f>
        <v>160867</v>
      </c>
      <c r="Q1306" s="23">
        <f>IFERROR(__xludf.DUMMYFUNCTION("""COMPUTED_VALUE"""),202074.0)</f>
        <v>202074</v>
      </c>
    </row>
    <row r="1307">
      <c r="A1307" s="23">
        <f>IFERROR(__xludf.DUMMYFUNCTION("""COMPUTED_VALUE"""),1428.0)</f>
        <v>1428</v>
      </c>
      <c r="B1307" s="23" t="str">
        <f>IFERROR(__xludf.DUMMYFUNCTION("""COMPUTED_VALUE"""),"Jump Game III")</f>
        <v>Jump Game III</v>
      </c>
      <c r="C1307" s="23" t="str">
        <f>IFERROR(__xludf.DUMMYFUNCTION("""COMPUTED_VALUE"""),"jump-game-iii")</f>
        <v>jump-game-iii</v>
      </c>
      <c r="D1307" s="23" t="b">
        <f>IFERROR(__xludf.DUMMYFUNCTION("""COMPUTED_VALUE"""),FALSE)</f>
        <v>0</v>
      </c>
      <c r="E1307" s="23" t="str">
        <f>IFERROR(__xludf.DUMMYFUNCTION("""COMPUTED_VALUE"""),"Medium")</f>
        <v>Medium</v>
      </c>
      <c r="F1307" s="23">
        <f>IFERROR(__xludf.DUMMYFUNCTION("""COMPUTED_VALUE"""),2657.0)</f>
        <v>2657</v>
      </c>
      <c r="G1307" s="23">
        <f>IFERROR(__xludf.DUMMYFUNCTION("""COMPUTED_VALUE"""),65.0)</f>
        <v>65</v>
      </c>
      <c r="H1307" s="23" t="str">
        <f>IFERROR(__xludf.DUMMYFUNCTION("""COMPUTED_VALUE"""),"Algorithms")</f>
        <v>Algorithms</v>
      </c>
      <c r="I1307" s="23">
        <f>IFERROR(__xludf.DUMMYFUNCTION("""COMPUTED_VALUE"""),0.628)</f>
        <v>0.628</v>
      </c>
      <c r="J1307" s="23">
        <f>IFERROR(__xludf.DUMMYFUNCTION("""COMPUTED_VALUE"""),1306.0)</f>
        <v>1306</v>
      </c>
      <c r="K1307" s="23" t="b">
        <f>IFERROR(__xludf.DUMMYFUNCTION("""COMPUTED_VALUE"""),FALSE)</f>
        <v>0</v>
      </c>
      <c r="L1307" s="23" t="str">
        <f>IFERROR(__xludf.DUMMYFUNCTION("""COMPUTED_VALUE"""),"Array;Depth-First Search;Breadth-First Search;")</f>
        <v>Array;Depth-First Search;Breadth-First Search;</v>
      </c>
      <c r="M1307" s="23" t="b">
        <f>IFERROR(__xludf.DUMMYFUNCTION("""COMPUTED_VALUE"""),TRUE)</f>
        <v>1</v>
      </c>
      <c r="N1307" s="23" t="b">
        <f>IFERROR(__xludf.DUMMYFUNCTION("""COMPUTED_VALUE"""),TRUE)</f>
        <v>1</v>
      </c>
      <c r="O1307" s="23">
        <f>IFERROR(__xludf.DUMMYFUNCTION("""COMPUTED_VALUE"""),62.7787209215611)</f>
        <v>62.77872092</v>
      </c>
      <c r="P1307" s="23">
        <f>IFERROR(__xludf.DUMMYFUNCTION("""COMPUTED_VALUE"""),143111.0)</f>
        <v>143111</v>
      </c>
      <c r="Q1307" s="23">
        <f>IFERROR(__xludf.DUMMYFUNCTION("""COMPUTED_VALUE"""),227961.0)</f>
        <v>227961</v>
      </c>
    </row>
    <row r="1308">
      <c r="A1308" s="23">
        <f>IFERROR(__xludf.DUMMYFUNCTION("""COMPUTED_VALUE"""),1429.0)</f>
        <v>1429</v>
      </c>
      <c r="B1308" s="23" t="str">
        <f>IFERROR(__xludf.DUMMYFUNCTION("""COMPUTED_VALUE"""),"Verbal Arithmetic Puzzle")</f>
        <v>Verbal Arithmetic Puzzle</v>
      </c>
      <c r="C1308" s="23" t="str">
        <f>IFERROR(__xludf.DUMMYFUNCTION("""COMPUTED_VALUE"""),"verbal-arithmetic-puzzle")</f>
        <v>verbal-arithmetic-puzzle</v>
      </c>
      <c r="D1308" s="23" t="b">
        <f>IFERROR(__xludf.DUMMYFUNCTION("""COMPUTED_VALUE"""),FALSE)</f>
        <v>0</v>
      </c>
      <c r="E1308" s="23" t="str">
        <f>IFERROR(__xludf.DUMMYFUNCTION("""COMPUTED_VALUE"""),"Hard")</f>
        <v>Hard</v>
      </c>
      <c r="F1308" s="23">
        <f>IFERROR(__xludf.DUMMYFUNCTION("""COMPUTED_VALUE"""),304.0)</f>
        <v>304</v>
      </c>
      <c r="G1308" s="23">
        <f>IFERROR(__xludf.DUMMYFUNCTION("""COMPUTED_VALUE"""),79.0)</f>
        <v>79</v>
      </c>
      <c r="H1308" s="23" t="str">
        <f>IFERROR(__xludf.DUMMYFUNCTION("""COMPUTED_VALUE"""),"Algorithms")</f>
        <v>Algorithms</v>
      </c>
      <c r="I1308" s="23">
        <f>IFERROR(__xludf.DUMMYFUNCTION("""COMPUTED_VALUE"""),0.348)</f>
        <v>0.348</v>
      </c>
      <c r="J1308" s="23">
        <f>IFERROR(__xludf.DUMMYFUNCTION("""COMPUTED_VALUE"""),1307.0)</f>
        <v>1307</v>
      </c>
      <c r="K1308" s="23" t="b">
        <f>IFERROR(__xludf.DUMMYFUNCTION("""COMPUTED_VALUE"""),FALSE)</f>
        <v>0</v>
      </c>
      <c r="L1308" s="23" t="str">
        <f>IFERROR(__xludf.DUMMYFUNCTION("""COMPUTED_VALUE"""),"Array;Math;String;Backtracking;")</f>
        <v>Array;Math;String;Backtracking;</v>
      </c>
      <c r="M1308" s="23" t="b">
        <f>IFERROR(__xludf.DUMMYFUNCTION("""COMPUTED_VALUE"""),FALSE)</f>
        <v>0</v>
      </c>
      <c r="N1308" s="23" t="b">
        <f>IFERROR(__xludf.DUMMYFUNCTION("""COMPUTED_VALUE"""),FALSE)</f>
        <v>0</v>
      </c>
      <c r="O1308" s="23">
        <f>IFERROR(__xludf.DUMMYFUNCTION("""COMPUTED_VALUE"""),34.7741572458949)</f>
        <v>34.77415725</v>
      </c>
      <c r="P1308" s="23">
        <f>IFERROR(__xludf.DUMMYFUNCTION("""COMPUTED_VALUE"""),6798.0)</f>
        <v>6798</v>
      </c>
      <c r="Q1308" s="23">
        <f>IFERROR(__xludf.DUMMYFUNCTION("""COMPUTED_VALUE"""),19549.0)</f>
        <v>19549</v>
      </c>
    </row>
    <row r="1309">
      <c r="A1309" s="23">
        <f>IFERROR(__xludf.DUMMYFUNCTION("""COMPUTED_VALUE"""),1439.0)</f>
        <v>1439</v>
      </c>
      <c r="B1309" s="23" t="str">
        <f>IFERROR(__xludf.DUMMYFUNCTION("""COMPUTED_VALUE"""),"Running Total for Different Genders")</f>
        <v>Running Total for Different Genders</v>
      </c>
      <c r="C1309" s="23" t="str">
        <f>IFERROR(__xludf.DUMMYFUNCTION("""COMPUTED_VALUE"""),"running-total-for-different-genders")</f>
        <v>running-total-for-different-genders</v>
      </c>
      <c r="D1309" s="23" t="b">
        <f>IFERROR(__xludf.DUMMYFUNCTION("""COMPUTED_VALUE"""),TRUE)</f>
        <v>1</v>
      </c>
      <c r="E1309" s="23" t="str">
        <f>IFERROR(__xludf.DUMMYFUNCTION("""COMPUTED_VALUE"""),"Medium")</f>
        <v>Medium</v>
      </c>
      <c r="F1309" s="23">
        <f>IFERROR(__xludf.DUMMYFUNCTION("""COMPUTED_VALUE"""),137.0)</f>
        <v>137</v>
      </c>
      <c r="G1309" s="23">
        <f>IFERROR(__xludf.DUMMYFUNCTION("""COMPUTED_VALUE"""),31.0)</f>
        <v>31</v>
      </c>
      <c r="H1309" s="23" t="str">
        <f>IFERROR(__xludf.DUMMYFUNCTION("""COMPUTED_VALUE"""),"Database")</f>
        <v>Database</v>
      </c>
      <c r="I1309" s="23">
        <f>IFERROR(__xludf.DUMMYFUNCTION("""COMPUTED_VALUE"""),0.883)</f>
        <v>0.883</v>
      </c>
      <c r="J1309" s="23">
        <f>IFERROR(__xludf.DUMMYFUNCTION("""COMPUTED_VALUE"""),1308.0)</f>
        <v>1308</v>
      </c>
      <c r="K1309" s="23" t="b">
        <f>IFERROR(__xludf.DUMMYFUNCTION("""COMPUTED_VALUE"""),TRUE)</f>
        <v>1</v>
      </c>
      <c r="L1309" s="23" t="str">
        <f>IFERROR(__xludf.DUMMYFUNCTION("""COMPUTED_VALUE"""),"Database;")</f>
        <v>Database;</v>
      </c>
      <c r="M1309" s="23" t="b">
        <f>IFERROR(__xludf.DUMMYFUNCTION("""COMPUTED_VALUE"""),FALSE)</f>
        <v>0</v>
      </c>
      <c r="N1309" s="23" t="b">
        <f>IFERROR(__xludf.DUMMYFUNCTION("""COMPUTED_VALUE"""),FALSE)</f>
        <v>0</v>
      </c>
      <c r="O1309" s="23">
        <f>IFERROR(__xludf.DUMMYFUNCTION("""COMPUTED_VALUE"""),88.2585849615156)</f>
        <v>88.25858496</v>
      </c>
      <c r="P1309" s="23">
        <f>IFERROR(__xludf.DUMMYFUNCTION("""COMPUTED_VALUE"""),23851.0)</f>
        <v>23851</v>
      </c>
      <c r="Q1309" s="23">
        <f>IFERROR(__xludf.DUMMYFUNCTION("""COMPUTED_VALUE"""),27024.0)</f>
        <v>27024</v>
      </c>
    </row>
    <row r="1310">
      <c r="A1310" s="23">
        <f>IFERROR(__xludf.DUMMYFUNCTION("""COMPUTED_VALUE"""),1434.0)</f>
        <v>1434</v>
      </c>
      <c r="B1310" s="23" t="str">
        <f>IFERROR(__xludf.DUMMYFUNCTION("""COMPUTED_VALUE"""),"Decrypt String from Alphabet to Integer Mapping")</f>
        <v>Decrypt String from Alphabet to Integer Mapping</v>
      </c>
      <c r="C1310" s="23" t="str">
        <f>IFERROR(__xludf.DUMMYFUNCTION("""COMPUTED_VALUE"""),"decrypt-string-from-alphabet-to-integer-mapping")</f>
        <v>decrypt-string-from-alphabet-to-integer-mapping</v>
      </c>
      <c r="D1310" s="23" t="b">
        <f>IFERROR(__xludf.DUMMYFUNCTION("""COMPUTED_VALUE"""),FALSE)</f>
        <v>0</v>
      </c>
      <c r="E1310" s="23" t="str">
        <f>IFERROR(__xludf.DUMMYFUNCTION("""COMPUTED_VALUE"""),"Easy")</f>
        <v>Easy</v>
      </c>
      <c r="F1310" s="23">
        <f>IFERROR(__xludf.DUMMYFUNCTION("""COMPUTED_VALUE"""),946.0)</f>
        <v>946</v>
      </c>
      <c r="G1310" s="23">
        <f>IFERROR(__xludf.DUMMYFUNCTION("""COMPUTED_VALUE"""),73.0)</f>
        <v>73</v>
      </c>
      <c r="H1310" s="23" t="str">
        <f>IFERROR(__xludf.DUMMYFUNCTION("""COMPUTED_VALUE"""),"Algorithms")</f>
        <v>Algorithms</v>
      </c>
      <c r="I1310" s="23">
        <f>IFERROR(__xludf.DUMMYFUNCTION("""COMPUTED_VALUE"""),0.787)</f>
        <v>0.787</v>
      </c>
      <c r="J1310" s="23">
        <f>IFERROR(__xludf.DUMMYFUNCTION("""COMPUTED_VALUE"""),1309.0)</f>
        <v>1309</v>
      </c>
      <c r="K1310" s="23" t="b">
        <f>IFERROR(__xludf.DUMMYFUNCTION("""COMPUTED_VALUE"""),FALSE)</f>
        <v>0</v>
      </c>
      <c r="L1310" s="23" t="str">
        <f>IFERROR(__xludf.DUMMYFUNCTION("""COMPUTED_VALUE"""),"String;")</f>
        <v>String;</v>
      </c>
      <c r="M1310" s="23" t="b">
        <f>IFERROR(__xludf.DUMMYFUNCTION("""COMPUTED_VALUE"""),FALSE)</f>
        <v>0</v>
      </c>
      <c r="N1310" s="23" t="b">
        <f>IFERROR(__xludf.DUMMYFUNCTION("""COMPUTED_VALUE"""),FALSE)</f>
        <v>0</v>
      </c>
      <c r="O1310" s="23">
        <f>IFERROR(__xludf.DUMMYFUNCTION("""COMPUTED_VALUE"""),78.7307504277682)</f>
        <v>78.73075043</v>
      </c>
      <c r="P1310" s="23">
        <f>IFERROR(__xludf.DUMMYFUNCTION("""COMPUTED_VALUE"""),77298.0)</f>
        <v>77298</v>
      </c>
      <c r="Q1310" s="23">
        <f>IFERROR(__xludf.DUMMYFUNCTION("""COMPUTED_VALUE"""),98181.0)</f>
        <v>98181</v>
      </c>
    </row>
    <row r="1311">
      <c r="A1311" s="23">
        <f>IFERROR(__xludf.DUMMYFUNCTION("""COMPUTED_VALUE"""),1435.0)</f>
        <v>1435</v>
      </c>
      <c r="B1311" s="23" t="str">
        <f>IFERROR(__xludf.DUMMYFUNCTION("""COMPUTED_VALUE"""),"XOR Queries of a Subarray")</f>
        <v>XOR Queries of a Subarray</v>
      </c>
      <c r="C1311" s="23" t="str">
        <f>IFERROR(__xludf.DUMMYFUNCTION("""COMPUTED_VALUE"""),"xor-queries-of-a-subarray")</f>
        <v>xor-queries-of-a-subarray</v>
      </c>
      <c r="D1311" s="23" t="b">
        <f>IFERROR(__xludf.DUMMYFUNCTION("""COMPUTED_VALUE"""),FALSE)</f>
        <v>0</v>
      </c>
      <c r="E1311" s="23" t="str">
        <f>IFERROR(__xludf.DUMMYFUNCTION("""COMPUTED_VALUE"""),"Medium")</f>
        <v>Medium</v>
      </c>
      <c r="F1311" s="23">
        <f>IFERROR(__xludf.DUMMYFUNCTION("""COMPUTED_VALUE"""),906.0)</f>
        <v>906</v>
      </c>
      <c r="G1311" s="23">
        <f>IFERROR(__xludf.DUMMYFUNCTION("""COMPUTED_VALUE"""),31.0)</f>
        <v>31</v>
      </c>
      <c r="H1311" s="23" t="str">
        <f>IFERROR(__xludf.DUMMYFUNCTION("""COMPUTED_VALUE"""),"Algorithms")</f>
        <v>Algorithms</v>
      </c>
      <c r="I1311" s="23">
        <f>IFERROR(__xludf.DUMMYFUNCTION("""COMPUTED_VALUE"""),0.713)</f>
        <v>0.713</v>
      </c>
      <c r="J1311" s="23">
        <f>IFERROR(__xludf.DUMMYFUNCTION("""COMPUTED_VALUE"""),1310.0)</f>
        <v>1310</v>
      </c>
      <c r="K1311" s="23" t="b">
        <f>IFERROR(__xludf.DUMMYFUNCTION("""COMPUTED_VALUE"""),FALSE)</f>
        <v>0</v>
      </c>
      <c r="L1311" s="23" t="str">
        <f>IFERROR(__xludf.DUMMYFUNCTION("""COMPUTED_VALUE"""),"Array;Bit Manipulation;Prefix Sum;")</f>
        <v>Array;Bit Manipulation;Prefix Sum;</v>
      </c>
      <c r="M1311" s="23" t="b">
        <f>IFERROR(__xludf.DUMMYFUNCTION("""COMPUTED_VALUE"""),FALSE)</f>
        <v>0</v>
      </c>
      <c r="N1311" s="23" t="b">
        <f>IFERROR(__xludf.DUMMYFUNCTION("""COMPUTED_VALUE"""),FALSE)</f>
        <v>0</v>
      </c>
      <c r="O1311" s="23">
        <f>IFERROR(__xludf.DUMMYFUNCTION("""COMPUTED_VALUE"""),71.2640488414041)</f>
        <v>71.26404884</v>
      </c>
      <c r="P1311" s="23">
        <f>IFERROR(__xludf.DUMMYFUNCTION("""COMPUTED_VALUE"""),35952.0)</f>
        <v>35952</v>
      </c>
      <c r="Q1311" s="23">
        <f>IFERROR(__xludf.DUMMYFUNCTION("""COMPUTED_VALUE"""),50449.0)</f>
        <v>50449</v>
      </c>
    </row>
    <row r="1312">
      <c r="A1312" s="23">
        <f>IFERROR(__xludf.DUMMYFUNCTION("""COMPUTED_VALUE"""),1436.0)</f>
        <v>1436</v>
      </c>
      <c r="B1312" s="23" t="str">
        <f>IFERROR(__xludf.DUMMYFUNCTION("""COMPUTED_VALUE"""),"Get Watched Videos by Your Friends")</f>
        <v>Get Watched Videos by Your Friends</v>
      </c>
      <c r="C1312" s="23" t="str">
        <f>IFERROR(__xludf.DUMMYFUNCTION("""COMPUTED_VALUE"""),"get-watched-videos-by-your-friends")</f>
        <v>get-watched-videos-by-your-friends</v>
      </c>
      <c r="D1312" s="23" t="b">
        <f>IFERROR(__xludf.DUMMYFUNCTION("""COMPUTED_VALUE"""),FALSE)</f>
        <v>0</v>
      </c>
      <c r="E1312" s="23" t="str">
        <f>IFERROR(__xludf.DUMMYFUNCTION("""COMPUTED_VALUE"""),"Medium")</f>
        <v>Medium</v>
      </c>
      <c r="F1312" s="23">
        <f>IFERROR(__xludf.DUMMYFUNCTION("""COMPUTED_VALUE"""),209.0)</f>
        <v>209</v>
      </c>
      <c r="G1312" s="23">
        <f>IFERROR(__xludf.DUMMYFUNCTION("""COMPUTED_VALUE"""),291.0)</f>
        <v>291</v>
      </c>
      <c r="H1312" s="23" t="str">
        <f>IFERROR(__xludf.DUMMYFUNCTION("""COMPUTED_VALUE"""),"Algorithms")</f>
        <v>Algorithms</v>
      </c>
      <c r="I1312" s="23">
        <f>IFERROR(__xludf.DUMMYFUNCTION("""COMPUTED_VALUE"""),0.452)</f>
        <v>0.452</v>
      </c>
      <c r="J1312" s="23">
        <f>IFERROR(__xludf.DUMMYFUNCTION("""COMPUTED_VALUE"""),1311.0)</f>
        <v>1311</v>
      </c>
      <c r="K1312" s="23" t="b">
        <f>IFERROR(__xludf.DUMMYFUNCTION("""COMPUTED_VALUE"""),FALSE)</f>
        <v>0</v>
      </c>
      <c r="L1312" s="23" t="str">
        <f>IFERROR(__xludf.DUMMYFUNCTION("""COMPUTED_VALUE"""),"Array;Hash Table;Breadth-First Search;Sorting;")</f>
        <v>Array;Hash Table;Breadth-First Search;Sorting;</v>
      </c>
      <c r="M1312" s="23" t="b">
        <f>IFERROR(__xludf.DUMMYFUNCTION("""COMPUTED_VALUE"""),FALSE)</f>
        <v>0</v>
      </c>
      <c r="N1312" s="23" t="b">
        <f>IFERROR(__xludf.DUMMYFUNCTION("""COMPUTED_VALUE"""),FALSE)</f>
        <v>0</v>
      </c>
      <c r="O1312" s="23">
        <f>IFERROR(__xludf.DUMMYFUNCTION("""COMPUTED_VALUE"""),45.1628468033775)</f>
        <v>45.1628468</v>
      </c>
      <c r="P1312" s="23">
        <f>IFERROR(__xludf.DUMMYFUNCTION("""COMPUTED_VALUE"""),14976.0)</f>
        <v>14976</v>
      </c>
      <c r="Q1312" s="23">
        <f>IFERROR(__xludf.DUMMYFUNCTION("""COMPUTED_VALUE"""),33160.0)</f>
        <v>33160</v>
      </c>
    </row>
    <row r="1313">
      <c r="A1313" s="23">
        <f>IFERROR(__xludf.DUMMYFUNCTION("""COMPUTED_VALUE"""),1437.0)</f>
        <v>1437</v>
      </c>
      <c r="B1313" s="23" t="str">
        <f>IFERROR(__xludf.DUMMYFUNCTION("""COMPUTED_VALUE"""),"Minimum Insertion Steps to Make a String Palindrome")</f>
        <v>Minimum Insertion Steps to Make a String Palindrome</v>
      </c>
      <c r="C1313" s="23" t="str">
        <f>IFERROR(__xludf.DUMMYFUNCTION("""COMPUTED_VALUE"""),"minimum-insertion-steps-to-make-a-string-palindrome")</f>
        <v>minimum-insertion-steps-to-make-a-string-palindrome</v>
      </c>
      <c r="D1313" s="23" t="b">
        <f>IFERROR(__xludf.DUMMYFUNCTION("""COMPUTED_VALUE"""),FALSE)</f>
        <v>0</v>
      </c>
      <c r="E1313" s="23" t="str">
        <f>IFERROR(__xludf.DUMMYFUNCTION("""COMPUTED_VALUE"""),"Hard")</f>
        <v>Hard</v>
      </c>
      <c r="F1313" s="23">
        <f>IFERROR(__xludf.DUMMYFUNCTION("""COMPUTED_VALUE"""),1721.0)</f>
        <v>1721</v>
      </c>
      <c r="G1313" s="23">
        <f>IFERROR(__xludf.DUMMYFUNCTION("""COMPUTED_VALUE"""),26.0)</f>
        <v>26</v>
      </c>
      <c r="H1313" s="23" t="str">
        <f>IFERROR(__xludf.DUMMYFUNCTION("""COMPUTED_VALUE"""),"Algorithms")</f>
        <v>Algorithms</v>
      </c>
      <c r="I1313" s="23">
        <f>IFERROR(__xludf.DUMMYFUNCTION("""COMPUTED_VALUE"""),0.637)</f>
        <v>0.637</v>
      </c>
      <c r="J1313" s="23">
        <f>IFERROR(__xludf.DUMMYFUNCTION("""COMPUTED_VALUE"""),1312.0)</f>
        <v>1312</v>
      </c>
      <c r="K1313" s="23" t="b">
        <f>IFERROR(__xludf.DUMMYFUNCTION("""COMPUTED_VALUE"""),FALSE)</f>
        <v>0</v>
      </c>
      <c r="L1313" s="23" t="str">
        <f>IFERROR(__xludf.DUMMYFUNCTION("""COMPUTED_VALUE"""),"String;Dynamic Programming;")</f>
        <v>String;Dynamic Programming;</v>
      </c>
      <c r="M1313" s="23" t="b">
        <f>IFERROR(__xludf.DUMMYFUNCTION("""COMPUTED_VALUE"""),FALSE)</f>
        <v>0</v>
      </c>
      <c r="N1313" s="23" t="b">
        <f>IFERROR(__xludf.DUMMYFUNCTION("""COMPUTED_VALUE"""),FALSE)</f>
        <v>0</v>
      </c>
      <c r="O1313" s="23">
        <f>IFERROR(__xludf.DUMMYFUNCTION("""COMPUTED_VALUE"""),63.7021631753937)</f>
        <v>63.70216318</v>
      </c>
      <c r="P1313" s="23">
        <f>IFERROR(__xludf.DUMMYFUNCTION("""COMPUTED_VALUE"""),46558.0)</f>
        <v>46558</v>
      </c>
      <c r="Q1313" s="23">
        <f>IFERROR(__xludf.DUMMYFUNCTION("""COMPUTED_VALUE"""),73087.0)</f>
        <v>73087</v>
      </c>
    </row>
    <row r="1314">
      <c r="A1314" s="23">
        <f>IFERROR(__xludf.DUMMYFUNCTION("""COMPUTED_VALUE"""),1241.0)</f>
        <v>1241</v>
      </c>
      <c r="B1314" s="23" t="str">
        <f>IFERROR(__xludf.DUMMYFUNCTION("""COMPUTED_VALUE"""),"Decompress Run-Length Encoded List")</f>
        <v>Decompress Run-Length Encoded List</v>
      </c>
      <c r="C1314" s="23" t="str">
        <f>IFERROR(__xludf.DUMMYFUNCTION("""COMPUTED_VALUE"""),"decompress-run-length-encoded-list")</f>
        <v>decompress-run-length-encoded-list</v>
      </c>
      <c r="D1314" s="23" t="b">
        <f>IFERROR(__xludf.DUMMYFUNCTION("""COMPUTED_VALUE"""),FALSE)</f>
        <v>0</v>
      </c>
      <c r="E1314" s="23" t="str">
        <f>IFERROR(__xludf.DUMMYFUNCTION("""COMPUTED_VALUE"""),"Easy")</f>
        <v>Easy</v>
      </c>
      <c r="F1314" s="23">
        <f>IFERROR(__xludf.DUMMYFUNCTION("""COMPUTED_VALUE"""),739.0)</f>
        <v>739</v>
      </c>
      <c r="G1314" s="23">
        <f>IFERROR(__xludf.DUMMYFUNCTION("""COMPUTED_VALUE"""),1069.0)</f>
        <v>1069</v>
      </c>
      <c r="H1314" s="23" t="str">
        <f>IFERROR(__xludf.DUMMYFUNCTION("""COMPUTED_VALUE"""),"Algorithms")</f>
        <v>Algorithms</v>
      </c>
      <c r="I1314" s="23">
        <f>IFERROR(__xludf.DUMMYFUNCTION("""COMPUTED_VALUE"""),0.859)</f>
        <v>0.859</v>
      </c>
      <c r="J1314" s="23">
        <f>IFERROR(__xludf.DUMMYFUNCTION("""COMPUTED_VALUE"""),1313.0)</f>
        <v>1313</v>
      </c>
      <c r="K1314" s="23" t="b">
        <f>IFERROR(__xludf.DUMMYFUNCTION("""COMPUTED_VALUE"""),FALSE)</f>
        <v>0</v>
      </c>
      <c r="L1314" s="23" t="str">
        <f>IFERROR(__xludf.DUMMYFUNCTION("""COMPUTED_VALUE"""),"Array;")</f>
        <v>Array;</v>
      </c>
      <c r="M1314" s="23" t="b">
        <f>IFERROR(__xludf.DUMMYFUNCTION("""COMPUTED_VALUE"""),FALSE)</f>
        <v>0</v>
      </c>
      <c r="N1314" s="23" t="b">
        <f>IFERROR(__xludf.DUMMYFUNCTION("""COMPUTED_VALUE"""),FALSE)</f>
        <v>0</v>
      </c>
      <c r="O1314" s="23">
        <f>IFERROR(__xludf.DUMMYFUNCTION("""COMPUTED_VALUE"""),85.8883346586664)</f>
        <v>85.88833466</v>
      </c>
      <c r="P1314" s="23">
        <f>IFERROR(__xludf.DUMMYFUNCTION("""COMPUTED_VALUE"""),178214.0)</f>
        <v>178214</v>
      </c>
      <c r="Q1314" s="23">
        <f>IFERROR(__xludf.DUMMYFUNCTION("""COMPUTED_VALUE"""),207495.0)</f>
        <v>207495</v>
      </c>
    </row>
    <row r="1315">
      <c r="A1315" s="23">
        <f>IFERROR(__xludf.DUMMYFUNCTION("""COMPUTED_VALUE"""),1242.0)</f>
        <v>1242</v>
      </c>
      <c r="B1315" s="23" t="str">
        <f>IFERROR(__xludf.DUMMYFUNCTION("""COMPUTED_VALUE"""),"Matrix Block Sum")</f>
        <v>Matrix Block Sum</v>
      </c>
      <c r="C1315" s="23" t="str">
        <f>IFERROR(__xludf.DUMMYFUNCTION("""COMPUTED_VALUE"""),"matrix-block-sum")</f>
        <v>matrix-block-sum</v>
      </c>
      <c r="D1315" s="23" t="b">
        <f>IFERROR(__xludf.DUMMYFUNCTION("""COMPUTED_VALUE"""),FALSE)</f>
        <v>0</v>
      </c>
      <c r="E1315" s="23" t="str">
        <f>IFERROR(__xludf.DUMMYFUNCTION("""COMPUTED_VALUE"""),"Medium")</f>
        <v>Medium</v>
      </c>
      <c r="F1315" s="23">
        <f>IFERROR(__xludf.DUMMYFUNCTION("""COMPUTED_VALUE"""),1661.0)</f>
        <v>1661</v>
      </c>
      <c r="G1315" s="23">
        <f>IFERROR(__xludf.DUMMYFUNCTION("""COMPUTED_VALUE"""),262.0)</f>
        <v>262</v>
      </c>
      <c r="H1315" s="23" t="str">
        <f>IFERROR(__xludf.DUMMYFUNCTION("""COMPUTED_VALUE"""),"Algorithms")</f>
        <v>Algorithms</v>
      </c>
      <c r="I1315" s="23">
        <f>IFERROR(__xludf.DUMMYFUNCTION("""COMPUTED_VALUE"""),0.752)</f>
        <v>0.752</v>
      </c>
      <c r="J1315" s="23">
        <f>IFERROR(__xludf.DUMMYFUNCTION("""COMPUTED_VALUE"""),1314.0)</f>
        <v>1314</v>
      </c>
      <c r="K1315" s="23" t="b">
        <f>IFERROR(__xludf.DUMMYFUNCTION("""COMPUTED_VALUE"""),FALSE)</f>
        <v>0</v>
      </c>
      <c r="L1315" s="23" t="str">
        <f>IFERROR(__xludf.DUMMYFUNCTION("""COMPUTED_VALUE"""),"Array;Matrix;Prefix Sum;")</f>
        <v>Array;Matrix;Prefix Sum;</v>
      </c>
      <c r="M1315" s="23" t="b">
        <f>IFERROR(__xludf.DUMMYFUNCTION("""COMPUTED_VALUE"""),FALSE)</f>
        <v>0</v>
      </c>
      <c r="N1315" s="23" t="b">
        <f>IFERROR(__xludf.DUMMYFUNCTION("""COMPUTED_VALUE"""),FALSE)</f>
        <v>0</v>
      </c>
      <c r="O1315" s="23">
        <f>IFERROR(__xludf.DUMMYFUNCTION("""COMPUTED_VALUE"""),75.1689402951076)</f>
        <v>75.1689403</v>
      </c>
      <c r="P1315" s="23">
        <f>IFERROR(__xludf.DUMMYFUNCTION("""COMPUTED_VALUE"""),59400.0)</f>
        <v>59400</v>
      </c>
      <c r="Q1315" s="23">
        <f>IFERROR(__xludf.DUMMYFUNCTION("""COMPUTED_VALUE"""),79022.0)</f>
        <v>79022</v>
      </c>
    </row>
    <row r="1316">
      <c r="A1316" s="23">
        <f>IFERROR(__xludf.DUMMYFUNCTION("""COMPUTED_VALUE"""),1243.0)</f>
        <v>1243</v>
      </c>
      <c r="B1316" s="23" t="str">
        <f>IFERROR(__xludf.DUMMYFUNCTION("""COMPUTED_VALUE"""),"Sum of Nodes with Even-Valued Grandparent")</f>
        <v>Sum of Nodes with Even-Valued Grandparent</v>
      </c>
      <c r="C1316" s="23" t="str">
        <f>IFERROR(__xludf.DUMMYFUNCTION("""COMPUTED_VALUE"""),"sum-of-nodes-with-even-valued-grandparent")</f>
        <v>sum-of-nodes-with-even-valued-grandparent</v>
      </c>
      <c r="D1316" s="23" t="b">
        <f>IFERROR(__xludf.DUMMYFUNCTION("""COMPUTED_VALUE"""),FALSE)</f>
        <v>0</v>
      </c>
      <c r="E1316" s="23" t="str">
        <f>IFERROR(__xludf.DUMMYFUNCTION("""COMPUTED_VALUE"""),"Medium")</f>
        <v>Medium</v>
      </c>
      <c r="F1316" s="23">
        <f>IFERROR(__xludf.DUMMYFUNCTION("""COMPUTED_VALUE"""),1723.0)</f>
        <v>1723</v>
      </c>
      <c r="G1316" s="23">
        <f>IFERROR(__xludf.DUMMYFUNCTION("""COMPUTED_VALUE"""),57.0)</f>
        <v>57</v>
      </c>
      <c r="H1316" s="23" t="str">
        <f>IFERROR(__xludf.DUMMYFUNCTION("""COMPUTED_VALUE"""),"Algorithms")</f>
        <v>Algorithms</v>
      </c>
      <c r="I1316" s="23">
        <f>IFERROR(__xludf.DUMMYFUNCTION("""COMPUTED_VALUE"""),0.852)</f>
        <v>0.852</v>
      </c>
      <c r="J1316" s="23">
        <f>IFERROR(__xludf.DUMMYFUNCTION("""COMPUTED_VALUE"""),1315.0)</f>
        <v>1315</v>
      </c>
      <c r="K1316" s="23" t="b">
        <f>IFERROR(__xludf.DUMMYFUNCTION("""COMPUTED_VALUE"""),FALSE)</f>
        <v>0</v>
      </c>
      <c r="L1316" s="23" t="str">
        <f>IFERROR(__xludf.DUMMYFUNCTION("""COMPUTED_VALUE"""),"Tree;Depth-First Search;Breadth-First Search;Binary Tree;")</f>
        <v>Tree;Depth-First Search;Breadth-First Search;Binary Tree;</v>
      </c>
      <c r="M1316" s="23" t="b">
        <f>IFERROR(__xludf.DUMMYFUNCTION("""COMPUTED_VALUE"""),FALSE)</f>
        <v>0</v>
      </c>
      <c r="N1316" s="23" t="b">
        <f>IFERROR(__xludf.DUMMYFUNCTION("""COMPUTED_VALUE"""),FALSE)</f>
        <v>0</v>
      </c>
      <c r="O1316" s="23">
        <f>IFERROR(__xludf.DUMMYFUNCTION("""COMPUTED_VALUE"""),85.1847713991062)</f>
        <v>85.1847714</v>
      </c>
      <c r="P1316" s="23">
        <f>IFERROR(__xludf.DUMMYFUNCTION("""COMPUTED_VALUE"""),99121.0)</f>
        <v>99121</v>
      </c>
      <c r="Q1316" s="23">
        <f>IFERROR(__xludf.DUMMYFUNCTION("""COMPUTED_VALUE"""),116360.0)</f>
        <v>116360</v>
      </c>
    </row>
    <row r="1317">
      <c r="A1317" s="23">
        <f>IFERROR(__xludf.DUMMYFUNCTION("""COMPUTED_VALUE"""),1244.0)</f>
        <v>1244</v>
      </c>
      <c r="B1317" s="23" t="str">
        <f>IFERROR(__xludf.DUMMYFUNCTION("""COMPUTED_VALUE"""),"Distinct Echo Substrings")</f>
        <v>Distinct Echo Substrings</v>
      </c>
      <c r="C1317" s="23" t="str">
        <f>IFERROR(__xludf.DUMMYFUNCTION("""COMPUTED_VALUE"""),"distinct-echo-substrings")</f>
        <v>distinct-echo-substrings</v>
      </c>
      <c r="D1317" s="23" t="b">
        <f>IFERROR(__xludf.DUMMYFUNCTION("""COMPUTED_VALUE"""),FALSE)</f>
        <v>0</v>
      </c>
      <c r="E1317" s="23" t="str">
        <f>IFERROR(__xludf.DUMMYFUNCTION("""COMPUTED_VALUE"""),"Hard")</f>
        <v>Hard</v>
      </c>
      <c r="F1317" s="23">
        <f>IFERROR(__xludf.DUMMYFUNCTION("""COMPUTED_VALUE"""),182.0)</f>
        <v>182</v>
      </c>
      <c r="G1317" s="23">
        <f>IFERROR(__xludf.DUMMYFUNCTION("""COMPUTED_VALUE"""),172.0)</f>
        <v>172</v>
      </c>
      <c r="H1317" s="23" t="str">
        <f>IFERROR(__xludf.DUMMYFUNCTION("""COMPUTED_VALUE"""),"Algorithms")</f>
        <v>Algorithms</v>
      </c>
      <c r="I1317" s="23">
        <f>IFERROR(__xludf.DUMMYFUNCTION("""COMPUTED_VALUE"""),0.499)</f>
        <v>0.499</v>
      </c>
      <c r="J1317" s="23">
        <f>IFERROR(__xludf.DUMMYFUNCTION("""COMPUTED_VALUE"""),1316.0)</f>
        <v>1316</v>
      </c>
      <c r="K1317" s="23" t="b">
        <f>IFERROR(__xludf.DUMMYFUNCTION("""COMPUTED_VALUE"""),FALSE)</f>
        <v>0</v>
      </c>
      <c r="L1317" s="23" t="str">
        <f>IFERROR(__xludf.DUMMYFUNCTION("""COMPUTED_VALUE"""),"String;Dynamic Programming;Trie;Sliding Window;Rolling Hash;Hash Function;")</f>
        <v>String;Dynamic Programming;Trie;Sliding Window;Rolling Hash;Hash Function;</v>
      </c>
      <c r="M1317" s="23" t="b">
        <f>IFERROR(__xludf.DUMMYFUNCTION("""COMPUTED_VALUE"""),FALSE)</f>
        <v>0</v>
      </c>
      <c r="N1317" s="23" t="b">
        <f>IFERROR(__xludf.DUMMYFUNCTION("""COMPUTED_VALUE"""),FALSE)</f>
        <v>0</v>
      </c>
      <c r="O1317" s="23">
        <f>IFERROR(__xludf.DUMMYFUNCTION("""COMPUTED_VALUE"""),49.9173409901679)</f>
        <v>49.91734099</v>
      </c>
      <c r="P1317" s="23">
        <f>IFERROR(__xludf.DUMMYFUNCTION("""COMPUTED_VALUE"""),11474.0)</f>
        <v>11474</v>
      </c>
      <c r="Q1317" s="23">
        <f>IFERROR(__xludf.DUMMYFUNCTION("""COMPUTED_VALUE"""),22986.0)</f>
        <v>22986</v>
      </c>
    </row>
    <row r="1318">
      <c r="A1318" s="23">
        <f>IFERROR(__xludf.DUMMYFUNCTION("""COMPUTED_VALUE"""),1440.0)</f>
        <v>1440</v>
      </c>
      <c r="B1318" s="23" t="str">
        <f>IFERROR(__xludf.DUMMYFUNCTION("""COMPUTED_VALUE"""),"Convert Integer to the Sum of Two No-Zero Integers")</f>
        <v>Convert Integer to the Sum of Two No-Zero Integers</v>
      </c>
      <c r="C1318" s="23" t="str">
        <f>IFERROR(__xludf.DUMMYFUNCTION("""COMPUTED_VALUE"""),"convert-integer-to-the-sum-of-two-no-zero-integers")</f>
        <v>convert-integer-to-the-sum-of-two-no-zero-integers</v>
      </c>
      <c r="D1318" s="23" t="b">
        <f>IFERROR(__xludf.DUMMYFUNCTION("""COMPUTED_VALUE"""),FALSE)</f>
        <v>0</v>
      </c>
      <c r="E1318" s="23" t="str">
        <f>IFERROR(__xludf.DUMMYFUNCTION("""COMPUTED_VALUE"""),"Easy")</f>
        <v>Easy</v>
      </c>
      <c r="F1318" s="23">
        <f>IFERROR(__xludf.DUMMYFUNCTION("""COMPUTED_VALUE"""),259.0)</f>
        <v>259</v>
      </c>
      <c r="G1318" s="23">
        <f>IFERROR(__xludf.DUMMYFUNCTION("""COMPUTED_VALUE"""),216.0)</f>
        <v>216</v>
      </c>
      <c r="H1318" s="23" t="str">
        <f>IFERROR(__xludf.DUMMYFUNCTION("""COMPUTED_VALUE"""),"Algorithms")</f>
        <v>Algorithms</v>
      </c>
      <c r="I1318" s="23">
        <f>IFERROR(__xludf.DUMMYFUNCTION("""COMPUTED_VALUE"""),0.57)</f>
        <v>0.57</v>
      </c>
      <c r="J1318" s="23">
        <f>IFERROR(__xludf.DUMMYFUNCTION("""COMPUTED_VALUE"""),1317.0)</f>
        <v>1317</v>
      </c>
      <c r="K1318" s="23" t="b">
        <f>IFERROR(__xludf.DUMMYFUNCTION("""COMPUTED_VALUE"""),FALSE)</f>
        <v>0</v>
      </c>
      <c r="L1318" s="23" t="str">
        <f>IFERROR(__xludf.DUMMYFUNCTION("""COMPUTED_VALUE"""),"Math;")</f>
        <v>Math;</v>
      </c>
      <c r="M1318" s="23" t="b">
        <f>IFERROR(__xludf.DUMMYFUNCTION("""COMPUTED_VALUE"""),FALSE)</f>
        <v>0</v>
      </c>
      <c r="N1318" s="23" t="b">
        <f>IFERROR(__xludf.DUMMYFUNCTION("""COMPUTED_VALUE"""),FALSE)</f>
        <v>0</v>
      </c>
      <c r="O1318" s="23">
        <f>IFERROR(__xludf.DUMMYFUNCTION("""COMPUTED_VALUE"""),56.9967625214244)</f>
        <v>56.99676252</v>
      </c>
      <c r="P1318" s="23">
        <f>IFERROR(__xludf.DUMMYFUNCTION("""COMPUTED_VALUE"""),29929.0)</f>
        <v>29929</v>
      </c>
      <c r="Q1318" s="23">
        <f>IFERROR(__xludf.DUMMYFUNCTION("""COMPUTED_VALUE"""),52509.0)</f>
        <v>52509</v>
      </c>
    </row>
    <row r="1319">
      <c r="A1319" s="23">
        <f>IFERROR(__xludf.DUMMYFUNCTION("""COMPUTED_VALUE"""),1441.0)</f>
        <v>1441</v>
      </c>
      <c r="B1319" s="23" t="str">
        <f>IFERROR(__xludf.DUMMYFUNCTION("""COMPUTED_VALUE"""),"Minimum Flips to Make a OR b Equal to c")</f>
        <v>Minimum Flips to Make a OR b Equal to c</v>
      </c>
      <c r="C1319" s="23" t="str">
        <f>IFERROR(__xludf.DUMMYFUNCTION("""COMPUTED_VALUE"""),"minimum-flips-to-make-a-or-b-equal-to-c")</f>
        <v>minimum-flips-to-make-a-or-b-equal-to-c</v>
      </c>
      <c r="D1319" s="23" t="b">
        <f>IFERROR(__xludf.DUMMYFUNCTION("""COMPUTED_VALUE"""),FALSE)</f>
        <v>0</v>
      </c>
      <c r="E1319" s="23" t="str">
        <f>IFERROR(__xludf.DUMMYFUNCTION("""COMPUTED_VALUE"""),"Medium")</f>
        <v>Medium</v>
      </c>
      <c r="F1319" s="23">
        <f>IFERROR(__xludf.DUMMYFUNCTION("""COMPUTED_VALUE"""),434.0)</f>
        <v>434</v>
      </c>
      <c r="G1319" s="23">
        <f>IFERROR(__xludf.DUMMYFUNCTION("""COMPUTED_VALUE"""),37.0)</f>
        <v>37</v>
      </c>
      <c r="H1319" s="23" t="str">
        <f>IFERROR(__xludf.DUMMYFUNCTION("""COMPUTED_VALUE"""),"Algorithms")</f>
        <v>Algorithms</v>
      </c>
      <c r="I1319" s="23">
        <f>IFERROR(__xludf.DUMMYFUNCTION("""COMPUTED_VALUE"""),0.653)</f>
        <v>0.653</v>
      </c>
      <c r="J1319" s="23">
        <f>IFERROR(__xludf.DUMMYFUNCTION("""COMPUTED_VALUE"""),1318.0)</f>
        <v>1318</v>
      </c>
      <c r="K1319" s="23" t="b">
        <f>IFERROR(__xludf.DUMMYFUNCTION("""COMPUTED_VALUE"""),FALSE)</f>
        <v>0</v>
      </c>
      <c r="L1319" s="23" t="str">
        <f>IFERROR(__xludf.DUMMYFUNCTION("""COMPUTED_VALUE"""),"Bit Manipulation;")</f>
        <v>Bit Manipulation;</v>
      </c>
      <c r="M1319" s="23" t="b">
        <f>IFERROR(__xludf.DUMMYFUNCTION("""COMPUTED_VALUE"""),FALSE)</f>
        <v>0</v>
      </c>
      <c r="N1319" s="23" t="b">
        <f>IFERROR(__xludf.DUMMYFUNCTION("""COMPUTED_VALUE"""),FALSE)</f>
        <v>0</v>
      </c>
      <c r="O1319" s="23">
        <f>IFERROR(__xludf.DUMMYFUNCTION("""COMPUTED_VALUE"""),65.3201219512195)</f>
        <v>65.32012195</v>
      </c>
      <c r="P1319" s="23">
        <f>IFERROR(__xludf.DUMMYFUNCTION("""COMPUTED_VALUE"""),23996.0)</f>
        <v>23996</v>
      </c>
      <c r="Q1319" s="23">
        <f>IFERROR(__xludf.DUMMYFUNCTION("""COMPUTED_VALUE"""),36736.0)</f>
        <v>36736</v>
      </c>
    </row>
    <row r="1320">
      <c r="A1320" s="23">
        <f>IFERROR(__xludf.DUMMYFUNCTION("""COMPUTED_VALUE"""),1442.0)</f>
        <v>1442</v>
      </c>
      <c r="B1320" s="23" t="str">
        <f>IFERROR(__xludf.DUMMYFUNCTION("""COMPUTED_VALUE"""),"Number of Operations to Make Network Connected")</f>
        <v>Number of Operations to Make Network Connected</v>
      </c>
      <c r="C1320" s="23" t="str">
        <f>IFERROR(__xludf.DUMMYFUNCTION("""COMPUTED_VALUE"""),"number-of-operations-to-make-network-connected")</f>
        <v>number-of-operations-to-make-network-connected</v>
      </c>
      <c r="D1320" s="23" t="b">
        <f>IFERROR(__xludf.DUMMYFUNCTION("""COMPUTED_VALUE"""),FALSE)</f>
        <v>0</v>
      </c>
      <c r="E1320" s="23" t="str">
        <f>IFERROR(__xludf.DUMMYFUNCTION("""COMPUTED_VALUE"""),"Medium")</f>
        <v>Medium</v>
      </c>
      <c r="F1320" s="23">
        <f>IFERROR(__xludf.DUMMYFUNCTION("""COMPUTED_VALUE"""),2051.0)</f>
        <v>2051</v>
      </c>
      <c r="G1320" s="23">
        <f>IFERROR(__xludf.DUMMYFUNCTION("""COMPUTED_VALUE"""),32.0)</f>
        <v>32</v>
      </c>
      <c r="H1320" s="23" t="str">
        <f>IFERROR(__xludf.DUMMYFUNCTION("""COMPUTED_VALUE"""),"Algorithms")</f>
        <v>Algorithms</v>
      </c>
      <c r="I1320" s="23">
        <f>IFERROR(__xludf.DUMMYFUNCTION("""COMPUTED_VALUE"""),0.577)</f>
        <v>0.577</v>
      </c>
      <c r="J1320" s="23">
        <f>IFERROR(__xludf.DUMMYFUNCTION("""COMPUTED_VALUE"""),1319.0)</f>
        <v>1319</v>
      </c>
      <c r="K1320" s="23" t="b">
        <f>IFERROR(__xludf.DUMMYFUNCTION("""COMPUTED_VALUE"""),FALSE)</f>
        <v>0</v>
      </c>
      <c r="L1320" s="23" t="str">
        <f>IFERROR(__xludf.DUMMYFUNCTION("""COMPUTED_VALUE"""),"Depth-First Search;Breadth-First Search;Union Find;Graph;")</f>
        <v>Depth-First Search;Breadth-First Search;Union Find;Graph;</v>
      </c>
      <c r="M1320" s="23" t="b">
        <f>IFERROR(__xludf.DUMMYFUNCTION("""COMPUTED_VALUE"""),FALSE)</f>
        <v>0</v>
      </c>
      <c r="N1320" s="23" t="b">
        <f>IFERROR(__xludf.DUMMYFUNCTION("""COMPUTED_VALUE"""),FALSE)</f>
        <v>0</v>
      </c>
      <c r="O1320" s="23">
        <f>IFERROR(__xludf.DUMMYFUNCTION("""COMPUTED_VALUE"""),57.7106591930328)</f>
        <v>57.71065919</v>
      </c>
      <c r="P1320" s="23">
        <f>IFERROR(__xludf.DUMMYFUNCTION("""COMPUTED_VALUE"""),74747.0)</f>
        <v>74747</v>
      </c>
      <c r="Q1320" s="23">
        <f>IFERROR(__xludf.DUMMYFUNCTION("""COMPUTED_VALUE"""),129521.0)</f>
        <v>129521</v>
      </c>
    </row>
    <row r="1321">
      <c r="A1321" s="23">
        <f>IFERROR(__xludf.DUMMYFUNCTION("""COMPUTED_VALUE"""),1443.0)</f>
        <v>1443</v>
      </c>
      <c r="B1321" s="23" t="str">
        <f>IFERROR(__xludf.DUMMYFUNCTION("""COMPUTED_VALUE"""),"Minimum Distance to Type a Word Using Two Fingers")</f>
        <v>Minimum Distance to Type a Word Using Two Fingers</v>
      </c>
      <c r="C1321" s="23" t="str">
        <f>IFERROR(__xludf.DUMMYFUNCTION("""COMPUTED_VALUE"""),"minimum-distance-to-type-a-word-using-two-fingers")</f>
        <v>minimum-distance-to-type-a-word-using-two-fingers</v>
      </c>
      <c r="D1321" s="23" t="b">
        <f>IFERROR(__xludf.DUMMYFUNCTION("""COMPUTED_VALUE"""),FALSE)</f>
        <v>0</v>
      </c>
      <c r="E1321" s="23" t="str">
        <f>IFERROR(__xludf.DUMMYFUNCTION("""COMPUTED_VALUE"""),"Hard")</f>
        <v>Hard</v>
      </c>
      <c r="F1321" s="23">
        <f>IFERROR(__xludf.DUMMYFUNCTION("""COMPUTED_VALUE"""),761.0)</f>
        <v>761</v>
      </c>
      <c r="G1321" s="23">
        <f>IFERROR(__xludf.DUMMYFUNCTION("""COMPUTED_VALUE"""),30.0)</f>
        <v>30</v>
      </c>
      <c r="H1321" s="23" t="str">
        <f>IFERROR(__xludf.DUMMYFUNCTION("""COMPUTED_VALUE"""),"Algorithms")</f>
        <v>Algorithms</v>
      </c>
      <c r="I1321" s="23">
        <f>IFERROR(__xludf.DUMMYFUNCTION("""COMPUTED_VALUE"""),0.602)</f>
        <v>0.602</v>
      </c>
      <c r="J1321" s="23">
        <f>IFERROR(__xludf.DUMMYFUNCTION("""COMPUTED_VALUE"""),1320.0)</f>
        <v>1320</v>
      </c>
      <c r="K1321" s="23" t="b">
        <f>IFERROR(__xludf.DUMMYFUNCTION("""COMPUTED_VALUE"""),FALSE)</f>
        <v>0</v>
      </c>
      <c r="L1321" s="23" t="str">
        <f>IFERROR(__xludf.DUMMYFUNCTION("""COMPUTED_VALUE"""),"String;Dynamic Programming;")</f>
        <v>String;Dynamic Programming;</v>
      </c>
      <c r="M1321" s="23" t="b">
        <f>IFERROR(__xludf.DUMMYFUNCTION("""COMPUTED_VALUE"""),FALSE)</f>
        <v>0</v>
      </c>
      <c r="N1321" s="23" t="b">
        <f>IFERROR(__xludf.DUMMYFUNCTION("""COMPUTED_VALUE"""),FALSE)</f>
        <v>0</v>
      </c>
      <c r="O1321" s="23">
        <f>IFERROR(__xludf.DUMMYFUNCTION("""COMPUTED_VALUE"""),60.2461911007971)</f>
        <v>60.2461911</v>
      </c>
      <c r="P1321" s="23">
        <f>IFERROR(__xludf.DUMMYFUNCTION("""COMPUTED_VALUE"""),23884.0)</f>
        <v>23884</v>
      </c>
      <c r="Q1321" s="23">
        <f>IFERROR(__xludf.DUMMYFUNCTION("""COMPUTED_VALUE"""),39644.0)</f>
        <v>39644</v>
      </c>
    </row>
    <row r="1322">
      <c r="A1322" s="23">
        <f>IFERROR(__xludf.DUMMYFUNCTION("""COMPUTED_VALUE"""),1452.0)</f>
        <v>1452</v>
      </c>
      <c r="B1322" s="23" t="str">
        <f>IFERROR(__xludf.DUMMYFUNCTION("""COMPUTED_VALUE"""),"Restaurant Growth")</f>
        <v>Restaurant Growth</v>
      </c>
      <c r="C1322" s="23" t="str">
        <f>IFERROR(__xludf.DUMMYFUNCTION("""COMPUTED_VALUE"""),"restaurant-growth")</f>
        <v>restaurant-growth</v>
      </c>
      <c r="D1322" s="23" t="b">
        <f>IFERROR(__xludf.DUMMYFUNCTION("""COMPUTED_VALUE"""),TRUE)</f>
        <v>1</v>
      </c>
      <c r="E1322" s="23" t="str">
        <f>IFERROR(__xludf.DUMMYFUNCTION("""COMPUTED_VALUE"""),"Medium")</f>
        <v>Medium</v>
      </c>
      <c r="F1322" s="23">
        <f>IFERROR(__xludf.DUMMYFUNCTION("""COMPUTED_VALUE"""),240.0)</f>
        <v>240</v>
      </c>
      <c r="G1322" s="23">
        <f>IFERROR(__xludf.DUMMYFUNCTION("""COMPUTED_VALUE"""),40.0)</f>
        <v>40</v>
      </c>
      <c r="H1322" s="23" t="str">
        <f>IFERROR(__xludf.DUMMYFUNCTION("""COMPUTED_VALUE"""),"Database")</f>
        <v>Database</v>
      </c>
      <c r="I1322" s="23">
        <f>IFERROR(__xludf.DUMMYFUNCTION("""COMPUTED_VALUE"""),0.725)</f>
        <v>0.725</v>
      </c>
      <c r="J1322" s="23">
        <f>IFERROR(__xludf.DUMMYFUNCTION("""COMPUTED_VALUE"""),1321.0)</f>
        <v>1321</v>
      </c>
      <c r="K1322" s="23" t="b">
        <f>IFERROR(__xludf.DUMMYFUNCTION("""COMPUTED_VALUE"""),TRUE)</f>
        <v>1</v>
      </c>
      <c r="L1322" s="23" t="str">
        <f>IFERROR(__xludf.DUMMYFUNCTION("""COMPUTED_VALUE"""),"Database;")</f>
        <v>Database;</v>
      </c>
      <c r="M1322" s="23" t="b">
        <f>IFERROR(__xludf.DUMMYFUNCTION("""COMPUTED_VALUE"""),FALSE)</f>
        <v>0</v>
      </c>
      <c r="N1322" s="23" t="b">
        <f>IFERROR(__xludf.DUMMYFUNCTION("""COMPUTED_VALUE"""),FALSE)</f>
        <v>0</v>
      </c>
      <c r="O1322" s="23">
        <f>IFERROR(__xludf.DUMMYFUNCTION("""COMPUTED_VALUE"""),72.5178410586849)</f>
        <v>72.51784106</v>
      </c>
      <c r="P1322" s="23">
        <f>IFERROR(__xludf.DUMMYFUNCTION("""COMPUTED_VALUE"""),20933.0)</f>
        <v>20933</v>
      </c>
      <c r="Q1322" s="23">
        <f>IFERROR(__xludf.DUMMYFUNCTION("""COMPUTED_VALUE"""),28866.0)</f>
        <v>28866</v>
      </c>
    </row>
    <row r="1323">
      <c r="A1323" s="23">
        <f>IFERROR(__xludf.DUMMYFUNCTION("""COMPUTED_VALUE"""),1453.0)</f>
        <v>1453</v>
      </c>
      <c r="B1323" s="23" t="str">
        <f>IFERROR(__xludf.DUMMYFUNCTION("""COMPUTED_VALUE"""),"Ads Performance")</f>
        <v>Ads Performance</v>
      </c>
      <c r="C1323" s="23" t="str">
        <f>IFERROR(__xludf.DUMMYFUNCTION("""COMPUTED_VALUE"""),"ads-performance")</f>
        <v>ads-performance</v>
      </c>
      <c r="D1323" s="23" t="b">
        <f>IFERROR(__xludf.DUMMYFUNCTION("""COMPUTED_VALUE"""),TRUE)</f>
        <v>1</v>
      </c>
      <c r="E1323" s="23" t="str">
        <f>IFERROR(__xludf.DUMMYFUNCTION("""COMPUTED_VALUE"""),"Easy")</f>
        <v>Easy</v>
      </c>
      <c r="F1323" s="23">
        <f>IFERROR(__xludf.DUMMYFUNCTION("""COMPUTED_VALUE"""),186.0)</f>
        <v>186</v>
      </c>
      <c r="G1323" s="23">
        <f>IFERROR(__xludf.DUMMYFUNCTION("""COMPUTED_VALUE"""),46.0)</f>
        <v>46</v>
      </c>
      <c r="H1323" s="23" t="str">
        <f>IFERROR(__xludf.DUMMYFUNCTION("""COMPUTED_VALUE"""),"Database")</f>
        <v>Database</v>
      </c>
      <c r="I1323" s="23">
        <f>IFERROR(__xludf.DUMMYFUNCTION("""COMPUTED_VALUE"""),0.602)</f>
        <v>0.602</v>
      </c>
      <c r="J1323" s="23">
        <f>IFERROR(__xludf.DUMMYFUNCTION("""COMPUTED_VALUE"""),1322.0)</f>
        <v>1322</v>
      </c>
      <c r="K1323" s="23" t="b">
        <f>IFERROR(__xludf.DUMMYFUNCTION("""COMPUTED_VALUE"""),TRUE)</f>
        <v>1</v>
      </c>
      <c r="L1323" s="23" t="str">
        <f>IFERROR(__xludf.DUMMYFUNCTION("""COMPUTED_VALUE"""),"Database;")</f>
        <v>Database;</v>
      </c>
      <c r="M1323" s="23" t="b">
        <f>IFERROR(__xludf.DUMMYFUNCTION("""COMPUTED_VALUE"""),FALSE)</f>
        <v>0</v>
      </c>
      <c r="N1323" s="23" t="b">
        <f>IFERROR(__xludf.DUMMYFUNCTION("""COMPUTED_VALUE"""),FALSE)</f>
        <v>0</v>
      </c>
      <c r="O1323" s="23">
        <f>IFERROR(__xludf.DUMMYFUNCTION("""COMPUTED_VALUE"""),60.24247314111)</f>
        <v>60.24247314</v>
      </c>
      <c r="P1323" s="23">
        <f>IFERROR(__xludf.DUMMYFUNCTION("""COMPUTED_VALUE"""),28373.0)</f>
        <v>28373</v>
      </c>
      <c r="Q1323" s="23">
        <f>IFERROR(__xludf.DUMMYFUNCTION("""COMPUTED_VALUE"""),47098.0)</f>
        <v>47098</v>
      </c>
    </row>
    <row r="1324">
      <c r="A1324" s="23">
        <f>IFERROR(__xludf.DUMMYFUNCTION("""COMPUTED_VALUE"""),1448.0)</f>
        <v>1448</v>
      </c>
      <c r="B1324" s="23" t="str">
        <f>IFERROR(__xludf.DUMMYFUNCTION("""COMPUTED_VALUE"""),"Maximum 69 Number")</f>
        <v>Maximum 69 Number</v>
      </c>
      <c r="C1324" s="23" t="str">
        <f>IFERROR(__xludf.DUMMYFUNCTION("""COMPUTED_VALUE"""),"maximum-69-number")</f>
        <v>maximum-69-number</v>
      </c>
      <c r="D1324" s="23" t="b">
        <f>IFERROR(__xludf.DUMMYFUNCTION("""COMPUTED_VALUE"""),FALSE)</f>
        <v>0</v>
      </c>
      <c r="E1324" s="23" t="str">
        <f>IFERROR(__xludf.DUMMYFUNCTION("""COMPUTED_VALUE"""),"Easy")</f>
        <v>Easy</v>
      </c>
      <c r="F1324" s="23">
        <f>IFERROR(__xludf.DUMMYFUNCTION("""COMPUTED_VALUE"""),974.0)</f>
        <v>974</v>
      </c>
      <c r="G1324" s="23">
        <f>IFERROR(__xludf.DUMMYFUNCTION("""COMPUTED_VALUE"""),118.0)</f>
        <v>118</v>
      </c>
      <c r="H1324" s="23" t="str">
        <f>IFERROR(__xludf.DUMMYFUNCTION("""COMPUTED_VALUE"""),"Algorithms")</f>
        <v>Algorithms</v>
      </c>
      <c r="I1324" s="23">
        <f>IFERROR(__xludf.DUMMYFUNCTION("""COMPUTED_VALUE"""),0.788)</f>
        <v>0.788</v>
      </c>
      <c r="J1324" s="23">
        <f>IFERROR(__xludf.DUMMYFUNCTION("""COMPUTED_VALUE"""),1323.0)</f>
        <v>1323</v>
      </c>
      <c r="K1324" s="23" t="b">
        <f>IFERROR(__xludf.DUMMYFUNCTION("""COMPUTED_VALUE"""),FALSE)</f>
        <v>0</v>
      </c>
      <c r="L1324" s="23" t="str">
        <f>IFERROR(__xludf.DUMMYFUNCTION("""COMPUTED_VALUE"""),"Math;Greedy;")</f>
        <v>Math;Greedy;</v>
      </c>
      <c r="M1324" s="23" t="b">
        <f>IFERROR(__xludf.DUMMYFUNCTION("""COMPUTED_VALUE"""),FALSE)</f>
        <v>0</v>
      </c>
      <c r="N1324" s="23" t="b">
        <f>IFERROR(__xludf.DUMMYFUNCTION("""COMPUTED_VALUE"""),FALSE)</f>
        <v>0</v>
      </c>
      <c r="O1324" s="23">
        <f>IFERROR(__xludf.DUMMYFUNCTION("""COMPUTED_VALUE"""),78.8448170996611)</f>
        <v>78.8448171</v>
      </c>
      <c r="P1324" s="23">
        <f>IFERROR(__xludf.DUMMYFUNCTION("""COMPUTED_VALUE"""),108891.0)</f>
        <v>108891</v>
      </c>
      <c r="Q1324" s="23">
        <f>IFERROR(__xludf.DUMMYFUNCTION("""COMPUTED_VALUE"""),138108.0)</f>
        <v>138108</v>
      </c>
    </row>
    <row r="1325">
      <c r="A1325" s="23">
        <f>IFERROR(__xludf.DUMMYFUNCTION("""COMPUTED_VALUE"""),1449.0)</f>
        <v>1449</v>
      </c>
      <c r="B1325" s="23" t="str">
        <f>IFERROR(__xludf.DUMMYFUNCTION("""COMPUTED_VALUE"""),"Print Words Vertically")</f>
        <v>Print Words Vertically</v>
      </c>
      <c r="C1325" s="23" t="str">
        <f>IFERROR(__xludf.DUMMYFUNCTION("""COMPUTED_VALUE"""),"print-words-vertically")</f>
        <v>print-words-vertically</v>
      </c>
      <c r="D1325" s="23" t="b">
        <f>IFERROR(__xludf.DUMMYFUNCTION("""COMPUTED_VALUE"""),FALSE)</f>
        <v>0</v>
      </c>
      <c r="E1325" s="23" t="str">
        <f>IFERROR(__xludf.DUMMYFUNCTION("""COMPUTED_VALUE"""),"Medium")</f>
        <v>Medium</v>
      </c>
      <c r="F1325" s="23">
        <f>IFERROR(__xludf.DUMMYFUNCTION("""COMPUTED_VALUE"""),434.0)</f>
        <v>434</v>
      </c>
      <c r="G1325" s="23">
        <f>IFERROR(__xludf.DUMMYFUNCTION("""COMPUTED_VALUE"""),88.0)</f>
        <v>88</v>
      </c>
      <c r="H1325" s="23" t="str">
        <f>IFERROR(__xludf.DUMMYFUNCTION("""COMPUTED_VALUE"""),"Algorithms")</f>
        <v>Algorithms</v>
      </c>
      <c r="I1325" s="23">
        <f>IFERROR(__xludf.DUMMYFUNCTION("""COMPUTED_VALUE"""),0.596)</f>
        <v>0.596</v>
      </c>
      <c r="J1325" s="23">
        <f>IFERROR(__xludf.DUMMYFUNCTION("""COMPUTED_VALUE"""),1324.0)</f>
        <v>1324</v>
      </c>
      <c r="K1325" s="23" t="b">
        <f>IFERROR(__xludf.DUMMYFUNCTION("""COMPUTED_VALUE"""),FALSE)</f>
        <v>0</v>
      </c>
      <c r="L1325" s="23" t="str">
        <f>IFERROR(__xludf.DUMMYFUNCTION("""COMPUTED_VALUE"""),"Array;String;Simulation;")</f>
        <v>Array;String;Simulation;</v>
      </c>
      <c r="M1325" s="23" t="b">
        <f>IFERROR(__xludf.DUMMYFUNCTION("""COMPUTED_VALUE"""),FALSE)</f>
        <v>0</v>
      </c>
      <c r="N1325" s="23" t="b">
        <f>IFERROR(__xludf.DUMMYFUNCTION("""COMPUTED_VALUE"""),FALSE)</f>
        <v>0</v>
      </c>
      <c r="O1325" s="23">
        <f>IFERROR(__xludf.DUMMYFUNCTION("""COMPUTED_VALUE"""),59.6421288977478)</f>
        <v>59.6421289</v>
      </c>
      <c r="P1325" s="23">
        <f>IFERROR(__xludf.DUMMYFUNCTION("""COMPUTED_VALUE"""),26032.0)</f>
        <v>26032</v>
      </c>
      <c r="Q1325" s="23">
        <f>IFERROR(__xludf.DUMMYFUNCTION("""COMPUTED_VALUE"""),43647.0)</f>
        <v>43647</v>
      </c>
    </row>
    <row r="1326">
      <c r="A1326" s="23">
        <f>IFERROR(__xludf.DUMMYFUNCTION("""COMPUTED_VALUE"""),1450.0)</f>
        <v>1450</v>
      </c>
      <c r="B1326" s="23" t="str">
        <f>IFERROR(__xludf.DUMMYFUNCTION("""COMPUTED_VALUE"""),"Delete Leaves With a Given Value")</f>
        <v>Delete Leaves With a Given Value</v>
      </c>
      <c r="C1326" s="23" t="str">
        <f>IFERROR(__xludf.DUMMYFUNCTION("""COMPUTED_VALUE"""),"delete-leaves-with-a-given-value")</f>
        <v>delete-leaves-with-a-given-value</v>
      </c>
      <c r="D1326" s="23" t="b">
        <f>IFERROR(__xludf.DUMMYFUNCTION("""COMPUTED_VALUE"""),FALSE)</f>
        <v>0</v>
      </c>
      <c r="E1326" s="23" t="str">
        <f>IFERROR(__xludf.DUMMYFUNCTION("""COMPUTED_VALUE"""),"Medium")</f>
        <v>Medium</v>
      </c>
      <c r="F1326" s="23">
        <f>IFERROR(__xludf.DUMMYFUNCTION("""COMPUTED_VALUE"""),1408.0)</f>
        <v>1408</v>
      </c>
      <c r="G1326" s="23">
        <f>IFERROR(__xludf.DUMMYFUNCTION("""COMPUTED_VALUE"""),26.0)</f>
        <v>26</v>
      </c>
      <c r="H1326" s="23" t="str">
        <f>IFERROR(__xludf.DUMMYFUNCTION("""COMPUTED_VALUE"""),"Algorithms")</f>
        <v>Algorithms</v>
      </c>
      <c r="I1326" s="23">
        <f>IFERROR(__xludf.DUMMYFUNCTION("""COMPUTED_VALUE"""),0.748)</f>
        <v>0.748</v>
      </c>
      <c r="J1326" s="23">
        <f>IFERROR(__xludf.DUMMYFUNCTION("""COMPUTED_VALUE"""),1325.0)</f>
        <v>1325</v>
      </c>
      <c r="K1326" s="23" t="b">
        <f>IFERROR(__xludf.DUMMYFUNCTION("""COMPUTED_VALUE"""),FALSE)</f>
        <v>0</v>
      </c>
      <c r="L1326" s="23" t="str">
        <f>IFERROR(__xludf.DUMMYFUNCTION("""COMPUTED_VALUE"""),"Tree;Depth-First Search;Binary Tree;")</f>
        <v>Tree;Depth-First Search;Binary Tree;</v>
      </c>
      <c r="M1326" s="23" t="b">
        <f>IFERROR(__xludf.DUMMYFUNCTION("""COMPUTED_VALUE"""),FALSE)</f>
        <v>0</v>
      </c>
      <c r="N1326" s="23" t="b">
        <f>IFERROR(__xludf.DUMMYFUNCTION("""COMPUTED_VALUE"""),FALSE)</f>
        <v>0</v>
      </c>
      <c r="O1326" s="23">
        <f>IFERROR(__xludf.DUMMYFUNCTION("""COMPUTED_VALUE"""),74.7671560336468)</f>
        <v>74.76715603</v>
      </c>
      <c r="P1326" s="23">
        <f>IFERROR(__xludf.DUMMYFUNCTION("""COMPUTED_VALUE"""),66308.0)</f>
        <v>66308</v>
      </c>
      <c r="Q1326" s="23">
        <f>IFERROR(__xludf.DUMMYFUNCTION("""COMPUTED_VALUE"""),88686.0)</f>
        <v>88686</v>
      </c>
    </row>
    <row r="1327">
      <c r="A1327" s="23">
        <f>IFERROR(__xludf.DUMMYFUNCTION("""COMPUTED_VALUE"""),1451.0)</f>
        <v>1451</v>
      </c>
      <c r="B1327" s="23" t="str">
        <f>IFERROR(__xludf.DUMMYFUNCTION("""COMPUTED_VALUE"""),"Minimum Number of Taps to Open to Water a Garden")</f>
        <v>Minimum Number of Taps to Open to Water a Garden</v>
      </c>
      <c r="C1327" s="23" t="str">
        <f>IFERROR(__xludf.DUMMYFUNCTION("""COMPUTED_VALUE"""),"minimum-number-of-taps-to-open-to-water-a-garden")</f>
        <v>minimum-number-of-taps-to-open-to-water-a-garden</v>
      </c>
      <c r="D1327" s="23" t="b">
        <f>IFERROR(__xludf.DUMMYFUNCTION("""COMPUTED_VALUE"""),FALSE)</f>
        <v>0</v>
      </c>
      <c r="E1327" s="23" t="str">
        <f>IFERROR(__xludf.DUMMYFUNCTION("""COMPUTED_VALUE"""),"Hard")</f>
        <v>Hard</v>
      </c>
      <c r="F1327" s="23">
        <f>IFERROR(__xludf.DUMMYFUNCTION("""COMPUTED_VALUE"""),1456.0)</f>
        <v>1456</v>
      </c>
      <c r="G1327" s="23">
        <f>IFERROR(__xludf.DUMMYFUNCTION("""COMPUTED_VALUE"""),108.0)</f>
        <v>108</v>
      </c>
      <c r="H1327" s="23" t="str">
        <f>IFERROR(__xludf.DUMMYFUNCTION("""COMPUTED_VALUE"""),"Algorithms")</f>
        <v>Algorithms</v>
      </c>
      <c r="I1327" s="23">
        <f>IFERROR(__xludf.DUMMYFUNCTION("""COMPUTED_VALUE"""),0.481)</f>
        <v>0.481</v>
      </c>
      <c r="J1327" s="23">
        <f>IFERROR(__xludf.DUMMYFUNCTION("""COMPUTED_VALUE"""),1326.0)</f>
        <v>1326</v>
      </c>
      <c r="K1327" s="23" t="b">
        <f>IFERROR(__xludf.DUMMYFUNCTION("""COMPUTED_VALUE"""),FALSE)</f>
        <v>0</v>
      </c>
      <c r="L1327" s="23" t="str">
        <f>IFERROR(__xludf.DUMMYFUNCTION("""COMPUTED_VALUE"""),"Array;Dynamic Programming;Greedy;")</f>
        <v>Array;Dynamic Programming;Greedy;</v>
      </c>
      <c r="M1327" s="23" t="b">
        <f>IFERROR(__xludf.DUMMYFUNCTION("""COMPUTED_VALUE"""),FALSE)</f>
        <v>0</v>
      </c>
      <c r="N1327" s="23" t="b">
        <f>IFERROR(__xludf.DUMMYFUNCTION("""COMPUTED_VALUE"""),FALSE)</f>
        <v>0</v>
      </c>
      <c r="O1327" s="23">
        <f>IFERROR(__xludf.DUMMYFUNCTION("""COMPUTED_VALUE"""),48.0651304180716)</f>
        <v>48.06513042</v>
      </c>
      <c r="P1327" s="23">
        <f>IFERROR(__xludf.DUMMYFUNCTION("""COMPUTED_VALUE"""),55024.0)</f>
        <v>55024</v>
      </c>
      <c r="Q1327" s="23">
        <f>IFERROR(__xludf.DUMMYFUNCTION("""COMPUTED_VALUE"""),114478.0)</f>
        <v>114478</v>
      </c>
    </row>
    <row r="1328">
      <c r="A1328" s="23">
        <f>IFERROR(__xludf.DUMMYFUNCTION("""COMPUTED_VALUE"""),1462.0)</f>
        <v>1462</v>
      </c>
      <c r="B1328" s="23" t="str">
        <f>IFERROR(__xludf.DUMMYFUNCTION("""COMPUTED_VALUE"""),"List the Products Ordered in a Period")</f>
        <v>List the Products Ordered in a Period</v>
      </c>
      <c r="C1328" s="23" t="str">
        <f>IFERROR(__xludf.DUMMYFUNCTION("""COMPUTED_VALUE"""),"list-the-products-ordered-in-a-period")</f>
        <v>list-the-products-ordered-in-a-period</v>
      </c>
      <c r="D1328" s="23" t="b">
        <f>IFERROR(__xludf.DUMMYFUNCTION("""COMPUTED_VALUE"""),TRUE)</f>
        <v>1</v>
      </c>
      <c r="E1328" s="23" t="str">
        <f>IFERROR(__xludf.DUMMYFUNCTION("""COMPUTED_VALUE"""),"Easy")</f>
        <v>Easy</v>
      </c>
      <c r="F1328" s="23">
        <f>IFERROR(__xludf.DUMMYFUNCTION("""COMPUTED_VALUE"""),81.0)</f>
        <v>81</v>
      </c>
      <c r="G1328" s="23">
        <f>IFERROR(__xludf.DUMMYFUNCTION("""COMPUTED_VALUE"""),20.0)</f>
        <v>20</v>
      </c>
      <c r="H1328" s="23" t="str">
        <f>IFERROR(__xludf.DUMMYFUNCTION("""COMPUTED_VALUE"""),"Database")</f>
        <v>Database</v>
      </c>
      <c r="I1328" s="23">
        <f>IFERROR(__xludf.DUMMYFUNCTION("""COMPUTED_VALUE"""),0.771)</f>
        <v>0.771</v>
      </c>
      <c r="J1328" s="23">
        <f>IFERROR(__xludf.DUMMYFUNCTION("""COMPUTED_VALUE"""),1327.0)</f>
        <v>1327</v>
      </c>
      <c r="K1328" s="23" t="b">
        <f>IFERROR(__xludf.DUMMYFUNCTION("""COMPUTED_VALUE"""),TRUE)</f>
        <v>1</v>
      </c>
      <c r="L1328" s="23" t="str">
        <f>IFERROR(__xludf.DUMMYFUNCTION("""COMPUTED_VALUE"""),"Database;")</f>
        <v>Database;</v>
      </c>
      <c r="M1328" s="23" t="b">
        <f>IFERROR(__xludf.DUMMYFUNCTION("""COMPUTED_VALUE"""),FALSE)</f>
        <v>0</v>
      </c>
      <c r="N1328" s="23" t="b">
        <f>IFERROR(__xludf.DUMMYFUNCTION("""COMPUTED_VALUE"""),FALSE)</f>
        <v>0</v>
      </c>
      <c r="O1328" s="23">
        <f>IFERROR(__xludf.DUMMYFUNCTION("""COMPUTED_VALUE"""),77.1499244194036)</f>
        <v>77.14992442</v>
      </c>
      <c r="P1328" s="23">
        <f>IFERROR(__xludf.DUMMYFUNCTION("""COMPUTED_VALUE"""),28071.0)</f>
        <v>28071</v>
      </c>
      <c r="Q1328" s="23">
        <f>IFERROR(__xludf.DUMMYFUNCTION("""COMPUTED_VALUE"""),36385.0)</f>
        <v>36385</v>
      </c>
    </row>
    <row r="1329">
      <c r="A1329" s="23">
        <f>IFERROR(__xludf.DUMMYFUNCTION("""COMPUTED_VALUE"""),1252.0)</f>
        <v>1252</v>
      </c>
      <c r="B1329" s="23" t="str">
        <f>IFERROR(__xludf.DUMMYFUNCTION("""COMPUTED_VALUE"""),"Break a Palindrome")</f>
        <v>Break a Palindrome</v>
      </c>
      <c r="C1329" s="23" t="str">
        <f>IFERROR(__xludf.DUMMYFUNCTION("""COMPUTED_VALUE"""),"break-a-palindrome")</f>
        <v>break-a-palindrome</v>
      </c>
      <c r="D1329" s="23" t="b">
        <f>IFERROR(__xludf.DUMMYFUNCTION("""COMPUTED_VALUE"""),FALSE)</f>
        <v>0</v>
      </c>
      <c r="E1329" s="23" t="str">
        <f>IFERROR(__xludf.DUMMYFUNCTION("""COMPUTED_VALUE"""),"Medium")</f>
        <v>Medium</v>
      </c>
      <c r="F1329" s="23">
        <f>IFERROR(__xludf.DUMMYFUNCTION("""COMPUTED_VALUE"""),736.0)</f>
        <v>736</v>
      </c>
      <c r="G1329" s="23">
        <f>IFERROR(__xludf.DUMMYFUNCTION("""COMPUTED_VALUE"""),434.0)</f>
        <v>434</v>
      </c>
      <c r="H1329" s="23" t="str">
        <f>IFERROR(__xludf.DUMMYFUNCTION("""COMPUTED_VALUE"""),"Algorithms")</f>
        <v>Algorithms</v>
      </c>
      <c r="I1329" s="23">
        <f>IFERROR(__xludf.DUMMYFUNCTION("""COMPUTED_VALUE"""),0.523)</f>
        <v>0.523</v>
      </c>
      <c r="J1329" s="23">
        <f>IFERROR(__xludf.DUMMYFUNCTION("""COMPUTED_VALUE"""),1328.0)</f>
        <v>1328</v>
      </c>
      <c r="K1329" s="23" t="b">
        <f>IFERROR(__xludf.DUMMYFUNCTION("""COMPUTED_VALUE"""),FALSE)</f>
        <v>0</v>
      </c>
      <c r="L1329" s="23" t="str">
        <f>IFERROR(__xludf.DUMMYFUNCTION("""COMPUTED_VALUE"""),"String;Greedy;")</f>
        <v>String;Greedy;</v>
      </c>
      <c r="M1329" s="23" t="b">
        <f>IFERROR(__xludf.DUMMYFUNCTION("""COMPUTED_VALUE"""),TRUE)</f>
        <v>1</v>
      </c>
      <c r="N1329" s="23" t="b">
        <f>IFERROR(__xludf.DUMMYFUNCTION("""COMPUTED_VALUE"""),FALSE)</f>
        <v>0</v>
      </c>
      <c r="O1329" s="23">
        <f>IFERROR(__xludf.DUMMYFUNCTION("""COMPUTED_VALUE"""),52.2994512673112)</f>
        <v>52.29945127</v>
      </c>
      <c r="P1329" s="23">
        <f>IFERROR(__xludf.DUMMYFUNCTION("""COMPUTED_VALUE"""),68050.0)</f>
        <v>68050</v>
      </c>
      <c r="Q1329" s="23">
        <f>IFERROR(__xludf.DUMMYFUNCTION("""COMPUTED_VALUE"""),130117.0)</f>
        <v>130117</v>
      </c>
    </row>
    <row r="1330">
      <c r="A1330" s="23">
        <f>IFERROR(__xludf.DUMMYFUNCTION("""COMPUTED_VALUE"""),1253.0)</f>
        <v>1253</v>
      </c>
      <c r="B1330" s="23" t="str">
        <f>IFERROR(__xludf.DUMMYFUNCTION("""COMPUTED_VALUE"""),"Sort the Matrix Diagonally")</f>
        <v>Sort the Matrix Diagonally</v>
      </c>
      <c r="C1330" s="23" t="str">
        <f>IFERROR(__xludf.DUMMYFUNCTION("""COMPUTED_VALUE"""),"sort-the-matrix-diagonally")</f>
        <v>sort-the-matrix-diagonally</v>
      </c>
      <c r="D1330" s="23" t="b">
        <f>IFERROR(__xludf.DUMMYFUNCTION("""COMPUTED_VALUE"""),FALSE)</f>
        <v>0</v>
      </c>
      <c r="E1330" s="23" t="str">
        <f>IFERROR(__xludf.DUMMYFUNCTION("""COMPUTED_VALUE"""),"Medium")</f>
        <v>Medium</v>
      </c>
      <c r="F1330" s="23">
        <f>IFERROR(__xludf.DUMMYFUNCTION("""COMPUTED_VALUE"""),1611.0)</f>
        <v>1611</v>
      </c>
      <c r="G1330" s="23">
        <f>IFERROR(__xludf.DUMMYFUNCTION("""COMPUTED_VALUE"""),176.0)</f>
        <v>176</v>
      </c>
      <c r="H1330" s="23" t="str">
        <f>IFERROR(__xludf.DUMMYFUNCTION("""COMPUTED_VALUE"""),"Algorithms")</f>
        <v>Algorithms</v>
      </c>
      <c r="I1330" s="23">
        <f>IFERROR(__xludf.DUMMYFUNCTION("""COMPUTED_VALUE"""),0.813)</f>
        <v>0.813</v>
      </c>
      <c r="J1330" s="23">
        <f>IFERROR(__xludf.DUMMYFUNCTION("""COMPUTED_VALUE"""),1329.0)</f>
        <v>1329</v>
      </c>
      <c r="K1330" s="23" t="b">
        <f>IFERROR(__xludf.DUMMYFUNCTION("""COMPUTED_VALUE"""),FALSE)</f>
        <v>0</v>
      </c>
      <c r="L1330" s="23" t="str">
        <f>IFERROR(__xludf.DUMMYFUNCTION("""COMPUTED_VALUE"""),"Array;Sorting;Matrix;")</f>
        <v>Array;Sorting;Matrix;</v>
      </c>
      <c r="M1330" s="23" t="b">
        <f>IFERROR(__xludf.DUMMYFUNCTION("""COMPUTED_VALUE"""),TRUE)</f>
        <v>1</v>
      </c>
      <c r="N1330" s="23" t="b">
        <f>IFERROR(__xludf.DUMMYFUNCTION("""COMPUTED_VALUE"""),TRUE)</f>
        <v>1</v>
      </c>
      <c r="O1330" s="23">
        <f>IFERROR(__xludf.DUMMYFUNCTION("""COMPUTED_VALUE"""),81.3097314095882)</f>
        <v>81.30973141</v>
      </c>
      <c r="P1330" s="23">
        <f>IFERROR(__xludf.DUMMYFUNCTION("""COMPUTED_VALUE"""),83462.0)</f>
        <v>83462</v>
      </c>
      <c r="Q1330" s="23">
        <f>IFERROR(__xludf.DUMMYFUNCTION("""COMPUTED_VALUE"""),102647.0)</f>
        <v>102647</v>
      </c>
    </row>
    <row r="1331">
      <c r="A1331" s="23">
        <f>IFERROR(__xludf.DUMMYFUNCTION("""COMPUTED_VALUE"""),1255.0)</f>
        <v>1255</v>
      </c>
      <c r="B1331" s="23" t="str">
        <f>IFERROR(__xludf.DUMMYFUNCTION("""COMPUTED_VALUE"""),"Reverse Subarray To Maximize Array Value")</f>
        <v>Reverse Subarray To Maximize Array Value</v>
      </c>
      <c r="C1331" s="23" t="str">
        <f>IFERROR(__xludf.DUMMYFUNCTION("""COMPUTED_VALUE"""),"reverse-subarray-to-maximize-array-value")</f>
        <v>reverse-subarray-to-maximize-array-value</v>
      </c>
      <c r="D1331" s="23" t="b">
        <f>IFERROR(__xludf.DUMMYFUNCTION("""COMPUTED_VALUE"""),FALSE)</f>
        <v>0</v>
      </c>
      <c r="E1331" s="23" t="str">
        <f>IFERROR(__xludf.DUMMYFUNCTION("""COMPUTED_VALUE"""),"Hard")</f>
        <v>Hard</v>
      </c>
      <c r="F1331" s="23">
        <f>IFERROR(__xludf.DUMMYFUNCTION("""COMPUTED_VALUE"""),332.0)</f>
        <v>332</v>
      </c>
      <c r="G1331" s="23">
        <f>IFERROR(__xludf.DUMMYFUNCTION("""COMPUTED_VALUE"""),34.0)</f>
        <v>34</v>
      </c>
      <c r="H1331" s="23" t="str">
        <f>IFERROR(__xludf.DUMMYFUNCTION("""COMPUTED_VALUE"""),"Algorithms")</f>
        <v>Algorithms</v>
      </c>
      <c r="I1331" s="23">
        <f>IFERROR(__xludf.DUMMYFUNCTION("""COMPUTED_VALUE"""),0.39)</f>
        <v>0.39</v>
      </c>
      <c r="J1331" s="23">
        <f>IFERROR(__xludf.DUMMYFUNCTION("""COMPUTED_VALUE"""),1330.0)</f>
        <v>1330</v>
      </c>
      <c r="K1331" s="23" t="b">
        <f>IFERROR(__xludf.DUMMYFUNCTION("""COMPUTED_VALUE"""),FALSE)</f>
        <v>0</v>
      </c>
      <c r="L1331" s="23" t="str">
        <f>IFERROR(__xludf.DUMMYFUNCTION("""COMPUTED_VALUE"""),"Array;Math;Greedy;")</f>
        <v>Array;Math;Greedy;</v>
      </c>
      <c r="M1331" s="23" t="b">
        <f>IFERROR(__xludf.DUMMYFUNCTION("""COMPUTED_VALUE"""),FALSE)</f>
        <v>0</v>
      </c>
      <c r="N1331" s="23" t="b">
        <f>IFERROR(__xludf.DUMMYFUNCTION("""COMPUTED_VALUE"""),FALSE)</f>
        <v>0</v>
      </c>
      <c r="O1331" s="23">
        <f>IFERROR(__xludf.DUMMYFUNCTION("""COMPUTED_VALUE"""),38.9930098267652)</f>
        <v>38.99300983</v>
      </c>
      <c r="P1331" s="23">
        <f>IFERROR(__xludf.DUMMYFUNCTION("""COMPUTED_VALUE"""),3849.0)</f>
        <v>3849</v>
      </c>
      <c r="Q1331" s="23">
        <f>IFERROR(__xludf.DUMMYFUNCTION("""COMPUTED_VALUE"""),9871.0)</f>
        <v>9871</v>
      </c>
    </row>
    <row r="1332">
      <c r="A1332" s="23">
        <f>IFERROR(__xludf.DUMMYFUNCTION("""COMPUTED_VALUE"""),1256.0)</f>
        <v>1256</v>
      </c>
      <c r="B1332" s="23" t="str">
        <f>IFERROR(__xludf.DUMMYFUNCTION("""COMPUTED_VALUE"""),"Rank Transform of an Array")</f>
        <v>Rank Transform of an Array</v>
      </c>
      <c r="C1332" s="23" t="str">
        <f>IFERROR(__xludf.DUMMYFUNCTION("""COMPUTED_VALUE"""),"rank-transform-of-an-array")</f>
        <v>rank-transform-of-an-array</v>
      </c>
      <c r="D1332" s="23" t="b">
        <f>IFERROR(__xludf.DUMMYFUNCTION("""COMPUTED_VALUE"""),FALSE)</f>
        <v>0</v>
      </c>
      <c r="E1332" s="23" t="str">
        <f>IFERROR(__xludf.DUMMYFUNCTION("""COMPUTED_VALUE"""),"Easy")</f>
        <v>Easy</v>
      </c>
      <c r="F1332" s="23">
        <f>IFERROR(__xludf.DUMMYFUNCTION("""COMPUTED_VALUE"""),905.0)</f>
        <v>905</v>
      </c>
      <c r="G1332" s="23">
        <f>IFERROR(__xludf.DUMMYFUNCTION("""COMPUTED_VALUE"""),57.0)</f>
        <v>57</v>
      </c>
      <c r="H1332" s="23" t="str">
        <f>IFERROR(__xludf.DUMMYFUNCTION("""COMPUTED_VALUE"""),"Algorithms")</f>
        <v>Algorithms</v>
      </c>
      <c r="I1332" s="23">
        <f>IFERROR(__xludf.DUMMYFUNCTION("""COMPUTED_VALUE"""),0.585)</f>
        <v>0.585</v>
      </c>
      <c r="J1332" s="23">
        <f>IFERROR(__xludf.DUMMYFUNCTION("""COMPUTED_VALUE"""),1331.0)</f>
        <v>1331</v>
      </c>
      <c r="K1332" s="23" t="b">
        <f>IFERROR(__xludf.DUMMYFUNCTION("""COMPUTED_VALUE"""),FALSE)</f>
        <v>0</v>
      </c>
      <c r="L1332" s="23" t="str">
        <f>IFERROR(__xludf.DUMMYFUNCTION("""COMPUTED_VALUE"""),"Array;Hash Table;Sorting;")</f>
        <v>Array;Hash Table;Sorting;</v>
      </c>
      <c r="M1332" s="23" t="b">
        <f>IFERROR(__xludf.DUMMYFUNCTION("""COMPUTED_VALUE"""),FALSE)</f>
        <v>0</v>
      </c>
      <c r="N1332" s="23" t="b">
        <f>IFERROR(__xludf.DUMMYFUNCTION("""COMPUTED_VALUE"""),FALSE)</f>
        <v>0</v>
      </c>
      <c r="O1332" s="23">
        <f>IFERROR(__xludf.DUMMYFUNCTION("""COMPUTED_VALUE"""),58.5385894943583)</f>
        <v>58.53858949</v>
      </c>
      <c r="P1332" s="23">
        <f>IFERROR(__xludf.DUMMYFUNCTION("""COMPUTED_VALUE"""),58418.0)</f>
        <v>58418</v>
      </c>
      <c r="Q1332" s="23">
        <f>IFERROR(__xludf.DUMMYFUNCTION("""COMPUTED_VALUE"""),99794.0)</f>
        <v>99794</v>
      </c>
    </row>
    <row r="1333">
      <c r="A1333" s="23">
        <f>IFERROR(__xludf.DUMMYFUNCTION("""COMPUTED_VALUE"""),1454.0)</f>
        <v>1454</v>
      </c>
      <c r="B1333" s="23" t="str">
        <f>IFERROR(__xludf.DUMMYFUNCTION("""COMPUTED_VALUE"""),"Remove Palindromic Subsequences")</f>
        <v>Remove Palindromic Subsequences</v>
      </c>
      <c r="C1333" s="23" t="str">
        <f>IFERROR(__xludf.DUMMYFUNCTION("""COMPUTED_VALUE"""),"remove-palindromic-subsequences")</f>
        <v>remove-palindromic-subsequences</v>
      </c>
      <c r="D1333" s="23" t="b">
        <f>IFERROR(__xludf.DUMMYFUNCTION("""COMPUTED_VALUE"""),FALSE)</f>
        <v>0</v>
      </c>
      <c r="E1333" s="23" t="str">
        <f>IFERROR(__xludf.DUMMYFUNCTION("""COMPUTED_VALUE"""),"Easy")</f>
        <v>Easy</v>
      </c>
      <c r="F1333" s="23">
        <f>IFERROR(__xludf.DUMMYFUNCTION("""COMPUTED_VALUE"""),193.0)</f>
        <v>193</v>
      </c>
      <c r="G1333" s="23">
        <f>IFERROR(__xludf.DUMMYFUNCTION("""COMPUTED_VALUE"""),310.0)</f>
        <v>310</v>
      </c>
      <c r="H1333" s="23" t="str">
        <f>IFERROR(__xludf.DUMMYFUNCTION("""COMPUTED_VALUE"""),"Algorithms")</f>
        <v>Algorithms</v>
      </c>
      <c r="I1333" s="23">
        <f>IFERROR(__xludf.DUMMYFUNCTION("""COMPUTED_VALUE"""),0.696)</f>
        <v>0.696</v>
      </c>
      <c r="J1333" s="23">
        <f>IFERROR(__xludf.DUMMYFUNCTION("""COMPUTED_VALUE"""),1332.0)</f>
        <v>1332</v>
      </c>
      <c r="K1333" s="23" t="b">
        <f>IFERROR(__xludf.DUMMYFUNCTION("""COMPUTED_VALUE"""),FALSE)</f>
        <v>0</v>
      </c>
      <c r="L1333" s="23" t="str">
        <f>IFERROR(__xludf.DUMMYFUNCTION("""COMPUTED_VALUE"""),"Two Pointers;String;")</f>
        <v>Two Pointers;String;</v>
      </c>
      <c r="M1333" s="23" t="b">
        <f>IFERROR(__xludf.DUMMYFUNCTION("""COMPUTED_VALUE"""),TRUE)</f>
        <v>1</v>
      </c>
      <c r="N1333" s="23" t="b">
        <f>IFERROR(__xludf.DUMMYFUNCTION("""COMPUTED_VALUE"""),FALSE)</f>
        <v>0</v>
      </c>
      <c r="O1333" s="23">
        <f>IFERROR(__xludf.DUMMYFUNCTION("""COMPUTED_VALUE"""),69.5634256278171)</f>
        <v>69.56342563</v>
      </c>
      <c r="P1333" s="23">
        <f>IFERROR(__xludf.DUMMYFUNCTION("""COMPUTED_VALUE"""),54016.0)</f>
        <v>54016</v>
      </c>
      <c r="Q1333" s="23">
        <f>IFERROR(__xludf.DUMMYFUNCTION("""COMPUTED_VALUE"""),77650.0)</f>
        <v>77650</v>
      </c>
    </row>
    <row r="1334">
      <c r="A1334" s="23">
        <f>IFERROR(__xludf.DUMMYFUNCTION("""COMPUTED_VALUE"""),1455.0)</f>
        <v>1455</v>
      </c>
      <c r="B1334" s="23" t="str">
        <f>IFERROR(__xludf.DUMMYFUNCTION("""COMPUTED_VALUE"""),"Filter Restaurants by Vegan-Friendly, Price and Distance")</f>
        <v>Filter Restaurants by Vegan-Friendly, Price and Distance</v>
      </c>
      <c r="C1334" s="23" t="str">
        <f>IFERROR(__xludf.DUMMYFUNCTION("""COMPUTED_VALUE"""),"filter-restaurants-by-vegan-friendly-price-and-distance")</f>
        <v>filter-restaurants-by-vegan-friendly-price-and-distance</v>
      </c>
      <c r="D1334" s="23" t="b">
        <f>IFERROR(__xludf.DUMMYFUNCTION("""COMPUTED_VALUE"""),FALSE)</f>
        <v>0</v>
      </c>
      <c r="E1334" s="23" t="str">
        <f>IFERROR(__xludf.DUMMYFUNCTION("""COMPUTED_VALUE"""),"Medium")</f>
        <v>Medium</v>
      </c>
      <c r="F1334" s="23">
        <f>IFERROR(__xludf.DUMMYFUNCTION("""COMPUTED_VALUE"""),208.0)</f>
        <v>208</v>
      </c>
      <c r="G1334" s="23">
        <f>IFERROR(__xludf.DUMMYFUNCTION("""COMPUTED_VALUE"""),176.0)</f>
        <v>176</v>
      </c>
      <c r="H1334" s="23" t="str">
        <f>IFERROR(__xludf.DUMMYFUNCTION("""COMPUTED_VALUE"""),"Algorithms")</f>
        <v>Algorithms</v>
      </c>
      <c r="I1334" s="23">
        <f>IFERROR(__xludf.DUMMYFUNCTION("""COMPUTED_VALUE"""),0.588)</f>
        <v>0.588</v>
      </c>
      <c r="J1334" s="23">
        <f>IFERROR(__xludf.DUMMYFUNCTION("""COMPUTED_VALUE"""),1333.0)</f>
        <v>1333</v>
      </c>
      <c r="K1334" s="23" t="b">
        <f>IFERROR(__xludf.DUMMYFUNCTION("""COMPUTED_VALUE"""),FALSE)</f>
        <v>0</v>
      </c>
      <c r="L1334" s="23" t="str">
        <f>IFERROR(__xludf.DUMMYFUNCTION("""COMPUTED_VALUE"""),"Array;Sorting;")</f>
        <v>Array;Sorting;</v>
      </c>
      <c r="M1334" s="23" t="b">
        <f>IFERROR(__xludf.DUMMYFUNCTION("""COMPUTED_VALUE"""),FALSE)</f>
        <v>0</v>
      </c>
      <c r="N1334" s="23" t="b">
        <f>IFERROR(__xludf.DUMMYFUNCTION("""COMPUTED_VALUE"""),FALSE)</f>
        <v>0</v>
      </c>
      <c r="O1334" s="23">
        <f>IFERROR(__xludf.DUMMYFUNCTION("""COMPUTED_VALUE"""),58.7787487267463)</f>
        <v>58.77874873</v>
      </c>
      <c r="P1334" s="23">
        <f>IFERROR(__xludf.DUMMYFUNCTION("""COMPUTED_VALUE"""),21928.0)</f>
        <v>21928</v>
      </c>
      <c r="Q1334" s="23">
        <f>IFERROR(__xludf.DUMMYFUNCTION("""COMPUTED_VALUE"""),37306.0)</f>
        <v>37306</v>
      </c>
    </row>
    <row r="1335">
      <c r="A1335" s="23">
        <f>IFERROR(__xludf.DUMMYFUNCTION("""COMPUTED_VALUE"""),1456.0)</f>
        <v>1456</v>
      </c>
      <c r="B1335" s="23" t="str">
        <f>IFERROR(__xludf.DUMMYFUNCTION("""COMPUTED_VALUE"""),"Find the City With the Smallest Number of Neighbors at a Threshold Distance")</f>
        <v>Find the City With the Smallest Number of Neighbors at a Threshold Distance</v>
      </c>
      <c r="C1335" s="23" t="str">
        <f>IFERROR(__xludf.DUMMYFUNCTION("""COMPUTED_VALUE"""),"find-the-city-with-the-smallest-number-of-neighbors-at-a-threshold-distance")</f>
        <v>find-the-city-with-the-smallest-number-of-neighbors-at-a-threshold-distance</v>
      </c>
      <c r="D1335" s="23" t="b">
        <f>IFERROR(__xludf.DUMMYFUNCTION("""COMPUTED_VALUE"""),FALSE)</f>
        <v>0</v>
      </c>
      <c r="E1335" s="23" t="str">
        <f>IFERROR(__xludf.DUMMYFUNCTION("""COMPUTED_VALUE"""),"Medium")</f>
        <v>Medium</v>
      </c>
      <c r="F1335" s="23">
        <f>IFERROR(__xludf.DUMMYFUNCTION("""COMPUTED_VALUE"""),1131.0)</f>
        <v>1131</v>
      </c>
      <c r="G1335" s="23">
        <f>IFERROR(__xludf.DUMMYFUNCTION("""COMPUTED_VALUE"""),56.0)</f>
        <v>56</v>
      </c>
      <c r="H1335" s="23" t="str">
        <f>IFERROR(__xludf.DUMMYFUNCTION("""COMPUTED_VALUE"""),"Algorithms")</f>
        <v>Algorithms</v>
      </c>
      <c r="I1335" s="23">
        <f>IFERROR(__xludf.DUMMYFUNCTION("""COMPUTED_VALUE"""),0.512)</f>
        <v>0.512</v>
      </c>
      <c r="J1335" s="23">
        <f>IFERROR(__xludf.DUMMYFUNCTION("""COMPUTED_VALUE"""),1334.0)</f>
        <v>1334</v>
      </c>
      <c r="K1335" s="23" t="b">
        <f>IFERROR(__xludf.DUMMYFUNCTION("""COMPUTED_VALUE"""),FALSE)</f>
        <v>0</v>
      </c>
      <c r="L1335" s="23" t="str">
        <f>IFERROR(__xludf.DUMMYFUNCTION("""COMPUTED_VALUE"""),"Dynamic Programming;Graph;Shortest Path;")</f>
        <v>Dynamic Programming;Graph;Shortest Path;</v>
      </c>
      <c r="M1335" s="23" t="b">
        <f>IFERROR(__xludf.DUMMYFUNCTION("""COMPUTED_VALUE"""),FALSE)</f>
        <v>0</v>
      </c>
      <c r="N1335" s="23" t="b">
        <f>IFERROR(__xludf.DUMMYFUNCTION("""COMPUTED_VALUE"""),FALSE)</f>
        <v>0</v>
      </c>
      <c r="O1335" s="23">
        <f>IFERROR(__xludf.DUMMYFUNCTION("""COMPUTED_VALUE"""),51.1721143344255)</f>
        <v>51.17211433</v>
      </c>
      <c r="P1335" s="23">
        <f>IFERROR(__xludf.DUMMYFUNCTION("""COMPUTED_VALUE"""),38419.0)</f>
        <v>38419</v>
      </c>
      <c r="Q1335" s="23">
        <f>IFERROR(__xludf.DUMMYFUNCTION("""COMPUTED_VALUE"""),75078.0)</f>
        <v>75078</v>
      </c>
    </row>
    <row r="1336">
      <c r="A1336" s="23">
        <f>IFERROR(__xludf.DUMMYFUNCTION("""COMPUTED_VALUE"""),1457.0)</f>
        <v>1457</v>
      </c>
      <c r="B1336" s="23" t="str">
        <f>IFERROR(__xludf.DUMMYFUNCTION("""COMPUTED_VALUE"""),"Minimum Difficulty of a Job Schedule")</f>
        <v>Minimum Difficulty of a Job Schedule</v>
      </c>
      <c r="C1336" s="23" t="str">
        <f>IFERROR(__xludf.DUMMYFUNCTION("""COMPUTED_VALUE"""),"minimum-difficulty-of-a-job-schedule")</f>
        <v>minimum-difficulty-of-a-job-schedule</v>
      </c>
      <c r="D1336" s="23" t="b">
        <f>IFERROR(__xludf.DUMMYFUNCTION("""COMPUTED_VALUE"""),FALSE)</f>
        <v>0</v>
      </c>
      <c r="E1336" s="23" t="str">
        <f>IFERROR(__xludf.DUMMYFUNCTION("""COMPUTED_VALUE"""),"Hard")</f>
        <v>Hard</v>
      </c>
      <c r="F1336" s="23">
        <f>IFERROR(__xludf.DUMMYFUNCTION("""COMPUTED_VALUE"""),1226.0)</f>
        <v>1226</v>
      </c>
      <c r="G1336" s="23">
        <f>IFERROR(__xludf.DUMMYFUNCTION("""COMPUTED_VALUE"""),142.0)</f>
        <v>142</v>
      </c>
      <c r="H1336" s="23" t="str">
        <f>IFERROR(__xludf.DUMMYFUNCTION("""COMPUTED_VALUE"""),"Algorithms")</f>
        <v>Algorithms</v>
      </c>
      <c r="I1336" s="23">
        <f>IFERROR(__xludf.DUMMYFUNCTION("""COMPUTED_VALUE"""),0.565)</f>
        <v>0.565</v>
      </c>
      <c r="J1336" s="23">
        <f>IFERROR(__xludf.DUMMYFUNCTION("""COMPUTED_VALUE"""),1335.0)</f>
        <v>1335</v>
      </c>
      <c r="K1336" s="23" t="b">
        <f>IFERROR(__xludf.DUMMYFUNCTION("""COMPUTED_VALUE"""),FALSE)</f>
        <v>0</v>
      </c>
      <c r="L1336" s="23" t="str">
        <f>IFERROR(__xludf.DUMMYFUNCTION("""COMPUTED_VALUE"""),"Array;Dynamic Programming;")</f>
        <v>Array;Dynamic Programming;</v>
      </c>
      <c r="M1336" s="23" t="b">
        <f>IFERROR(__xludf.DUMMYFUNCTION("""COMPUTED_VALUE"""),FALSE)</f>
        <v>0</v>
      </c>
      <c r="N1336" s="23" t="b">
        <f>IFERROR(__xludf.DUMMYFUNCTION("""COMPUTED_VALUE"""),FALSE)</f>
        <v>0</v>
      </c>
      <c r="O1336" s="23">
        <f>IFERROR(__xludf.DUMMYFUNCTION("""COMPUTED_VALUE"""),56.4987546802579)</f>
        <v>56.49875468</v>
      </c>
      <c r="P1336" s="23">
        <f>IFERROR(__xludf.DUMMYFUNCTION("""COMPUTED_VALUE"""),68506.0)</f>
        <v>68506</v>
      </c>
      <c r="Q1336" s="23">
        <f>IFERROR(__xludf.DUMMYFUNCTION("""COMPUTED_VALUE"""),121253.0)</f>
        <v>121253</v>
      </c>
    </row>
    <row r="1337">
      <c r="A1337" s="23">
        <f>IFERROR(__xludf.DUMMYFUNCTION("""COMPUTED_VALUE"""),1467.0)</f>
        <v>1467</v>
      </c>
      <c r="B1337" s="23" t="str">
        <f>IFERROR(__xludf.DUMMYFUNCTION("""COMPUTED_VALUE"""),"Number of Transactions per Visit")</f>
        <v>Number of Transactions per Visit</v>
      </c>
      <c r="C1337" s="23" t="str">
        <f>IFERROR(__xludf.DUMMYFUNCTION("""COMPUTED_VALUE"""),"number-of-transactions-per-visit")</f>
        <v>number-of-transactions-per-visit</v>
      </c>
      <c r="D1337" s="23" t="b">
        <f>IFERROR(__xludf.DUMMYFUNCTION("""COMPUTED_VALUE"""),TRUE)</f>
        <v>1</v>
      </c>
      <c r="E1337" s="23" t="str">
        <f>IFERROR(__xludf.DUMMYFUNCTION("""COMPUTED_VALUE"""),"Hard")</f>
        <v>Hard</v>
      </c>
      <c r="F1337" s="23">
        <f>IFERROR(__xludf.DUMMYFUNCTION("""COMPUTED_VALUE"""),60.0)</f>
        <v>60</v>
      </c>
      <c r="G1337" s="23">
        <f>IFERROR(__xludf.DUMMYFUNCTION("""COMPUTED_VALUE"""),244.0)</f>
        <v>244</v>
      </c>
      <c r="H1337" s="23" t="str">
        <f>IFERROR(__xludf.DUMMYFUNCTION("""COMPUTED_VALUE"""),"Database")</f>
        <v>Database</v>
      </c>
      <c r="I1337" s="23">
        <f>IFERROR(__xludf.DUMMYFUNCTION("""COMPUTED_VALUE"""),0.514)</f>
        <v>0.514</v>
      </c>
      <c r="J1337" s="23">
        <f>IFERROR(__xludf.DUMMYFUNCTION("""COMPUTED_VALUE"""),1336.0)</f>
        <v>1336</v>
      </c>
      <c r="K1337" s="23" t="b">
        <f>IFERROR(__xludf.DUMMYFUNCTION("""COMPUTED_VALUE"""),TRUE)</f>
        <v>1</v>
      </c>
      <c r="L1337" s="23" t="str">
        <f>IFERROR(__xludf.DUMMYFUNCTION("""COMPUTED_VALUE"""),"Database;")</f>
        <v>Database;</v>
      </c>
      <c r="M1337" s="23" t="b">
        <f>IFERROR(__xludf.DUMMYFUNCTION("""COMPUTED_VALUE"""),FALSE)</f>
        <v>0</v>
      </c>
      <c r="N1337" s="23" t="b">
        <f>IFERROR(__xludf.DUMMYFUNCTION("""COMPUTED_VALUE"""),FALSE)</f>
        <v>0</v>
      </c>
      <c r="O1337" s="23">
        <f>IFERROR(__xludf.DUMMYFUNCTION("""COMPUTED_VALUE"""),51.4227286006427)</f>
        <v>51.4227286</v>
      </c>
      <c r="P1337" s="23">
        <f>IFERROR(__xludf.DUMMYFUNCTION("""COMPUTED_VALUE"""),8801.0)</f>
        <v>8801</v>
      </c>
      <c r="Q1337" s="23">
        <f>IFERROR(__xludf.DUMMYFUNCTION("""COMPUTED_VALUE"""),17115.0)</f>
        <v>17115</v>
      </c>
    </row>
    <row r="1338">
      <c r="A1338" s="23">
        <f>IFERROR(__xludf.DUMMYFUNCTION("""COMPUTED_VALUE"""),1463.0)</f>
        <v>1463</v>
      </c>
      <c r="B1338" s="23" t="str">
        <f>IFERROR(__xludf.DUMMYFUNCTION("""COMPUTED_VALUE"""),"The K Weakest Rows in a Matrix")</f>
        <v>The K Weakest Rows in a Matrix</v>
      </c>
      <c r="C1338" s="23" t="str">
        <f>IFERROR(__xludf.DUMMYFUNCTION("""COMPUTED_VALUE"""),"the-k-weakest-rows-in-a-matrix")</f>
        <v>the-k-weakest-rows-in-a-matrix</v>
      </c>
      <c r="D1338" s="23" t="b">
        <f>IFERROR(__xludf.DUMMYFUNCTION("""COMPUTED_VALUE"""),FALSE)</f>
        <v>0</v>
      </c>
      <c r="E1338" s="23" t="str">
        <f>IFERROR(__xludf.DUMMYFUNCTION("""COMPUTED_VALUE"""),"Easy")</f>
        <v>Easy</v>
      </c>
      <c r="F1338" s="23">
        <f>IFERROR(__xludf.DUMMYFUNCTION("""COMPUTED_VALUE"""),2345.0)</f>
        <v>2345</v>
      </c>
      <c r="G1338" s="23">
        <f>IFERROR(__xludf.DUMMYFUNCTION("""COMPUTED_VALUE"""),129.0)</f>
        <v>129</v>
      </c>
      <c r="H1338" s="23" t="str">
        <f>IFERROR(__xludf.DUMMYFUNCTION("""COMPUTED_VALUE"""),"Algorithms")</f>
        <v>Algorithms</v>
      </c>
      <c r="I1338" s="23">
        <f>IFERROR(__xludf.DUMMYFUNCTION("""COMPUTED_VALUE"""),0.743)</f>
        <v>0.743</v>
      </c>
      <c r="J1338" s="23">
        <f>IFERROR(__xludf.DUMMYFUNCTION("""COMPUTED_VALUE"""),1337.0)</f>
        <v>1337</v>
      </c>
      <c r="K1338" s="23" t="b">
        <f>IFERROR(__xludf.DUMMYFUNCTION("""COMPUTED_VALUE"""),FALSE)</f>
        <v>0</v>
      </c>
      <c r="L1338" s="23" t="str">
        <f>IFERROR(__xludf.DUMMYFUNCTION("""COMPUTED_VALUE"""),"Array;Binary Search;Sorting;Heap (Priority Queue);Matrix;")</f>
        <v>Array;Binary Search;Sorting;Heap (Priority Queue);Matrix;</v>
      </c>
      <c r="M1338" s="23" t="b">
        <f>IFERROR(__xludf.DUMMYFUNCTION("""COMPUTED_VALUE"""),TRUE)</f>
        <v>1</v>
      </c>
      <c r="N1338" s="23" t="b">
        <f>IFERROR(__xludf.DUMMYFUNCTION("""COMPUTED_VALUE"""),FALSE)</f>
        <v>0</v>
      </c>
      <c r="O1338" s="23">
        <f>IFERROR(__xludf.DUMMYFUNCTION("""COMPUTED_VALUE"""),74.3435651321314)</f>
        <v>74.34356513</v>
      </c>
      <c r="P1338" s="23">
        <f>IFERROR(__xludf.DUMMYFUNCTION("""COMPUTED_VALUE"""),158470.0)</f>
        <v>158470</v>
      </c>
      <c r="Q1338" s="23">
        <f>IFERROR(__xludf.DUMMYFUNCTION("""COMPUTED_VALUE"""),213159.0)</f>
        <v>213159</v>
      </c>
    </row>
    <row r="1339">
      <c r="A1339" s="23">
        <f>IFERROR(__xludf.DUMMYFUNCTION("""COMPUTED_VALUE"""),1464.0)</f>
        <v>1464</v>
      </c>
      <c r="B1339" s="23" t="str">
        <f>IFERROR(__xludf.DUMMYFUNCTION("""COMPUTED_VALUE"""),"Reduce Array Size to The Half")</f>
        <v>Reduce Array Size to The Half</v>
      </c>
      <c r="C1339" s="23" t="str">
        <f>IFERROR(__xludf.DUMMYFUNCTION("""COMPUTED_VALUE"""),"reduce-array-size-to-the-half")</f>
        <v>reduce-array-size-to-the-half</v>
      </c>
      <c r="D1339" s="23" t="b">
        <f>IFERROR(__xludf.DUMMYFUNCTION("""COMPUTED_VALUE"""),FALSE)</f>
        <v>0</v>
      </c>
      <c r="E1339" s="23" t="str">
        <f>IFERROR(__xludf.DUMMYFUNCTION("""COMPUTED_VALUE"""),"Medium")</f>
        <v>Medium</v>
      </c>
      <c r="F1339" s="23">
        <f>IFERROR(__xludf.DUMMYFUNCTION("""COMPUTED_VALUE"""),1242.0)</f>
        <v>1242</v>
      </c>
      <c r="G1339" s="23">
        <f>IFERROR(__xludf.DUMMYFUNCTION("""COMPUTED_VALUE"""),84.0)</f>
        <v>84</v>
      </c>
      <c r="H1339" s="23" t="str">
        <f>IFERROR(__xludf.DUMMYFUNCTION("""COMPUTED_VALUE"""),"Algorithms")</f>
        <v>Algorithms</v>
      </c>
      <c r="I1339" s="23">
        <f>IFERROR(__xludf.DUMMYFUNCTION("""COMPUTED_VALUE"""),0.684)</f>
        <v>0.684</v>
      </c>
      <c r="J1339" s="23">
        <f>IFERROR(__xludf.DUMMYFUNCTION("""COMPUTED_VALUE"""),1338.0)</f>
        <v>1338</v>
      </c>
      <c r="K1339" s="23" t="b">
        <f>IFERROR(__xludf.DUMMYFUNCTION("""COMPUTED_VALUE"""),FALSE)</f>
        <v>0</v>
      </c>
      <c r="L1339" s="23" t="str">
        <f>IFERROR(__xludf.DUMMYFUNCTION("""COMPUTED_VALUE"""),"Array;Hash Table;Greedy;Sorting;Heap (Priority Queue);")</f>
        <v>Array;Hash Table;Greedy;Sorting;Heap (Priority Queue);</v>
      </c>
      <c r="M1339" s="23" t="b">
        <f>IFERROR(__xludf.DUMMYFUNCTION("""COMPUTED_VALUE"""),TRUE)</f>
        <v>1</v>
      </c>
      <c r="N1339" s="23" t="b">
        <f>IFERROR(__xludf.DUMMYFUNCTION("""COMPUTED_VALUE"""),FALSE)</f>
        <v>0</v>
      </c>
      <c r="O1339" s="23">
        <f>IFERROR(__xludf.DUMMYFUNCTION("""COMPUTED_VALUE"""),68.3864441072331)</f>
        <v>68.38644411</v>
      </c>
      <c r="P1339" s="23">
        <f>IFERROR(__xludf.DUMMYFUNCTION("""COMPUTED_VALUE"""),83823.0)</f>
        <v>83823</v>
      </c>
      <c r="Q1339" s="23">
        <f>IFERROR(__xludf.DUMMYFUNCTION("""COMPUTED_VALUE"""),122573.0)</f>
        <v>122573</v>
      </c>
    </row>
    <row r="1340">
      <c r="A1340" s="23">
        <f>IFERROR(__xludf.DUMMYFUNCTION("""COMPUTED_VALUE"""),1465.0)</f>
        <v>1465</v>
      </c>
      <c r="B1340" s="23" t="str">
        <f>IFERROR(__xludf.DUMMYFUNCTION("""COMPUTED_VALUE"""),"Maximum Product of Splitted Binary Tree")</f>
        <v>Maximum Product of Splitted Binary Tree</v>
      </c>
      <c r="C1340" s="23" t="str">
        <f>IFERROR(__xludf.DUMMYFUNCTION("""COMPUTED_VALUE"""),"maximum-product-of-splitted-binary-tree")</f>
        <v>maximum-product-of-splitted-binary-tree</v>
      </c>
      <c r="D1340" s="23" t="b">
        <f>IFERROR(__xludf.DUMMYFUNCTION("""COMPUTED_VALUE"""),FALSE)</f>
        <v>0</v>
      </c>
      <c r="E1340" s="23" t="str">
        <f>IFERROR(__xludf.DUMMYFUNCTION("""COMPUTED_VALUE"""),"Medium")</f>
        <v>Medium</v>
      </c>
      <c r="F1340" s="23">
        <f>IFERROR(__xludf.DUMMYFUNCTION("""COMPUTED_VALUE"""),1232.0)</f>
        <v>1232</v>
      </c>
      <c r="G1340" s="23">
        <f>IFERROR(__xludf.DUMMYFUNCTION("""COMPUTED_VALUE"""),55.0)</f>
        <v>55</v>
      </c>
      <c r="H1340" s="23" t="str">
        <f>IFERROR(__xludf.DUMMYFUNCTION("""COMPUTED_VALUE"""),"Algorithms")</f>
        <v>Algorithms</v>
      </c>
      <c r="I1340" s="23">
        <f>IFERROR(__xludf.DUMMYFUNCTION("""COMPUTED_VALUE"""),0.43)</f>
        <v>0.43</v>
      </c>
      <c r="J1340" s="23">
        <f>IFERROR(__xludf.DUMMYFUNCTION("""COMPUTED_VALUE"""),1339.0)</f>
        <v>1339</v>
      </c>
      <c r="K1340" s="23" t="b">
        <f>IFERROR(__xludf.DUMMYFUNCTION("""COMPUTED_VALUE"""),FALSE)</f>
        <v>0</v>
      </c>
      <c r="L1340" s="23" t="str">
        <f>IFERROR(__xludf.DUMMYFUNCTION("""COMPUTED_VALUE"""),"Tree;Depth-First Search;Binary Tree;")</f>
        <v>Tree;Depth-First Search;Binary Tree;</v>
      </c>
      <c r="M1340" s="23" t="b">
        <f>IFERROR(__xludf.DUMMYFUNCTION("""COMPUTED_VALUE"""),TRUE)</f>
        <v>1</v>
      </c>
      <c r="N1340" s="23" t="b">
        <f>IFERROR(__xludf.DUMMYFUNCTION("""COMPUTED_VALUE"""),FALSE)</f>
        <v>0</v>
      </c>
      <c r="O1340" s="23">
        <f>IFERROR(__xludf.DUMMYFUNCTION("""COMPUTED_VALUE"""),42.9604647090619)</f>
        <v>42.96046471</v>
      </c>
      <c r="P1340" s="23">
        <f>IFERROR(__xludf.DUMMYFUNCTION("""COMPUTED_VALUE"""),56429.0)</f>
        <v>56429</v>
      </c>
      <c r="Q1340" s="23">
        <f>IFERROR(__xludf.DUMMYFUNCTION("""COMPUTED_VALUE"""),131351.0)</f>
        <v>131351</v>
      </c>
    </row>
    <row r="1341">
      <c r="A1341" s="23">
        <f>IFERROR(__xludf.DUMMYFUNCTION("""COMPUTED_VALUE"""),1466.0)</f>
        <v>1466</v>
      </c>
      <c r="B1341" s="23" t="str">
        <f>IFERROR(__xludf.DUMMYFUNCTION("""COMPUTED_VALUE"""),"Jump Game V")</f>
        <v>Jump Game V</v>
      </c>
      <c r="C1341" s="23" t="str">
        <f>IFERROR(__xludf.DUMMYFUNCTION("""COMPUTED_VALUE"""),"jump-game-v")</f>
        <v>jump-game-v</v>
      </c>
      <c r="D1341" s="23" t="b">
        <f>IFERROR(__xludf.DUMMYFUNCTION("""COMPUTED_VALUE"""),FALSE)</f>
        <v>0</v>
      </c>
      <c r="E1341" s="23" t="str">
        <f>IFERROR(__xludf.DUMMYFUNCTION("""COMPUTED_VALUE"""),"Hard")</f>
        <v>Hard</v>
      </c>
      <c r="F1341" s="23">
        <f>IFERROR(__xludf.DUMMYFUNCTION("""COMPUTED_VALUE"""),653.0)</f>
        <v>653</v>
      </c>
      <c r="G1341" s="23">
        <f>IFERROR(__xludf.DUMMYFUNCTION("""COMPUTED_VALUE"""),22.0)</f>
        <v>22</v>
      </c>
      <c r="H1341" s="23" t="str">
        <f>IFERROR(__xludf.DUMMYFUNCTION("""COMPUTED_VALUE"""),"Algorithms")</f>
        <v>Algorithms</v>
      </c>
      <c r="I1341" s="23">
        <f>IFERROR(__xludf.DUMMYFUNCTION("""COMPUTED_VALUE"""),0.621)</f>
        <v>0.621</v>
      </c>
      <c r="J1341" s="23">
        <f>IFERROR(__xludf.DUMMYFUNCTION("""COMPUTED_VALUE"""),1340.0)</f>
        <v>1340</v>
      </c>
      <c r="K1341" s="23" t="b">
        <f>IFERROR(__xludf.DUMMYFUNCTION("""COMPUTED_VALUE"""),FALSE)</f>
        <v>0</v>
      </c>
      <c r="L1341" s="23" t="str">
        <f>IFERROR(__xludf.DUMMYFUNCTION("""COMPUTED_VALUE"""),"Array;Dynamic Programming;Sorting;")</f>
        <v>Array;Dynamic Programming;Sorting;</v>
      </c>
      <c r="M1341" s="23" t="b">
        <f>IFERROR(__xludf.DUMMYFUNCTION("""COMPUTED_VALUE"""),FALSE)</f>
        <v>0</v>
      </c>
      <c r="N1341" s="23" t="b">
        <f>IFERROR(__xludf.DUMMYFUNCTION("""COMPUTED_VALUE"""),FALSE)</f>
        <v>0</v>
      </c>
      <c r="O1341" s="23">
        <f>IFERROR(__xludf.DUMMYFUNCTION("""COMPUTED_VALUE"""),62.1482864381917)</f>
        <v>62.14828644</v>
      </c>
      <c r="P1341" s="23">
        <f>IFERROR(__xludf.DUMMYFUNCTION("""COMPUTED_VALUE"""),18642.0)</f>
        <v>18642</v>
      </c>
      <c r="Q1341" s="23">
        <f>IFERROR(__xludf.DUMMYFUNCTION("""COMPUTED_VALUE"""),29996.0)</f>
        <v>29996</v>
      </c>
    </row>
    <row r="1342">
      <c r="A1342" s="23">
        <f>IFERROR(__xludf.DUMMYFUNCTION("""COMPUTED_VALUE"""),1480.0)</f>
        <v>1480</v>
      </c>
      <c r="B1342" s="23" t="str">
        <f>IFERROR(__xludf.DUMMYFUNCTION("""COMPUTED_VALUE"""),"Movie Rating")</f>
        <v>Movie Rating</v>
      </c>
      <c r="C1342" s="23" t="str">
        <f>IFERROR(__xludf.DUMMYFUNCTION("""COMPUTED_VALUE"""),"movie-rating")</f>
        <v>movie-rating</v>
      </c>
      <c r="D1342" s="23" t="b">
        <f>IFERROR(__xludf.DUMMYFUNCTION("""COMPUTED_VALUE"""),TRUE)</f>
        <v>1</v>
      </c>
      <c r="E1342" s="23" t="str">
        <f>IFERROR(__xludf.DUMMYFUNCTION("""COMPUTED_VALUE"""),"Medium")</f>
        <v>Medium</v>
      </c>
      <c r="F1342" s="23">
        <f>IFERROR(__xludf.DUMMYFUNCTION("""COMPUTED_VALUE"""),94.0)</f>
        <v>94</v>
      </c>
      <c r="G1342" s="23">
        <f>IFERROR(__xludf.DUMMYFUNCTION("""COMPUTED_VALUE"""),64.0)</f>
        <v>64</v>
      </c>
      <c r="H1342" s="23" t="str">
        <f>IFERROR(__xludf.DUMMYFUNCTION("""COMPUTED_VALUE"""),"Database")</f>
        <v>Database</v>
      </c>
      <c r="I1342" s="23">
        <f>IFERROR(__xludf.DUMMYFUNCTION("""COMPUTED_VALUE"""),0.581)</f>
        <v>0.581</v>
      </c>
      <c r="J1342" s="23">
        <f>IFERROR(__xludf.DUMMYFUNCTION("""COMPUTED_VALUE"""),1341.0)</f>
        <v>1341</v>
      </c>
      <c r="K1342" s="23" t="b">
        <f>IFERROR(__xludf.DUMMYFUNCTION("""COMPUTED_VALUE"""),TRUE)</f>
        <v>1</v>
      </c>
      <c r="L1342" s="23" t="str">
        <f>IFERROR(__xludf.DUMMYFUNCTION("""COMPUTED_VALUE"""),"Database;")</f>
        <v>Database;</v>
      </c>
      <c r="M1342" s="23" t="b">
        <f>IFERROR(__xludf.DUMMYFUNCTION("""COMPUTED_VALUE"""),FALSE)</f>
        <v>0</v>
      </c>
      <c r="N1342" s="23" t="b">
        <f>IFERROR(__xludf.DUMMYFUNCTION("""COMPUTED_VALUE"""),FALSE)</f>
        <v>0</v>
      </c>
      <c r="O1342" s="23">
        <f>IFERROR(__xludf.DUMMYFUNCTION("""COMPUTED_VALUE"""),58.107818198535)</f>
        <v>58.1078182</v>
      </c>
      <c r="P1342" s="23">
        <f>IFERROR(__xludf.DUMMYFUNCTION("""COMPUTED_VALUE"""),18960.0)</f>
        <v>18960</v>
      </c>
      <c r="Q1342" s="23">
        <f>IFERROR(__xludf.DUMMYFUNCTION("""COMPUTED_VALUE"""),32629.0)</f>
        <v>32629</v>
      </c>
    </row>
    <row r="1343">
      <c r="A1343" s="23">
        <f>IFERROR(__xludf.DUMMYFUNCTION("""COMPUTED_VALUE"""),1444.0)</f>
        <v>1444</v>
      </c>
      <c r="B1343" s="23" t="str">
        <f>IFERROR(__xludf.DUMMYFUNCTION("""COMPUTED_VALUE"""),"Number of Steps to Reduce a Number to Zero")</f>
        <v>Number of Steps to Reduce a Number to Zero</v>
      </c>
      <c r="C1343" s="23" t="str">
        <f>IFERROR(__xludf.DUMMYFUNCTION("""COMPUTED_VALUE"""),"number-of-steps-to-reduce-a-number-to-zero")</f>
        <v>number-of-steps-to-reduce-a-number-to-zero</v>
      </c>
      <c r="D1343" s="23" t="b">
        <f>IFERROR(__xludf.DUMMYFUNCTION("""COMPUTED_VALUE"""),FALSE)</f>
        <v>0</v>
      </c>
      <c r="E1343" s="23" t="str">
        <f>IFERROR(__xludf.DUMMYFUNCTION("""COMPUTED_VALUE"""),"Easy")</f>
        <v>Easy</v>
      </c>
      <c r="F1343" s="23">
        <f>IFERROR(__xludf.DUMMYFUNCTION("""COMPUTED_VALUE"""),1607.0)</f>
        <v>1607</v>
      </c>
      <c r="G1343" s="23">
        <f>IFERROR(__xludf.DUMMYFUNCTION("""COMPUTED_VALUE"""),106.0)</f>
        <v>106</v>
      </c>
      <c r="H1343" s="23" t="str">
        <f>IFERROR(__xludf.DUMMYFUNCTION("""COMPUTED_VALUE"""),"Algorithms")</f>
        <v>Algorithms</v>
      </c>
      <c r="I1343" s="23">
        <f>IFERROR(__xludf.DUMMYFUNCTION("""COMPUTED_VALUE"""),0.856)</f>
        <v>0.856</v>
      </c>
      <c r="J1343" s="23">
        <f>IFERROR(__xludf.DUMMYFUNCTION("""COMPUTED_VALUE"""),1342.0)</f>
        <v>1342</v>
      </c>
      <c r="K1343" s="23" t="b">
        <f>IFERROR(__xludf.DUMMYFUNCTION("""COMPUTED_VALUE"""),FALSE)</f>
        <v>0</v>
      </c>
      <c r="L1343" s="23" t="str">
        <f>IFERROR(__xludf.DUMMYFUNCTION("""COMPUTED_VALUE"""),"Math;Bit Manipulation;")</f>
        <v>Math;Bit Manipulation;</v>
      </c>
      <c r="M1343" s="23" t="b">
        <f>IFERROR(__xludf.DUMMYFUNCTION("""COMPUTED_VALUE"""),TRUE)</f>
        <v>1</v>
      </c>
      <c r="N1343" s="23" t="b">
        <f>IFERROR(__xludf.DUMMYFUNCTION("""COMPUTED_VALUE"""),FALSE)</f>
        <v>0</v>
      </c>
      <c r="O1343" s="23">
        <f>IFERROR(__xludf.DUMMYFUNCTION("""COMPUTED_VALUE"""),85.5917903162499)</f>
        <v>85.59179032</v>
      </c>
      <c r="P1343" s="23">
        <f>IFERROR(__xludf.DUMMYFUNCTION("""COMPUTED_VALUE"""),255138.0)</f>
        <v>255138</v>
      </c>
      <c r="Q1343" s="23">
        <f>IFERROR(__xludf.DUMMYFUNCTION("""COMPUTED_VALUE"""),298087.0)</f>
        <v>298087</v>
      </c>
    </row>
    <row r="1344">
      <c r="A1344" s="23">
        <f>IFERROR(__xludf.DUMMYFUNCTION("""COMPUTED_VALUE"""),1445.0)</f>
        <v>1445</v>
      </c>
      <c r="B1344" s="23" t="str">
        <f>IFERROR(__xludf.DUMMYFUNCTION("""COMPUTED_VALUE"""),"Number of Sub-arrays of Size K and Average Greater than or Equal to Threshold")</f>
        <v>Number of Sub-arrays of Size K and Average Greater than or Equal to Threshold</v>
      </c>
      <c r="C1344" s="23" t="str">
        <f>IFERROR(__xludf.DUMMYFUNCTION("""COMPUTED_VALUE"""),"number-of-sub-arrays-of-size-k-and-average-greater-than-or-equal-to-threshold")</f>
        <v>number-of-sub-arrays-of-size-k-and-average-greater-than-or-equal-to-threshold</v>
      </c>
      <c r="D1344" s="23" t="b">
        <f>IFERROR(__xludf.DUMMYFUNCTION("""COMPUTED_VALUE"""),FALSE)</f>
        <v>0</v>
      </c>
      <c r="E1344" s="23" t="str">
        <f>IFERROR(__xludf.DUMMYFUNCTION("""COMPUTED_VALUE"""),"Medium")</f>
        <v>Medium</v>
      </c>
      <c r="F1344" s="23">
        <f>IFERROR(__xludf.DUMMYFUNCTION("""COMPUTED_VALUE"""),595.0)</f>
        <v>595</v>
      </c>
      <c r="G1344" s="23">
        <f>IFERROR(__xludf.DUMMYFUNCTION("""COMPUTED_VALUE"""),58.0)</f>
        <v>58</v>
      </c>
      <c r="H1344" s="23" t="str">
        <f>IFERROR(__xludf.DUMMYFUNCTION("""COMPUTED_VALUE"""),"Algorithms")</f>
        <v>Algorithms</v>
      </c>
      <c r="I1344" s="23">
        <f>IFERROR(__xludf.DUMMYFUNCTION("""COMPUTED_VALUE"""),0.679)</f>
        <v>0.679</v>
      </c>
      <c r="J1344" s="23">
        <f>IFERROR(__xludf.DUMMYFUNCTION("""COMPUTED_VALUE"""),1343.0)</f>
        <v>1343</v>
      </c>
      <c r="K1344" s="23" t="b">
        <f>IFERROR(__xludf.DUMMYFUNCTION("""COMPUTED_VALUE"""),FALSE)</f>
        <v>0</v>
      </c>
      <c r="L1344" s="23" t="str">
        <f>IFERROR(__xludf.DUMMYFUNCTION("""COMPUTED_VALUE"""),"Array;Sliding Window;")</f>
        <v>Array;Sliding Window;</v>
      </c>
      <c r="M1344" s="23" t="b">
        <f>IFERROR(__xludf.DUMMYFUNCTION("""COMPUTED_VALUE"""),FALSE)</f>
        <v>0</v>
      </c>
      <c r="N1344" s="23" t="b">
        <f>IFERROR(__xludf.DUMMYFUNCTION("""COMPUTED_VALUE"""),FALSE)</f>
        <v>0</v>
      </c>
      <c r="O1344" s="23">
        <f>IFERROR(__xludf.DUMMYFUNCTION("""COMPUTED_VALUE"""),67.8835271118427)</f>
        <v>67.88352711</v>
      </c>
      <c r="P1344" s="23">
        <f>IFERROR(__xludf.DUMMYFUNCTION("""COMPUTED_VALUE"""),32988.0)</f>
        <v>32988</v>
      </c>
      <c r="Q1344" s="23">
        <f>IFERROR(__xludf.DUMMYFUNCTION("""COMPUTED_VALUE"""),48595.0)</f>
        <v>48595</v>
      </c>
    </row>
    <row r="1345">
      <c r="A1345" s="23">
        <f>IFERROR(__xludf.DUMMYFUNCTION("""COMPUTED_VALUE"""),1446.0)</f>
        <v>1446</v>
      </c>
      <c r="B1345" s="23" t="str">
        <f>IFERROR(__xludf.DUMMYFUNCTION("""COMPUTED_VALUE"""),"Angle Between Hands of a Clock")</f>
        <v>Angle Between Hands of a Clock</v>
      </c>
      <c r="C1345" s="23" t="str">
        <f>IFERROR(__xludf.DUMMYFUNCTION("""COMPUTED_VALUE"""),"angle-between-hands-of-a-clock")</f>
        <v>angle-between-hands-of-a-clock</v>
      </c>
      <c r="D1345" s="23" t="b">
        <f>IFERROR(__xludf.DUMMYFUNCTION("""COMPUTED_VALUE"""),FALSE)</f>
        <v>0</v>
      </c>
      <c r="E1345" s="23" t="str">
        <f>IFERROR(__xludf.DUMMYFUNCTION("""COMPUTED_VALUE"""),"Medium")</f>
        <v>Medium</v>
      </c>
      <c r="F1345" s="23">
        <f>IFERROR(__xludf.DUMMYFUNCTION("""COMPUTED_VALUE"""),922.0)</f>
        <v>922</v>
      </c>
      <c r="G1345" s="23">
        <f>IFERROR(__xludf.DUMMYFUNCTION("""COMPUTED_VALUE"""),195.0)</f>
        <v>195</v>
      </c>
      <c r="H1345" s="23" t="str">
        <f>IFERROR(__xludf.DUMMYFUNCTION("""COMPUTED_VALUE"""),"Algorithms")</f>
        <v>Algorithms</v>
      </c>
      <c r="I1345" s="23">
        <f>IFERROR(__xludf.DUMMYFUNCTION("""COMPUTED_VALUE"""),0.632)</f>
        <v>0.632</v>
      </c>
      <c r="J1345" s="23">
        <f>IFERROR(__xludf.DUMMYFUNCTION("""COMPUTED_VALUE"""),1344.0)</f>
        <v>1344</v>
      </c>
      <c r="K1345" s="23" t="b">
        <f>IFERROR(__xludf.DUMMYFUNCTION("""COMPUTED_VALUE"""),FALSE)</f>
        <v>0</v>
      </c>
      <c r="L1345" s="23" t="str">
        <f>IFERROR(__xludf.DUMMYFUNCTION("""COMPUTED_VALUE"""),"Math;")</f>
        <v>Math;</v>
      </c>
      <c r="M1345" s="23" t="b">
        <f>IFERROR(__xludf.DUMMYFUNCTION("""COMPUTED_VALUE"""),TRUE)</f>
        <v>1</v>
      </c>
      <c r="N1345" s="23" t="b">
        <f>IFERROR(__xludf.DUMMYFUNCTION("""COMPUTED_VALUE"""),FALSE)</f>
        <v>0</v>
      </c>
      <c r="O1345" s="23">
        <f>IFERROR(__xludf.DUMMYFUNCTION("""COMPUTED_VALUE"""),63.2444037730536)</f>
        <v>63.24440377</v>
      </c>
      <c r="P1345" s="23">
        <f>IFERROR(__xludf.DUMMYFUNCTION("""COMPUTED_VALUE"""),89845.0)</f>
        <v>89845</v>
      </c>
      <c r="Q1345" s="23">
        <f>IFERROR(__xludf.DUMMYFUNCTION("""COMPUTED_VALUE"""),142060.0)</f>
        <v>142060</v>
      </c>
    </row>
    <row r="1346">
      <c r="A1346" s="23">
        <f>IFERROR(__xludf.DUMMYFUNCTION("""COMPUTED_VALUE"""),1447.0)</f>
        <v>1447</v>
      </c>
      <c r="B1346" s="23" t="str">
        <f>IFERROR(__xludf.DUMMYFUNCTION("""COMPUTED_VALUE"""),"Jump Game IV")</f>
        <v>Jump Game IV</v>
      </c>
      <c r="C1346" s="23" t="str">
        <f>IFERROR(__xludf.DUMMYFUNCTION("""COMPUTED_VALUE"""),"jump-game-iv")</f>
        <v>jump-game-iv</v>
      </c>
      <c r="D1346" s="23" t="b">
        <f>IFERROR(__xludf.DUMMYFUNCTION("""COMPUTED_VALUE"""),FALSE)</f>
        <v>0</v>
      </c>
      <c r="E1346" s="23" t="str">
        <f>IFERROR(__xludf.DUMMYFUNCTION("""COMPUTED_VALUE"""),"Hard")</f>
        <v>Hard</v>
      </c>
      <c r="F1346" s="23">
        <f>IFERROR(__xludf.DUMMYFUNCTION("""COMPUTED_VALUE"""),1789.0)</f>
        <v>1789</v>
      </c>
      <c r="G1346" s="23">
        <f>IFERROR(__xludf.DUMMYFUNCTION("""COMPUTED_VALUE"""),72.0)</f>
        <v>72</v>
      </c>
      <c r="H1346" s="23" t="str">
        <f>IFERROR(__xludf.DUMMYFUNCTION("""COMPUTED_VALUE"""),"Algorithms")</f>
        <v>Algorithms</v>
      </c>
      <c r="I1346" s="23">
        <f>IFERROR(__xludf.DUMMYFUNCTION("""COMPUTED_VALUE"""),0.444)</f>
        <v>0.444</v>
      </c>
      <c r="J1346" s="23">
        <f>IFERROR(__xludf.DUMMYFUNCTION("""COMPUTED_VALUE"""),1345.0)</f>
        <v>1345</v>
      </c>
      <c r="K1346" s="23" t="b">
        <f>IFERROR(__xludf.DUMMYFUNCTION("""COMPUTED_VALUE"""),FALSE)</f>
        <v>0</v>
      </c>
      <c r="L1346" s="23" t="str">
        <f>IFERROR(__xludf.DUMMYFUNCTION("""COMPUTED_VALUE"""),"Array;Hash Table;Breadth-First Search;")</f>
        <v>Array;Hash Table;Breadth-First Search;</v>
      </c>
      <c r="M1346" s="23" t="b">
        <f>IFERROR(__xludf.DUMMYFUNCTION("""COMPUTED_VALUE"""),TRUE)</f>
        <v>1</v>
      </c>
      <c r="N1346" s="23" t="b">
        <f>IFERROR(__xludf.DUMMYFUNCTION("""COMPUTED_VALUE"""),FALSE)</f>
        <v>0</v>
      </c>
      <c r="O1346" s="23">
        <f>IFERROR(__xludf.DUMMYFUNCTION("""COMPUTED_VALUE"""),44.3822849631507)</f>
        <v>44.38228496</v>
      </c>
      <c r="P1346" s="23">
        <f>IFERROR(__xludf.DUMMYFUNCTION("""COMPUTED_VALUE"""),71242.0)</f>
        <v>71242</v>
      </c>
      <c r="Q1346" s="23">
        <f>IFERROR(__xludf.DUMMYFUNCTION("""COMPUTED_VALUE"""),160519.0)</f>
        <v>160519</v>
      </c>
    </row>
    <row r="1347">
      <c r="A1347" s="23">
        <f>IFERROR(__xludf.DUMMYFUNCTION("""COMPUTED_VALUE"""),1468.0)</f>
        <v>1468</v>
      </c>
      <c r="B1347" s="23" t="str">
        <f>IFERROR(__xludf.DUMMYFUNCTION("""COMPUTED_VALUE"""),"Check If N and Its Double Exist")</f>
        <v>Check If N and Its Double Exist</v>
      </c>
      <c r="C1347" s="23" t="str">
        <f>IFERROR(__xludf.DUMMYFUNCTION("""COMPUTED_VALUE"""),"check-if-n-and-its-double-exist")</f>
        <v>check-if-n-and-its-double-exist</v>
      </c>
      <c r="D1347" s="23" t="b">
        <f>IFERROR(__xludf.DUMMYFUNCTION("""COMPUTED_VALUE"""),FALSE)</f>
        <v>0</v>
      </c>
      <c r="E1347" s="23" t="str">
        <f>IFERROR(__xludf.DUMMYFUNCTION("""COMPUTED_VALUE"""),"Easy")</f>
        <v>Easy</v>
      </c>
      <c r="F1347" s="23">
        <f>IFERROR(__xludf.DUMMYFUNCTION("""COMPUTED_VALUE"""),882.0)</f>
        <v>882</v>
      </c>
      <c r="G1347" s="23">
        <f>IFERROR(__xludf.DUMMYFUNCTION("""COMPUTED_VALUE"""),116.0)</f>
        <v>116</v>
      </c>
      <c r="H1347" s="23" t="str">
        <f>IFERROR(__xludf.DUMMYFUNCTION("""COMPUTED_VALUE"""),"Algorithms")</f>
        <v>Algorithms</v>
      </c>
      <c r="I1347" s="23">
        <f>IFERROR(__xludf.DUMMYFUNCTION("""COMPUTED_VALUE"""),0.356)</f>
        <v>0.356</v>
      </c>
      <c r="J1347" s="23">
        <f>IFERROR(__xludf.DUMMYFUNCTION("""COMPUTED_VALUE"""),1346.0)</f>
        <v>1346</v>
      </c>
      <c r="K1347" s="23" t="b">
        <f>IFERROR(__xludf.DUMMYFUNCTION("""COMPUTED_VALUE"""),FALSE)</f>
        <v>0</v>
      </c>
      <c r="L1347" s="23" t="str">
        <f>IFERROR(__xludf.DUMMYFUNCTION("""COMPUTED_VALUE"""),"Array;Hash Table;Two Pointers;Binary Search;Sorting;")</f>
        <v>Array;Hash Table;Two Pointers;Binary Search;Sorting;</v>
      </c>
      <c r="M1347" s="23" t="b">
        <f>IFERROR(__xludf.DUMMYFUNCTION("""COMPUTED_VALUE"""),FALSE)</f>
        <v>0</v>
      </c>
      <c r="N1347" s="23" t="b">
        <f>IFERROR(__xludf.DUMMYFUNCTION("""COMPUTED_VALUE"""),FALSE)</f>
        <v>0</v>
      </c>
      <c r="O1347" s="23">
        <f>IFERROR(__xludf.DUMMYFUNCTION("""COMPUTED_VALUE"""),35.6360528761554)</f>
        <v>35.63605288</v>
      </c>
      <c r="P1347" s="23">
        <f>IFERROR(__xludf.DUMMYFUNCTION("""COMPUTED_VALUE"""),190564.0)</f>
        <v>190564</v>
      </c>
      <c r="Q1347" s="23">
        <f>IFERROR(__xludf.DUMMYFUNCTION("""COMPUTED_VALUE"""),534746.0)</f>
        <v>534746</v>
      </c>
    </row>
    <row r="1348">
      <c r="A1348" s="23">
        <f>IFERROR(__xludf.DUMMYFUNCTION("""COMPUTED_VALUE"""),1469.0)</f>
        <v>1469</v>
      </c>
      <c r="B1348" s="23" t="str">
        <f>IFERROR(__xludf.DUMMYFUNCTION("""COMPUTED_VALUE"""),"Minimum Number of Steps to Make Two Strings Anagram")</f>
        <v>Minimum Number of Steps to Make Two Strings Anagram</v>
      </c>
      <c r="C1348" s="23" t="str">
        <f>IFERROR(__xludf.DUMMYFUNCTION("""COMPUTED_VALUE"""),"minimum-number-of-steps-to-make-two-strings-anagram")</f>
        <v>minimum-number-of-steps-to-make-two-strings-anagram</v>
      </c>
      <c r="D1348" s="23" t="b">
        <f>IFERROR(__xludf.DUMMYFUNCTION("""COMPUTED_VALUE"""),FALSE)</f>
        <v>0</v>
      </c>
      <c r="E1348" s="23" t="str">
        <f>IFERROR(__xludf.DUMMYFUNCTION("""COMPUTED_VALUE"""),"Medium")</f>
        <v>Medium</v>
      </c>
      <c r="F1348" s="23">
        <f>IFERROR(__xludf.DUMMYFUNCTION("""COMPUTED_VALUE"""),1210.0)</f>
        <v>1210</v>
      </c>
      <c r="G1348" s="23">
        <f>IFERROR(__xludf.DUMMYFUNCTION("""COMPUTED_VALUE"""),56.0)</f>
        <v>56</v>
      </c>
      <c r="H1348" s="23" t="str">
        <f>IFERROR(__xludf.DUMMYFUNCTION("""COMPUTED_VALUE"""),"Algorithms")</f>
        <v>Algorithms</v>
      </c>
      <c r="I1348" s="23">
        <f>IFERROR(__xludf.DUMMYFUNCTION("""COMPUTED_VALUE"""),0.764)</f>
        <v>0.764</v>
      </c>
      <c r="J1348" s="23">
        <f>IFERROR(__xludf.DUMMYFUNCTION("""COMPUTED_VALUE"""),1347.0)</f>
        <v>1347</v>
      </c>
      <c r="K1348" s="23" t="b">
        <f>IFERROR(__xludf.DUMMYFUNCTION("""COMPUTED_VALUE"""),FALSE)</f>
        <v>0</v>
      </c>
      <c r="L1348" s="23" t="str">
        <f>IFERROR(__xludf.DUMMYFUNCTION("""COMPUTED_VALUE"""),"Hash Table;String;Counting;")</f>
        <v>Hash Table;String;Counting;</v>
      </c>
      <c r="M1348" s="23" t="b">
        <f>IFERROR(__xludf.DUMMYFUNCTION("""COMPUTED_VALUE"""),FALSE)</f>
        <v>0</v>
      </c>
      <c r="N1348" s="23" t="b">
        <f>IFERROR(__xludf.DUMMYFUNCTION("""COMPUTED_VALUE"""),FALSE)</f>
        <v>0</v>
      </c>
      <c r="O1348" s="23">
        <f>IFERROR(__xludf.DUMMYFUNCTION("""COMPUTED_VALUE"""),76.3510495757034)</f>
        <v>76.35104958</v>
      </c>
      <c r="P1348" s="23">
        <f>IFERROR(__xludf.DUMMYFUNCTION("""COMPUTED_VALUE"""),88892.0)</f>
        <v>88892</v>
      </c>
      <c r="Q1348" s="23">
        <f>IFERROR(__xludf.DUMMYFUNCTION("""COMPUTED_VALUE"""),116426.0)</f>
        <v>116426</v>
      </c>
    </row>
    <row r="1349">
      <c r="A1349" s="23">
        <f>IFERROR(__xludf.DUMMYFUNCTION("""COMPUTED_VALUE"""),1470.0)</f>
        <v>1470</v>
      </c>
      <c r="B1349" s="23" t="str">
        <f>IFERROR(__xludf.DUMMYFUNCTION("""COMPUTED_VALUE"""),"Tweet Counts Per Frequency")</f>
        <v>Tweet Counts Per Frequency</v>
      </c>
      <c r="C1349" s="23" t="str">
        <f>IFERROR(__xludf.DUMMYFUNCTION("""COMPUTED_VALUE"""),"tweet-counts-per-frequency")</f>
        <v>tweet-counts-per-frequency</v>
      </c>
      <c r="D1349" s="23" t="b">
        <f>IFERROR(__xludf.DUMMYFUNCTION("""COMPUTED_VALUE"""),FALSE)</f>
        <v>0</v>
      </c>
      <c r="E1349" s="23" t="str">
        <f>IFERROR(__xludf.DUMMYFUNCTION("""COMPUTED_VALUE"""),"Medium")</f>
        <v>Medium</v>
      </c>
      <c r="F1349" s="23">
        <f>IFERROR(__xludf.DUMMYFUNCTION("""COMPUTED_VALUE"""),108.0)</f>
        <v>108</v>
      </c>
      <c r="G1349" s="23">
        <f>IFERROR(__xludf.DUMMYFUNCTION("""COMPUTED_VALUE"""),202.0)</f>
        <v>202</v>
      </c>
      <c r="H1349" s="23" t="str">
        <f>IFERROR(__xludf.DUMMYFUNCTION("""COMPUTED_VALUE"""),"Algorithms")</f>
        <v>Algorithms</v>
      </c>
      <c r="I1349" s="23">
        <f>IFERROR(__xludf.DUMMYFUNCTION("""COMPUTED_VALUE"""),0.43)</f>
        <v>0.43</v>
      </c>
      <c r="J1349" s="23">
        <f>IFERROR(__xludf.DUMMYFUNCTION("""COMPUTED_VALUE"""),1348.0)</f>
        <v>1348</v>
      </c>
      <c r="K1349" s="23" t="b">
        <f>IFERROR(__xludf.DUMMYFUNCTION("""COMPUTED_VALUE"""),FALSE)</f>
        <v>0</v>
      </c>
      <c r="L1349" s="23" t="str">
        <f>IFERROR(__xludf.DUMMYFUNCTION("""COMPUTED_VALUE"""),"Hash Table;Binary Search;Design;Sorting;Ordered Set;")</f>
        <v>Hash Table;Binary Search;Design;Sorting;Ordered Set;</v>
      </c>
      <c r="M1349" s="23" t="b">
        <f>IFERROR(__xludf.DUMMYFUNCTION("""COMPUTED_VALUE"""),FALSE)</f>
        <v>0</v>
      </c>
      <c r="N1349" s="23" t="b">
        <f>IFERROR(__xludf.DUMMYFUNCTION("""COMPUTED_VALUE"""),FALSE)</f>
        <v>0</v>
      </c>
      <c r="O1349" s="23">
        <f>IFERROR(__xludf.DUMMYFUNCTION("""COMPUTED_VALUE"""),43.0384208671131)</f>
        <v>43.03842087</v>
      </c>
      <c r="P1349" s="23">
        <f>IFERROR(__xludf.DUMMYFUNCTION("""COMPUTED_VALUE"""),26862.0)</f>
        <v>26862</v>
      </c>
      <c r="Q1349" s="23">
        <f>IFERROR(__xludf.DUMMYFUNCTION("""COMPUTED_VALUE"""),62414.0)</f>
        <v>62414</v>
      </c>
    </row>
    <row r="1350">
      <c r="A1350" s="23">
        <f>IFERROR(__xludf.DUMMYFUNCTION("""COMPUTED_VALUE"""),1471.0)</f>
        <v>1471</v>
      </c>
      <c r="B1350" s="23" t="str">
        <f>IFERROR(__xludf.DUMMYFUNCTION("""COMPUTED_VALUE"""),"Maximum Students Taking Exam")</f>
        <v>Maximum Students Taking Exam</v>
      </c>
      <c r="C1350" s="23" t="str">
        <f>IFERROR(__xludf.DUMMYFUNCTION("""COMPUTED_VALUE"""),"maximum-students-taking-exam")</f>
        <v>maximum-students-taking-exam</v>
      </c>
      <c r="D1350" s="23" t="b">
        <f>IFERROR(__xludf.DUMMYFUNCTION("""COMPUTED_VALUE"""),FALSE)</f>
        <v>0</v>
      </c>
      <c r="E1350" s="23" t="str">
        <f>IFERROR(__xludf.DUMMYFUNCTION("""COMPUTED_VALUE"""),"Hard")</f>
        <v>Hard</v>
      </c>
      <c r="F1350" s="23">
        <f>IFERROR(__xludf.DUMMYFUNCTION("""COMPUTED_VALUE"""),558.0)</f>
        <v>558</v>
      </c>
      <c r="G1350" s="23">
        <f>IFERROR(__xludf.DUMMYFUNCTION("""COMPUTED_VALUE"""),11.0)</f>
        <v>11</v>
      </c>
      <c r="H1350" s="23" t="str">
        <f>IFERROR(__xludf.DUMMYFUNCTION("""COMPUTED_VALUE"""),"Algorithms")</f>
        <v>Algorithms</v>
      </c>
      <c r="I1350" s="23">
        <f>IFERROR(__xludf.DUMMYFUNCTION("""COMPUTED_VALUE"""),0.468)</f>
        <v>0.468</v>
      </c>
      <c r="J1350" s="23">
        <f>IFERROR(__xludf.DUMMYFUNCTION("""COMPUTED_VALUE"""),1349.0)</f>
        <v>1349</v>
      </c>
      <c r="K1350" s="23" t="b">
        <f>IFERROR(__xludf.DUMMYFUNCTION("""COMPUTED_VALUE"""),FALSE)</f>
        <v>0</v>
      </c>
      <c r="L1350" s="23" t="str">
        <f>IFERROR(__xludf.DUMMYFUNCTION("""COMPUTED_VALUE"""),"Array;Dynamic Programming;Bit Manipulation;Matrix;Bitmask;")</f>
        <v>Array;Dynamic Programming;Bit Manipulation;Matrix;Bitmask;</v>
      </c>
      <c r="M1350" s="23" t="b">
        <f>IFERROR(__xludf.DUMMYFUNCTION("""COMPUTED_VALUE"""),FALSE)</f>
        <v>0</v>
      </c>
      <c r="N1350" s="23" t="b">
        <f>IFERROR(__xludf.DUMMYFUNCTION("""COMPUTED_VALUE"""),FALSE)</f>
        <v>0</v>
      </c>
      <c r="O1350" s="23">
        <f>IFERROR(__xludf.DUMMYFUNCTION("""COMPUTED_VALUE"""),46.8466776238553)</f>
        <v>46.84667762</v>
      </c>
      <c r="P1350" s="23">
        <f>IFERROR(__xludf.DUMMYFUNCTION("""COMPUTED_VALUE"""),9976.0)</f>
        <v>9976</v>
      </c>
      <c r="Q1350" s="23">
        <f>IFERROR(__xludf.DUMMYFUNCTION("""COMPUTED_VALUE"""),21295.0)</f>
        <v>21295</v>
      </c>
    </row>
    <row r="1351">
      <c r="A1351" s="23">
        <f>IFERROR(__xludf.DUMMYFUNCTION("""COMPUTED_VALUE"""),1481.0)</f>
        <v>1481</v>
      </c>
      <c r="B1351" s="23" t="str">
        <f>IFERROR(__xludf.DUMMYFUNCTION("""COMPUTED_VALUE"""),"Students With Invalid Departments")</f>
        <v>Students With Invalid Departments</v>
      </c>
      <c r="C1351" s="23" t="str">
        <f>IFERROR(__xludf.DUMMYFUNCTION("""COMPUTED_VALUE"""),"students-with-invalid-departments")</f>
        <v>students-with-invalid-departments</v>
      </c>
      <c r="D1351" s="23" t="b">
        <f>IFERROR(__xludf.DUMMYFUNCTION("""COMPUTED_VALUE"""),TRUE)</f>
        <v>1</v>
      </c>
      <c r="E1351" s="23" t="str">
        <f>IFERROR(__xludf.DUMMYFUNCTION("""COMPUTED_VALUE"""),"Easy")</f>
        <v>Easy</v>
      </c>
      <c r="F1351" s="23">
        <f>IFERROR(__xludf.DUMMYFUNCTION("""COMPUTED_VALUE"""),132.0)</f>
        <v>132</v>
      </c>
      <c r="G1351" s="23">
        <f>IFERROR(__xludf.DUMMYFUNCTION("""COMPUTED_VALUE"""),7.0)</f>
        <v>7</v>
      </c>
      <c r="H1351" s="23" t="str">
        <f>IFERROR(__xludf.DUMMYFUNCTION("""COMPUTED_VALUE"""),"Database")</f>
        <v>Database</v>
      </c>
      <c r="I1351" s="23">
        <f>IFERROR(__xludf.DUMMYFUNCTION("""COMPUTED_VALUE"""),0.905)</f>
        <v>0.905</v>
      </c>
      <c r="J1351" s="23">
        <f>IFERROR(__xludf.DUMMYFUNCTION("""COMPUTED_VALUE"""),1350.0)</f>
        <v>1350</v>
      </c>
      <c r="K1351" s="23" t="b">
        <f>IFERROR(__xludf.DUMMYFUNCTION("""COMPUTED_VALUE"""),TRUE)</f>
        <v>1</v>
      </c>
      <c r="L1351" s="23" t="str">
        <f>IFERROR(__xludf.DUMMYFUNCTION("""COMPUTED_VALUE"""),"Database;")</f>
        <v>Database;</v>
      </c>
      <c r="M1351" s="23" t="b">
        <f>IFERROR(__xludf.DUMMYFUNCTION("""COMPUTED_VALUE"""),FALSE)</f>
        <v>0</v>
      </c>
      <c r="N1351" s="23" t="b">
        <f>IFERROR(__xludf.DUMMYFUNCTION("""COMPUTED_VALUE"""),FALSE)</f>
        <v>0</v>
      </c>
      <c r="O1351" s="23">
        <f>IFERROR(__xludf.DUMMYFUNCTION("""COMPUTED_VALUE"""),90.4760813257844)</f>
        <v>90.47608133</v>
      </c>
      <c r="P1351" s="23">
        <f>IFERROR(__xludf.DUMMYFUNCTION("""COMPUTED_VALUE"""),39472.0)</f>
        <v>39472</v>
      </c>
      <c r="Q1351" s="23">
        <f>IFERROR(__xludf.DUMMYFUNCTION("""COMPUTED_VALUE"""),43627.0)</f>
        <v>43627</v>
      </c>
    </row>
    <row r="1352">
      <c r="A1352" s="23">
        <f>IFERROR(__xludf.DUMMYFUNCTION("""COMPUTED_VALUE"""),1476.0)</f>
        <v>1476</v>
      </c>
      <c r="B1352" s="23" t="str">
        <f>IFERROR(__xludf.DUMMYFUNCTION("""COMPUTED_VALUE"""),"Count Negative Numbers in a Sorted Matrix")</f>
        <v>Count Negative Numbers in a Sorted Matrix</v>
      </c>
      <c r="C1352" s="23" t="str">
        <f>IFERROR(__xludf.DUMMYFUNCTION("""COMPUTED_VALUE"""),"count-negative-numbers-in-a-sorted-matrix")</f>
        <v>count-negative-numbers-in-a-sorted-matrix</v>
      </c>
      <c r="D1352" s="23" t="b">
        <f>IFERROR(__xludf.DUMMYFUNCTION("""COMPUTED_VALUE"""),FALSE)</f>
        <v>0</v>
      </c>
      <c r="E1352" s="23" t="str">
        <f>IFERROR(__xludf.DUMMYFUNCTION("""COMPUTED_VALUE"""),"Easy")</f>
        <v>Easy</v>
      </c>
      <c r="F1352" s="23">
        <f>IFERROR(__xludf.DUMMYFUNCTION("""COMPUTED_VALUE"""),2133.0)</f>
        <v>2133</v>
      </c>
      <c r="G1352" s="23">
        <f>IFERROR(__xludf.DUMMYFUNCTION("""COMPUTED_VALUE"""),71.0)</f>
        <v>71</v>
      </c>
      <c r="H1352" s="23" t="str">
        <f>IFERROR(__xludf.DUMMYFUNCTION("""COMPUTED_VALUE"""),"Algorithms")</f>
        <v>Algorithms</v>
      </c>
      <c r="I1352" s="23">
        <f>IFERROR(__xludf.DUMMYFUNCTION("""COMPUTED_VALUE"""),0.752)</f>
        <v>0.752</v>
      </c>
      <c r="J1352" s="23">
        <f>IFERROR(__xludf.DUMMYFUNCTION("""COMPUTED_VALUE"""),1351.0)</f>
        <v>1351</v>
      </c>
      <c r="K1352" s="23" t="b">
        <f>IFERROR(__xludf.DUMMYFUNCTION("""COMPUTED_VALUE"""),FALSE)</f>
        <v>0</v>
      </c>
      <c r="L1352" s="23" t="str">
        <f>IFERROR(__xludf.DUMMYFUNCTION("""COMPUTED_VALUE"""),"Array;Binary Search;Matrix;")</f>
        <v>Array;Binary Search;Matrix;</v>
      </c>
      <c r="M1352" s="23" t="b">
        <f>IFERROR(__xludf.DUMMYFUNCTION("""COMPUTED_VALUE"""),FALSE)</f>
        <v>0</v>
      </c>
      <c r="N1352" s="23" t="b">
        <f>IFERROR(__xludf.DUMMYFUNCTION("""COMPUTED_VALUE"""),FALSE)</f>
        <v>0</v>
      </c>
      <c r="O1352" s="23">
        <f>IFERROR(__xludf.DUMMYFUNCTION("""COMPUTED_VALUE"""),75.185548982729)</f>
        <v>75.18554898</v>
      </c>
      <c r="P1352" s="23">
        <f>IFERROR(__xludf.DUMMYFUNCTION("""COMPUTED_VALUE"""),170693.0)</f>
        <v>170693</v>
      </c>
      <c r="Q1352" s="23">
        <f>IFERROR(__xludf.DUMMYFUNCTION("""COMPUTED_VALUE"""),227029.0)</f>
        <v>227029</v>
      </c>
    </row>
    <row r="1353">
      <c r="A1353" s="23">
        <f>IFERROR(__xludf.DUMMYFUNCTION("""COMPUTED_VALUE"""),1477.0)</f>
        <v>1477</v>
      </c>
      <c r="B1353" s="23" t="str">
        <f>IFERROR(__xludf.DUMMYFUNCTION("""COMPUTED_VALUE"""),"Product of the Last K Numbers")</f>
        <v>Product of the Last K Numbers</v>
      </c>
      <c r="C1353" s="23" t="str">
        <f>IFERROR(__xludf.DUMMYFUNCTION("""COMPUTED_VALUE"""),"product-of-the-last-k-numbers")</f>
        <v>product-of-the-last-k-numbers</v>
      </c>
      <c r="D1353" s="23" t="b">
        <f>IFERROR(__xludf.DUMMYFUNCTION("""COMPUTED_VALUE"""),FALSE)</f>
        <v>0</v>
      </c>
      <c r="E1353" s="23" t="str">
        <f>IFERROR(__xludf.DUMMYFUNCTION("""COMPUTED_VALUE"""),"Medium")</f>
        <v>Medium</v>
      </c>
      <c r="F1353" s="23">
        <f>IFERROR(__xludf.DUMMYFUNCTION("""COMPUTED_VALUE"""),881.0)</f>
        <v>881</v>
      </c>
      <c r="G1353" s="23">
        <f>IFERROR(__xludf.DUMMYFUNCTION("""COMPUTED_VALUE"""),49.0)</f>
        <v>49</v>
      </c>
      <c r="H1353" s="23" t="str">
        <f>IFERROR(__xludf.DUMMYFUNCTION("""COMPUTED_VALUE"""),"Algorithms")</f>
        <v>Algorithms</v>
      </c>
      <c r="I1353" s="23">
        <f>IFERROR(__xludf.DUMMYFUNCTION("""COMPUTED_VALUE"""),0.478)</f>
        <v>0.478</v>
      </c>
      <c r="J1353" s="23">
        <f>IFERROR(__xludf.DUMMYFUNCTION("""COMPUTED_VALUE"""),1352.0)</f>
        <v>1352</v>
      </c>
      <c r="K1353" s="23" t="b">
        <f>IFERROR(__xludf.DUMMYFUNCTION("""COMPUTED_VALUE"""),FALSE)</f>
        <v>0</v>
      </c>
      <c r="L1353" s="23" t="str">
        <f>IFERROR(__xludf.DUMMYFUNCTION("""COMPUTED_VALUE"""),"Array;Math;Design;Queue;Data Stream;")</f>
        <v>Array;Math;Design;Queue;Data Stream;</v>
      </c>
      <c r="M1353" s="23" t="b">
        <f>IFERROR(__xludf.DUMMYFUNCTION("""COMPUTED_VALUE"""),FALSE)</f>
        <v>0</v>
      </c>
      <c r="N1353" s="23" t="b">
        <f>IFERROR(__xludf.DUMMYFUNCTION("""COMPUTED_VALUE"""),FALSE)</f>
        <v>0</v>
      </c>
      <c r="O1353" s="23">
        <f>IFERROR(__xludf.DUMMYFUNCTION("""COMPUTED_VALUE"""),47.8306045657678)</f>
        <v>47.83060457</v>
      </c>
      <c r="P1353" s="23">
        <f>IFERROR(__xludf.DUMMYFUNCTION("""COMPUTED_VALUE"""),47414.0)</f>
        <v>47414</v>
      </c>
      <c r="Q1353" s="23">
        <f>IFERROR(__xludf.DUMMYFUNCTION("""COMPUTED_VALUE"""),99129.0)</f>
        <v>99129</v>
      </c>
    </row>
    <row r="1354">
      <c r="A1354" s="23">
        <f>IFERROR(__xludf.DUMMYFUNCTION("""COMPUTED_VALUE"""),1478.0)</f>
        <v>1478</v>
      </c>
      <c r="B1354" s="23" t="str">
        <f>IFERROR(__xludf.DUMMYFUNCTION("""COMPUTED_VALUE"""),"Maximum Number of Events That Can Be Attended")</f>
        <v>Maximum Number of Events That Can Be Attended</v>
      </c>
      <c r="C1354" s="23" t="str">
        <f>IFERROR(__xludf.DUMMYFUNCTION("""COMPUTED_VALUE"""),"maximum-number-of-events-that-can-be-attended")</f>
        <v>maximum-number-of-events-that-can-be-attended</v>
      </c>
      <c r="D1354" s="23" t="b">
        <f>IFERROR(__xludf.DUMMYFUNCTION("""COMPUTED_VALUE"""),FALSE)</f>
        <v>0</v>
      </c>
      <c r="E1354" s="23" t="str">
        <f>IFERROR(__xludf.DUMMYFUNCTION("""COMPUTED_VALUE"""),"Medium")</f>
        <v>Medium</v>
      </c>
      <c r="F1354" s="23">
        <f>IFERROR(__xludf.DUMMYFUNCTION("""COMPUTED_VALUE"""),1765.0)</f>
        <v>1765</v>
      </c>
      <c r="G1354" s="23">
        <f>IFERROR(__xludf.DUMMYFUNCTION("""COMPUTED_VALUE"""),241.0)</f>
        <v>241</v>
      </c>
      <c r="H1354" s="23" t="str">
        <f>IFERROR(__xludf.DUMMYFUNCTION("""COMPUTED_VALUE"""),"Algorithms")</f>
        <v>Algorithms</v>
      </c>
      <c r="I1354" s="23">
        <f>IFERROR(__xludf.DUMMYFUNCTION("""COMPUTED_VALUE"""),0.334)</f>
        <v>0.334</v>
      </c>
      <c r="J1354" s="23">
        <f>IFERROR(__xludf.DUMMYFUNCTION("""COMPUTED_VALUE"""),1353.0)</f>
        <v>1353</v>
      </c>
      <c r="K1354" s="23" t="b">
        <f>IFERROR(__xludf.DUMMYFUNCTION("""COMPUTED_VALUE"""),FALSE)</f>
        <v>0</v>
      </c>
      <c r="L1354" s="23" t="str">
        <f>IFERROR(__xludf.DUMMYFUNCTION("""COMPUTED_VALUE"""),"Array;Greedy;Heap (Priority Queue);")</f>
        <v>Array;Greedy;Heap (Priority Queue);</v>
      </c>
      <c r="M1354" s="23" t="b">
        <f>IFERROR(__xludf.DUMMYFUNCTION("""COMPUTED_VALUE"""),FALSE)</f>
        <v>0</v>
      </c>
      <c r="N1354" s="23" t="b">
        <f>IFERROR(__xludf.DUMMYFUNCTION("""COMPUTED_VALUE"""),FALSE)</f>
        <v>0</v>
      </c>
      <c r="O1354" s="23">
        <f>IFERROR(__xludf.DUMMYFUNCTION("""COMPUTED_VALUE"""),33.4382342295918)</f>
        <v>33.43823423</v>
      </c>
      <c r="P1354" s="23">
        <f>IFERROR(__xludf.DUMMYFUNCTION("""COMPUTED_VALUE"""),54508.0)</f>
        <v>54508</v>
      </c>
      <c r="Q1354" s="23">
        <f>IFERROR(__xludf.DUMMYFUNCTION("""COMPUTED_VALUE"""),163011.0)</f>
        <v>163011</v>
      </c>
    </row>
    <row r="1355">
      <c r="A1355" s="23">
        <f>IFERROR(__xludf.DUMMYFUNCTION("""COMPUTED_VALUE"""),1479.0)</f>
        <v>1479</v>
      </c>
      <c r="B1355" s="23" t="str">
        <f>IFERROR(__xludf.DUMMYFUNCTION("""COMPUTED_VALUE"""),"Construct Target Array With Multiple Sums")</f>
        <v>Construct Target Array With Multiple Sums</v>
      </c>
      <c r="C1355" s="23" t="str">
        <f>IFERROR(__xludf.DUMMYFUNCTION("""COMPUTED_VALUE"""),"construct-target-array-with-multiple-sums")</f>
        <v>construct-target-array-with-multiple-sums</v>
      </c>
      <c r="D1355" s="23" t="b">
        <f>IFERROR(__xludf.DUMMYFUNCTION("""COMPUTED_VALUE"""),FALSE)</f>
        <v>0</v>
      </c>
      <c r="E1355" s="23" t="str">
        <f>IFERROR(__xludf.DUMMYFUNCTION("""COMPUTED_VALUE"""),"Hard")</f>
        <v>Hard</v>
      </c>
      <c r="F1355" s="23">
        <f>IFERROR(__xludf.DUMMYFUNCTION("""COMPUTED_VALUE"""),644.0)</f>
        <v>644</v>
      </c>
      <c r="G1355" s="23">
        <f>IFERROR(__xludf.DUMMYFUNCTION("""COMPUTED_VALUE"""),74.0)</f>
        <v>74</v>
      </c>
      <c r="H1355" s="23" t="str">
        <f>IFERROR(__xludf.DUMMYFUNCTION("""COMPUTED_VALUE"""),"Algorithms")</f>
        <v>Algorithms</v>
      </c>
      <c r="I1355" s="23">
        <f>IFERROR(__xludf.DUMMYFUNCTION("""COMPUTED_VALUE"""),0.312)</f>
        <v>0.312</v>
      </c>
      <c r="J1355" s="23">
        <f>IFERROR(__xludf.DUMMYFUNCTION("""COMPUTED_VALUE"""),1354.0)</f>
        <v>1354</v>
      </c>
      <c r="K1355" s="23" t="b">
        <f>IFERROR(__xludf.DUMMYFUNCTION("""COMPUTED_VALUE"""),FALSE)</f>
        <v>0</v>
      </c>
      <c r="L1355" s="23" t="str">
        <f>IFERROR(__xludf.DUMMYFUNCTION("""COMPUTED_VALUE"""),"Array;Heap (Priority Queue);")</f>
        <v>Array;Heap (Priority Queue);</v>
      </c>
      <c r="M1355" s="23" t="b">
        <f>IFERROR(__xludf.DUMMYFUNCTION("""COMPUTED_VALUE"""),TRUE)</f>
        <v>1</v>
      </c>
      <c r="N1355" s="23" t="b">
        <f>IFERROR(__xludf.DUMMYFUNCTION("""COMPUTED_VALUE"""),FALSE)</f>
        <v>0</v>
      </c>
      <c r="O1355" s="23">
        <f>IFERROR(__xludf.DUMMYFUNCTION("""COMPUTED_VALUE"""),31.1913286334723)</f>
        <v>31.19132863</v>
      </c>
      <c r="P1355" s="23">
        <f>IFERROR(__xludf.DUMMYFUNCTION("""COMPUTED_VALUE"""),25352.0)</f>
        <v>25352</v>
      </c>
      <c r="Q1355" s="23">
        <f>IFERROR(__xludf.DUMMYFUNCTION("""COMPUTED_VALUE"""),81279.0)</f>
        <v>81279</v>
      </c>
    </row>
    <row r="1356">
      <c r="A1356" s="23">
        <f>IFERROR(__xludf.DUMMYFUNCTION("""COMPUTED_VALUE"""),1494.0)</f>
        <v>1494</v>
      </c>
      <c r="B1356" s="23" t="str">
        <f>IFERROR(__xludf.DUMMYFUNCTION("""COMPUTED_VALUE"""),"Activity Participants")</f>
        <v>Activity Participants</v>
      </c>
      <c r="C1356" s="23" t="str">
        <f>IFERROR(__xludf.DUMMYFUNCTION("""COMPUTED_VALUE"""),"activity-participants")</f>
        <v>activity-participants</v>
      </c>
      <c r="D1356" s="23" t="b">
        <f>IFERROR(__xludf.DUMMYFUNCTION("""COMPUTED_VALUE"""),TRUE)</f>
        <v>1</v>
      </c>
      <c r="E1356" s="23" t="str">
        <f>IFERROR(__xludf.DUMMYFUNCTION("""COMPUTED_VALUE"""),"Medium")</f>
        <v>Medium</v>
      </c>
      <c r="F1356" s="23">
        <f>IFERROR(__xludf.DUMMYFUNCTION("""COMPUTED_VALUE"""),97.0)</f>
        <v>97</v>
      </c>
      <c r="G1356" s="23">
        <f>IFERROR(__xludf.DUMMYFUNCTION("""COMPUTED_VALUE"""),34.0)</f>
        <v>34</v>
      </c>
      <c r="H1356" s="23" t="str">
        <f>IFERROR(__xludf.DUMMYFUNCTION("""COMPUTED_VALUE"""),"Database")</f>
        <v>Database</v>
      </c>
      <c r="I1356" s="23">
        <f>IFERROR(__xludf.DUMMYFUNCTION("""COMPUTED_VALUE"""),0.746)</f>
        <v>0.746</v>
      </c>
      <c r="J1356" s="23">
        <f>IFERROR(__xludf.DUMMYFUNCTION("""COMPUTED_VALUE"""),1355.0)</f>
        <v>1355</v>
      </c>
      <c r="K1356" s="23" t="b">
        <f>IFERROR(__xludf.DUMMYFUNCTION("""COMPUTED_VALUE"""),TRUE)</f>
        <v>1</v>
      </c>
      <c r="L1356" s="23" t="str">
        <f>IFERROR(__xludf.DUMMYFUNCTION("""COMPUTED_VALUE"""),"Database;")</f>
        <v>Database;</v>
      </c>
      <c r="M1356" s="23" t="b">
        <f>IFERROR(__xludf.DUMMYFUNCTION("""COMPUTED_VALUE"""),FALSE)</f>
        <v>0</v>
      </c>
      <c r="N1356" s="23" t="b">
        <f>IFERROR(__xludf.DUMMYFUNCTION("""COMPUTED_VALUE"""),FALSE)</f>
        <v>0</v>
      </c>
      <c r="O1356" s="23">
        <f>IFERROR(__xludf.DUMMYFUNCTION("""COMPUTED_VALUE"""),74.5964101267651)</f>
        <v>74.59641013</v>
      </c>
      <c r="P1356" s="23">
        <f>IFERROR(__xludf.DUMMYFUNCTION("""COMPUTED_VALUE"""),20655.0)</f>
        <v>20655</v>
      </c>
      <c r="Q1356" s="23">
        <f>IFERROR(__xludf.DUMMYFUNCTION("""COMPUTED_VALUE"""),27689.0)</f>
        <v>27689</v>
      </c>
    </row>
    <row r="1357">
      <c r="A1357" s="23">
        <f>IFERROR(__xludf.DUMMYFUNCTION("""COMPUTED_VALUE"""),1458.0)</f>
        <v>1458</v>
      </c>
      <c r="B1357" s="23" t="str">
        <f>IFERROR(__xludf.DUMMYFUNCTION("""COMPUTED_VALUE"""),"Sort Integers by The Number of 1 Bits")</f>
        <v>Sort Integers by The Number of 1 Bits</v>
      </c>
      <c r="C1357" s="23" t="str">
        <f>IFERROR(__xludf.DUMMYFUNCTION("""COMPUTED_VALUE"""),"sort-integers-by-the-number-of-1-bits")</f>
        <v>sort-integers-by-the-number-of-1-bits</v>
      </c>
      <c r="D1357" s="23" t="b">
        <f>IFERROR(__xludf.DUMMYFUNCTION("""COMPUTED_VALUE"""),FALSE)</f>
        <v>0</v>
      </c>
      <c r="E1357" s="23" t="str">
        <f>IFERROR(__xludf.DUMMYFUNCTION("""COMPUTED_VALUE"""),"Easy")</f>
        <v>Easy</v>
      </c>
      <c r="F1357" s="23">
        <f>IFERROR(__xludf.DUMMYFUNCTION("""COMPUTED_VALUE"""),1007.0)</f>
        <v>1007</v>
      </c>
      <c r="G1357" s="23">
        <f>IFERROR(__xludf.DUMMYFUNCTION("""COMPUTED_VALUE"""),45.0)</f>
        <v>45</v>
      </c>
      <c r="H1357" s="23" t="str">
        <f>IFERROR(__xludf.DUMMYFUNCTION("""COMPUTED_VALUE"""),"Algorithms")</f>
        <v>Algorithms</v>
      </c>
      <c r="I1357" s="23">
        <f>IFERROR(__xludf.DUMMYFUNCTION("""COMPUTED_VALUE"""),0.714)</f>
        <v>0.714</v>
      </c>
      <c r="J1357" s="23">
        <f>IFERROR(__xludf.DUMMYFUNCTION("""COMPUTED_VALUE"""),1356.0)</f>
        <v>1356</v>
      </c>
      <c r="K1357" s="23" t="b">
        <f>IFERROR(__xludf.DUMMYFUNCTION("""COMPUTED_VALUE"""),FALSE)</f>
        <v>0</v>
      </c>
      <c r="L1357" s="23" t="str">
        <f>IFERROR(__xludf.DUMMYFUNCTION("""COMPUTED_VALUE"""),"Array;Bit Manipulation;Sorting;Counting;")</f>
        <v>Array;Bit Manipulation;Sorting;Counting;</v>
      </c>
      <c r="M1357" s="23" t="b">
        <f>IFERROR(__xludf.DUMMYFUNCTION("""COMPUTED_VALUE"""),FALSE)</f>
        <v>0</v>
      </c>
      <c r="N1357" s="23" t="b">
        <f>IFERROR(__xludf.DUMMYFUNCTION("""COMPUTED_VALUE"""),FALSE)</f>
        <v>0</v>
      </c>
      <c r="O1357" s="23">
        <f>IFERROR(__xludf.DUMMYFUNCTION("""COMPUTED_VALUE"""),71.3832678948958)</f>
        <v>71.38326789</v>
      </c>
      <c r="P1357" s="23">
        <f>IFERROR(__xludf.DUMMYFUNCTION("""COMPUTED_VALUE"""),66177.0)</f>
        <v>66177</v>
      </c>
      <c r="Q1357" s="23">
        <f>IFERROR(__xludf.DUMMYFUNCTION("""COMPUTED_VALUE"""),92707.0)</f>
        <v>92707</v>
      </c>
    </row>
    <row r="1358">
      <c r="A1358" s="23">
        <f>IFERROR(__xludf.DUMMYFUNCTION("""COMPUTED_VALUE"""),1459.0)</f>
        <v>1459</v>
      </c>
      <c r="B1358" s="23" t="str">
        <f>IFERROR(__xludf.DUMMYFUNCTION("""COMPUTED_VALUE"""),"Apply Discount Every n Orders")</f>
        <v>Apply Discount Every n Orders</v>
      </c>
      <c r="C1358" s="23" t="str">
        <f>IFERROR(__xludf.DUMMYFUNCTION("""COMPUTED_VALUE"""),"apply-discount-every-n-orders")</f>
        <v>apply-discount-every-n-orders</v>
      </c>
      <c r="D1358" s="23" t="b">
        <f>IFERROR(__xludf.DUMMYFUNCTION("""COMPUTED_VALUE"""),FALSE)</f>
        <v>0</v>
      </c>
      <c r="E1358" s="23" t="str">
        <f>IFERROR(__xludf.DUMMYFUNCTION("""COMPUTED_VALUE"""),"Medium")</f>
        <v>Medium</v>
      </c>
      <c r="F1358" s="23">
        <f>IFERROR(__xludf.DUMMYFUNCTION("""COMPUTED_VALUE"""),116.0)</f>
        <v>116</v>
      </c>
      <c r="G1358" s="23">
        <f>IFERROR(__xludf.DUMMYFUNCTION("""COMPUTED_VALUE"""),158.0)</f>
        <v>158</v>
      </c>
      <c r="H1358" s="23" t="str">
        <f>IFERROR(__xludf.DUMMYFUNCTION("""COMPUTED_VALUE"""),"Algorithms")</f>
        <v>Algorithms</v>
      </c>
      <c r="I1358" s="23">
        <f>IFERROR(__xludf.DUMMYFUNCTION("""COMPUTED_VALUE"""),0.689)</f>
        <v>0.689</v>
      </c>
      <c r="J1358" s="23">
        <f>IFERROR(__xludf.DUMMYFUNCTION("""COMPUTED_VALUE"""),1357.0)</f>
        <v>1357</v>
      </c>
      <c r="K1358" s="23" t="b">
        <f>IFERROR(__xludf.DUMMYFUNCTION("""COMPUTED_VALUE"""),FALSE)</f>
        <v>0</v>
      </c>
      <c r="L1358" s="23" t="str">
        <f>IFERROR(__xludf.DUMMYFUNCTION("""COMPUTED_VALUE"""),"Array;Hash Table;Design;")</f>
        <v>Array;Hash Table;Design;</v>
      </c>
      <c r="M1358" s="23" t="b">
        <f>IFERROR(__xludf.DUMMYFUNCTION("""COMPUTED_VALUE"""),FALSE)</f>
        <v>0</v>
      </c>
      <c r="N1358" s="23" t="b">
        <f>IFERROR(__xludf.DUMMYFUNCTION("""COMPUTED_VALUE"""),FALSE)</f>
        <v>0</v>
      </c>
      <c r="O1358" s="23">
        <f>IFERROR(__xludf.DUMMYFUNCTION("""COMPUTED_VALUE"""),68.9464396432489)</f>
        <v>68.94643964</v>
      </c>
      <c r="P1358" s="23">
        <f>IFERROR(__xludf.DUMMYFUNCTION("""COMPUTED_VALUE"""),14456.0)</f>
        <v>14456</v>
      </c>
      <c r="Q1358" s="23">
        <f>IFERROR(__xludf.DUMMYFUNCTION("""COMPUTED_VALUE"""),20967.0)</f>
        <v>20967</v>
      </c>
    </row>
    <row r="1359">
      <c r="A1359" s="23">
        <f>IFERROR(__xludf.DUMMYFUNCTION("""COMPUTED_VALUE"""),1460.0)</f>
        <v>1460</v>
      </c>
      <c r="B1359" s="23" t="str">
        <f>IFERROR(__xludf.DUMMYFUNCTION("""COMPUTED_VALUE"""),"Number of Substrings Containing All Three Characters")</f>
        <v>Number of Substrings Containing All Three Characters</v>
      </c>
      <c r="C1359" s="23" t="str">
        <f>IFERROR(__xludf.DUMMYFUNCTION("""COMPUTED_VALUE"""),"number-of-substrings-containing-all-three-characters")</f>
        <v>number-of-substrings-containing-all-three-characters</v>
      </c>
      <c r="D1359" s="23" t="b">
        <f>IFERROR(__xludf.DUMMYFUNCTION("""COMPUTED_VALUE"""),FALSE)</f>
        <v>0</v>
      </c>
      <c r="E1359" s="23" t="str">
        <f>IFERROR(__xludf.DUMMYFUNCTION("""COMPUTED_VALUE"""),"Medium")</f>
        <v>Medium</v>
      </c>
      <c r="F1359" s="23">
        <f>IFERROR(__xludf.DUMMYFUNCTION("""COMPUTED_VALUE"""),1393.0)</f>
        <v>1393</v>
      </c>
      <c r="G1359" s="23">
        <f>IFERROR(__xludf.DUMMYFUNCTION("""COMPUTED_VALUE"""),25.0)</f>
        <v>25</v>
      </c>
      <c r="H1359" s="23" t="str">
        <f>IFERROR(__xludf.DUMMYFUNCTION("""COMPUTED_VALUE"""),"Algorithms")</f>
        <v>Algorithms</v>
      </c>
      <c r="I1359" s="23">
        <f>IFERROR(__xludf.DUMMYFUNCTION("""COMPUTED_VALUE"""),0.621)</f>
        <v>0.621</v>
      </c>
      <c r="J1359" s="23">
        <f>IFERROR(__xludf.DUMMYFUNCTION("""COMPUTED_VALUE"""),1358.0)</f>
        <v>1358</v>
      </c>
      <c r="K1359" s="23" t="b">
        <f>IFERROR(__xludf.DUMMYFUNCTION("""COMPUTED_VALUE"""),FALSE)</f>
        <v>0</v>
      </c>
      <c r="L1359" s="23" t="str">
        <f>IFERROR(__xludf.DUMMYFUNCTION("""COMPUTED_VALUE"""),"Hash Table;String;Sliding Window;")</f>
        <v>Hash Table;String;Sliding Window;</v>
      </c>
      <c r="M1359" s="23" t="b">
        <f>IFERROR(__xludf.DUMMYFUNCTION("""COMPUTED_VALUE"""),FALSE)</f>
        <v>0</v>
      </c>
      <c r="N1359" s="23" t="b">
        <f>IFERROR(__xludf.DUMMYFUNCTION("""COMPUTED_VALUE"""),FALSE)</f>
        <v>0</v>
      </c>
      <c r="O1359" s="23">
        <f>IFERROR(__xludf.DUMMYFUNCTION("""COMPUTED_VALUE"""),62.0902343481547)</f>
        <v>62.09023435</v>
      </c>
      <c r="P1359" s="23">
        <f>IFERROR(__xludf.DUMMYFUNCTION("""COMPUTED_VALUE"""),36139.0)</f>
        <v>36139</v>
      </c>
      <c r="Q1359" s="23">
        <f>IFERROR(__xludf.DUMMYFUNCTION("""COMPUTED_VALUE"""),58204.0)</f>
        <v>58204</v>
      </c>
    </row>
    <row r="1360">
      <c r="A1360" s="23">
        <f>IFERROR(__xludf.DUMMYFUNCTION("""COMPUTED_VALUE"""),1461.0)</f>
        <v>1461</v>
      </c>
      <c r="B1360" s="23" t="str">
        <f>IFERROR(__xludf.DUMMYFUNCTION("""COMPUTED_VALUE"""),"Count All Valid Pickup and Delivery Options")</f>
        <v>Count All Valid Pickup and Delivery Options</v>
      </c>
      <c r="C1360" s="23" t="str">
        <f>IFERROR(__xludf.DUMMYFUNCTION("""COMPUTED_VALUE"""),"count-all-valid-pickup-and-delivery-options")</f>
        <v>count-all-valid-pickup-and-delivery-options</v>
      </c>
      <c r="D1360" s="23" t="b">
        <f>IFERROR(__xludf.DUMMYFUNCTION("""COMPUTED_VALUE"""),FALSE)</f>
        <v>0</v>
      </c>
      <c r="E1360" s="23" t="str">
        <f>IFERROR(__xludf.DUMMYFUNCTION("""COMPUTED_VALUE"""),"Hard")</f>
        <v>Hard</v>
      </c>
      <c r="F1360" s="23">
        <f>IFERROR(__xludf.DUMMYFUNCTION("""COMPUTED_VALUE"""),1524.0)</f>
        <v>1524</v>
      </c>
      <c r="G1360" s="23">
        <f>IFERROR(__xludf.DUMMYFUNCTION("""COMPUTED_VALUE"""),138.0)</f>
        <v>138</v>
      </c>
      <c r="H1360" s="23" t="str">
        <f>IFERROR(__xludf.DUMMYFUNCTION("""COMPUTED_VALUE"""),"Algorithms")</f>
        <v>Algorithms</v>
      </c>
      <c r="I1360" s="23">
        <f>IFERROR(__xludf.DUMMYFUNCTION("""COMPUTED_VALUE"""),0.633)</f>
        <v>0.633</v>
      </c>
      <c r="J1360" s="23">
        <f>IFERROR(__xludf.DUMMYFUNCTION("""COMPUTED_VALUE"""),1359.0)</f>
        <v>1359</v>
      </c>
      <c r="K1360" s="23" t="b">
        <f>IFERROR(__xludf.DUMMYFUNCTION("""COMPUTED_VALUE"""),FALSE)</f>
        <v>0</v>
      </c>
      <c r="L1360" s="23" t="str">
        <f>IFERROR(__xludf.DUMMYFUNCTION("""COMPUTED_VALUE"""),"Math;Dynamic Programming;Combinatorics;")</f>
        <v>Math;Dynamic Programming;Combinatorics;</v>
      </c>
      <c r="M1360" s="23" t="b">
        <f>IFERROR(__xludf.DUMMYFUNCTION("""COMPUTED_VALUE"""),TRUE)</f>
        <v>1</v>
      </c>
      <c r="N1360" s="23" t="b">
        <f>IFERROR(__xludf.DUMMYFUNCTION("""COMPUTED_VALUE"""),FALSE)</f>
        <v>0</v>
      </c>
      <c r="O1360" s="23">
        <f>IFERROR(__xludf.DUMMYFUNCTION("""COMPUTED_VALUE"""),63.3385066390756)</f>
        <v>63.33850664</v>
      </c>
      <c r="P1360" s="23">
        <f>IFERROR(__xludf.DUMMYFUNCTION("""COMPUTED_VALUE"""),51421.0)</f>
        <v>51421</v>
      </c>
      <c r="Q1360" s="23">
        <f>IFERROR(__xludf.DUMMYFUNCTION("""COMPUTED_VALUE"""),81185.0)</f>
        <v>81185</v>
      </c>
    </row>
    <row r="1361">
      <c r="A1361" s="23">
        <f>IFERROR(__xludf.DUMMYFUNCTION("""COMPUTED_VALUE"""),1274.0)</f>
        <v>1274</v>
      </c>
      <c r="B1361" s="23" t="str">
        <f>IFERROR(__xludf.DUMMYFUNCTION("""COMPUTED_VALUE"""),"Number of Days Between Two Dates")</f>
        <v>Number of Days Between Two Dates</v>
      </c>
      <c r="C1361" s="23" t="str">
        <f>IFERROR(__xludf.DUMMYFUNCTION("""COMPUTED_VALUE"""),"number-of-days-between-two-dates")</f>
        <v>number-of-days-between-two-dates</v>
      </c>
      <c r="D1361" s="23" t="b">
        <f>IFERROR(__xludf.DUMMYFUNCTION("""COMPUTED_VALUE"""),FALSE)</f>
        <v>0</v>
      </c>
      <c r="E1361" s="23" t="str">
        <f>IFERROR(__xludf.DUMMYFUNCTION("""COMPUTED_VALUE"""),"Easy")</f>
        <v>Easy</v>
      </c>
      <c r="F1361" s="23">
        <f>IFERROR(__xludf.DUMMYFUNCTION("""COMPUTED_VALUE"""),186.0)</f>
        <v>186</v>
      </c>
      <c r="G1361" s="23">
        <f>IFERROR(__xludf.DUMMYFUNCTION("""COMPUTED_VALUE"""),813.0)</f>
        <v>813</v>
      </c>
      <c r="H1361" s="23" t="str">
        <f>IFERROR(__xludf.DUMMYFUNCTION("""COMPUTED_VALUE"""),"Algorithms")</f>
        <v>Algorithms</v>
      </c>
      <c r="I1361" s="23">
        <f>IFERROR(__xludf.DUMMYFUNCTION("""COMPUTED_VALUE"""),0.468)</f>
        <v>0.468</v>
      </c>
      <c r="J1361" s="23">
        <f>IFERROR(__xludf.DUMMYFUNCTION("""COMPUTED_VALUE"""),1360.0)</f>
        <v>1360</v>
      </c>
      <c r="K1361" s="23" t="b">
        <f>IFERROR(__xludf.DUMMYFUNCTION("""COMPUTED_VALUE"""),FALSE)</f>
        <v>0</v>
      </c>
      <c r="L1361" s="23" t="str">
        <f>IFERROR(__xludf.DUMMYFUNCTION("""COMPUTED_VALUE"""),"Math;String;")</f>
        <v>Math;String;</v>
      </c>
      <c r="M1361" s="23" t="b">
        <f>IFERROR(__xludf.DUMMYFUNCTION("""COMPUTED_VALUE"""),FALSE)</f>
        <v>0</v>
      </c>
      <c r="N1361" s="23" t="b">
        <f>IFERROR(__xludf.DUMMYFUNCTION("""COMPUTED_VALUE"""),FALSE)</f>
        <v>0</v>
      </c>
      <c r="O1361" s="23">
        <f>IFERROR(__xludf.DUMMYFUNCTION("""COMPUTED_VALUE"""),46.771163935488)</f>
        <v>46.77116394</v>
      </c>
      <c r="P1361" s="23">
        <f>IFERROR(__xludf.DUMMYFUNCTION("""COMPUTED_VALUE"""),28884.0)</f>
        <v>28884</v>
      </c>
      <c r="Q1361" s="23">
        <f>IFERROR(__xludf.DUMMYFUNCTION("""COMPUTED_VALUE"""),61756.0)</f>
        <v>61756</v>
      </c>
    </row>
    <row r="1362">
      <c r="A1362" s="23">
        <f>IFERROR(__xludf.DUMMYFUNCTION("""COMPUTED_VALUE"""),1275.0)</f>
        <v>1275</v>
      </c>
      <c r="B1362" s="23" t="str">
        <f>IFERROR(__xludf.DUMMYFUNCTION("""COMPUTED_VALUE"""),"Validate Binary Tree Nodes")</f>
        <v>Validate Binary Tree Nodes</v>
      </c>
      <c r="C1362" s="23" t="str">
        <f>IFERROR(__xludf.DUMMYFUNCTION("""COMPUTED_VALUE"""),"validate-binary-tree-nodes")</f>
        <v>validate-binary-tree-nodes</v>
      </c>
      <c r="D1362" s="23" t="b">
        <f>IFERROR(__xludf.DUMMYFUNCTION("""COMPUTED_VALUE"""),FALSE)</f>
        <v>0</v>
      </c>
      <c r="E1362" s="23" t="str">
        <f>IFERROR(__xludf.DUMMYFUNCTION("""COMPUTED_VALUE"""),"Medium")</f>
        <v>Medium</v>
      </c>
      <c r="F1362" s="23">
        <f>IFERROR(__xludf.DUMMYFUNCTION("""COMPUTED_VALUE"""),750.0)</f>
        <v>750</v>
      </c>
      <c r="G1362" s="23">
        <f>IFERROR(__xludf.DUMMYFUNCTION("""COMPUTED_VALUE"""),249.0)</f>
        <v>249</v>
      </c>
      <c r="H1362" s="23" t="str">
        <f>IFERROR(__xludf.DUMMYFUNCTION("""COMPUTED_VALUE"""),"Algorithms")</f>
        <v>Algorithms</v>
      </c>
      <c r="I1362" s="23">
        <f>IFERROR(__xludf.DUMMYFUNCTION("""COMPUTED_VALUE"""),0.414)</f>
        <v>0.414</v>
      </c>
      <c r="J1362" s="23">
        <f>IFERROR(__xludf.DUMMYFUNCTION("""COMPUTED_VALUE"""),1361.0)</f>
        <v>1361</v>
      </c>
      <c r="K1362" s="23" t="b">
        <f>IFERROR(__xludf.DUMMYFUNCTION("""COMPUTED_VALUE"""),FALSE)</f>
        <v>0</v>
      </c>
      <c r="L1362" s="23" t="str">
        <f>IFERROR(__xludf.DUMMYFUNCTION("""COMPUTED_VALUE"""),"Tree;Depth-First Search;Breadth-First Search;Union Find;Graph;Binary Tree;")</f>
        <v>Tree;Depth-First Search;Breadth-First Search;Union Find;Graph;Binary Tree;</v>
      </c>
      <c r="M1362" s="23" t="b">
        <f>IFERROR(__xludf.DUMMYFUNCTION("""COMPUTED_VALUE"""),FALSE)</f>
        <v>0</v>
      </c>
      <c r="N1362" s="23" t="b">
        <f>IFERROR(__xludf.DUMMYFUNCTION("""COMPUTED_VALUE"""),FALSE)</f>
        <v>0</v>
      </c>
      <c r="O1362" s="23">
        <f>IFERROR(__xludf.DUMMYFUNCTION("""COMPUTED_VALUE"""),41.4255579260253)</f>
        <v>41.42555793</v>
      </c>
      <c r="P1362" s="23">
        <f>IFERROR(__xludf.DUMMYFUNCTION("""COMPUTED_VALUE"""),34563.0)</f>
        <v>34563</v>
      </c>
      <c r="Q1362" s="23">
        <f>IFERROR(__xludf.DUMMYFUNCTION("""COMPUTED_VALUE"""),83434.0)</f>
        <v>83434</v>
      </c>
    </row>
    <row r="1363">
      <c r="A1363" s="23">
        <f>IFERROR(__xludf.DUMMYFUNCTION("""COMPUTED_VALUE"""),1276.0)</f>
        <v>1276</v>
      </c>
      <c r="B1363" s="23" t="str">
        <f>IFERROR(__xludf.DUMMYFUNCTION("""COMPUTED_VALUE"""),"Closest Divisors")</f>
        <v>Closest Divisors</v>
      </c>
      <c r="C1363" s="23" t="str">
        <f>IFERROR(__xludf.DUMMYFUNCTION("""COMPUTED_VALUE"""),"closest-divisors")</f>
        <v>closest-divisors</v>
      </c>
      <c r="D1363" s="23" t="b">
        <f>IFERROR(__xludf.DUMMYFUNCTION("""COMPUTED_VALUE"""),FALSE)</f>
        <v>0</v>
      </c>
      <c r="E1363" s="23" t="str">
        <f>IFERROR(__xludf.DUMMYFUNCTION("""COMPUTED_VALUE"""),"Medium")</f>
        <v>Medium</v>
      </c>
      <c r="F1363" s="23">
        <f>IFERROR(__xludf.DUMMYFUNCTION("""COMPUTED_VALUE"""),188.0)</f>
        <v>188</v>
      </c>
      <c r="G1363" s="23">
        <f>IFERROR(__xludf.DUMMYFUNCTION("""COMPUTED_VALUE"""),82.0)</f>
        <v>82</v>
      </c>
      <c r="H1363" s="23" t="str">
        <f>IFERROR(__xludf.DUMMYFUNCTION("""COMPUTED_VALUE"""),"Algorithms")</f>
        <v>Algorithms</v>
      </c>
      <c r="I1363" s="23">
        <f>IFERROR(__xludf.DUMMYFUNCTION("""COMPUTED_VALUE"""),0.592)</f>
        <v>0.592</v>
      </c>
      <c r="J1363" s="23">
        <f>IFERROR(__xludf.DUMMYFUNCTION("""COMPUTED_VALUE"""),1362.0)</f>
        <v>1362</v>
      </c>
      <c r="K1363" s="23" t="b">
        <f>IFERROR(__xludf.DUMMYFUNCTION("""COMPUTED_VALUE"""),FALSE)</f>
        <v>0</v>
      </c>
      <c r="L1363" s="23" t="str">
        <f>IFERROR(__xludf.DUMMYFUNCTION("""COMPUTED_VALUE"""),"Math;")</f>
        <v>Math;</v>
      </c>
      <c r="M1363" s="23" t="b">
        <f>IFERROR(__xludf.DUMMYFUNCTION("""COMPUTED_VALUE"""),FALSE)</f>
        <v>0</v>
      </c>
      <c r="N1363" s="23" t="b">
        <f>IFERROR(__xludf.DUMMYFUNCTION("""COMPUTED_VALUE"""),FALSE)</f>
        <v>0</v>
      </c>
      <c r="O1363" s="23">
        <f>IFERROR(__xludf.DUMMYFUNCTION("""COMPUTED_VALUE"""),59.1700643981252)</f>
        <v>59.1700644</v>
      </c>
      <c r="P1363" s="23">
        <f>IFERROR(__xludf.DUMMYFUNCTION("""COMPUTED_VALUE"""),15528.0)</f>
        <v>15528</v>
      </c>
      <c r="Q1363" s="23">
        <f>IFERROR(__xludf.DUMMYFUNCTION("""COMPUTED_VALUE"""),26243.0)</f>
        <v>26243</v>
      </c>
    </row>
    <row r="1364">
      <c r="A1364" s="23">
        <f>IFERROR(__xludf.DUMMYFUNCTION("""COMPUTED_VALUE"""),1277.0)</f>
        <v>1277</v>
      </c>
      <c r="B1364" s="23" t="str">
        <f>IFERROR(__xludf.DUMMYFUNCTION("""COMPUTED_VALUE"""),"Largest Multiple of Three")</f>
        <v>Largest Multiple of Three</v>
      </c>
      <c r="C1364" s="23" t="str">
        <f>IFERROR(__xludf.DUMMYFUNCTION("""COMPUTED_VALUE"""),"largest-multiple-of-three")</f>
        <v>largest-multiple-of-three</v>
      </c>
      <c r="D1364" s="23" t="b">
        <f>IFERROR(__xludf.DUMMYFUNCTION("""COMPUTED_VALUE"""),FALSE)</f>
        <v>0</v>
      </c>
      <c r="E1364" s="23" t="str">
        <f>IFERROR(__xludf.DUMMYFUNCTION("""COMPUTED_VALUE"""),"Hard")</f>
        <v>Hard</v>
      </c>
      <c r="F1364" s="23">
        <f>IFERROR(__xludf.DUMMYFUNCTION("""COMPUTED_VALUE"""),396.0)</f>
        <v>396</v>
      </c>
      <c r="G1364" s="23">
        <f>IFERROR(__xludf.DUMMYFUNCTION("""COMPUTED_VALUE"""),56.0)</f>
        <v>56</v>
      </c>
      <c r="H1364" s="23" t="str">
        <f>IFERROR(__xludf.DUMMYFUNCTION("""COMPUTED_VALUE"""),"Algorithms")</f>
        <v>Algorithms</v>
      </c>
      <c r="I1364" s="23">
        <f>IFERROR(__xludf.DUMMYFUNCTION("""COMPUTED_VALUE"""),0.341)</f>
        <v>0.341</v>
      </c>
      <c r="J1364" s="23">
        <f>IFERROR(__xludf.DUMMYFUNCTION("""COMPUTED_VALUE"""),1363.0)</f>
        <v>1363</v>
      </c>
      <c r="K1364" s="23" t="b">
        <f>IFERROR(__xludf.DUMMYFUNCTION("""COMPUTED_VALUE"""),FALSE)</f>
        <v>0</v>
      </c>
      <c r="L1364" s="23" t="str">
        <f>IFERROR(__xludf.DUMMYFUNCTION("""COMPUTED_VALUE"""),"Array;Dynamic Programming;Greedy;")</f>
        <v>Array;Dynamic Programming;Greedy;</v>
      </c>
      <c r="M1364" s="23" t="b">
        <f>IFERROR(__xludf.DUMMYFUNCTION("""COMPUTED_VALUE"""),FALSE)</f>
        <v>0</v>
      </c>
      <c r="N1364" s="23" t="b">
        <f>IFERROR(__xludf.DUMMYFUNCTION("""COMPUTED_VALUE"""),FALSE)</f>
        <v>0</v>
      </c>
      <c r="O1364" s="23">
        <f>IFERROR(__xludf.DUMMYFUNCTION("""COMPUTED_VALUE"""),34.1408981575619)</f>
        <v>34.14089816</v>
      </c>
      <c r="P1364" s="23">
        <f>IFERROR(__xludf.DUMMYFUNCTION("""COMPUTED_VALUE"""),13768.0)</f>
        <v>13768</v>
      </c>
      <c r="Q1364" s="23">
        <f>IFERROR(__xludf.DUMMYFUNCTION("""COMPUTED_VALUE"""),40327.0)</f>
        <v>40327</v>
      </c>
    </row>
    <row r="1365">
      <c r="A1365" s="23">
        <f>IFERROR(__xludf.DUMMYFUNCTION("""COMPUTED_VALUE"""),1495.0)</f>
        <v>1495</v>
      </c>
      <c r="B1365" s="23" t="str">
        <f>IFERROR(__xludf.DUMMYFUNCTION("""COMPUTED_VALUE"""),"Number of Trusted Contacts of a Customer")</f>
        <v>Number of Trusted Contacts of a Customer</v>
      </c>
      <c r="C1365" s="23" t="str">
        <f>IFERROR(__xludf.DUMMYFUNCTION("""COMPUTED_VALUE"""),"number-of-trusted-contacts-of-a-customer")</f>
        <v>number-of-trusted-contacts-of-a-customer</v>
      </c>
      <c r="D1365" s="23" t="b">
        <f>IFERROR(__xludf.DUMMYFUNCTION("""COMPUTED_VALUE"""),TRUE)</f>
        <v>1</v>
      </c>
      <c r="E1365" s="23" t="str">
        <f>IFERROR(__xludf.DUMMYFUNCTION("""COMPUTED_VALUE"""),"Medium")</f>
        <v>Medium</v>
      </c>
      <c r="F1365" s="23">
        <f>IFERROR(__xludf.DUMMYFUNCTION("""COMPUTED_VALUE"""),54.0)</f>
        <v>54</v>
      </c>
      <c r="G1365" s="23">
        <f>IFERROR(__xludf.DUMMYFUNCTION("""COMPUTED_VALUE"""),280.0)</f>
        <v>280</v>
      </c>
      <c r="H1365" s="23" t="str">
        <f>IFERROR(__xludf.DUMMYFUNCTION("""COMPUTED_VALUE"""),"Database")</f>
        <v>Database</v>
      </c>
      <c r="I1365" s="23">
        <f>IFERROR(__xludf.DUMMYFUNCTION("""COMPUTED_VALUE"""),0.789)</f>
        <v>0.789</v>
      </c>
      <c r="J1365" s="23">
        <f>IFERROR(__xludf.DUMMYFUNCTION("""COMPUTED_VALUE"""),1364.0)</f>
        <v>1364</v>
      </c>
      <c r="K1365" s="23" t="b">
        <f>IFERROR(__xludf.DUMMYFUNCTION("""COMPUTED_VALUE"""),TRUE)</f>
        <v>1</v>
      </c>
      <c r="L1365" s="23" t="str">
        <f>IFERROR(__xludf.DUMMYFUNCTION("""COMPUTED_VALUE"""),"Database;")</f>
        <v>Database;</v>
      </c>
      <c r="M1365" s="23" t="b">
        <f>IFERROR(__xludf.DUMMYFUNCTION("""COMPUTED_VALUE"""),FALSE)</f>
        <v>0</v>
      </c>
      <c r="N1365" s="23" t="b">
        <f>IFERROR(__xludf.DUMMYFUNCTION("""COMPUTED_VALUE"""),FALSE)</f>
        <v>0</v>
      </c>
      <c r="O1365" s="23">
        <f>IFERROR(__xludf.DUMMYFUNCTION("""COMPUTED_VALUE"""),78.8984737889847)</f>
        <v>78.89847379</v>
      </c>
      <c r="P1365" s="23">
        <f>IFERROR(__xludf.DUMMYFUNCTION("""COMPUTED_VALUE"""),13079.0)</f>
        <v>13079</v>
      </c>
      <c r="Q1365" s="23">
        <f>IFERROR(__xludf.DUMMYFUNCTION("""COMPUTED_VALUE"""),16577.0)</f>
        <v>16577</v>
      </c>
    </row>
    <row r="1366">
      <c r="A1366" s="23">
        <f>IFERROR(__xludf.DUMMYFUNCTION("""COMPUTED_VALUE"""),1482.0)</f>
        <v>1482</v>
      </c>
      <c r="B1366" s="23" t="str">
        <f>IFERROR(__xludf.DUMMYFUNCTION("""COMPUTED_VALUE"""),"How Many Numbers Are Smaller Than the Current Number")</f>
        <v>How Many Numbers Are Smaller Than the Current Number</v>
      </c>
      <c r="C1366" s="23" t="str">
        <f>IFERROR(__xludf.DUMMYFUNCTION("""COMPUTED_VALUE"""),"how-many-numbers-are-smaller-than-the-current-number")</f>
        <v>how-many-numbers-are-smaller-than-the-current-number</v>
      </c>
      <c r="D1366" s="23" t="b">
        <f>IFERROR(__xludf.DUMMYFUNCTION("""COMPUTED_VALUE"""),FALSE)</f>
        <v>0</v>
      </c>
      <c r="E1366" s="23" t="str">
        <f>IFERROR(__xludf.DUMMYFUNCTION("""COMPUTED_VALUE"""),"Easy")</f>
        <v>Easy</v>
      </c>
      <c r="F1366" s="23">
        <f>IFERROR(__xludf.DUMMYFUNCTION("""COMPUTED_VALUE"""),3080.0)</f>
        <v>3080</v>
      </c>
      <c r="G1366" s="23">
        <f>IFERROR(__xludf.DUMMYFUNCTION("""COMPUTED_VALUE"""),63.0)</f>
        <v>63</v>
      </c>
      <c r="H1366" s="23" t="str">
        <f>IFERROR(__xludf.DUMMYFUNCTION("""COMPUTED_VALUE"""),"Algorithms")</f>
        <v>Algorithms</v>
      </c>
      <c r="I1366" s="23">
        <f>IFERROR(__xludf.DUMMYFUNCTION("""COMPUTED_VALUE"""),0.863)</f>
        <v>0.863</v>
      </c>
      <c r="J1366" s="23">
        <f>IFERROR(__xludf.DUMMYFUNCTION("""COMPUTED_VALUE"""),1365.0)</f>
        <v>1365</v>
      </c>
      <c r="K1366" s="23" t="b">
        <f>IFERROR(__xludf.DUMMYFUNCTION("""COMPUTED_VALUE"""),FALSE)</f>
        <v>0</v>
      </c>
      <c r="L1366" s="23" t="str">
        <f>IFERROR(__xludf.DUMMYFUNCTION("""COMPUTED_VALUE"""),"Array;Hash Table;Sorting;Counting;")</f>
        <v>Array;Hash Table;Sorting;Counting;</v>
      </c>
      <c r="M1366" s="23" t="b">
        <f>IFERROR(__xludf.DUMMYFUNCTION("""COMPUTED_VALUE"""),FALSE)</f>
        <v>0</v>
      </c>
      <c r="N1366" s="23" t="b">
        <f>IFERROR(__xludf.DUMMYFUNCTION("""COMPUTED_VALUE"""),FALSE)</f>
        <v>0</v>
      </c>
      <c r="O1366" s="23">
        <f>IFERROR(__xludf.DUMMYFUNCTION("""COMPUTED_VALUE"""),86.3434143455306)</f>
        <v>86.34341435</v>
      </c>
      <c r="P1366" s="23">
        <f>IFERROR(__xludf.DUMMYFUNCTION("""COMPUTED_VALUE"""),303539.0)</f>
        <v>303539</v>
      </c>
      <c r="Q1366" s="23">
        <f>IFERROR(__xludf.DUMMYFUNCTION("""COMPUTED_VALUE"""),351549.0)</f>
        <v>351549</v>
      </c>
    </row>
    <row r="1367">
      <c r="A1367" s="23">
        <f>IFERROR(__xludf.DUMMYFUNCTION("""COMPUTED_VALUE"""),1483.0)</f>
        <v>1483</v>
      </c>
      <c r="B1367" s="23" t="str">
        <f>IFERROR(__xludf.DUMMYFUNCTION("""COMPUTED_VALUE"""),"Rank Teams by Votes")</f>
        <v>Rank Teams by Votes</v>
      </c>
      <c r="C1367" s="23" t="str">
        <f>IFERROR(__xludf.DUMMYFUNCTION("""COMPUTED_VALUE"""),"rank-teams-by-votes")</f>
        <v>rank-teams-by-votes</v>
      </c>
      <c r="D1367" s="23" t="b">
        <f>IFERROR(__xludf.DUMMYFUNCTION("""COMPUTED_VALUE"""),FALSE)</f>
        <v>0</v>
      </c>
      <c r="E1367" s="23" t="str">
        <f>IFERROR(__xludf.DUMMYFUNCTION("""COMPUTED_VALUE"""),"Medium")</f>
        <v>Medium</v>
      </c>
      <c r="F1367" s="23">
        <f>IFERROR(__xludf.DUMMYFUNCTION("""COMPUTED_VALUE"""),792.0)</f>
        <v>792</v>
      </c>
      <c r="G1367" s="23">
        <f>IFERROR(__xludf.DUMMYFUNCTION("""COMPUTED_VALUE"""),82.0)</f>
        <v>82</v>
      </c>
      <c r="H1367" s="23" t="str">
        <f>IFERROR(__xludf.DUMMYFUNCTION("""COMPUTED_VALUE"""),"Algorithms")</f>
        <v>Algorithms</v>
      </c>
      <c r="I1367" s="23">
        <f>IFERROR(__xludf.DUMMYFUNCTION("""COMPUTED_VALUE"""),0.586)</f>
        <v>0.586</v>
      </c>
      <c r="J1367" s="23">
        <f>IFERROR(__xludf.DUMMYFUNCTION("""COMPUTED_VALUE"""),1366.0)</f>
        <v>1366</v>
      </c>
      <c r="K1367" s="23" t="b">
        <f>IFERROR(__xludf.DUMMYFUNCTION("""COMPUTED_VALUE"""),FALSE)</f>
        <v>0</v>
      </c>
      <c r="L1367" s="23" t="str">
        <f>IFERROR(__xludf.DUMMYFUNCTION("""COMPUTED_VALUE"""),"Array;Hash Table;String;Sorting;Counting;")</f>
        <v>Array;Hash Table;String;Sorting;Counting;</v>
      </c>
      <c r="M1367" s="23" t="b">
        <f>IFERROR(__xludf.DUMMYFUNCTION("""COMPUTED_VALUE"""),FALSE)</f>
        <v>0</v>
      </c>
      <c r="N1367" s="23" t="b">
        <f>IFERROR(__xludf.DUMMYFUNCTION("""COMPUTED_VALUE"""),FALSE)</f>
        <v>0</v>
      </c>
      <c r="O1367" s="23">
        <f>IFERROR(__xludf.DUMMYFUNCTION("""COMPUTED_VALUE"""),58.6357452463062)</f>
        <v>58.63574525</v>
      </c>
      <c r="P1367" s="23">
        <f>IFERROR(__xludf.DUMMYFUNCTION("""COMPUTED_VALUE"""),37066.0)</f>
        <v>37066</v>
      </c>
      <c r="Q1367" s="23">
        <f>IFERROR(__xludf.DUMMYFUNCTION("""COMPUTED_VALUE"""),63213.0)</f>
        <v>63213</v>
      </c>
    </row>
    <row r="1368">
      <c r="A1368" s="23">
        <f>IFERROR(__xludf.DUMMYFUNCTION("""COMPUTED_VALUE"""),1484.0)</f>
        <v>1484</v>
      </c>
      <c r="B1368" s="23" t="str">
        <f>IFERROR(__xludf.DUMMYFUNCTION("""COMPUTED_VALUE"""),"Linked List in Binary Tree")</f>
        <v>Linked List in Binary Tree</v>
      </c>
      <c r="C1368" s="23" t="str">
        <f>IFERROR(__xludf.DUMMYFUNCTION("""COMPUTED_VALUE"""),"linked-list-in-binary-tree")</f>
        <v>linked-list-in-binary-tree</v>
      </c>
      <c r="D1368" s="23" t="b">
        <f>IFERROR(__xludf.DUMMYFUNCTION("""COMPUTED_VALUE"""),FALSE)</f>
        <v>0</v>
      </c>
      <c r="E1368" s="23" t="str">
        <f>IFERROR(__xludf.DUMMYFUNCTION("""COMPUTED_VALUE"""),"Medium")</f>
        <v>Medium</v>
      </c>
      <c r="F1368" s="23">
        <f>IFERROR(__xludf.DUMMYFUNCTION("""COMPUTED_VALUE"""),1405.0)</f>
        <v>1405</v>
      </c>
      <c r="G1368" s="23">
        <f>IFERROR(__xludf.DUMMYFUNCTION("""COMPUTED_VALUE"""),48.0)</f>
        <v>48</v>
      </c>
      <c r="H1368" s="23" t="str">
        <f>IFERROR(__xludf.DUMMYFUNCTION("""COMPUTED_VALUE"""),"Algorithms")</f>
        <v>Algorithms</v>
      </c>
      <c r="I1368" s="23">
        <f>IFERROR(__xludf.DUMMYFUNCTION("""COMPUTED_VALUE"""),0.428)</f>
        <v>0.428</v>
      </c>
      <c r="J1368" s="23">
        <f>IFERROR(__xludf.DUMMYFUNCTION("""COMPUTED_VALUE"""),1367.0)</f>
        <v>1367</v>
      </c>
      <c r="K1368" s="23" t="b">
        <f>IFERROR(__xludf.DUMMYFUNCTION("""COMPUTED_VALUE"""),FALSE)</f>
        <v>0</v>
      </c>
      <c r="L1368" s="23" t="str">
        <f>IFERROR(__xludf.DUMMYFUNCTION("""COMPUTED_VALUE"""),"Linked List;Tree;Depth-First Search;Breadth-First Search;Binary Tree;")</f>
        <v>Linked List;Tree;Depth-First Search;Breadth-First Search;Binary Tree;</v>
      </c>
      <c r="M1368" s="23" t="b">
        <f>IFERROR(__xludf.DUMMYFUNCTION("""COMPUTED_VALUE"""),FALSE)</f>
        <v>0</v>
      </c>
      <c r="N1368" s="23" t="b">
        <f>IFERROR(__xludf.DUMMYFUNCTION("""COMPUTED_VALUE"""),FALSE)</f>
        <v>0</v>
      </c>
      <c r="O1368" s="23">
        <f>IFERROR(__xludf.DUMMYFUNCTION("""COMPUTED_VALUE"""),42.798261323446)</f>
        <v>42.79826132</v>
      </c>
      <c r="P1368" s="23">
        <f>IFERROR(__xludf.DUMMYFUNCTION("""COMPUTED_VALUE"""),47553.0)</f>
        <v>47553</v>
      </c>
      <c r="Q1368" s="23">
        <f>IFERROR(__xludf.DUMMYFUNCTION("""COMPUTED_VALUE"""),111115.0)</f>
        <v>111115</v>
      </c>
    </row>
    <row r="1369">
      <c r="A1369" s="23">
        <f>IFERROR(__xludf.DUMMYFUNCTION("""COMPUTED_VALUE"""),1485.0)</f>
        <v>1485</v>
      </c>
      <c r="B1369" s="23" t="str">
        <f>IFERROR(__xludf.DUMMYFUNCTION("""COMPUTED_VALUE"""),"Minimum Cost to Make at Least One Valid Path in a Grid")</f>
        <v>Minimum Cost to Make at Least One Valid Path in a Grid</v>
      </c>
      <c r="C1369" s="23" t="str">
        <f>IFERROR(__xludf.DUMMYFUNCTION("""COMPUTED_VALUE"""),"minimum-cost-to-make-at-least-one-valid-path-in-a-grid")</f>
        <v>minimum-cost-to-make-at-least-one-valid-path-in-a-grid</v>
      </c>
      <c r="D1369" s="23" t="b">
        <f>IFERROR(__xludf.DUMMYFUNCTION("""COMPUTED_VALUE"""),FALSE)</f>
        <v>0</v>
      </c>
      <c r="E1369" s="23" t="str">
        <f>IFERROR(__xludf.DUMMYFUNCTION("""COMPUTED_VALUE"""),"Hard")</f>
        <v>Hard</v>
      </c>
      <c r="F1369" s="23">
        <f>IFERROR(__xludf.DUMMYFUNCTION("""COMPUTED_VALUE"""),1044.0)</f>
        <v>1044</v>
      </c>
      <c r="G1369" s="23">
        <f>IFERROR(__xludf.DUMMYFUNCTION("""COMPUTED_VALUE"""),7.0)</f>
        <v>7</v>
      </c>
      <c r="H1369" s="23" t="str">
        <f>IFERROR(__xludf.DUMMYFUNCTION("""COMPUTED_VALUE"""),"Algorithms")</f>
        <v>Algorithms</v>
      </c>
      <c r="I1369" s="23">
        <f>IFERROR(__xludf.DUMMYFUNCTION("""COMPUTED_VALUE"""),0.607)</f>
        <v>0.607</v>
      </c>
      <c r="J1369" s="23">
        <f>IFERROR(__xludf.DUMMYFUNCTION("""COMPUTED_VALUE"""),1368.0)</f>
        <v>1368</v>
      </c>
      <c r="K1369" s="23" t="b">
        <f>IFERROR(__xludf.DUMMYFUNCTION("""COMPUTED_VALUE"""),FALSE)</f>
        <v>0</v>
      </c>
      <c r="L1369" s="23" t="str">
        <f>IFERROR(__xludf.DUMMYFUNCTION("""COMPUTED_VALUE"""),"Array;Breadth-First Search;Graph;Heap (Priority Queue);Matrix;Shortest Path;")</f>
        <v>Array;Breadth-First Search;Graph;Heap (Priority Queue);Matrix;Shortest Path;</v>
      </c>
      <c r="M1369" s="23" t="b">
        <f>IFERROR(__xludf.DUMMYFUNCTION("""COMPUTED_VALUE"""),FALSE)</f>
        <v>0</v>
      </c>
      <c r="N1369" s="23" t="b">
        <f>IFERROR(__xludf.DUMMYFUNCTION("""COMPUTED_VALUE"""),FALSE)</f>
        <v>0</v>
      </c>
      <c r="O1369" s="23">
        <f>IFERROR(__xludf.DUMMYFUNCTION("""COMPUTED_VALUE"""),60.6748659728792)</f>
        <v>60.67486597</v>
      </c>
      <c r="P1369" s="23">
        <f>IFERROR(__xludf.DUMMYFUNCTION("""COMPUTED_VALUE"""),30781.0)</f>
        <v>30781</v>
      </c>
      <c r="Q1369" s="23">
        <f>IFERROR(__xludf.DUMMYFUNCTION("""COMPUTED_VALUE"""),50732.0)</f>
        <v>50732</v>
      </c>
    </row>
    <row r="1370">
      <c r="A1370" s="23">
        <f>IFERROR(__xludf.DUMMYFUNCTION("""COMPUTED_VALUE"""),1504.0)</f>
        <v>1504</v>
      </c>
      <c r="B1370" s="23" t="str">
        <f>IFERROR(__xludf.DUMMYFUNCTION("""COMPUTED_VALUE"""),"Get the Second Most Recent Activity")</f>
        <v>Get the Second Most Recent Activity</v>
      </c>
      <c r="C1370" s="23" t="str">
        <f>IFERROR(__xludf.DUMMYFUNCTION("""COMPUTED_VALUE"""),"get-the-second-most-recent-activity")</f>
        <v>get-the-second-most-recent-activity</v>
      </c>
      <c r="D1370" s="23" t="b">
        <f>IFERROR(__xludf.DUMMYFUNCTION("""COMPUTED_VALUE"""),TRUE)</f>
        <v>1</v>
      </c>
      <c r="E1370" s="23" t="str">
        <f>IFERROR(__xludf.DUMMYFUNCTION("""COMPUTED_VALUE"""),"Hard")</f>
        <v>Hard</v>
      </c>
      <c r="F1370" s="23">
        <f>IFERROR(__xludf.DUMMYFUNCTION("""COMPUTED_VALUE"""),103.0)</f>
        <v>103</v>
      </c>
      <c r="G1370" s="23">
        <f>IFERROR(__xludf.DUMMYFUNCTION("""COMPUTED_VALUE"""),8.0)</f>
        <v>8</v>
      </c>
      <c r="H1370" s="23" t="str">
        <f>IFERROR(__xludf.DUMMYFUNCTION("""COMPUTED_VALUE"""),"Database")</f>
        <v>Database</v>
      </c>
      <c r="I1370" s="23">
        <f>IFERROR(__xludf.DUMMYFUNCTION("""COMPUTED_VALUE"""),0.688)</f>
        <v>0.688</v>
      </c>
      <c r="J1370" s="23">
        <f>IFERROR(__xludf.DUMMYFUNCTION("""COMPUTED_VALUE"""),1369.0)</f>
        <v>1369</v>
      </c>
      <c r="K1370" s="23" t="b">
        <f>IFERROR(__xludf.DUMMYFUNCTION("""COMPUTED_VALUE"""),TRUE)</f>
        <v>1</v>
      </c>
      <c r="L1370" s="23" t="str">
        <f>IFERROR(__xludf.DUMMYFUNCTION("""COMPUTED_VALUE"""),"Database;")</f>
        <v>Database;</v>
      </c>
      <c r="M1370" s="23" t="b">
        <f>IFERROR(__xludf.DUMMYFUNCTION("""COMPUTED_VALUE"""),FALSE)</f>
        <v>0</v>
      </c>
      <c r="N1370" s="23" t="b">
        <f>IFERROR(__xludf.DUMMYFUNCTION("""COMPUTED_VALUE"""),FALSE)</f>
        <v>0</v>
      </c>
      <c r="O1370" s="23">
        <f>IFERROR(__xludf.DUMMYFUNCTION("""COMPUTED_VALUE"""),68.796895213454)</f>
        <v>68.79689521</v>
      </c>
      <c r="P1370" s="23">
        <f>IFERROR(__xludf.DUMMYFUNCTION("""COMPUTED_VALUE"""),13295.0)</f>
        <v>13295</v>
      </c>
      <c r="Q1370" s="23">
        <f>IFERROR(__xludf.DUMMYFUNCTION("""COMPUTED_VALUE"""),19325.0)</f>
        <v>19325</v>
      </c>
    </row>
    <row r="1371">
      <c r="A1371" s="23">
        <f>IFERROR(__xludf.DUMMYFUNCTION("""COMPUTED_VALUE"""),1472.0)</f>
        <v>1472</v>
      </c>
      <c r="B1371" s="23" t="str">
        <f>IFERROR(__xludf.DUMMYFUNCTION("""COMPUTED_VALUE"""),"Increasing Decreasing String")</f>
        <v>Increasing Decreasing String</v>
      </c>
      <c r="C1371" s="23" t="str">
        <f>IFERROR(__xludf.DUMMYFUNCTION("""COMPUTED_VALUE"""),"increasing-decreasing-string")</f>
        <v>increasing-decreasing-string</v>
      </c>
      <c r="D1371" s="23" t="b">
        <f>IFERROR(__xludf.DUMMYFUNCTION("""COMPUTED_VALUE"""),FALSE)</f>
        <v>0</v>
      </c>
      <c r="E1371" s="23" t="str">
        <f>IFERROR(__xludf.DUMMYFUNCTION("""COMPUTED_VALUE"""),"Easy")</f>
        <v>Easy</v>
      </c>
      <c r="F1371" s="23">
        <f>IFERROR(__xludf.DUMMYFUNCTION("""COMPUTED_VALUE"""),511.0)</f>
        <v>511</v>
      </c>
      <c r="G1371" s="23">
        <f>IFERROR(__xludf.DUMMYFUNCTION("""COMPUTED_VALUE"""),606.0)</f>
        <v>606</v>
      </c>
      <c r="H1371" s="23" t="str">
        <f>IFERROR(__xludf.DUMMYFUNCTION("""COMPUTED_VALUE"""),"Algorithms")</f>
        <v>Algorithms</v>
      </c>
      <c r="I1371" s="23">
        <f>IFERROR(__xludf.DUMMYFUNCTION("""COMPUTED_VALUE"""),0.778)</f>
        <v>0.778</v>
      </c>
      <c r="J1371" s="23">
        <f>IFERROR(__xludf.DUMMYFUNCTION("""COMPUTED_VALUE"""),1370.0)</f>
        <v>1370</v>
      </c>
      <c r="K1371" s="23" t="b">
        <f>IFERROR(__xludf.DUMMYFUNCTION("""COMPUTED_VALUE"""),FALSE)</f>
        <v>0</v>
      </c>
      <c r="L1371" s="23" t="str">
        <f>IFERROR(__xludf.DUMMYFUNCTION("""COMPUTED_VALUE"""),"Hash Table;String;Counting;")</f>
        <v>Hash Table;String;Counting;</v>
      </c>
      <c r="M1371" s="23" t="b">
        <f>IFERROR(__xludf.DUMMYFUNCTION("""COMPUTED_VALUE"""),FALSE)</f>
        <v>0</v>
      </c>
      <c r="N1371" s="23" t="b">
        <f>IFERROR(__xludf.DUMMYFUNCTION("""COMPUTED_VALUE"""),FALSE)</f>
        <v>0</v>
      </c>
      <c r="O1371" s="23">
        <f>IFERROR(__xludf.DUMMYFUNCTION("""COMPUTED_VALUE"""),77.8045960398901)</f>
        <v>77.80459604</v>
      </c>
      <c r="P1371" s="23">
        <f>IFERROR(__xludf.DUMMYFUNCTION("""COMPUTED_VALUE"""),53833.0)</f>
        <v>53833</v>
      </c>
      <c r="Q1371" s="23">
        <f>IFERROR(__xludf.DUMMYFUNCTION("""COMPUTED_VALUE"""),69190.0)</f>
        <v>69190</v>
      </c>
    </row>
    <row r="1372">
      <c r="A1372" s="23">
        <f>IFERROR(__xludf.DUMMYFUNCTION("""COMPUTED_VALUE"""),1473.0)</f>
        <v>1473</v>
      </c>
      <c r="B1372" s="23" t="str">
        <f>IFERROR(__xludf.DUMMYFUNCTION("""COMPUTED_VALUE"""),"Find the Longest Substring Containing Vowels in Even Counts")</f>
        <v>Find the Longest Substring Containing Vowels in Even Counts</v>
      </c>
      <c r="C1372" s="23" t="str">
        <f>IFERROR(__xludf.DUMMYFUNCTION("""COMPUTED_VALUE"""),"find-the-longest-substring-containing-vowels-in-even-counts")</f>
        <v>find-the-longest-substring-containing-vowels-in-even-counts</v>
      </c>
      <c r="D1372" s="23" t="b">
        <f>IFERROR(__xludf.DUMMYFUNCTION("""COMPUTED_VALUE"""),FALSE)</f>
        <v>0</v>
      </c>
      <c r="E1372" s="23" t="str">
        <f>IFERROR(__xludf.DUMMYFUNCTION("""COMPUTED_VALUE"""),"Medium")</f>
        <v>Medium</v>
      </c>
      <c r="F1372" s="23">
        <f>IFERROR(__xludf.DUMMYFUNCTION("""COMPUTED_VALUE"""),1105.0)</f>
        <v>1105</v>
      </c>
      <c r="G1372" s="23">
        <f>IFERROR(__xludf.DUMMYFUNCTION("""COMPUTED_VALUE"""),41.0)</f>
        <v>41</v>
      </c>
      <c r="H1372" s="23" t="str">
        <f>IFERROR(__xludf.DUMMYFUNCTION("""COMPUTED_VALUE"""),"Algorithms")</f>
        <v>Algorithms</v>
      </c>
      <c r="I1372" s="23">
        <f>IFERROR(__xludf.DUMMYFUNCTION("""COMPUTED_VALUE"""),0.626)</f>
        <v>0.626</v>
      </c>
      <c r="J1372" s="23">
        <f>IFERROR(__xludf.DUMMYFUNCTION("""COMPUTED_VALUE"""),1371.0)</f>
        <v>1371</v>
      </c>
      <c r="K1372" s="23" t="b">
        <f>IFERROR(__xludf.DUMMYFUNCTION("""COMPUTED_VALUE"""),FALSE)</f>
        <v>0</v>
      </c>
      <c r="L1372" s="23" t="str">
        <f>IFERROR(__xludf.DUMMYFUNCTION("""COMPUTED_VALUE"""),"Hash Table;String;Bit Manipulation;Prefix Sum;")</f>
        <v>Hash Table;String;Bit Manipulation;Prefix Sum;</v>
      </c>
      <c r="M1372" s="23" t="b">
        <f>IFERROR(__xludf.DUMMYFUNCTION("""COMPUTED_VALUE"""),FALSE)</f>
        <v>0</v>
      </c>
      <c r="N1372" s="23" t="b">
        <f>IFERROR(__xludf.DUMMYFUNCTION("""COMPUTED_VALUE"""),FALSE)</f>
        <v>0</v>
      </c>
      <c r="O1372" s="23">
        <f>IFERROR(__xludf.DUMMYFUNCTION("""COMPUTED_VALUE"""),62.5882593716956)</f>
        <v>62.58825937</v>
      </c>
      <c r="P1372" s="23">
        <f>IFERROR(__xludf.DUMMYFUNCTION("""COMPUTED_VALUE"""),18349.0)</f>
        <v>18349</v>
      </c>
      <c r="Q1372" s="23">
        <f>IFERROR(__xludf.DUMMYFUNCTION("""COMPUTED_VALUE"""),29317.0)</f>
        <v>29317</v>
      </c>
    </row>
    <row r="1373">
      <c r="A1373" s="23">
        <f>IFERROR(__xludf.DUMMYFUNCTION("""COMPUTED_VALUE"""),1474.0)</f>
        <v>1474</v>
      </c>
      <c r="B1373" s="23" t="str">
        <f>IFERROR(__xludf.DUMMYFUNCTION("""COMPUTED_VALUE"""),"Longest ZigZag Path in a Binary Tree")</f>
        <v>Longest ZigZag Path in a Binary Tree</v>
      </c>
      <c r="C1373" s="23" t="str">
        <f>IFERROR(__xludf.DUMMYFUNCTION("""COMPUTED_VALUE"""),"longest-zigzag-path-in-a-binary-tree")</f>
        <v>longest-zigzag-path-in-a-binary-tree</v>
      </c>
      <c r="D1373" s="23" t="b">
        <f>IFERROR(__xludf.DUMMYFUNCTION("""COMPUTED_VALUE"""),FALSE)</f>
        <v>0</v>
      </c>
      <c r="E1373" s="23" t="str">
        <f>IFERROR(__xludf.DUMMYFUNCTION("""COMPUTED_VALUE"""),"Medium")</f>
        <v>Medium</v>
      </c>
      <c r="F1373" s="23">
        <f>IFERROR(__xludf.DUMMYFUNCTION("""COMPUTED_VALUE"""),1096.0)</f>
        <v>1096</v>
      </c>
      <c r="G1373" s="23">
        <f>IFERROR(__xludf.DUMMYFUNCTION("""COMPUTED_VALUE"""),21.0)</f>
        <v>21</v>
      </c>
      <c r="H1373" s="23" t="str">
        <f>IFERROR(__xludf.DUMMYFUNCTION("""COMPUTED_VALUE"""),"Algorithms")</f>
        <v>Algorithms</v>
      </c>
      <c r="I1373" s="23">
        <f>IFERROR(__xludf.DUMMYFUNCTION("""COMPUTED_VALUE"""),0.583)</f>
        <v>0.583</v>
      </c>
      <c r="J1373" s="23">
        <f>IFERROR(__xludf.DUMMYFUNCTION("""COMPUTED_VALUE"""),1372.0)</f>
        <v>1372</v>
      </c>
      <c r="K1373" s="23" t="b">
        <f>IFERROR(__xludf.DUMMYFUNCTION("""COMPUTED_VALUE"""),FALSE)</f>
        <v>0</v>
      </c>
      <c r="L1373" s="23" t="str">
        <f>IFERROR(__xludf.DUMMYFUNCTION("""COMPUTED_VALUE"""),"Dynamic Programming;Tree;Depth-First Search;Binary Tree;")</f>
        <v>Dynamic Programming;Tree;Depth-First Search;Binary Tree;</v>
      </c>
      <c r="M1373" s="23" t="b">
        <f>IFERROR(__xludf.DUMMYFUNCTION("""COMPUTED_VALUE"""),FALSE)</f>
        <v>0</v>
      </c>
      <c r="N1373" s="23" t="b">
        <f>IFERROR(__xludf.DUMMYFUNCTION("""COMPUTED_VALUE"""),FALSE)</f>
        <v>0</v>
      </c>
      <c r="O1373" s="23">
        <f>IFERROR(__xludf.DUMMYFUNCTION("""COMPUTED_VALUE"""),58.301453710788)</f>
        <v>58.30145371</v>
      </c>
      <c r="P1373" s="23">
        <f>IFERROR(__xludf.DUMMYFUNCTION("""COMPUTED_VALUE"""),34290.0)</f>
        <v>34290</v>
      </c>
      <c r="Q1373" s="23">
        <f>IFERROR(__xludf.DUMMYFUNCTION("""COMPUTED_VALUE"""),58815.0)</f>
        <v>58815</v>
      </c>
    </row>
    <row r="1374">
      <c r="A1374" s="23">
        <f>IFERROR(__xludf.DUMMYFUNCTION("""COMPUTED_VALUE"""),1475.0)</f>
        <v>1475</v>
      </c>
      <c r="B1374" s="23" t="str">
        <f>IFERROR(__xludf.DUMMYFUNCTION("""COMPUTED_VALUE"""),"Maximum Sum BST in Binary Tree")</f>
        <v>Maximum Sum BST in Binary Tree</v>
      </c>
      <c r="C1374" s="23" t="str">
        <f>IFERROR(__xludf.DUMMYFUNCTION("""COMPUTED_VALUE"""),"maximum-sum-bst-in-binary-tree")</f>
        <v>maximum-sum-bst-in-binary-tree</v>
      </c>
      <c r="D1374" s="23" t="b">
        <f>IFERROR(__xludf.DUMMYFUNCTION("""COMPUTED_VALUE"""),FALSE)</f>
        <v>0</v>
      </c>
      <c r="E1374" s="23" t="str">
        <f>IFERROR(__xludf.DUMMYFUNCTION("""COMPUTED_VALUE"""),"Hard")</f>
        <v>Hard</v>
      </c>
      <c r="F1374" s="23">
        <f>IFERROR(__xludf.DUMMYFUNCTION("""COMPUTED_VALUE"""),1119.0)</f>
        <v>1119</v>
      </c>
      <c r="G1374" s="23">
        <f>IFERROR(__xludf.DUMMYFUNCTION("""COMPUTED_VALUE"""),123.0)</f>
        <v>123</v>
      </c>
      <c r="H1374" s="23" t="str">
        <f>IFERROR(__xludf.DUMMYFUNCTION("""COMPUTED_VALUE"""),"Algorithms")</f>
        <v>Algorithms</v>
      </c>
      <c r="I1374" s="23">
        <f>IFERROR(__xludf.DUMMYFUNCTION("""COMPUTED_VALUE"""),0.387)</f>
        <v>0.387</v>
      </c>
      <c r="J1374" s="23">
        <f>IFERROR(__xludf.DUMMYFUNCTION("""COMPUTED_VALUE"""),1373.0)</f>
        <v>1373</v>
      </c>
      <c r="K1374" s="23" t="b">
        <f>IFERROR(__xludf.DUMMYFUNCTION("""COMPUTED_VALUE"""),FALSE)</f>
        <v>0</v>
      </c>
      <c r="L1374" s="23" t="str">
        <f>IFERROR(__xludf.DUMMYFUNCTION("""COMPUTED_VALUE"""),"Dynamic Programming;Tree;Depth-First Search;Binary Search Tree;Binary Tree;")</f>
        <v>Dynamic Programming;Tree;Depth-First Search;Binary Search Tree;Binary Tree;</v>
      </c>
      <c r="M1374" s="23" t="b">
        <f>IFERROR(__xludf.DUMMYFUNCTION("""COMPUTED_VALUE"""),FALSE)</f>
        <v>0</v>
      </c>
      <c r="N1374" s="23" t="b">
        <f>IFERROR(__xludf.DUMMYFUNCTION("""COMPUTED_VALUE"""),FALSE)</f>
        <v>0</v>
      </c>
      <c r="O1374" s="23">
        <f>IFERROR(__xludf.DUMMYFUNCTION("""COMPUTED_VALUE"""),38.6998880044316)</f>
        <v>38.699888</v>
      </c>
      <c r="P1374" s="23">
        <f>IFERROR(__xludf.DUMMYFUNCTION("""COMPUTED_VALUE"""),32135.0)</f>
        <v>32135</v>
      </c>
      <c r="Q1374" s="23">
        <f>IFERROR(__xludf.DUMMYFUNCTION("""COMPUTED_VALUE"""),83038.0)</f>
        <v>83038</v>
      </c>
    </row>
    <row r="1375">
      <c r="A1375" s="23">
        <f>IFERROR(__xludf.DUMMYFUNCTION("""COMPUTED_VALUE"""),1490.0)</f>
        <v>1490</v>
      </c>
      <c r="B1375" s="23" t="str">
        <f>IFERROR(__xludf.DUMMYFUNCTION("""COMPUTED_VALUE"""),"Generate a String With Characters That Have Odd Counts")</f>
        <v>Generate a String With Characters That Have Odd Counts</v>
      </c>
      <c r="C1375" s="23" t="str">
        <f>IFERROR(__xludf.DUMMYFUNCTION("""COMPUTED_VALUE"""),"generate-a-string-with-characters-that-have-odd-counts")</f>
        <v>generate-a-string-with-characters-that-have-odd-counts</v>
      </c>
      <c r="D1375" s="23" t="b">
        <f>IFERROR(__xludf.DUMMYFUNCTION("""COMPUTED_VALUE"""),FALSE)</f>
        <v>0</v>
      </c>
      <c r="E1375" s="23" t="str">
        <f>IFERROR(__xludf.DUMMYFUNCTION("""COMPUTED_VALUE"""),"Easy")</f>
        <v>Easy</v>
      </c>
      <c r="F1375" s="23">
        <f>IFERROR(__xludf.DUMMYFUNCTION("""COMPUTED_VALUE"""),306.0)</f>
        <v>306</v>
      </c>
      <c r="G1375" s="23">
        <f>IFERROR(__xludf.DUMMYFUNCTION("""COMPUTED_VALUE"""),990.0)</f>
        <v>990</v>
      </c>
      <c r="H1375" s="23" t="str">
        <f>IFERROR(__xludf.DUMMYFUNCTION("""COMPUTED_VALUE"""),"Algorithms")</f>
        <v>Algorithms</v>
      </c>
      <c r="I1375" s="23">
        <f>IFERROR(__xludf.DUMMYFUNCTION("""COMPUTED_VALUE"""),0.774)</f>
        <v>0.774</v>
      </c>
      <c r="J1375" s="23">
        <f>IFERROR(__xludf.DUMMYFUNCTION("""COMPUTED_VALUE"""),1374.0)</f>
        <v>1374</v>
      </c>
      <c r="K1375" s="23" t="b">
        <f>IFERROR(__xludf.DUMMYFUNCTION("""COMPUTED_VALUE"""),FALSE)</f>
        <v>0</v>
      </c>
      <c r="L1375" s="23" t="str">
        <f>IFERROR(__xludf.DUMMYFUNCTION("""COMPUTED_VALUE"""),"String;")</f>
        <v>String;</v>
      </c>
      <c r="M1375" s="23" t="b">
        <f>IFERROR(__xludf.DUMMYFUNCTION("""COMPUTED_VALUE"""),FALSE)</f>
        <v>0</v>
      </c>
      <c r="N1375" s="23" t="b">
        <f>IFERROR(__xludf.DUMMYFUNCTION("""COMPUTED_VALUE"""),FALSE)</f>
        <v>0</v>
      </c>
      <c r="O1375" s="23">
        <f>IFERROR(__xludf.DUMMYFUNCTION("""COMPUTED_VALUE"""),77.3914385431752)</f>
        <v>77.39143854</v>
      </c>
      <c r="P1375" s="23">
        <f>IFERROR(__xludf.DUMMYFUNCTION("""COMPUTED_VALUE"""),65193.0)</f>
        <v>65193</v>
      </c>
      <c r="Q1375" s="23">
        <f>IFERROR(__xludf.DUMMYFUNCTION("""COMPUTED_VALUE"""),84238.0)</f>
        <v>84238</v>
      </c>
    </row>
    <row r="1376">
      <c r="A1376" s="23">
        <f>IFERROR(__xludf.DUMMYFUNCTION("""COMPUTED_VALUE"""),1491.0)</f>
        <v>1491</v>
      </c>
      <c r="B1376" s="23" t="str">
        <f>IFERROR(__xludf.DUMMYFUNCTION("""COMPUTED_VALUE"""),"Number of Times Binary String Is Prefix-Aligned")</f>
        <v>Number of Times Binary String Is Prefix-Aligned</v>
      </c>
      <c r="C1376" s="23" t="str">
        <f>IFERROR(__xludf.DUMMYFUNCTION("""COMPUTED_VALUE"""),"number-of-times-binary-string-is-prefix-aligned")</f>
        <v>number-of-times-binary-string-is-prefix-aligned</v>
      </c>
      <c r="D1376" s="23" t="b">
        <f>IFERROR(__xludf.DUMMYFUNCTION("""COMPUTED_VALUE"""),FALSE)</f>
        <v>0</v>
      </c>
      <c r="E1376" s="23" t="str">
        <f>IFERROR(__xludf.DUMMYFUNCTION("""COMPUTED_VALUE"""),"Medium")</f>
        <v>Medium</v>
      </c>
      <c r="F1376" s="23">
        <f>IFERROR(__xludf.DUMMYFUNCTION("""COMPUTED_VALUE"""),704.0)</f>
        <v>704</v>
      </c>
      <c r="G1376" s="23">
        <f>IFERROR(__xludf.DUMMYFUNCTION("""COMPUTED_VALUE"""),112.0)</f>
        <v>112</v>
      </c>
      <c r="H1376" s="23" t="str">
        <f>IFERROR(__xludf.DUMMYFUNCTION("""COMPUTED_VALUE"""),"Algorithms")</f>
        <v>Algorithms</v>
      </c>
      <c r="I1376" s="23">
        <f>IFERROR(__xludf.DUMMYFUNCTION("""COMPUTED_VALUE"""),0.657)</f>
        <v>0.657</v>
      </c>
      <c r="J1376" s="23">
        <f>IFERROR(__xludf.DUMMYFUNCTION("""COMPUTED_VALUE"""),1375.0)</f>
        <v>1375</v>
      </c>
      <c r="K1376" s="23" t="b">
        <f>IFERROR(__xludf.DUMMYFUNCTION("""COMPUTED_VALUE"""),FALSE)</f>
        <v>0</v>
      </c>
      <c r="L1376" s="23" t="str">
        <f>IFERROR(__xludf.DUMMYFUNCTION("""COMPUTED_VALUE"""),"Array;")</f>
        <v>Array;</v>
      </c>
      <c r="M1376" s="23" t="b">
        <f>IFERROR(__xludf.DUMMYFUNCTION("""COMPUTED_VALUE"""),FALSE)</f>
        <v>0</v>
      </c>
      <c r="N1376" s="23" t="b">
        <f>IFERROR(__xludf.DUMMYFUNCTION("""COMPUTED_VALUE"""),FALSE)</f>
        <v>0</v>
      </c>
      <c r="O1376" s="23">
        <f>IFERROR(__xludf.DUMMYFUNCTION("""COMPUTED_VALUE"""),65.7093298642383)</f>
        <v>65.70932986</v>
      </c>
      <c r="P1376" s="23">
        <f>IFERROR(__xludf.DUMMYFUNCTION("""COMPUTED_VALUE"""),39397.0)</f>
        <v>39397</v>
      </c>
      <c r="Q1376" s="23">
        <f>IFERROR(__xludf.DUMMYFUNCTION("""COMPUTED_VALUE"""),59957.0)</f>
        <v>59957</v>
      </c>
    </row>
    <row r="1377">
      <c r="A1377" s="23">
        <f>IFERROR(__xludf.DUMMYFUNCTION("""COMPUTED_VALUE"""),1492.0)</f>
        <v>1492</v>
      </c>
      <c r="B1377" s="23" t="str">
        <f>IFERROR(__xludf.DUMMYFUNCTION("""COMPUTED_VALUE"""),"Time Needed to Inform All Employees")</f>
        <v>Time Needed to Inform All Employees</v>
      </c>
      <c r="C1377" s="23" t="str">
        <f>IFERROR(__xludf.DUMMYFUNCTION("""COMPUTED_VALUE"""),"time-needed-to-inform-all-employees")</f>
        <v>time-needed-to-inform-all-employees</v>
      </c>
      <c r="D1377" s="23" t="b">
        <f>IFERROR(__xludf.DUMMYFUNCTION("""COMPUTED_VALUE"""),FALSE)</f>
        <v>0</v>
      </c>
      <c r="E1377" s="23" t="str">
        <f>IFERROR(__xludf.DUMMYFUNCTION("""COMPUTED_VALUE"""),"Medium")</f>
        <v>Medium</v>
      </c>
      <c r="F1377" s="23">
        <f>IFERROR(__xludf.DUMMYFUNCTION("""COMPUTED_VALUE"""),1690.0)</f>
        <v>1690</v>
      </c>
      <c r="G1377" s="23">
        <f>IFERROR(__xludf.DUMMYFUNCTION("""COMPUTED_VALUE"""),101.0)</f>
        <v>101</v>
      </c>
      <c r="H1377" s="23" t="str">
        <f>IFERROR(__xludf.DUMMYFUNCTION("""COMPUTED_VALUE"""),"Algorithms")</f>
        <v>Algorithms</v>
      </c>
      <c r="I1377" s="23">
        <f>IFERROR(__xludf.DUMMYFUNCTION("""COMPUTED_VALUE"""),0.581)</f>
        <v>0.581</v>
      </c>
      <c r="J1377" s="23">
        <f>IFERROR(__xludf.DUMMYFUNCTION("""COMPUTED_VALUE"""),1376.0)</f>
        <v>1376</v>
      </c>
      <c r="K1377" s="23" t="b">
        <f>IFERROR(__xludf.DUMMYFUNCTION("""COMPUTED_VALUE"""),FALSE)</f>
        <v>0</v>
      </c>
      <c r="L1377" s="23" t="str">
        <f>IFERROR(__xludf.DUMMYFUNCTION("""COMPUTED_VALUE"""),"Tree;Depth-First Search;Breadth-First Search;")</f>
        <v>Tree;Depth-First Search;Breadth-First Search;</v>
      </c>
      <c r="M1377" s="23" t="b">
        <f>IFERROR(__xludf.DUMMYFUNCTION("""COMPUTED_VALUE"""),FALSE)</f>
        <v>0</v>
      </c>
      <c r="N1377" s="23" t="b">
        <f>IFERROR(__xludf.DUMMYFUNCTION("""COMPUTED_VALUE"""),FALSE)</f>
        <v>0</v>
      </c>
      <c r="O1377" s="23">
        <f>IFERROR(__xludf.DUMMYFUNCTION("""COMPUTED_VALUE"""),58.0509666655762)</f>
        <v>58.05096667</v>
      </c>
      <c r="P1377" s="23">
        <f>IFERROR(__xludf.DUMMYFUNCTION("""COMPUTED_VALUE"""),88722.0)</f>
        <v>88722</v>
      </c>
      <c r="Q1377" s="23">
        <f>IFERROR(__xludf.DUMMYFUNCTION("""COMPUTED_VALUE"""),152837.0)</f>
        <v>152837</v>
      </c>
    </row>
    <row r="1378">
      <c r="A1378" s="23">
        <f>IFERROR(__xludf.DUMMYFUNCTION("""COMPUTED_VALUE"""),1493.0)</f>
        <v>1493</v>
      </c>
      <c r="B1378" s="23" t="str">
        <f>IFERROR(__xludf.DUMMYFUNCTION("""COMPUTED_VALUE"""),"Frog Position After T Seconds")</f>
        <v>Frog Position After T Seconds</v>
      </c>
      <c r="C1378" s="23" t="str">
        <f>IFERROR(__xludf.DUMMYFUNCTION("""COMPUTED_VALUE"""),"frog-position-after-t-seconds")</f>
        <v>frog-position-after-t-seconds</v>
      </c>
      <c r="D1378" s="23" t="b">
        <f>IFERROR(__xludf.DUMMYFUNCTION("""COMPUTED_VALUE"""),FALSE)</f>
        <v>0</v>
      </c>
      <c r="E1378" s="23" t="str">
        <f>IFERROR(__xludf.DUMMYFUNCTION("""COMPUTED_VALUE"""),"Hard")</f>
        <v>Hard</v>
      </c>
      <c r="F1378" s="23">
        <f>IFERROR(__xludf.DUMMYFUNCTION("""COMPUTED_VALUE"""),417.0)</f>
        <v>417</v>
      </c>
      <c r="G1378" s="23">
        <f>IFERROR(__xludf.DUMMYFUNCTION("""COMPUTED_VALUE"""),95.0)</f>
        <v>95</v>
      </c>
      <c r="H1378" s="23" t="str">
        <f>IFERROR(__xludf.DUMMYFUNCTION("""COMPUTED_VALUE"""),"Algorithms")</f>
        <v>Algorithms</v>
      </c>
      <c r="I1378" s="23">
        <f>IFERROR(__xludf.DUMMYFUNCTION("""COMPUTED_VALUE"""),0.363)</f>
        <v>0.363</v>
      </c>
      <c r="J1378" s="23">
        <f>IFERROR(__xludf.DUMMYFUNCTION("""COMPUTED_VALUE"""),1377.0)</f>
        <v>1377</v>
      </c>
      <c r="K1378" s="23" t="b">
        <f>IFERROR(__xludf.DUMMYFUNCTION("""COMPUTED_VALUE"""),FALSE)</f>
        <v>0</v>
      </c>
      <c r="L1378" s="23" t="str">
        <f>IFERROR(__xludf.DUMMYFUNCTION("""COMPUTED_VALUE"""),"Tree;Depth-First Search;Breadth-First Search;Graph;")</f>
        <v>Tree;Depth-First Search;Breadth-First Search;Graph;</v>
      </c>
      <c r="M1378" s="23" t="b">
        <f>IFERROR(__xludf.DUMMYFUNCTION("""COMPUTED_VALUE"""),FALSE)</f>
        <v>0</v>
      </c>
      <c r="N1378" s="23" t="b">
        <f>IFERROR(__xludf.DUMMYFUNCTION("""COMPUTED_VALUE"""),FALSE)</f>
        <v>0</v>
      </c>
      <c r="O1378" s="23">
        <f>IFERROR(__xludf.DUMMYFUNCTION("""COMPUTED_VALUE"""),36.2779564664522)</f>
        <v>36.27795647</v>
      </c>
      <c r="P1378" s="23">
        <f>IFERROR(__xludf.DUMMYFUNCTION("""COMPUTED_VALUE"""),19399.0)</f>
        <v>19399</v>
      </c>
      <c r="Q1378" s="23">
        <f>IFERROR(__xludf.DUMMYFUNCTION("""COMPUTED_VALUE"""),53474.0)</f>
        <v>53474</v>
      </c>
    </row>
    <row r="1379">
      <c r="A1379" s="23">
        <f>IFERROR(__xludf.DUMMYFUNCTION("""COMPUTED_VALUE"""),1509.0)</f>
        <v>1509</v>
      </c>
      <c r="B1379" s="23" t="str">
        <f>IFERROR(__xludf.DUMMYFUNCTION("""COMPUTED_VALUE"""),"Replace Employee ID With The Unique Identifier")</f>
        <v>Replace Employee ID With The Unique Identifier</v>
      </c>
      <c r="C1379" s="23" t="str">
        <f>IFERROR(__xludf.DUMMYFUNCTION("""COMPUTED_VALUE"""),"replace-employee-id-with-the-unique-identifier")</f>
        <v>replace-employee-id-with-the-unique-identifier</v>
      </c>
      <c r="D1379" s="23" t="b">
        <f>IFERROR(__xludf.DUMMYFUNCTION("""COMPUTED_VALUE"""),TRUE)</f>
        <v>1</v>
      </c>
      <c r="E1379" s="23" t="str">
        <f>IFERROR(__xludf.DUMMYFUNCTION("""COMPUTED_VALUE"""),"Easy")</f>
        <v>Easy</v>
      </c>
      <c r="F1379" s="23">
        <f>IFERROR(__xludf.DUMMYFUNCTION("""COMPUTED_VALUE"""),65.0)</f>
        <v>65</v>
      </c>
      <c r="G1379" s="23">
        <f>IFERROR(__xludf.DUMMYFUNCTION("""COMPUTED_VALUE"""),30.0)</f>
        <v>30</v>
      </c>
      <c r="H1379" s="23" t="str">
        <f>IFERROR(__xludf.DUMMYFUNCTION("""COMPUTED_VALUE"""),"Database")</f>
        <v>Database</v>
      </c>
      <c r="I1379" s="23">
        <f>IFERROR(__xludf.DUMMYFUNCTION("""COMPUTED_VALUE"""),0.912)</f>
        <v>0.912</v>
      </c>
      <c r="J1379" s="23">
        <f>IFERROR(__xludf.DUMMYFUNCTION("""COMPUTED_VALUE"""),1378.0)</f>
        <v>1378</v>
      </c>
      <c r="K1379" s="23" t="b">
        <f>IFERROR(__xludf.DUMMYFUNCTION("""COMPUTED_VALUE"""),TRUE)</f>
        <v>1</v>
      </c>
      <c r="L1379" s="23" t="str">
        <f>IFERROR(__xludf.DUMMYFUNCTION("""COMPUTED_VALUE"""),"Database;")</f>
        <v>Database;</v>
      </c>
      <c r="M1379" s="23" t="b">
        <f>IFERROR(__xludf.DUMMYFUNCTION("""COMPUTED_VALUE"""),FALSE)</f>
        <v>0</v>
      </c>
      <c r="N1379" s="23" t="b">
        <f>IFERROR(__xludf.DUMMYFUNCTION("""COMPUTED_VALUE"""),FALSE)</f>
        <v>0</v>
      </c>
      <c r="O1379" s="23">
        <f>IFERROR(__xludf.DUMMYFUNCTION("""COMPUTED_VALUE"""),91.1504424778761)</f>
        <v>91.15044248</v>
      </c>
      <c r="P1379" s="23">
        <f>IFERROR(__xludf.DUMMYFUNCTION("""COMPUTED_VALUE"""),28531.0)</f>
        <v>28531</v>
      </c>
      <c r="Q1379" s="23">
        <f>IFERROR(__xludf.DUMMYFUNCTION("""COMPUTED_VALUE"""),31301.0)</f>
        <v>31301</v>
      </c>
    </row>
    <row r="1380">
      <c r="A1380" s="23">
        <f>IFERROR(__xludf.DUMMYFUNCTION("""COMPUTED_VALUE"""),1498.0)</f>
        <v>1498</v>
      </c>
      <c r="B1380" s="23" t="str">
        <f>IFERROR(__xludf.DUMMYFUNCTION("""COMPUTED_VALUE"""),"Find a Corresponding Node of a Binary Tree in a Clone of That Tree")</f>
        <v>Find a Corresponding Node of a Binary Tree in a Clone of That Tree</v>
      </c>
      <c r="C1380" s="23" t="str">
        <f>IFERROR(__xludf.DUMMYFUNCTION("""COMPUTED_VALUE"""),"find-a-corresponding-node-of-a-binary-tree-in-a-clone-of-that-tree")</f>
        <v>find-a-corresponding-node-of-a-binary-tree-in-a-clone-of-that-tree</v>
      </c>
      <c r="D1380" s="23" t="b">
        <f>IFERROR(__xludf.DUMMYFUNCTION("""COMPUTED_VALUE"""),FALSE)</f>
        <v>0</v>
      </c>
      <c r="E1380" s="23" t="str">
        <f>IFERROR(__xludf.DUMMYFUNCTION("""COMPUTED_VALUE"""),"Medium")</f>
        <v>Medium</v>
      </c>
      <c r="F1380" s="23">
        <f>IFERROR(__xludf.DUMMYFUNCTION("""COMPUTED_VALUE"""),726.0)</f>
        <v>726</v>
      </c>
      <c r="G1380" s="23">
        <f>IFERROR(__xludf.DUMMYFUNCTION("""COMPUTED_VALUE"""),936.0)</f>
        <v>936</v>
      </c>
      <c r="H1380" s="23" t="str">
        <f>IFERROR(__xludf.DUMMYFUNCTION("""COMPUTED_VALUE"""),"Algorithms")</f>
        <v>Algorithms</v>
      </c>
      <c r="I1380" s="23">
        <f>IFERROR(__xludf.DUMMYFUNCTION("""COMPUTED_VALUE"""),0.855)</f>
        <v>0.855</v>
      </c>
      <c r="J1380" s="23">
        <f>IFERROR(__xludf.DUMMYFUNCTION("""COMPUTED_VALUE"""),1379.0)</f>
        <v>1379</v>
      </c>
      <c r="K1380" s="23" t="b">
        <f>IFERROR(__xludf.DUMMYFUNCTION("""COMPUTED_VALUE"""),FALSE)</f>
        <v>0</v>
      </c>
      <c r="L1380" s="23" t="str">
        <f>IFERROR(__xludf.DUMMYFUNCTION("""COMPUTED_VALUE"""),"Tree;Depth-First Search;Breadth-First Search;Binary Tree;")</f>
        <v>Tree;Depth-First Search;Breadth-First Search;Binary Tree;</v>
      </c>
      <c r="M1380" s="23" t="b">
        <f>IFERROR(__xludf.DUMMYFUNCTION("""COMPUTED_VALUE"""),TRUE)</f>
        <v>1</v>
      </c>
      <c r="N1380" s="23" t="b">
        <f>IFERROR(__xludf.DUMMYFUNCTION("""COMPUTED_VALUE"""),FALSE)</f>
        <v>0</v>
      </c>
      <c r="O1380" s="23">
        <f>IFERROR(__xludf.DUMMYFUNCTION("""COMPUTED_VALUE"""),85.5174139728884)</f>
        <v>85.51741397</v>
      </c>
      <c r="P1380" s="23">
        <f>IFERROR(__xludf.DUMMYFUNCTION("""COMPUTED_VALUE"""),102514.0)</f>
        <v>102514</v>
      </c>
      <c r="Q1380" s="23">
        <f>IFERROR(__xludf.DUMMYFUNCTION("""COMPUTED_VALUE"""),119875.0)</f>
        <v>119875</v>
      </c>
    </row>
    <row r="1381">
      <c r="A1381" s="23">
        <f>IFERROR(__xludf.DUMMYFUNCTION("""COMPUTED_VALUE"""),1496.0)</f>
        <v>1496</v>
      </c>
      <c r="B1381" s="23" t="str">
        <f>IFERROR(__xludf.DUMMYFUNCTION("""COMPUTED_VALUE"""),"Lucky Numbers in a Matrix")</f>
        <v>Lucky Numbers in a Matrix</v>
      </c>
      <c r="C1381" s="23" t="str">
        <f>IFERROR(__xludf.DUMMYFUNCTION("""COMPUTED_VALUE"""),"lucky-numbers-in-a-matrix")</f>
        <v>lucky-numbers-in-a-matrix</v>
      </c>
      <c r="D1381" s="23" t="b">
        <f>IFERROR(__xludf.DUMMYFUNCTION("""COMPUTED_VALUE"""),FALSE)</f>
        <v>0</v>
      </c>
      <c r="E1381" s="23" t="str">
        <f>IFERROR(__xludf.DUMMYFUNCTION("""COMPUTED_VALUE"""),"Easy")</f>
        <v>Easy</v>
      </c>
      <c r="F1381" s="23">
        <f>IFERROR(__xludf.DUMMYFUNCTION("""COMPUTED_VALUE"""),940.0)</f>
        <v>940</v>
      </c>
      <c r="G1381" s="23">
        <f>IFERROR(__xludf.DUMMYFUNCTION("""COMPUTED_VALUE"""),65.0)</f>
        <v>65</v>
      </c>
      <c r="H1381" s="23" t="str">
        <f>IFERROR(__xludf.DUMMYFUNCTION("""COMPUTED_VALUE"""),"Algorithms")</f>
        <v>Algorithms</v>
      </c>
      <c r="I1381" s="23">
        <f>IFERROR(__xludf.DUMMYFUNCTION("""COMPUTED_VALUE"""),0.709)</f>
        <v>0.709</v>
      </c>
      <c r="J1381" s="23">
        <f>IFERROR(__xludf.DUMMYFUNCTION("""COMPUTED_VALUE"""),1380.0)</f>
        <v>1380</v>
      </c>
      <c r="K1381" s="23" t="b">
        <f>IFERROR(__xludf.DUMMYFUNCTION("""COMPUTED_VALUE"""),FALSE)</f>
        <v>0</v>
      </c>
      <c r="L1381" s="23" t="str">
        <f>IFERROR(__xludf.DUMMYFUNCTION("""COMPUTED_VALUE"""),"Array;Matrix;")</f>
        <v>Array;Matrix;</v>
      </c>
      <c r="M1381" s="23" t="b">
        <f>IFERROR(__xludf.DUMMYFUNCTION("""COMPUTED_VALUE"""),FALSE)</f>
        <v>0</v>
      </c>
      <c r="N1381" s="23" t="b">
        <f>IFERROR(__xludf.DUMMYFUNCTION("""COMPUTED_VALUE"""),FALSE)</f>
        <v>0</v>
      </c>
      <c r="O1381" s="23">
        <f>IFERROR(__xludf.DUMMYFUNCTION("""COMPUTED_VALUE"""),70.8709245198749)</f>
        <v>70.87092452</v>
      </c>
      <c r="P1381" s="23">
        <f>IFERROR(__xludf.DUMMYFUNCTION("""COMPUTED_VALUE"""),63472.0)</f>
        <v>63472</v>
      </c>
      <c r="Q1381" s="23">
        <f>IFERROR(__xludf.DUMMYFUNCTION("""COMPUTED_VALUE"""),89560.0)</f>
        <v>89560</v>
      </c>
    </row>
    <row r="1382">
      <c r="A1382" s="23">
        <f>IFERROR(__xludf.DUMMYFUNCTION("""COMPUTED_VALUE"""),1497.0)</f>
        <v>1497</v>
      </c>
      <c r="B1382" s="23" t="str">
        <f>IFERROR(__xludf.DUMMYFUNCTION("""COMPUTED_VALUE"""),"Design a Stack With Increment Operation")</f>
        <v>Design a Stack With Increment Operation</v>
      </c>
      <c r="C1382" s="23" t="str">
        <f>IFERROR(__xludf.DUMMYFUNCTION("""COMPUTED_VALUE"""),"design-a-stack-with-increment-operation")</f>
        <v>design-a-stack-with-increment-operation</v>
      </c>
      <c r="D1382" s="23" t="b">
        <f>IFERROR(__xludf.DUMMYFUNCTION("""COMPUTED_VALUE"""),FALSE)</f>
        <v>0</v>
      </c>
      <c r="E1382" s="23" t="str">
        <f>IFERROR(__xludf.DUMMYFUNCTION("""COMPUTED_VALUE"""),"Medium")</f>
        <v>Medium</v>
      </c>
      <c r="F1382" s="23">
        <f>IFERROR(__xludf.DUMMYFUNCTION("""COMPUTED_VALUE"""),1122.0)</f>
        <v>1122</v>
      </c>
      <c r="G1382" s="23">
        <f>IFERROR(__xludf.DUMMYFUNCTION("""COMPUTED_VALUE"""),69.0)</f>
        <v>69</v>
      </c>
      <c r="H1382" s="23" t="str">
        <f>IFERROR(__xludf.DUMMYFUNCTION("""COMPUTED_VALUE"""),"Algorithms")</f>
        <v>Algorithms</v>
      </c>
      <c r="I1382" s="23">
        <f>IFERROR(__xludf.DUMMYFUNCTION("""COMPUTED_VALUE"""),0.771)</f>
        <v>0.771</v>
      </c>
      <c r="J1382" s="23">
        <f>IFERROR(__xludf.DUMMYFUNCTION("""COMPUTED_VALUE"""),1381.0)</f>
        <v>1381</v>
      </c>
      <c r="K1382" s="23" t="b">
        <f>IFERROR(__xludf.DUMMYFUNCTION("""COMPUTED_VALUE"""),FALSE)</f>
        <v>0</v>
      </c>
      <c r="L1382" s="23" t="str">
        <f>IFERROR(__xludf.DUMMYFUNCTION("""COMPUTED_VALUE"""),"Array;Stack;Design;")</f>
        <v>Array;Stack;Design;</v>
      </c>
      <c r="M1382" s="23" t="b">
        <f>IFERROR(__xludf.DUMMYFUNCTION("""COMPUTED_VALUE"""),FALSE)</f>
        <v>0</v>
      </c>
      <c r="N1382" s="23" t="b">
        <f>IFERROR(__xludf.DUMMYFUNCTION("""COMPUTED_VALUE"""),FALSE)</f>
        <v>0</v>
      </c>
      <c r="O1382" s="23">
        <f>IFERROR(__xludf.DUMMYFUNCTION("""COMPUTED_VALUE"""),77.0860222358082)</f>
        <v>77.08602224</v>
      </c>
      <c r="P1382" s="23">
        <f>IFERROR(__xludf.DUMMYFUNCTION("""COMPUTED_VALUE"""),68087.0)</f>
        <v>68087</v>
      </c>
      <c r="Q1382" s="23">
        <f>IFERROR(__xludf.DUMMYFUNCTION("""COMPUTED_VALUE"""),88326.0)</f>
        <v>88326</v>
      </c>
    </row>
    <row r="1383">
      <c r="A1383" s="23">
        <f>IFERROR(__xludf.DUMMYFUNCTION("""COMPUTED_VALUE"""),1285.0)</f>
        <v>1285</v>
      </c>
      <c r="B1383" s="23" t="str">
        <f>IFERROR(__xludf.DUMMYFUNCTION("""COMPUTED_VALUE"""),"Balance a Binary Search Tree")</f>
        <v>Balance a Binary Search Tree</v>
      </c>
      <c r="C1383" s="23" t="str">
        <f>IFERROR(__xludf.DUMMYFUNCTION("""COMPUTED_VALUE"""),"balance-a-binary-search-tree")</f>
        <v>balance-a-binary-search-tree</v>
      </c>
      <c r="D1383" s="23" t="b">
        <f>IFERROR(__xludf.DUMMYFUNCTION("""COMPUTED_VALUE"""),FALSE)</f>
        <v>0</v>
      </c>
      <c r="E1383" s="23" t="str">
        <f>IFERROR(__xludf.DUMMYFUNCTION("""COMPUTED_VALUE"""),"Medium")</f>
        <v>Medium</v>
      </c>
      <c r="F1383" s="23">
        <f>IFERROR(__xludf.DUMMYFUNCTION("""COMPUTED_VALUE"""),1800.0)</f>
        <v>1800</v>
      </c>
      <c r="G1383" s="23">
        <f>IFERROR(__xludf.DUMMYFUNCTION("""COMPUTED_VALUE"""),56.0)</f>
        <v>56</v>
      </c>
      <c r="H1383" s="23" t="str">
        <f>IFERROR(__xludf.DUMMYFUNCTION("""COMPUTED_VALUE"""),"Algorithms")</f>
        <v>Algorithms</v>
      </c>
      <c r="I1383" s="23">
        <f>IFERROR(__xludf.DUMMYFUNCTION("""COMPUTED_VALUE"""),0.804)</f>
        <v>0.804</v>
      </c>
      <c r="J1383" s="23">
        <f>IFERROR(__xludf.DUMMYFUNCTION("""COMPUTED_VALUE"""),1382.0)</f>
        <v>1382</v>
      </c>
      <c r="K1383" s="23" t="b">
        <f>IFERROR(__xludf.DUMMYFUNCTION("""COMPUTED_VALUE"""),FALSE)</f>
        <v>0</v>
      </c>
      <c r="L1383" s="23" t="str">
        <f>IFERROR(__xludf.DUMMYFUNCTION("""COMPUTED_VALUE"""),"Divide and Conquer;Greedy;Tree;Depth-First Search;Binary Search Tree;Binary Tree;")</f>
        <v>Divide and Conquer;Greedy;Tree;Depth-First Search;Binary Search Tree;Binary Tree;</v>
      </c>
      <c r="M1383" s="23" t="b">
        <f>IFERROR(__xludf.DUMMYFUNCTION("""COMPUTED_VALUE"""),FALSE)</f>
        <v>0</v>
      </c>
      <c r="N1383" s="23" t="b">
        <f>IFERROR(__xludf.DUMMYFUNCTION("""COMPUTED_VALUE"""),FALSE)</f>
        <v>0</v>
      </c>
      <c r="O1383" s="23">
        <f>IFERROR(__xludf.DUMMYFUNCTION("""COMPUTED_VALUE"""),80.3677682672049)</f>
        <v>80.36776827</v>
      </c>
      <c r="P1383" s="23">
        <f>IFERROR(__xludf.DUMMYFUNCTION("""COMPUTED_VALUE"""),91170.0)</f>
        <v>91170</v>
      </c>
      <c r="Q1383" s="23">
        <f>IFERROR(__xludf.DUMMYFUNCTION("""COMPUTED_VALUE"""),113441.0)</f>
        <v>113441</v>
      </c>
    </row>
    <row r="1384">
      <c r="A1384" s="23">
        <f>IFERROR(__xludf.DUMMYFUNCTION("""COMPUTED_VALUE"""),1499.0)</f>
        <v>1499</v>
      </c>
      <c r="B1384" s="23" t="str">
        <f>IFERROR(__xludf.DUMMYFUNCTION("""COMPUTED_VALUE"""),"Maximum Performance of a Team")</f>
        <v>Maximum Performance of a Team</v>
      </c>
      <c r="C1384" s="23" t="str">
        <f>IFERROR(__xludf.DUMMYFUNCTION("""COMPUTED_VALUE"""),"maximum-performance-of-a-team")</f>
        <v>maximum-performance-of-a-team</v>
      </c>
      <c r="D1384" s="23" t="b">
        <f>IFERROR(__xludf.DUMMYFUNCTION("""COMPUTED_VALUE"""),FALSE)</f>
        <v>0</v>
      </c>
      <c r="E1384" s="23" t="str">
        <f>IFERROR(__xludf.DUMMYFUNCTION("""COMPUTED_VALUE"""),"Hard")</f>
        <v>Hard</v>
      </c>
      <c r="F1384" s="23">
        <f>IFERROR(__xludf.DUMMYFUNCTION("""COMPUTED_VALUE"""),1143.0)</f>
        <v>1143</v>
      </c>
      <c r="G1384" s="23">
        <f>IFERROR(__xludf.DUMMYFUNCTION("""COMPUTED_VALUE"""),39.0)</f>
        <v>39</v>
      </c>
      <c r="H1384" s="23" t="str">
        <f>IFERROR(__xludf.DUMMYFUNCTION("""COMPUTED_VALUE"""),"Algorithms")</f>
        <v>Algorithms</v>
      </c>
      <c r="I1384" s="23">
        <f>IFERROR(__xludf.DUMMYFUNCTION("""COMPUTED_VALUE"""),0.415)</f>
        <v>0.415</v>
      </c>
      <c r="J1384" s="23">
        <f>IFERROR(__xludf.DUMMYFUNCTION("""COMPUTED_VALUE"""),1383.0)</f>
        <v>1383</v>
      </c>
      <c r="K1384" s="23" t="b">
        <f>IFERROR(__xludf.DUMMYFUNCTION("""COMPUTED_VALUE"""),FALSE)</f>
        <v>0</v>
      </c>
      <c r="L1384" s="23" t="str">
        <f>IFERROR(__xludf.DUMMYFUNCTION("""COMPUTED_VALUE"""),"Array;Greedy;Sorting;Heap (Priority Queue);")</f>
        <v>Array;Greedy;Sorting;Heap (Priority Queue);</v>
      </c>
      <c r="M1384" s="23" t="b">
        <f>IFERROR(__xludf.DUMMYFUNCTION("""COMPUTED_VALUE"""),TRUE)</f>
        <v>1</v>
      </c>
      <c r="N1384" s="23" t="b">
        <f>IFERROR(__xludf.DUMMYFUNCTION("""COMPUTED_VALUE"""),FALSE)</f>
        <v>0</v>
      </c>
      <c r="O1384" s="23">
        <f>IFERROR(__xludf.DUMMYFUNCTION("""COMPUTED_VALUE"""),41.4860049798231)</f>
        <v>41.48600498</v>
      </c>
      <c r="P1384" s="23">
        <f>IFERROR(__xludf.DUMMYFUNCTION("""COMPUTED_VALUE"""),38655.0)</f>
        <v>38655</v>
      </c>
      <c r="Q1384" s="23">
        <f>IFERROR(__xludf.DUMMYFUNCTION("""COMPUTED_VALUE"""),93176.0)</f>
        <v>93176</v>
      </c>
    </row>
    <row r="1385">
      <c r="A1385" s="23">
        <f>IFERROR(__xludf.DUMMYFUNCTION("""COMPUTED_VALUE"""),1518.0)</f>
        <v>1518</v>
      </c>
      <c r="B1385" s="23" t="str">
        <f>IFERROR(__xludf.DUMMYFUNCTION("""COMPUTED_VALUE"""),"Total Sales Amount by Year")</f>
        <v>Total Sales Amount by Year</v>
      </c>
      <c r="C1385" s="23" t="str">
        <f>IFERROR(__xludf.DUMMYFUNCTION("""COMPUTED_VALUE"""),"total-sales-amount-by-year")</f>
        <v>total-sales-amount-by-year</v>
      </c>
      <c r="D1385" s="23" t="b">
        <f>IFERROR(__xludf.DUMMYFUNCTION("""COMPUTED_VALUE"""),TRUE)</f>
        <v>1</v>
      </c>
      <c r="E1385" s="23" t="str">
        <f>IFERROR(__xludf.DUMMYFUNCTION("""COMPUTED_VALUE"""),"Hard")</f>
        <v>Hard</v>
      </c>
      <c r="F1385" s="23">
        <f>IFERROR(__xludf.DUMMYFUNCTION("""COMPUTED_VALUE"""),146.0)</f>
        <v>146</v>
      </c>
      <c r="G1385" s="23">
        <f>IFERROR(__xludf.DUMMYFUNCTION("""COMPUTED_VALUE"""),74.0)</f>
        <v>74</v>
      </c>
      <c r="H1385" s="23" t="str">
        <f>IFERROR(__xludf.DUMMYFUNCTION("""COMPUTED_VALUE"""),"Database")</f>
        <v>Database</v>
      </c>
      <c r="I1385" s="23">
        <f>IFERROR(__xludf.DUMMYFUNCTION("""COMPUTED_VALUE"""),0.662)</f>
        <v>0.662</v>
      </c>
      <c r="J1385" s="23">
        <f>IFERROR(__xludf.DUMMYFUNCTION("""COMPUTED_VALUE"""),1384.0)</f>
        <v>1384</v>
      </c>
      <c r="K1385" s="23" t="b">
        <f>IFERROR(__xludf.DUMMYFUNCTION("""COMPUTED_VALUE"""),TRUE)</f>
        <v>1</v>
      </c>
      <c r="L1385" s="23" t="str">
        <f>IFERROR(__xludf.DUMMYFUNCTION("""COMPUTED_VALUE"""),"Database;")</f>
        <v>Database;</v>
      </c>
      <c r="M1385" s="23" t="b">
        <f>IFERROR(__xludf.DUMMYFUNCTION("""COMPUTED_VALUE"""),FALSE)</f>
        <v>0</v>
      </c>
      <c r="N1385" s="23" t="b">
        <f>IFERROR(__xludf.DUMMYFUNCTION("""COMPUTED_VALUE"""),FALSE)</f>
        <v>0</v>
      </c>
      <c r="O1385" s="23">
        <f>IFERROR(__xludf.DUMMYFUNCTION("""COMPUTED_VALUE"""),66.1974718141441)</f>
        <v>66.19747181</v>
      </c>
      <c r="P1385" s="23">
        <f>IFERROR(__xludf.DUMMYFUNCTION("""COMPUTED_VALUE"""),9688.0)</f>
        <v>9688</v>
      </c>
      <c r="Q1385" s="23">
        <f>IFERROR(__xludf.DUMMYFUNCTION("""COMPUTED_VALUE"""),14635.0)</f>
        <v>14635</v>
      </c>
    </row>
    <row r="1386">
      <c r="A1386" s="23">
        <f>IFERROR(__xludf.DUMMYFUNCTION("""COMPUTED_VALUE"""),1486.0)</f>
        <v>1486</v>
      </c>
      <c r="B1386" s="23" t="str">
        <f>IFERROR(__xludf.DUMMYFUNCTION("""COMPUTED_VALUE"""),"Find the Distance Value Between Two Arrays")</f>
        <v>Find the Distance Value Between Two Arrays</v>
      </c>
      <c r="C1386" s="23" t="str">
        <f>IFERROR(__xludf.DUMMYFUNCTION("""COMPUTED_VALUE"""),"find-the-distance-value-between-two-arrays")</f>
        <v>find-the-distance-value-between-two-arrays</v>
      </c>
      <c r="D1386" s="23" t="b">
        <f>IFERROR(__xludf.DUMMYFUNCTION("""COMPUTED_VALUE"""),FALSE)</f>
        <v>0</v>
      </c>
      <c r="E1386" s="23" t="str">
        <f>IFERROR(__xludf.DUMMYFUNCTION("""COMPUTED_VALUE"""),"Easy")</f>
        <v>Easy</v>
      </c>
      <c r="F1386" s="23">
        <f>IFERROR(__xludf.DUMMYFUNCTION("""COMPUTED_VALUE"""),385.0)</f>
        <v>385</v>
      </c>
      <c r="G1386" s="23">
        <f>IFERROR(__xludf.DUMMYFUNCTION("""COMPUTED_VALUE"""),1442.0)</f>
        <v>1442</v>
      </c>
      <c r="H1386" s="23" t="str">
        <f>IFERROR(__xludf.DUMMYFUNCTION("""COMPUTED_VALUE"""),"Algorithms")</f>
        <v>Algorithms</v>
      </c>
      <c r="I1386" s="23">
        <f>IFERROR(__xludf.DUMMYFUNCTION("""COMPUTED_VALUE"""),0.659)</f>
        <v>0.659</v>
      </c>
      <c r="J1386" s="23">
        <f>IFERROR(__xludf.DUMMYFUNCTION("""COMPUTED_VALUE"""),1385.0)</f>
        <v>1385</v>
      </c>
      <c r="K1386" s="23" t="b">
        <f>IFERROR(__xludf.DUMMYFUNCTION("""COMPUTED_VALUE"""),FALSE)</f>
        <v>0</v>
      </c>
      <c r="L1386" s="23" t="str">
        <f>IFERROR(__xludf.DUMMYFUNCTION("""COMPUTED_VALUE"""),"Array;Two Pointers;Binary Search;Sorting;")</f>
        <v>Array;Two Pointers;Binary Search;Sorting;</v>
      </c>
      <c r="M1386" s="23" t="b">
        <f>IFERROR(__xludf.DUMMYFUNCTION("""COMPUTED_VALUE"""),FALSE)</f>
        <v>0</v>
      </c>
      <c r="N1386" s="23" t="b">
        <f>IFERROR(__xludf.DUMMYFUNCTION("""COMPUTED_VALUE"""),FALSE)</f>
        <v>0</v>
      </c>
      <c r="O1386" s="23">
        <f>IFERROR(__xludf.DUMMYFUNCTION("""COMPUTED_VALUE"""),65.900964667766)</f>
        <v>65.90096467</v>
      </c>
      <c r="P1386" s="23">
        <f>IFERROR(__xludf.DUMMYFUNCTION("""COMPUTED_VALUE"""),45155.0)</f>
        <v>45155</v>
      </c>
      <c r="Q1386" s="23">
        <f>IFERROR(__xludf.DUMMYFUNCTION("""COMPUTED_VALUE"""),68520.0)</f>
        <v>68520</v>
      </c>
    </row>
    <row r="1387">
      <c r="A1387" s="23">
        <f>IFERROR(__xludf.DUMMYFUNCTION("""COMPUTED_VALUE"""),1487.0)</f>
        <v>1487</v>
      </c>
      <c r="B1387" s="23" t="str">
        <f>IFERROR(__xludf.DUMMYFUNCTION("""COMPUTED_VALUE"""),"Cinema Seat Allocation")</f>
        <v>Cinema Seat Allocation</v>
      </c>
      <c r="C1387" s="23" t="str">
        <f>IFERROR(__xludf.DUMMYFUNCTION("""COMPUTED_VALUE"""),"cinema-seat-allocation")</f>
        <v>cinema-seat-allocation</v>
      </c>
      <c r="D1387" s="23" t="b">
        <f>IFERROR(__xludf.DUMMYFUNCTION("""COMPUTED_VALUE"""),FALSE)</f>
        <v>0</v>
      </c>
      <c r="E1387" s="23" t="str">
        <f>IFERROR(__xludf.DUMMYFUNCTION("""COMPUTED_VALUE"""),"Medium")</f>
        <v>Medium</v>
      </c>
      <c r="F1387" s="23">
        <f>IFERROR(__xludf.DUMMYFUNCTION("""COMPUTED_VALUE"""),475.0)</f>
        <v>475</v>
      </c>
      <c r="G1387" s="23">
        <f>IFERROR(__xludf.DUMMYFUNCTION("""COMPUTED_VALUE"""),252.0)</f>
        <v>252</v>
      </c>
      <c r="H1387" s="23" t="str">
        <f>IFERROR(__xludf.DUMMYFUNCTION("""COMPUTED_VALUE"""),"Algorithms")</f>
        <v>Algorithms</v>
      </c>
      <c r="I1387" s="23">
        <f>IFERROR(__xludf.DUMMYFUNCTION("""COMPUTED_VALUE"""),0.395)</f>
        <v>0.395</v>
      </c>
      <c r="J1387" s="23">
        <f>IFERROR(__xludf.DUMMYFUNCTION("""COMPUTED_VALUE"""),1386.0)</f>
        <v>1386</v>
      </c>
      <c r="K1387" s="23" t="b">
        <f>IFERROR(__xludf.DUMMYFUNCTION("""COMPUTED_VALUE"""),FALSE)</f>
        <v>0</v>
      </c>
      <c r="L1387" s="23" t="str">
        <f>IFERROR(__xludf.DUMMYFUNCTION("""COMPUTED_VALUE"""),"Array;Hash Table;Greedy;Bit Manipulation;")</f>
        <v>Array;Hash Table;Greedy;Bit Manipulation;</v>
      </c>
      <c r="M1387" s="23" t="b">
        <f>IFERROR(__xludf.DUMMYFUNCTION("""COMPUTED_VALUE"""),FALSE)</f>
        <v>0</v>
      </c>
      <c r="N1387" s="23" t="b">
        <f>IFERROR(__xludf.DUMMYFUNCTION("""COMPUTED_VALUE"""),FALSE)</f>
        <v>0</v>
      </c>
      <c r="O1387" s="23">
        <f>IFERROR(__xludf.DUMMYFUNCTION("""COMPUTED_VALUE"""),39.5044474770227)</f>
        <v>39.50444748</v>
      </c>
      <c r="P1387" s="23">
        <f>IFERROR(__xludf.DUMMYFUNCTION("""COMPUTED_VALUE"""),24026.0)</f>
        <v>24026</v>
      </c>
      <c r="Q1387" s="23">
        <f>IFERROR(__xludf.DUMMYFUNCTION("""COMPUTED_VALUE"""),60820.0)</f>
        <v>60820</v>
      </c>
    </row>
    <row r="1388">
      <c r="A1388" s="23">
        <f>IFERROR(__xludf.DUMMYFUNCTION("""COMPUTED_VALUE"""),1488.0)</f>
        <v>1488</v>
      </c>
      <c r="B1388" s="23" t="str">
        <f>IFERROR(__xludf.DUMMYFUNCTION("""COMPUTED_VALUE"""),"Sort Integers by The Power Value")</f>
        <v>Sort Integers by The Power Value</v>
      </c>
      <c r="C1388" s="23" t="str">
        <f>IFERROR(__xludf.DUMMYFUNCTION("""COMPUTED_VALUE"""),"sort-integers-by-the-power-value")</f>
        <v>sort-integers-by-the-power-value</v>
      </c>
      <c r="D1388" s="23" t="b">
        <f>IFERROR(__xludf.DUMMYFUNCTION("""COMPUTED_VALUE"""),FALSE)</f>
        <v>0</v>
      </c>
      <c r="E1388" s="23" t="str">
        <f>IFERROR(__xludf.DUMMYFUNCTION("""COMPUTED_VALUE"""),"Medium")</f>
        <v>Medium</v>
      </c>
      <c r="F1388" s="23">
        <f>IFERROR(__xludf.DUMMYFUNCTION("""COMPUTED_VALUE"""),834.0)</f>
        <v>834</v>
      </c>
      <c r="G1388" s="23">
        <f>IFERROR(__xludf.DUMMYFUNCTION("""COMPUTED_VALUE"""),90.0)</f>
        <v>90</v>
      </c>
      <c r="H1388" s="23" t="str">
        <f>IFERROR(__xludf.DUMMYFUNCTION("""COMPUTED_VALUE"""),"Algorithms")</f>
        <v>Algorithms</v>
      </c>
      <c r="I1388" s="23">
        <f>IFERROR(__xludf.DUMMYFUNCTION("""COMPUTED_VALUE"""),0.7)</f>
        <v>0.7</v>
      </c>
      <c r="J1388" s="23">
        <f>IFERROR(__xludf.DUMMYFUNCTION("""COMPUTED_VALUE"""),1387.0)</f>
        <v>1387</v>
      </c>
      <c r="K1388" s="23" t="b">
        <f>IFERROR(__xludf.DUMMYFUNCTION("""COMPUTED_VALUE"""),FALSE)</f>
        <v>0</v>
      </c>
      <c r="L1388" s="23" t="str">
        <f>IFERROR(__xludf.DUMMYFUNCTION("""COMPUTED_VALUE"""),"Dynamic Programming;Memoization;Sorting;")</f>
        <v>Dynamic Programming;Memoization;Sorting;</v>
      </c>
      <c r="M1388" s="23" t="b">
        <f>IFERROR(__xludf.DUMMYFUNCTION("""COMPUTED_VALUE"""),FALSE)</f>
        <v>0</v>
      </c>
      <c r="N1388" s="23" t="b">
        <f>IFERROR(__xludf.DUMMYFUNCTION("""COMPUTED_VALUE"""),FALSE)</f>
        <v>0</v>
      </c>
      <c r="O1388" s="23">
        <f>IFERROR(__xludf.DUMMYFUNCTION("""COMPUTED_VALUE"""),69.9750127622988)</f>
        <v>69.97501276</v>
      </c>
      <c r="P1388" s="23">
        <f>IFERROR(__xludf.DUMMYFUNCTION("""COMPUTED_VALUE"""),52085.0)</f>
        <v>52085</v>
      </c>
      <c r="Q1388" s="23">
        <f>IFERROR(__xludf.DUMMYFUNCTION("""COMPUTED_VALUE"""),74433.0)</f>
        <v>74433</v>
      </c>
    </row>
    <row r="1389">
      <c r="A1389" s="23">
        <f>IFERROR(__xludf.DUMMYFUNCTION("""COMPUTED_VALUE"""),1489.0)</f>
        <v>1489</v>
      </c>
      <c r="B1389" s="23" t="str">
        <f>IFERROR(__xludf.DUMMYFUNCTION("""COMPUTED_VALUE"""),"Pizza With 3n Slices")</f>
        <v>Pizza With 3n Slices</v>
      </c>
      <c r="C1389" s="23" t="str">
        <f>IFERROR(__xludf.DUMMYFUNCTION("""COMPUTED_VALUE"""),"pizza-with-3n-slices")</f>
        <v>pizza-with-3n-slices</v>
      </c>
      <c r="D1389" s="23" t="b">
        <f>IFERROR(__xludf.DUMMYFUNCTION("""COMPUTED_VALUE"""),FALSE)</f>
        <v>0</v>
      </c>
      <c r="E1389" s="23" t="str">
        <f>IFERROR(__xludf.DUMMYFUNCTION("""COMPUTED_VALUE"""),"Hard")</f>
        <v>Hard</v>
      </c>
      <c r="F1389" s="23">
        <f>IFERROR(__xludf.DUMMYFUNCTION("""COMPUTED_VALUE"""),535.0)</f>
        <v>535</v>
      </c>
      <c r="G1389" s="23">
        <f>IFERROR(__xludf.DUMMYFUNCTION("""COMPUTED_VALUE"""),10.0)</f>
        <v>10</v>
      </c>
      <c r="H1389" s="23" t="str">
        <f>IFERROR(__xludf.DUMMYFUNCTION("""COMPUTED_VALUE"""),"Algorithms")</f>
        <v>Algorithms</v>
      </c>
      <c r="I1389" s="23">
        <f>IFERROR(__xludf.DUMMYFUNCTION("""COMPUTED_VALUE"""),0.488)</f>
        <v>0.488</v>
      </c>
      <c r="J1389" s="23">
        <f>IFERROR(__xludf.DUMMYFUNCTION("""COMPUTED_VALUE"""),1388.0)</f>
        <v>1388</v>
      </c>
      <c r="K1389" s="23" t="b">
        <f>IFERROR(__xludf.DUMMYFUNCTION("""COMPUTED_VALUE"""),FALSE)</f>
        <v>0</v>
      </c>
      <c r="L1389" s="23" t="str">
        <f>IFERROR(__xludf.DUMMYFUNCTION("""COMPUTED_VALUE"""),"Array;Dynamic Programming;Greedy;Heap (Priority Queue);")</f>
        <v>Array;Dynamic Programming;Greedy;Heap (Priority Queue);</v>
      </c>
      <c r="M1389" s="23" t="b">
        <f>IFERROR(__xludf.DUMMYFUNCTION("""COMPUTED_VALUE"""),FALSE)</f>
        <v>0</v>
      </c>
      <c r="N1389" s="23" t="b">
        <f>IFERROR(__xludf.DUMMYFUNCTION("""COMPUTED_VALUE"""),FALSE)</f>
        <v>0</v>
      </c>
      <c r="O1389" s="23">
        <f>IFERROR(__xludf.DUMMYFUNCTION("""COMPUTED_VALUE"""),48.8026124818577)</f>
        <v>48.80261248</v>
      </c>
      <c r="P1389" s="23">
        <f>IFERROR(__xludf.DUMMYFUNCTION("""COMPUTED_VALUE"""),8070.0)</f>
        <v>8070</v>
      </c>
      <c r="Q1389" s="23">
        <f>IFERROR(__xludf.DUMMYFUNCTION("""COMPUTED_VALUE"""),16536.0)</f>
        <v>16536</v>
      </c>
    </row>
    <row r="1390">
      <c r="A1390" s="23">
        <f>IFERROR(__xludf.DUMMYFUNCTION("""COMPUTED_VALUE"""),1505.0)</f>
        <v>1505</v>
      </c>
      <c r="B1390" s="23" t="str">
        <f>IFERROR(__xludf.DUMMYFUNCTION("""COMPUTED_VALUE"""),"Create Target Array in the Given Order")</f>
        <v>Create Target Array in the Given Order</v>
      </c>
      <c r="C1390" s="23" t="str">
        <f>IFERROR(__xludf.DUMMYFUNCTION("""COMPUTED_VALUE"""),"create-target-array-in-the-given-order")</f>
        <v>create-target-array-in-the-given-order</v>
      </c>
      <c r="D1390" s="23" t="b">
        <f>IFERROR(__xludf.DUMMYFUNCTION("""COMPUTED_VALUE"""),FALSE)</f>
        <v>0</v>
      </c>
      <c r="E1390" s="23" t="str">
        <f>IFERROR(__xludf.DUMMYFUNCTION("""COMPUTED_VALUE"""),"Easy")</f>
        <v>Easy</v>
      </c>
      <c r="F1390" s="23">
        <f>IFERROR(__xludf.DUMMYFUNCTION("""COMPUTED_VALUE"""),1002.0)</f>
        <v>1002</v>
      </c>
      <c r="G1390" s="23">
        <f>IFERROR(__xludf.DUMMYFUNCTION("""COMPUTED_VALUE"""),1156.0)</f>
        <v>1156</v>
      </c>
      <c r="H1390" s="23" t="str">
        <f>IFERROR(__xludf.DUMMYFUNCTION("""COMPUTED_VALUE"""),"Algorithms")</f>
        <v>Algorithms</v>
      </c>
      <c r="I1390" s="23">
        <f>IFERROR(__xludf.DUMMYFUNCTION("""COMPUTED_VALUE"""),0.856)</f>
        <v>0.856</v>
      </c>
      <c r="J1390" s="23">
        <f>IFERROR(__xludf.DUMMYFUNCTION("""COMPUTED_VALUE"""),1389.0)</f>
        <v>1389</v>
      </c>
      <c r="K1390" s="23" t="b">
        <f>IFERROR(__xludf.DUMMYFUNCTION("""COMPUTED_VALUE"""),FALSE)</f>
        <v>0</v>
      </c>
      <c r="L1390" s="23" t="str">
        <f>IFERROR(__xludf.DUMMYFUNCTION("""COMPUTED_VALUE"""),"Array;Simulation;")</f>
        <v>Array;Simulation;</v>
      </c>
      <c r="M1390" s="23" t="b">
        <f>IFERROR(__xludf.DUMMYFUNCTION("""COMPUTED_VALUE"""),FALSE)</f>
        <v>0</v>
      </c>
      <c r="N1390" s="23" t="b">
        <f>IFERROR(__xludf.DUMMYFUNCTION("""COMPUTED_VALUE"""),FALSE)</f>
        <v>0</v>
      </c>
      <c r="O1390" s="23">
        <f>IFERROR(__xludf.DUMMYFUNCTION("""COMPUTED_VALUE"""),85.5770808891914)</f>
        <v>85.57708089</v>
      </c>
      <c r="P1390" s="23">
        <f>IFERROR(__xludf.DUMMYFUNCTION("""COMPUTED_VALUE"""),140781.0)</f>
        <v>140781</v>
      </c>
      <c r="Q1390" s="23">
        <f>IFERROR(__xludf.DUMMYFUNCTION("""COMPUTED_VALUE"""),164508.0)</f>
        <v>164508</v>
      </c>
    </row>
    <row r="1391">
      <c r="A1391" s="23">
        <f>IFERROR(__xludf.DUMMYFUNCTION("""COMPUTED_VALUE"""),1284.0)</f>
        <v>1284</v>
      </c>
      <c r="B1391" s="23" t="str">
        <f>IFERROR(__xludf.DUMMYFUNCTION("""COMPUTED_VALUE"""),"Four Divisors")</f>
        <v>Four Divisors</v>
      </c>
      <c r="C1391" s="23" t="str">
        <f>IFERROR(__xludf.DUMMYFUNCTION("""COMPUTED_VALUE"""),"four-divisors")</f>
        <v>four-divisors</v>
      </c>
      <c r="D1391" s="23" t="b">
        <f>IFERROR(__xludf.DUMMYFUNCTION("""COMPUTED_VALUE"""),FALSE)</f>
        <v>0</v>
      </c>
      <c r="E1391" s="23" t="str">
        <f>IFERROR(__xludf.DUMMYFUNCTION("""COMPUTED_VALUE"""),"Medium")</f>
        <v>Medium</v>
      </c>
      <c r="F1391" s="23">
        <f>IFERROR(__xludf.DUMMYFUNCTION("""COMPUTED_VALUE"""),205.0)</f>
        <v>205</v>
      </c>
      <c r="G1391" s="23">
        <f>IFERROR(__xludf.DUMMYFUNCTION("""COMPUTED_VALUE"""),147.0)</f>
        <v>147</v>
      </c>
      <c r="H1391" s="23" t="str">
        <f>IFERROR(__xludf.DUMMYFUNCTION("""COMPUTED_VALUE"""),"Algorithms")</f>
        <v>Algorithms</v>
      </c>
      <c r="I1391" s="23">
        <f>IFERROR(__xludf.DUMMYFUNCTION("""COMPUTED_VALUE"""),0.409)</f>
        <v>0.409</v>
      </c>
      <c r="J1391" s="23">
        <f>IFERROR(__xludf.DUMMYFUNCTION("""COMPUTED_VALUE"""),1390.0)</f>
        <v>1390</v>
      </c>
      <c r="K1391" s="23" t="b">
        <f>IFERROR(__xludf.DUMMYFUNCTION("""COMPUTED_VALUE"""),FALSE)</f>
        <v>0</v>
      </c>
      <c r="L1391" s="23" t="str">
        <f>IFERROR(__xludf.DUMMYFUNCTION("""COMPUTED_VALUE"""),"Array;Math;")</f>
        <v>Array;Math;</v>
      </c>
      <c r="M1391" s="23" t="b">
        <f>IFERROR(__xludf.DUMMYFUNCTION("""COMPUTED_VALUE"""),FALSE)</f>
        <v>0</v>
      </c>
      <c r="N1391" s="23" t="b">
        <f>IFERROR(__xludf.DUMMYFUNCTION("""COMPUTED_VALUE"""),FALSE)</f>
        <v>0</v>
      </c>
      <c r="O1391" s="23">
        <f>IFERROR(__xludf.DUMMYFUNCTION("""COMPUTED_VALUE"""),40.8906473948765)</f>
        <v>40.89064739</v>
      </c>
      <c r="P1391" s="23">
        <f>IFERROR(__xludf.DUMMYFUNCTION("""COMPUTED_VALUE"""),20256.0)</f>
        <v>20256</v>
      </c>
      <c r="Q1391" s="23">
        <f>IFERROR(__xludf.DUMMYFUNCTION("""COMPUTED_VALUE"""),49537.0)</f>
        <v>49537</v>
      </c>
    </row>
    <row r="1392">
      <c r="A1392" s="23">
        <f>IFERROR(__xludf.DUMMYFUNCTION("""COMPUTED_VALUE"""),1507.0)</f>
        <v>1507</v>
      </c>
      <c r="B1392" s="23" t="str">
        <f>IFERROR(__xludf.DUMMYFUNCTION("""COMPUTED_VALUE"""),"Check if There is a Valid Path in a Grid")</f>
        <v>Check if There is a Valid Path in a Grid</v>
      </c>
      <c r="C1392" s="23" t="str">
        <f>IFERROR(__xludf.DUMMYFUNCTION("""COMPUTED_VALUE"""),"check-if-there-is-a-valid-path-in-a-grid")</f>
        <v>check-if-there-is-a-valid-path-in-a-grid</v>
      </c>
      <c r="D1392" s="23" t="b">
        <f>IFERROR(__xludf.DUMMYFUNCTION("""COMPUTED_VALUE"""),FALSE)</f>
        <v>0</v>
      </c>
      <c r="E1392" s="23" t="str">
        <f>IFERROR(__xludf.DUMMYFUNCTION("""COMPUTED_VALUE"""),"Medium")</f>
        <v>Medium</v>
      </c>
      <c r="F1392" s="23">
        <f>IFERROR(__xludf.DUMMYFUNCTION("""COMPUTED_VALUE"""),543.0)</f>
        <v>543</v>
      </c>
      <c r="G1392" s="23">
        <f>IFERROR(__xludf.DUMMYFUNCTION("""COMPUTED_VALUE"""),244.0)</f>
        <v>244</v>
      </c>
      <c r="H1392" s="23" t="str">
        <f>IFERROR(__xludf.DUMMYFUNCTION("""COMPUTED_VALUE"""),"Algorithms")</f>
        <v>Algorithms</v>
      </c>
      <c r="I1392" s="23">
        <f>IFERROR(__xludf.DUMMYFUNCTION("""COMPUTED_VALUE"""),0.466)</f>
        <v>0.466</v>
      </c>
      <c r="J1392" s="23">
        <f>IFERROR(__xludf.DUMMYFUNCTION("""COMPUTED_VALUE"""),1391.0)</f>
        <v>1391</v>
      </c>
      <c r="K1392" s="23" t="b">
        <f>IFERROR(__xludf.DUMMYFUNCTION("""COMPUTED_VALUE"""),FALSE)</f>
        <v>0</v>
      </c>
      <c r="L1392" s="23" t="str">
        <f>IFERROR(__xludf.DUMMYFUNCTION("""COMPUTED_VALUE"""),"Array;Depth-First Search;Breadth-First Search;Union Find;Matrix;")</f>
        <v>Array;Depth-First Search;Breadth-First Search;Union Find;Matrix;</v>
      </c>
      <c r="M1392" s="23" t="b">
        <f>IFERROR(__xludf.DUMMYFUNCTION("""COMPUTED_VALUE"""),FALSE)</f>
        <v>0</v>
      </c>
      <c r="N1392" s="23" t="b">
        <f>IFERROR(__xludf.DUMMYFUNCTION("""COMPUTED_VALUE"""),FALSE)</f>
        <v>0</v>
      </c>
      <c r="O1392" s="23">
        <f>IFERROR(__xludf.DUMMYFUNCTION("""COMPUTED_VALUE"""),46.5518021073576)</f>
        <v>46.55180211</v>
      </c>
      <c r="P1392" s="23">
        <f>IFERROR(__xludf.DUMMYFUNCTION("""COMPUTED_VALUE"""),20588.0)</f>
        <v>20588</v>
      </c>
      <c r="Q1392" s="23">
        <f>IFERROR(__xludf.DUMMYFUNCTION("""COMPUTED_VALUE"""),44226.0)</f>
        <v>44226</v>
      </c>
    </row>
    <row r="1393">
      <c r="A1393" s="23">
        <f>IFERROR(__xludf.DUMMYFUNCTION("""COMPUTED_VALUE"""),1508.0)</f>
        <v>1508</v>
      </c>
      <c r="B1393" s="23" t="str">
        <f>IFERROR(__xludf.DUMMYFUNCTION("""COMPUTED_VALUE"""),"Longest Happy Prefix")</f>
        <v>Longest Happy Prefix</v>
      </c>
      <c r="C1393" s="23" t="str">
        <f>IFERROR(__xludf.DUMMYFUNCTION("""COMPUTED_VALUE"""),"longest-happy-prefix")</f>
        <v>longest-happy-prefix</v>
      </c>
      <c r="D1393" s="23" t="b">
        <f>IFERROR(__xludf.DUMMYFUNCTION("""COMPUTED_VALUE"""),FALSE)</f>
        <v>0</v>
      </c>
      <c r="E1393" s="23" t="str">
        <f>IFERROR(__xludf.DUMMYFUNCTION("""COMPUTED_VALUE"""),"Hard")</f>
        <v>Hard</v>
      </c>
      <c r="F1393" s="23">
        <f>IFERROR(__xludf.DUMMYFUNCTION("""COMPUTED_VALUE"""),645.0)</f>
        <v>645</v>
      </c>
      <c r="G1393" s="23">
        <f>IFERROR(__xludf.DUMMYFUNCTION("""COMPUTED_VALUE"""),24.0)</f>
        <v>24</v>
      </c>
      <c r="H1393" s="23" t="str">
        <f>IFERROR(__xludf.DUMMYFUNCTION("""COMPUTED_VALUE"""),"Algorithms")</f>
        <v>Algorithms</v>
      </c>
      <c r="I1393" s="23">
        <f>IFERROR(__xludf.DUMMYFUNCTION("""COMPUTED_VALUE"""),0.444)</f>
        <v>0.444</v>
      </c>
      <c r="J1393" s="23">
        <f>IFERROR(__xludf.DUMMYFUNCTION("""COMPUTED_VALUE"""),1392.0)</f>
        <v>1392</v>
      </c>
      <c r="K1393" s="23" t="b">
        <f>IFERROR(__xludf.DUMMYFUNCTION("""COMPUTED_VALUE"""),FALSE)</f>
        <v>0</v>
      </c>
      <c r="L1393" s="23" t="str">
        <f>IFERROR(__xludf.DUMMYFUNCTION("""COMPUTED_VALUE"""),"String;Rolling Hash;String Matching;Hash Function;")</f>
        <v>String;Rolling Hash;String Matching;Hash Function;</v>
      </c>
      <c r="M1393" s="23" t="b">
        <f>IFERROR(__xludf.DUMMYFUNCTION("""COMPUTED_VALUE"""),FALSE)</f>
        <v>0</v>
      </c>
      <c r="N1393" s="23" t="b">
        <f>IFERROR(__xludf.DUMMYFUNCTION("""COMPUTED_VALUE"""),FALSE)</f>
        <v>0</v>
      </c>
      <c r="O1393" s="23">
        <f>IFERROR(__xludf.DUMMYFUNCTION("""COMPUTED_VALUE"""),44.3828077225473)</f>
        <v>44.38280772</v>
      </c>
      <c r="P1393" s="23">
        <f>IFERROR(__xludf.DUMMYFUNCTION("""COMPUTED_VALUE"""),20322.0)</f>
        <v>20322</v>
      </c>
      <c r="Q1393" s="23">
        <f>IFERROR(__xludf.DUMMYFUNCTION("""COMPUTED_VALUE"""),45788.0)</f>
        <v>45788</v>
      </c>
    </row>
    <row r="1394">
      <c r="A1394" s="23">
        <f>IFERROR(__xludf.DUMMYFUNCTION("""COMPUTED_VALUE"""),1523.0)</f>
        <v>1523</v>
      </c>
      <c r="B1394" s="23" t="str">
        <f>IFERROR(__xludf.DUMMYFUNCTION("""COMPUTED_VALUE"""),"Capital Gain/Loss")</f>
        <v>Capital Gain/Loss</v>
      </c>
      <c r="C1394" s="23" t="str">
        <f>IFERROR(__xludf.DUMMYFUNCTION("""COMPUTED_VALUE"""),"capital-gainloss")</f>
        <v>capital-gainloss</v>
      </c>
      <c r="D1394" s="23" t="b">
        <f>IFERROR(__xludf.DUMMYFUNCTION("""COMPUTED_VALUE"""),FALSE)</f>
        <v>0</v>
      </c>
      <c r="E1394" s="23" t="str">
        <f>IFERROR(__xludf.DUMMYFUNCTION("""COMPUTED_VALUE"""),"Medium")</f>
        <v>Medium</v>
      </c>
      <c r="F1394" s="23">
        <f>IFERROR(__xludf.DUMMYFUNCTION("""COMPUTED_VALUE"""),172.0)</f>
        <v>172</v>
      </c>
      <c r="G1394" s="23">
        <f>IFERROR(__xludf.DUMMYFUNCTION("""COMPUTED_VALUE"""),21.0)</f>
        <v>21</v>
      </c>
      <c r="H1394" s="23" t="str">
        <f>IFERROR(__xludf.DUMMYFUNCTION("""COMPUTED_VALUE"""),"Database")</f>
        <v>Database</v>
      </c>
      <c r="I1394" s="23">
        <f>IFERROR(__xludf.DUMMYFUNCTION("""COMPUTED_VALUE"""),0.91)</f>
        <v>0.91</v>
      </c>
      <c r="J1394" s="23">
        <f>IFERROR(__xludf.DUMMYFUNCTION("""COMPUTED_VALUE"""),1393.0)</f>
        <v>1393</v>
      </c>
      <c r="K1394" s="23" t="b">
        <f>IFERROR(__xludf.DUMMYFUNCTION("""COMPUTED_VALUE"""),FALSE)</f>
        <v>0</v>
      </c>
      <c r="L1394" s="23" t="str">
        <f>IFERROR(__xludf.DUMMYFUNCTION("""COMPUTED_VALUE"""),"Database;")</f>
        <v>Database;</v>
      </c>
      <c r="M1394" s="23" t="b">
        <f>IFERROR(__xludf.DUMMYFUNCTION("""COMPUTED_VALUE"""),FALSE)</f>
        <v>0</v>
      </c>
      <c r="N1394" s="23" t="b">
        <f>IFERROR(__xludf.DUMMYFUNCTION("""COMPUTED_VALUE"""),FALSE)</f>
        <v>0</v>
      </c>
      <c r="O1394" s="23">
        <f>IFERROR(__xludf.DUMMYFUNCTION("""COMPUTED_VALUE"""),90.9623226795859)</f>
        <v>90.96232268</v>
      </c>
      <c r="P1394" s="23">
        <f>IFERROR(__xludf.DUMMYFUNCTION("""COMPUTED_VALUE"""),26097.0)</f>
        <v>26097</v>
      </c>
      <c r="Q1394" s="23">
        <f>IFERROR(__xludf.DUMMYFUNCTION("""COMPUTED_VALUE"""),28690.0)</f>
        <v>28690</v>
      </c>
    </row>
    <row r="1395">
      <c r="A1395" s="23">
        <f>IFERROR(__xludf.DUMMYFUNCTION("""COMPUTED_VALUE"""),1510.0)</f>
        <v>1510</v>
      </c>
      <c r="B1395" s="23" t="str">
        <f>IFERROR(__xludf.DUMMYFUNCTION("""COMPUTED_VALUE"""),"Find Lucky Integer in an Array")</f>
        <v>Find Lucky Integer in an Array</v>
      </c>
      <c r="C1395" s="23" t="str">
        <f>IFERROR(__xludf.DUMMYFUNCTION("""COMPUTED_VALUE"""),"find-lucky-integer-in-an-array")</f>
        <v>find-lucky-integer-in-an-array</v>
      </c>
      <c r="D1395" s="23" t="b">
        <f>IFERROR(__xludf.DUMMYFUNCTION("""COMPUTED_VALUE"""),FALSE)</f>
        <v>0</v>
      </c>
      <c r="E1395" s="23" t="str">
        <f>IFERROR(__xludf.DUMMYFUNCTION("""COMPUTED_VALUE"""),"Easy")</f>
        <v>Easy</v>
      </c>
      <c r="F1395" s="23">
        <f>IFERROR(__xludf.DUMMYFUNCTION("""COMPUTED_VALUE"""),633.0)</f>
        <v>633</v>
      </c>
      <c r="G1395" s="23">
        <f>IFERROR(__xludf.DUMMYFUNCTION("""COMPUTED_VALUE"""),20.0)</f>
        <v>20</v>
      </c>
      <c r="H1395" s="23" t="str">
        <f>IFERROR(__xludf.DUMMYFUNCTION("""COMPUTED_VALUE"""),"Algorithms")</f>
        <v>Algorithms</v>
      </c>
      <c r="I1395" s="23">
        <f>IFERROR(__xludf.DUMMYFUNCTION("""COMPUTED_VALUE"""),0.635)</f>
        <v>0.635</v>
      </c>
      <c r="J1395" s="23">
        <f>IFERROR(__xludf.DUMMYFUNCTION("""COMPUTED_VALUE"""),1394.0)</f>
        <v>1394</v>
      </c>
      <c r="K1395" s="23" t="b">
        <f>IFERROR(__xludf.DUMMYFUNCTION("""COMPUTED_VALUE"""),FALSE)</f>
        <v>0</v>
      </c>
      <c r="L1395" s="23" t="str">
        <f>IFERROR(__xludf.DUMMYFUNCTION("""COMPUTED_VALUE"""),"Array;Hash Table;Counting;")</f>
        <v>Array;Hash Table;Counting;</v>
      </c>
      <c r="M1395" s="23" t="b">
        <f>IFERROR(__xludf.DUMMYFUNCTION("""COMPUTED_VALUE"""),TRUE)</f>
        <v>1</v>
      </c>
      <c r="N1395" s="23" t="b">
        <f>IFERROR(__xludf.DUMMYFUNCTION("""COMPUTED_VALUE"""),FALSE)</f>
        <v>0</v>
      </c>
      <c r="O1395" s="23">
        <f>IFERROR(__xludf.DUMMYFUNCTION("""COMPUTED_VALUE"""),63.5472585243049)</f>
        <v>63.54725852</v>
      </c>
      <c r="P1395" s="23">
        <f>IFERROR(__xludf.DUMMYFUNCTION("""COMPUTED_VALUE"""),68657.0)</f>
        <v>68657</v>
      </c>
      <c r="Q1395" s="23">
        <f>IFERROR(__xludf.DUMMYFUNCTION("""COMPUTED_VALUE"""),108042.0)</f>
        <v>108042</v>
      </c>
    </row>
    <row r="1396">
      <c r="A1396" s="23">
        <f>IFERROR(__xludf.DUMMYFUNCTION("""COMPUTED_VALUE"""),1511.0)</f>
        <v>1511</v>
      </c>
      <c r="B1396" s="23" t="str">
        <f>IFERROR(__xludf.DUMMYFUNCTION("""COMPUTED_VALUE"""),"Count Number of Teams")</f>
        <v>Count Number of Teams</v>
      </c>
      <c r="C1396" s="23" t="str">
        <f>IFERROR(__xludf.DUMMYFUNCTION("""COMPUTED_VALUE"""),"count-number-of-teams")</f>
        <v>count-number-of-teams</v>
      </c>
      <c r="D1396" s="23" t="b">
        <f>IFERROR(__xludf.DUMMYFUNCTION("""COMPUTED_VALUE"""),FALSE)</f>
        <v>0</v>
      </c>
      <c r="E1396" s="23" t="str">
        <f>IFERROR(__xludf.DUMMYFUNCTION("""COMPUTED_VALUE"""),"Medium")</f>
        <v>Medium</v>
      </c>
      <c r="F1396" s="23">
        <f>IFERROR(__xludf.DUMMYFUNCTION("""COMPUTED_VALUE"""),1884.0)</f>
        <v>1884</v>
      </c>
      <c r="G1396" s="23">
        <f>IFERROR(__xludf.DUMMYFUNCTION("""COMPUTED_VALUE"""),159.0)</f>
        <v>159</v>
      </c>
      <c r="H1396" s="23" t="str">
        <f>IFERROR(__xludf.DUMMYFUNCTION("""COMPUTED_VALUE"""),"Algorithms")</f>
        <v>Algorithms</v>
      </c>
      <c r="I1396" s="23">
        <f>IFERROR(__xludf.DUMMYFUNCTION("""COMPUTED_VALUE"""),0.695)</f>
        <v>0.695</v>
      </c>
      <c r="J1396" s="23">
        <f>IFERROR(__xludf.DUMMYFUNCTION("""COMPUTED_VALUE"""),1395.0)</f>
        <v>1395</v>
      </c>
      <c r="K1396" s="23" t="b">
        <f>IFERROR(__xludf.DUMMYFUNCTION("""COMPUTED_VALUE"""),FALSE)</f>
        <v>0</v>
      </c>
      <c r="L1396" s="23" t="str">
        <f>IFERROR(__xludf.DUMMYFUNCTION("""COMPUTED_VALUE"""),"Array;Dynamic Programming;Binary Indexed Tree;")</f>
        <v>Array;Dynamic Programming;Binary Indexed Tree;</v>
      </c>
      <c r="M1396" s="23" t="b">
        <f>IFERROR(__xludf.DUMMYFUNCTION("""COMPUTED_VALUE"""),FALSE)</f>
        <v>0</v>
      </c>
      <c r="N1396" s="23" t="b">
        <f>IFERROR(__xludf.DUMMYFUNCTION("""COMPUTED_VALUE"""),FALSE)</f>
        <v>0</v>
      </c>
      <c r="O1396" s="23">
        <f>IFERROR(__xludf.DUMMYFUNCTION("""COMPUTED_VALUE"""),69.4718735547315)</f>
        <v>69.47187355</v>
      </c>
      <c r="P1396" s="23">
        <f>IFERROR(__xludf.DUMMYFUNCTION("""COMPUTED_VALUE"""),85622.0)</f>
        <v>85622</v>
      </c>
      <c r="Q1396" s="23">
        <f>IFERROR(__xludf.DUMMYFUNCTION("""COMPUTED_VALUE"""),123247.0)</f>
        <v>123247</v>
      </c>
    </row>
    <row r="1397">
      <c r="A1397" s="23">
        <f>IFERROR(__xludf.DUMMYFUNCTION("""COMPUTED_VALUE"""),1512.0)</f>
        <v>1512</v>
      </c>
      <c r="B1397" s="23" t="str">
        <f>IFERROR(__xludf.DUMMYFUNCTION("""COMPUTED_VALUE"""),"Design Underground System")</f>
        <v>Design Underground System</v>
      </c>
      <c r="C1397" s="23" t="str">
        <f>IFERROR(__xludf.DUMMYFUNCTION("""COMPUTED_VALUE"""),"design-underground-system")</f>
        <v>design-underground-system</v>
      </c>
      <c r="D1397" s="23" t="b">
        <f>IFERROR(__xludf.DUMMYFUNCTION("""COMPUTED_VALUE"""),FALSE)</f>
        <v>0</v>
      </c>
      <c r="E1397" s="23" t="str">
        <f>IFERROR(__xludf.DUMMYFUNCTION("""COMPUTED_VALUE"""),"Medium")</f>
        <v>Medium</v>
      </c>
      <c r="F1397" s="23">
        <f>IFERROR(__xludf.DUMMYFUNCTION("""COMPUTED_VALUE"""),2028.0)</f>
        <v>2028</v>
      </c>
      <c r="G1397" s="23">
        <f>IFERROR(__xludf.DUMMYFUNCTION("""COMPUTED_VALUE"""),101.0)</f>
        <v>101</v>
      </c>
      <c r="H1397" s="23" t="str">
        <f>IFERROR(__xludf.DUMMYFUNCTION("""COMPUTED_VALUE"""),"Algorithms")</f>
        <v>Algorithms</v>
      </c>
      <c r="I1397" s="23">
        <f>IFERROR(__xludf.DUMMYFUNCTION("""COMPUTED_VALUE"""),0.736)</f>
        <v>0.736</v>
      </c>
      <c r="J1397" s="23">
        <f>IFERROR(__xludf.DUMMYFUNCTION("""COMPUTED_VALUE"""),1396.0)</f>
        <v>1396</v>
      </c>
      <c r="K1397" s="23" t="b">
        <f>IFERROR(__xludf.DUMMYFUNCTION("""COMPUTED_VALUE"""),FALSE)</f>
        <v>0</v>
      </c>
      <c r="L1397" s="23" t="str">
        <f>IFERROR(__xludf.DUMMYFUNCTION("""COMPUTED_VALUE"""),"Hash Table;String;Design;")</f>
        <v>Hash Table;String;Design;</v>
      </c>
      <c r="M1397" s="23" t="b">
        <f>IFERROR(__xludf.DUMMYFUNCTION("""COMPUTED_VALUE"""),TRUE)</f>
        <v>1</v>
      </c>
      <c r="N1397" s="23" t="b">
        <f>IFERROR(__xludf.DUMMYFUNCTION("""COMPUTED_VALUE"""),FALSE)</f>
        <v>0</v>
      </c>
      <c r="O1397" s="23">
        <f>IFERROR(__xludf.DUMMYFUNCTION("""COMPUTED_VALUE"""),73.610373937772)</f>
        <v>73.61037394</v>
      </c>
      <c r="P1397" s="23">
        <f>IFERROR(__xludf.DUMMYFUNCTION("""COMPUTED_VALUE"""),131751.0)</f>
        <v>131751</v>
      </c>
      <c r="Q1397" s="23">
        <f>IFERROR(__xludf.DUMMYFUNCTION("""COMPUTED_VALUE"""),178979.0)</f>
        <v>178979</v>
      </c>
    </row>
    <row r="1398">
      <c r="A1398" s="23">
        <f>IFERROR(__xludf.DUMMYFUNCTION("""COMPUTED_VALUE"""),1513.0)</f>
        <v>1513</v>
      </c>
      <c r="B1398" s="23" t="str">
        <f>IFERROR(__xludf.DUMMYFUNCTION("""COMPUTED_VALUE"""),"Find All Good Strings")</f>
        <v>Find All Good Strings</v>
      </c>
      <c r="C1398" s="23" t="str">
        <f>IFERROR(__xludf.DUMMYFUNCTION("""COMPUTED_VALUE"""),"find-all-good-strings")</f>
        <v>find-all-good-strings</v>
      </c>
      <c r="D1398" s="23" t="b">
        <f>IFERROR(__xludf.DUMMYFUNCTION("""COMPUTED_VALUE"""),FALSE)</f>
        <v>0</v>
      </c>
      <c r="E1398" s="23" t="str">
        <f>IFERROR(__xludf.DUMMYFUNCTION("""COMPUTED_VALUE"""),"Hard")</f>
        <v>Hard</v>
      </c>
      <c r="F1398" s="23">
        <f>IFERROR(__xludf.DUMMYFUNCTION("""COMPUTED_VALUE"""),291.0)</f>
        <v>291</v>
      </c>
      <c r="G1398" s="23">
        <f>IFERROR(__xludf.DUMMYFUNCTION("""COMPUTED_VALUE"""),104.0)</f>
        <v>104</v>
      </c>
      <c r="H1398" s="23" t="str">
        <f>IFERROR(__xludf.DUMMYFUNCTION("""COMPUTED_VALUE"""),"Algorithms")</f>
        <v>Algorithms</v>
      </c>
      <c r="I1398" s="23">
        <f>IFERROR(__xludf.DUMMYFUNCTION("""COMPUTED_VALUE"""),0.41)</f>
        <v>0.41</v>
      </c>
      <c r="J1398" s="23">
        <f>IFERROR(__xludf.DUMMYFUNCTION("""COMPUTED_VALUE"""),1397.0)</f>
        <v>1397</v>
      </c>
      <c r="K1398" s="23" t="b">
        <f>IFERROR(__xludf.DUMMYFUNCTION("""COMPUTED_VALUE"""),FALSE)</f>
        <v>0</v>
      </c>
      <c r="L1398" s="23" t="str">
        <f>IFERROR(__xludf.DUMMYFUNCTION("""COMPUTED_VALUE"""),"String;Dynamic Programming;String Matching;")</f>
        <v>String;Dynamic Programming;String Matching;</v>
      </c>
      <c r="M1398" s="23" t="b">
        <f>IFERROR(__xludf.DUMMYFUNCTION("""COMPUTED_VALUE"""),FALSE)</f>
        <v>0</v>
      </c>
      <c r="N1398" s="23" t="b">
        <f>IFERROR(__xludf.DUMMYFUNCTION("""COMPUTED_VALUE"""),FALSE)</f>
        <v>0</v>
      </c>
      <c r="O1398" s="23">
        <f>IFERROR(__xludf.DUMMYFUNCTION("""COMPUTED_VALUE"""),41.0026492765437)</f>
        <v>41.00264928</v>
      </c>
      <c r="P1398" s="23">
        <f>IFERROR(__xludf.DUMMYFUNCTION("""COMPUTED_VALUE"""),4024.0)</f>
        <v>4024</v>
      </c>
      <c r="Q1398" s="23">
        <f>IFERROR(__xludf.DUMMYFUNCTION("""COMPUTED_VALUE"""),9814.0)</f>
        <v>9814</v>
      </c>
    </row>
    <row r="1399">
      <c r="A1399" s="23">
        <f>IFERROR(__xludf.DUMMYFUNCTION("""COMPUTED_VALUE"""),1536.0)</f>
        <v>1536</v>
      </c>
      <c r="B1399" s="23" t="str">
        <f>IFERROR(__xludf.DUMMYFUNCTION("""COMPUTED_VALUE"""),"Customers Who Bought Products A and B but Not C")</f>
        <v>Customers Who Bought Products A and B but Not C</v>
      </c>
      <c r="C1399" s="23" t="str">
        <f>IFERROR(__xludf.DUMMYFUNCTION("""COMPUTED_VALUE"""),"customers-who-bought-products-a-and-b-but-not-c")</f>
        <v>customers-who-bought-products-a-and-b-but-not-c</v>
      </c>
      <c r="D1399" s="23" t="b">
        <f>IFERROR(__xludf.DUMMYFUNCTION("""COMPUTED_VALUE"""),TRUE)</f>
        <v>1</v>
      </c>
      <c r="E1399" s="23" t="str">
        <f>IFERROR(__xludf.DUMMYFUNCTION("""COMPUTED_VALUE"""),"Medium")</f>
        <v>Medium</v>
      </c>
      <c r="F1399" s="23">
        <f>IFERROR(__xludf.DUMMYFUNCTION("""COMPUTED_VALUE"""),168.0)</f>
        <v>168</v>
      </c>
      <c r="G1399" s="23">
        <f>IFERROR(__xludf.DUMMYFUNCTION("""COMPUTED_VALUE"""),8.0)</f>
        <v>8</v>
      </c>
      <c r="H1399" s="23" t="str">
        <f>IFERROR(__xludf.DUMMYFUNCTION("""COMPUTED_VALUE"""),"Database")</f>
        <v>Database</v>
      </c>
      <c r="I1399" s="23">
        <f>IFERROR(__xludf.DUMMYFUNCTION("""COMPUTED_VALUE"""),0.786)</f>
        <v>0.786</v>
      </c>
      <c r="J1399" s="23">
        <f>IFERROR(__xludf.DUMMYFUNCTION("""COMPUTED_VALUE"""),1398.0)</f>
        <v>1398</v>
      </c>
      <c r="K1399" s="23" t="b">
        <f>IFERROR(__xludf.DUMMYFUNCTION("""COMPUTED_VALUE"""),TRUE)</f>
        <v>1</v>
      </c>
      <c r="L1399" s="23" t="str">
        <f>IFERROR(__xludf.DUMMYFUNCTION("""COMPUTED_VALUE"""),"Database;")</f>
        <v>Database;</v>
      </c>
      <c r="M1399" s="23" t="b">
        <f>IFERROR(__xludf.DUMMYFUNCTION("""COMPUTED_VALUE"""),FALSE)</f>
        <v>0</v>
      </c>
      <c r="N1399" s="23" t="b">
        <f>IFERROR(__xludf.DUMMYFUNCTION("""COMPUTED_VALUE"""),FALSE)</f>
        <v>0</v>
      </c>
      <c r="O1399" s="23">
        <f>IFERROR(__xludf.DUMMYFUNCTION("""COMPUTED_VALUE"""),78.5907248986942)</f>
        <v>78.5907249</v>
      </c>
      <c r="P1399" s="23">
        <f>IFERROR(__xludf.DUMMYFUNCTION("""COMPUTED_VALUE"""),27928.0)</f>
        <v>27928</v>
      </c>
      <c r="Q1399" s="23">
        <f>IFERROR(__xludf.DUMMYFUNCTION("""COMPUTED_VALUE"""),35536.0)</f>
        <v>35536</v>
      </c>
    </row>
    <row r="1400">
      <c r="A1400" s="23">
        <f>IFERROR(__xludf.DUMMYFUNCTION("""COMPUTED_VALUE"""),1500.0)</f>
        <v>1500</v>
      </c>
      <c r="B1400" s="23" t="str">
        <f>IFERROR(__xludf.DUMMYFUNCTION("""COMPUTED_VALUE"""),"Count Largest Group")</f>
        <v>Count Largest Group</v>
      </c>
      <c r="C1400" s="23" t="str">
        <f>IFERROR(__xludf.DUMMYFUNCTION("""COMPUTED_VALUE"""),"count-largest-group")</f>
        <v>count-largest-group</v>
      </c>
      <c r="D1400" s="23" t="b">
        <f>IFERROR(__xludf.DUMMYFUNCTION("""COMPUTED_VALUE"""),FALSE)</f>
        <v>0</v>
      </c>
      <c r="E1400" s="23" t="str">
        <f>IFERROR(__xludf.DUMMYFUNCTION("""COMPUTED_VALUE"""),"Easy")</f>
        <v>Easy</v>
      </c>
      <c r="F1400" s="23">
        <f>IFERROR(__xludf.DUMMYFUNCTION("""COMPUTED_VALUE"""),266.0)</f>
        <v>266</v>
      </c>
      <c r="G1400" s="23">
        <f>IFERROR(__xludf.DUMMYFUNCTION("""COMPUTED_VALUE"""),656.0)</f>
        <v>656</v>
      </c>
      <c r="H1400" s="23" t="str">
        <f>IFERROR(__xludf.DUMMYFUNCTION("""COMPUTED_VALUE"""),"Algorithms")</f>
        <v>Algorithms</v>
      </c>
      <c r="I1400" s="23">
        <f>IFERROR(__xludf.DUMMYFUNCTION("""COMPUTED_VALUE"""),0.668)</f>
        <v>0.668</v>
      </c>
      <c r="J1400" s="23">
        <f>IFERROR(__xludf.DUMMYFUNCTION("""COMPUTED_VALUE"""),1399.0)</f>
        <v>1399</v>
      </c>
      <c r="K1400" s="23" t="b">
        <f>IFERROR(__xludf.DUMMYFUNCTION("""COMPUTED_VALUE"""),FALSE)</f>
        <v>0</v>
      </c>
      <c r="L1400" s="23" t="str">
        <f>IFERROR(__xludf.DUMMYFUNCTION("""COMPUTED_VALUE"""),"Hash Table;Math;")</f>
        <v>Hash Table;Math;</v>
      </c>
      <c r="M1400" s="23" t="b">
        <f>IFERROR(__xludf.DUMMYFUNCTION("""COMPUTED_VALUE"""),FALSE)</f>
        <v>0</v>
      </c>
      <c r="N1400" s="23" t="b">
        <f>IFERROR(__xludf.DUMMYFUNCTION("""COMPUTED_VALUE"""),FALSE)</f>
        <v>0</v>
      </c>
      <c r="O1400" s="23">
        <f>IFERROR(__xludf.DUMMYFUNCTION("""COMPUTED_VALUE"""),66.8307517283626)</f>
        <v>66.83075173</v>
      </c>
      <c r="P1400" s="23">
        <f>IFERROR(__xludf.DUMMYFUNCTION("""COMPUTED_VALUE"""),30547.0)</f>
        <v>30547</v>
      </c>
      <c r="Q1400" s="23">
        <f>IFERROR(__xludf.DUMMYFUNCTION("""COMPUTED_VALUE"""),45708.0)</f>
        <v>45708</v>
      </c>
    </row>
    <row r="1401">
      <c r="A1401" s="23">
        <f>IFERROR(__xludf.DUMMYFUNCTION("""COMPUTED_VALUE"""),1502.0)</f>
        <v>1502</v>
      </c>
      <c r="B1401" s="23" t="str">
        <f>IFERROR(__xludf.DUMMYFUNCTION("""COMPUTED_VALUE"""),"Construct K Palindrome Strings")</f>
        <v>Construct K Palindrome Strings</v>
      </c>
      <c r="C1401" s="23" t="str">
        <f>IFERROR(__xludf.DUMMYFUNCTION("""COMPUTED_VALUE"""),"construct-k-palindrome-strings")</f>
        <v>construct-k-palindrome-strings</v>
      </c>
      <c r="D1401" s="23" t="b">
        <f>IFERROR(__xludf.DUMMYFUNCTION("""COMPUTED_VALUE"""),FALSE)</f>
        <v>0</v>
      </c>
      <c r="E1401" s="23" t="str">
        <f>IFERROR(__xludf.DUMMYFUNCTION("""COMPUTED_VALUE"""),"Medium")</f>
        <v>Medium</v>
      </c>
      <c r="F1401" s="23">
        <f>IFERROR(__xludf.DUMMYFUNCTION("""COMPUTED_VALUE"""),703.0)</f>
        <v>703</v>
      </c>
      <c r="G1401" s="23">
        <f>IFERROR(__xludf.DUMMYFUNCTION("""COMPUTED_VALUE"""),71.0)</f>
        <v>71</v>
      </c>
      <c r="H1401" s="23" t="str">
        <f>IFERROR(__xludf.DUMMYFUNCTION("""COMPUTED_VALUE"""),"Algorithms")</f>
        <v>Algorithms</v>
      </c>
      <c r="I1401" s="23">
        <f>IFERROR(__xludf.DUMMYFUNCTION("""COMPUTED_VALUE"""),0.637)</f>
        <v>0.637</v>
      </c>
      <c r="J1401" s="23">
        <f>IFERROR(__xludf.DUMMYFUNCTION("""COMPUTED_VALUE"""),1400.0)</f>
        <v>1400</v>
      </c>
      <c r="K1401" s="23" t="b">
        <f>IFERROR(__xludf.DUMMYFUNCTION("""COMPUTED_VALUE"""),FALSE)</f>
        <v>0</v>
      </c>
      <c r="L1401" s="23" t="str">
        <f>IFERROR(__xludf.DUMMYFUNCTION("""COMPUTED_VALUE"""),"Hash Table;String;Greedy;Counting;")</f>
        <v>Hash Table;String;Greedy;Counting;</v>
      </c>
      <c r="M1401" s="23" t="b">
        <f>IFERROR(__xludf.DUMMYFUNCTION("""COMPUTED_VALUE"""),FALSE)</f>
        <v>0</v>
      </c>
      <c r="N1401" s="23" t="b">
        <f>IFERROR(__xludf.DUMMYFUNCTION("""COMPUTED_VALUE"""),FALSE)</f>
        <v>0</v>
      </c>
      <c r="O1401" s="23">
        <f>IFERROR(__xludf.DUMMYFUNCTION("""COMPUTED_VALUE"""),63.737314701663)</f>
        <v>63.7373147</v>
      </c>
      <c r="P1401" s="23">
        <f>IFERROR(__xludf.DUMMYFUNCTION("""COMPUTED_VALUE"""),35988.0)</f>
        <v>35988</v>
      </c>
      <c r="Q1401" s="23">
        <f>IFERROR(__xludf.DUMMYFUNCTION("""COMPUTED_VALUE"""),56463.0)</f>
        <v>56463</v>
      </c>
    </row>
    <row r="1402">
      <c r="A1402" s="23">
        <f>IFERROR(__xludf.DUMMYFUNCTION("""COMPUTED_VALUE"""),1501.0)</f>
        <v>1501</v>
      </c>
      <c r="B1402" s="23" t="str">
        <f>IFERROR(__xludf.DUMMYFUNCTION("""COMPUTED_VALUE"""),"Circle and Rectangle Overlapping")</f>
        <v>Circle and Rectangle Overlapping</v>
      </c>
      <c r="C1402" s="23" t="str">
        <f>IFERROR(__xludf.DUMMYFUNCTION("""COMPUTED_VALUE"""),"circle-and-rectangle-overlapping")</f>
        <v>circle-and-rectangle-overlapping</v>
      </c>
      <c r="D1402" s="23" t="b">
        <f>IFERROR(__xludf.DUMMYFUNCTION("""COMPUTED_VALUE"""),FALSE)</f>
        <v>0</v>
      </c>
      <c r="E1402" s="23" t="str">
        <f>IFERROR(__xludf.DUMMYFUNCTION("""COMPUTED_VALUE"""),"Medium")</f>
        <v>Medium</v>
      </c>
      <c r="F1402" s="23">
        <f>IFERROR(__xludf.DUMMYFUNCTION("""COMPUTED_VALUE"""),223.0)</f>
        <v>223</v>
      </c>
      <c r="G1402" s="23">
        <f>IFERROR(__xludf.DUMMYFUNCTION("""COMPUTED_VALUE"""),56.0)</f>
        <v>56</v>
      </c>
      <c r="H1402" s="23" t="str">
        <f>IFERROR(__xludf.DUMMYFUNCTION("""COMPUTED_VALUE"""),"Algorithms")</f>
        <v>Algorithms</v>
      </c>
      <c r="I1402" s="23">
        <f>IFERROR(__xludf.DUMMYFUNCTION("""COMPUTED_VALUE"""),0.437)</f>
        <v>0.437</v>
      </c>
      <c r="J1402" s="23">
        <f>IFERROR(__xludf.DUMMYFUNCTION("""COMPUTED_VALUE"""),1401.0)</f>
        <v>1401</v>
      </c>
      <c r="K1402" s="23" t="b">
        <f>IFERROR(__xludf.DUMMYFUNCTION("""COMPUTED_VALUE"""),FALSE)</f>
        <v>0</v>
      </c>
      <c r="L1402" s="23" t="str">
        <f>IFERROR(__xludf.DUMMYFUNCTION("""COMPUTED_VALUE"""),"Math;Geometry;")</f>
        <v>Math;Geometry;</v>
      </c>
      <c r="M1402" s="23" t="b">
        <f>IFERROR(__xludf.DUMMYFUNCTION("""COMPUTED_VALUE"""),FALSE)</f>
        <v>0</v>
      </c>
      <c r="N1402" s="23" t="b">
        <f>IFERROR(__xludf.DUMMYFUNCTION("""COMPUTED_VALUE"""),FALSE)</f>
        <v>0</v>
      </c>
      <c r="O1402" s="23">
        <f>IFERROR(__xludf.DUMMYFUNCTION("""COMPUTED_VALUE"""),43.6799641416405)</f>
        <v>43.67996414</v>
      </c>
      <c r="P1402" s="23">
        <f>IFERROR(__xludf.DUMMYFUNCTION("""COMPUTED_VALUE"""),9745.0)</f>
        <v>9745</v>
      </c>
      <c r="Q1402" s="23">
        <f>IFERROR(__xludf.DUMMYFUNCTION("""COMPUTED_VALUE"""),22310.0)</f>
        <v>22310</v>
      </c>
    </row>
    <row r="1403">
      <c r="A1403" s="23">
        <f>IFERROR(__xludf.DUMMYFUNCTION("""COMPUTED_VALUE"""),1503.0)</f>
        <v>1503</v>
      </c>
      <c r="B1403" s="23" t="str">
        <f>IFERROR(__xludf.DUMMYFUNCTION("""COMPUTED_VALUE"""),"Reducing Dishes")</f>
        <v>Reducing Dishes</v>
      </c>
      <c r="C1403" s="23" t="str">
        <f>IFERROR(__xludf.DUMMYFUNCTION("""COMPUTED_VALUE"""),"reducing-dishes")</f>
        <v>reducing-dishes</v>
      </c>
      <c r="D1403" s="23" t="b">
        <f>IFERROR(__xludf.DUMMYFUNCTION("""COMPUTED_VALUE"""),FALSE)</f>
        <v>0</v>
      </c>
      <c r="E1403" s="23" t="str">
        <f>IFERROR(__xludf.DUMMYFUNCTION("""COMPUTED_VALUE"""),"Hard")</f>
        <v>Hard</v>
      </c>
      <c r="F1403" s="23">
        <f>IFERROR(__xludf.DUMMYFUNCTION("""COMPUTED_VALUE"""),937.0)</f>
        <v>937</v>
      </c>
      <c r="G1403" s="23">
        <f>IFERROR(__xludf.DUMMYFUNCTION("""COMPUTED_VALUE"""),138.0)</f>
        <v>138</v>
      </c>
      <c r="H1403" s="23" t="str">
        <f>IFERROR(__xludf.DUMMYFUNCTION("""COMPUTED_VALUE"""),"Algorithms")</f>
        <v>Algorithms</v>
      </c>
      <c r="I1403" s="23">
        <f>IFERROR(__xludf.DUMMYFUNCTION("""COMPUTED_VALUE"""),0.724)</f>
        <v>0.724</v>
      </c>
      <c r="J1403" s="23">
        <f>IFERROR(__xludf.DUMMYFUNCTION("""COMPUTED_VALUE"""),1402.0)</f>
        <v>1402</v>
      </c>
      <c r="K1403" s="23" t="b">
        <f>IFERROR(__xludf.DUMMYFUNCTION("""COMPUTED_VALUE"""),FALSE)</f>
        <v>0</v>
      </c>
      <c r="L1403" s="23" t="str">
        <f>IFERROR(__xludf.DUMMYFUNCTION("""COMPUTED_VALUE"""),"Array;Dynamic Programming;Greedy;Sorting;")</f>
        <v>Array;Dynamic Programming;Greedy;Sorting;</v>
      </c>
      <c r="M1403" s="23" t="b">
        <f>IFERROR(__xludf.DUMMYFUNCTION("""COMPUTED_VALUE"""),FALSE)</f>
        <v>0</v>
      </c>
      <c r="N1403" s="23" t="b">
        <f>IFERROR(__xludf.DUMMYFUNCTION("""COMPUTED_VALUE"""),FALSE)</f>
        <v>0</v>
      </c>
      <c r="O1403" s="23">
        <f>IFERROR(__xludf.DUMMYFUNCTION("""COMPUTED_VALUE"""),72.4216310234415)</f>
        <v>72.42163102</v>
      </c>
      <c r="P1403" s="23">
        <f>IFERROR(__xludf.DUMMYFUNCTION("""COMPUTED_VALUE"""),36641.0)</f>
        <v>36641</v>
      </c>
      <c r="Q1403" s="23">
        <f>IFERROR(__xludf.DUMMYFUNCTION("""COMPUTED_VALUE"""),50594.0)</f>
        <v>50594</v>
      </c>
    </row>
    <row r="1404">
      <c r="A1404" s="23">
        <f>IFERROR(__xludf.DUMMYFUNCTION("""COMPUTED_VALUE"""),1519.0)</f>
        <v>1519</v>
      </c>
      <c r="B1404" s="23" t="str">
        <f>IFERROR(__xludf.DUMMYFUNCTION("""COMPUTED_VALUE"""),"Minimum Subsequence in Non-Increasing Order")</f>
        <v>Minimum Subsequence in Non-Increasing Order</v>
      </c>
      <c r="C1404" s="23" t="str">
        <f>IFERROR(__xludf.DUMMYFUNCTION("""COMPUTED_VALUE"""),"minimum-subsequence-in-non-increasing-order")</f>
        <v>minimum-subsequence-in-non-increasing-order</v>
      </c>
      <c r="D1404" s="23" t="b">
        <f>IFERROR(__xludf.DUMMYFUNCTION("""COMPUTED_VALUE"""),FALSE)</f>
        <v>0</v>
      </c>
      <c r="E1404" s="23" t="str">
        <f>IFERROR(__xludf.DUMMYFUNCTION("""COMPUTED_VALUE"""),"Easy")</f>
        <v>Easy</v>
      </c>
      <c r="F1404" s="23">
        <f>IFERROR(__xludf.DUMMYFUNCTION("""COMPUTED_VALUE"""),352.0)</f>
        <v>352</v>
      </c>
      <c r="G1404" s="23">
        <f>IFERROR(__xludf.DUMMYFUNCTION("""COMPUTED_VALUE"""),378.0)</f>
        <v>378</v>
      </c>
      <c r="H1404" s="23" t="str">
        <f>IFERROR(__xludf.DUMMYFUNCTION("""COMPUTED_VALUE"""),"Algorithms")</f>
        <v>Algorithms</v>
      </c>
      <c r="I1404" s="23">
        <f>IFERROR(__xludf.DUMMYFUNCTION("""COMPUTED_VALUE"""),0.722)</f>
        <v>0.722</v>
      </c>
      <c r="J1404" s="23">
        <f>IFERROR(__xludf.DUMMYFUNCTION("""COMPUTED_VALUE"""),1403.0)</f>
        <v>1403</v>
      </c>
      <c r="K1404" s="23" t="b">
        <f>IFERROR(__xludf.DUMMYFUNCTION("""COMPUTED_VALUE"""),FALSE)</f>
        <v>0</v>
      </c>
      <c r="L1404" s="23" t="str">
        <f>IFERROR(__xludf.DUMMYFUNCTION("""COMPUTED_VALUE"""),"Array;Greedy;Sorting;")</f>
        <v>Array;Greedy;Sorting;</v>
      </c>
      <c r="M1404" s="23" t="b">
        <f>IFERROR(__xludf.DUMMYFUNCTION("""COMPUTED_VALUE"""),FALSE)</f>
        <v>0</v>
      </c>
      <c r="N1404" s="23" t="b">
        <f>IFERROR(__xludf.DUMMYFUNCTION("""COMPUTED_VALUE"""),FALSE)</f>
        <v>0</v>
      </c>
      <c r="O1404" s="23">
        <f>IFERROR(__xludf.DUMMYFUNCTION("""COMPUTED_VALUE"""),72.1739886655167)</f>
        <v>72.17398867</v>
      </c>
      <c r="P1404" s="23">
        <f>IFERROR(__xludf.DUMMYFUNCTION("""COMPUTED_VALUE"""),49795.0)</f>
        <v>49795</v>
      </c>
      <c r="Q1404" s="23">
        <f>IFERROR(__xludf.DUMMYFUNCTION("""COMPUTED_VALUE"""),68993.0)</f>
        <v>68993</v>
      </c>
    </row>
    <row r="1405">
      <c r="A1405" s="23">
        <f>IFERROR(__xludf.DUMMYFUNCTION("""COMPUTED_VALUE"""),1520.0)</f>
        <v>1520</v>
      </c>
      <c r="B1405" s="23" t="str">
        <f>IFERROR(__xludf.DUMMYFUNCTION("""COMPUTED_VALUE"""),"Number of Steps to Reduce a Number in Binary Representation to One")</f>
        <v>Number of Steps to Reduce a Number in Binary Representation to One</v>
      </c>
      <c r="C1405" s="23" t="str">
        <f>IFERROR(__xludf.DUMMYFUNCTION("""COMPUTED_VALUE"""),"number-of-steps-to-reduce-a-number-in-binary-representation-to-one")</f>
        <v>number-of-steps-to-reduce-a-number-in-binary-representation-to-one</v>
      </c>
      <c r="D1405" s="23" t="b">
        <f>IFERROR(__xludf.DUMMYFUNCTION("""COMPUTED_VALUE"""),FALSE)</f>
        <v>0</v>
      </c>
      <c r="E1405" s="23" t="str">
        <f>IFERROR(__xludf.DUMMYFUNCTION("""COMPUTED_VALUE"""),"Medium")</f>
        <v>Medium</v>
      </c>
      <c r="F1405" s="23">
        <f>IFERROR(__xludf.DUMMYFUNCTION("""COMPUTED_VALUE"""),465.0)</f>
        <v>465</v>
      </c>
      <c r="G1405" s="23">
        <f>IFERROR(__xludf.DUMMYFUNCTION("""COMPUTED_VALUE"""),43.0)</f>
        <v>43</v>
      </c>
      <c r="H1405" s="23" t="str">
        <f>IFERROR(__xludf.DUMMYFUNCTION("""COMPUTED_VALUE"""),"Algorithms")</f>
        <v>Algorithms</v>
      </c>
      <c r="I1405" s="23">
        <f>IFERROR(__xludf.DUMMYFUNCTION("""COMPUTED_VALUE"""),0.509)</f>
        <v>0.509</v>
      </c>
      <c r="J1405" s="23">
        <f>IFERROR(__xludf.DUMMYFUNCTION("""COMPUTED_VALUE"""),1404.0)</f>
        <v>1404</v>
      </c>
      <c r="K1405" s="23" t="b">
        <f>IFERROR(__xludf.DUMMYFUNCTION("""COMPUTED_VALUE"""),FALSE)</f>
        <v>0</v>
      </c>
      <c r="L1405" s="23" t="str">
        <f>IFERROR(__xludf.DUMMYFUNCTION("""COMPUTED_VALUE"""),"String;Bit Manipulation;")</f>
        <v>String;Bit Manipulation;</v>
      </c>
      <c r="M1405" s="23" t="b">
        <f>IFERROR(__xludf.DUMMYFUNCTION("""COMPUTED_VALUE"""),FALSE)</f>
        <v>0</v>
      </c>
      <c r="N1405" s="23" t="b">
        <f>IFERROR(__xludf.DUMMYFUNCTION("""COMPUTED_VALUE"""),FALSE)</f>
        <v>0</v>
      </c>
      <c r="O1405" s="23">
        <f>IFERROR(__xludf.DUMMYFUNCTION("""COMPUTED_VALUE"""),50.854374440783)</f>
        <v>50.85437444</v>
      </c>
      <c r="P1405" s="23">
        <f>IFERROR(__xludf.DUMMYFUNCTION("""COMPUTED_VALUE"""),23303.0)</f>
        <v>23303</v>
      </c>
      <c r="Q1405" s="23">
        <f>IFERROR(__xludf.DUMMYFUNCTION("""COMPUTED_VALUE"""),45823.0)</f>
        <v>45823</v>
      </c>
    </row>
    <row r="1406">
      <c r="A1406" s="23">
        <f>IFERROR(__xludf.DUMMYFUNCTION("""COMPUTED_VALUE"""),1304.0)</f>
        <v>1304</v>
      </c>
      <c r="B1406" s="23" t="str">
        <f>IFERROR(__xludf.DUMMYFUNCTION("""COMPUTED_VALUE"""),"Longest Happy String")</f>
        <v>Longest Happy String</v>
      </c>
      <c r="C1406" s="23" t="str">
        <f>IFERROR(__xludf.DUMMYFUNCTION("""COMPUTED_VALUE"""),"longest-happy-string")</f>
        <v>longest-happy-string</v>
      </c>
      <c r="D1406" s="23" t="b">
        <f>IFERROR(__xludf.DUMMYFUNCTION("""COMPUTED_VALUE"""),FALSE)</f>
        <v>0</v>
      </c>
      <c r="E1406" s="23" t="str">
        <f>IFERROR(__xludf.DUMMYFUNCTION("""COMPUTED_VALUE"""),"Medium")</f>
        <v>Medium</v>
      </c>
      <c r="F1406" s="23">
        <f>IFERROR(__xludf.DUMMYFUNCTION("""COMPUTED_VALUE"""),1135.0)</f>
        <v>1135</v>
      </c>
      <c r="G1406" s="23">
        <f>IFERROR(__xludf.DUMMYFUNCTION("""COMPUTED_VALUE"""),179.0)</f>
        <v>179</v>
      </c>
      <c r="H1406" s="23" t="str">
        <f>IFERROR(__xludf.DUMMYFUNCTION("""COMPUTED_VALUE"""),"Algorithms")</f>
        <v>Algorithms</v>
      </c>
      <c r="I1406" s="23">
        <f>IFERROR(__xludf.DUMMYFUNCTION("""COMPUTED_VALUE"""),0.565)</f>
        <v>0.565</v>
      </c>
      <c r="J1406" s="23">
        <f>IFERROR(__xludf.DUMMYFUNCTION("""COMPUTED_VALUE"""),1405.0)</f>
        <v>1405</v>
      </c>
      <c r="K1406" s="23" t="b">
        <f>IFERROR(__xludf.DUMMYFUNCTION("""COMPUTED_VALUE"""),FALSE)</f>
        <v>0</v>
      </c>
      <c r="L1406" s="23" t="str">
        <f>IFERROR(__xludf.DUMMYFUNCTION("""COMPUTED_VALUE"""),"String;Greedy;Heap (Priority Queue);")</f>
        <v>String;Greedy;Heap (Priority Queue);</v>
      </c>
      <c r="M1406" s="23" t="b">
        <f>IFERROR(__xludf.DUMMYFUNCTION("""COMPUTED_VALUE"""),FALSE)</f>
        <v>0</v>
      </c>
      <c r="N1406" s="23" t="b">
        <f>IFERROR(__xludf.DUMMYFUNCTION("""COMPUTED_VALUE"""),FALSE)</f>
        <v>0</v>
      </c>
      <c r="O1406" s="23">
        <f>IFERROR(__xludf.DUMMYFUNCTION("""COMPUTED_VALUE"""),56.5428990435155)</f>
        <v>56.54289904</v>
      </c>
      <c r="P1406" s="23">
        <f>IFERROR(__xludf.DUMMYFUNCTION("""COMPUTED_VALUE"""),43568.0)</f>
        <v>43568</v>
      </c>
      <c r="Q1406" s="23">
        <f>IFERROR(__xludf.DUMMYFUNCTION("""COMPUTED_VALUE"""),77053.0)</f>
        <v>77053</v>
      </c>
    </row>
    <row r="1407">
      <c r="A1407" s="23">
        <f>IFERROR(__xludf.DUMMYFUNCTION("""COMPUTED_VALUE"""),1522.0)</f>
        <v>1522</v>
      </c>
      <c r="B1407" s="23" t="str">
        <f>IFERROR(__xludf.DUMMYFUNCTION("""COMPUTED_VALUE"""),"Stone Game III")</f>
        <v>Stone Game III</v>
      </c>
      <c r="C1407" s="23" t="str">
        <f>IFERROR(__xludf.DUMMYFUNCTION("""COMPUTED_VALUE"""),"stone-game-iii")</f>
        <v>stone-game-iii</v>
      </c>
      <c r="D1407" s="23" t="b">
        <f>IFERROR(__xludf.DUMMYFUNCTION("""COMPUTED_VALUE"""),FALSE)</f>
        <v>0</v>
      </c>
      <c r="E1407" s="23" t="str">
        <f>IFERROR(__xludf.DUMMYFUNCTION("""COMPUTED_VALUE"""),"Hard")</f>
        <v>Hard</v>
      </c>
      <c r="F1407" s="23">
        <f>IFERROR(__xludf.DUMMYFUNCTION("""COMPUTED_VALUE"""),966.0)</f>
        <v>966</v>
      </c>
      <c r="G1407" s="23">
        <f>IFERROR(__xludf.DUMMYFUNCTION("""COMPUTED_VALUE"""),22.0)</f>
        <v>22</v>
      </c>
      <c r="H1407" s="23" t="str">
        <f>IFERROR(__xludf.DUMMYFUNCTION("""COMPUTED_VALUE"""),"Algorithms")</f>
        <v>Algorithms</v>
      </c>
      <c r="I1407" s="23">
        <f>IFERROR(__xludf.DUMMYFUNCTION("""COMPUTED_VALUE"""),0.602)</f>
        <v>0.602</v>
      </c>
      <c r="J1407" s="23">
        <f>IFERROR(__xludf.DUMMYFUNCTION("""COMPUTED_VALUE"""),1406.0)</f>
        <v>1406</v>
      </c>
      <c r="K1407" s="23" t="b">
        <f>IFERROR(__xludf.DUMMYFUNCTION("""COMPUTED_VALUE"""),FALSE)</f>
        <v>0</v>
      </c>
      <c r="L1407" s="23" t="str">
        <f>IFERROR(__xludf.DUMMYFUNCTION("""COMPUTED_VALUE"""),"Array;Math;Dynamic Programming;Game Theory;")</f>
        <v>Array;Math;Dynamic Programming;Game Theory;</v>
      </c>
      <c r="M1407" s="23" t="b">
        <f>IFERROR(__xludf.DUMMYFUNCTION("""COMPUTED_VALUE"""),FALSE)</f>
        <v>0</v>
      </c>
      <c r="N1407" s="23" t="b">
        <f>IFERROR(__xludf.DUMMYFUNCTION("""COMPUTED_VALUE"""),FALSE)</f>
        <v>0</v>
      </c>
      <c r="O1407" s="23">
        <f>IFERROR(__xludf.DUMMYFUNCTION("""COMPUTED_VALUE"""),60.2294262666241)</f>
        <v>60.22942627</v>
      </c>
      <c r="P1407" s="23">
        <f>IFERROR(__xludf.DUMMYFUNCTION("""COMPUTED_VALUE"""),35913.0)</f>
        <v>35913</v>
      </c>
      <c r="Q1407" s="23">
        <f>IFERROR(__xludf.DUMMYFUNCTION("""COMPUTED_VALUE"""),59627.0)</f>
        <v>59627</v>
      </c>
    </row>
    <row r="1408">
      <c r="A1408" s="23">
        <f>IFERROR(__xludf.DUMMYFUNCTION("""COMPUTED_VALUE"""),1541.0)</f>
        <v>1541</v>
      </c>
      <c r="B1408" s="23" t="str">
        <f>IFERROR(__xludf.DUMMYFUNCTION("""COMPUTED_VALUE"""),"Top Travellers")</f>
        <v>Top Travellers</v>
      </c>
      <c r="C1408" s="23" t="str">
        <f>IFERROR(__xludf.DUMMYFUNCTION("""COMPUTED_VALUE"""),"top-travellers")</f>
        <v>top-travellers</v>
      </c>
      <c r="D1408" s="23" t="b">
        <f>IFERROR(__xludf.DUMMYFUNCTION("""COMPUTED_VALUE"""),FALSE)</f>
        <v>0</v>
      </c>
      <c r="E1408" s="23" t="str">
        <f>IFERROR(__xludf.DUMMYFUNCTION("""COMPUTED_VALUE"""),"Easy")</f>
        <v>Easy</v>
      </c>
      <c r="F1408" s="23">
        <f>IFERROR(__xludf.DUMMYFUNCTION("""COMPUTED_VALUE"""),136.0)</f>
        <v>136</v>
      </c>
      <c r="G1408" s="23">
        <f>IFERROR(__xludf.DUMMYFUNCTION("""COMPUTED_VALUE"""),12.0)</f>
        <v>12</v>
      </c>
      <c r="H1408" s="23" t="str">
        <f>IFERROR(__xludf.DUMMYFUNCTION("""COMPUTED_VALUE"""),"Database")</f>
        <v>Database</v>
      </c>
      <c r="I1408" s="23">
        <f>IFERROR(__xludf.DUMMYFUNCTION("""COMPUTED_VALUE"""),0.834)</f>
        <v>0.834</v>
      </c>
      <c r="J1408" s="23">
        <f>IFERROR(__xludf.DUMMYFUNCTION("""COMPUTED_VALUE"""),1407.0)</f>
        <v>1407</v>
      </c>
      <c r="K1408" s="23" t="b">
        <f>IFERROR(__xludf.DUMMYFUNCTION("""COMPUTED_VALUE"""),FALSE)</f>
        <v>0</v>
      </c>
      <c r="L1408" s="23" t="str">
        <f>IFERROR(__xludf.DUMMYFUNCTION("""COMPUTED_VALUE"""),"Database;")</f>
        <v>Database;</v>
      </c>
      <c r="M1408" s="23" t="b">
        <f>IFERROR(__xludf.DUMMYFUNCTION("""COMPUTED_VALUE"""),FALSE)</f>
        <v>0</v>
      </c>
      <c r="N1408" s="23" t="b">
        <f>IFERROR(__xludf.DUMMYFUNCTION("""COMPUTED_VALUE"""),FALSE)</f>
        <v>0</v>
      </c>
      <c r="O1408" s="23">
        <f>IFERROR(__xludf.DUMMYFUNCTION("""COMPUTED_VALUE"""),83.4497186128053)</f>
        <v>83.44971861</v>
      </c>
      <c r="P1408" s="23">
        <f>IFERROR(__xludf.DUMMYFUNCTION("""COMPUTED_VALUE"""),28321.0)</f>
        <v>28321</v>
      </c>
      <c r="Q1408" s="23">
        <f>IFERROR(__xludf.DUMMYFUNCTION("""COMPUTED_VALUE"""),33938.0)</f>
        <v>33938</v>
      </c>
    </row>
    <row r="1409">
      <c r="A1409" s="23">
        <f>IFERROR(__xludf.DUMMYFUNCTION("""COMPUTED_VALUE"""),1524.0)</f>
        <v>1524</v>
      </c>
      <c r="B1409" s="23" t="str">
        <f>IFERROR(__xludf.DUMMYFUNCTION("""COMPUTED_VALUE"""),"String Matching in an Array")</f>
        <v>String Matching in an Array</v>
      </c>
      <c r="C1409" s="23" t="str">
        <f>IFERROR(__xludf.DUMMYFUNCTION("""COMPUTED_VALUE"""),"string-matching-in-an-array")</f>
        <v>string-matching-in-an-array</v>
      </c>
      <c r="D1409" s="23" t="b">
        <f>IFERROR(__xludf.DUMMYFUNCTION("""COMPUTED_VALUE"""),FALSE)</f>
        <v>0</v>
      </c>
      <c r="E1409" s="23" t="str">
        <f>IFERROR(__xludf.DUMMYFUNCTION("""COMPUTED_VALUE"""),"Easy")</f>
        <v>Easy</v>
      </c>
      <c r="F1409" s="23">
        <f>IFERROR(__xludf.DUMMYFUNCTION("""COMPUTED_VALUE"""),515.0)</f>
        <v>515</v>
      </c>
      <c r="G1409" s="23">
        <f>IFERROR(__xludf.DUMMYFUNCTION("""COMPUTED_VALUE"""),72.0)</f>
        <v>72</v>
      </c>
      <c r="H1409" s="23" t="str">
        <f>IFERROR(__xludf.DUMMYFUNCTION("""COMPUTED_VALUE"""),"Algorithms")</f>
        <v>Algorithms</v>
      </c>
      <c r="I1409" s="23">
        <f>IFERROR(__xludf.DUMMYFUNCTION("""COMPUTED_VALUE"""),0.639)</f>
        <v>0.639</v>
      </c>
      <c r="J1409" s="23">
        <f>IFERROR(__xludf.DUMMYFUNCTION("""COMPUTED_VALUE"""),1408.0)</f>
        <v>1408</v>
      </c>
      <c r="K1409" s="23" t="b">
        <f>IFERROR(__xludf.DUMMYFUNCTION("""COMPUTED_VALUE"""),FALSE)</f>
        <v>0</v>
      </c>
      <c r="L1409" s="23" t="str">
        <f>IFERROR(__xludf.DUMMYFUNCTION("""COMPUTED_VALUE"""),"String;String Matching;")</f>
        <v>String;String Matching;</v>
      </c>
      <c r="M1409" s="23" t="b">
        <f>IFERROR(__xludf.DUMMYFUNCTION("""COMPUTED_VALUE"""),FALSE)</f>
        <v>0</v>
      </c>
      <c r="N1409" s="23" t="b">
        <f>IFERROR(__xludf.DUMMYFUNCTION("""COMPUTED_VALUE"""),FALSE)</f>
        <v>0</v>
      </c>
      <c r="O1409" s="23">
        <f>IFERROR(__xludf.DUMMYFUNCTION("""COMPUTED_VALUE"""),63.8673708920187)</f>
        <v>63.86737089</v>
      </c>
      <c r="P1409" s="23">
        <f>IFERROR(__xludf.DUMMYFUNCTION("""COMPUTED_VALUE"""),54415.0)</f>
        <v>54415</v>
      </c>
      <c r="Q1409" s="23">
        <f>IFERROR(__xludf.DUMMYFUNCTION("""COMPUTED_VALUE"""),85200.0)</f>
        <v>85200</v>
      </c>
    </row>
    <row r="1410">
      <c r="A1410" s="23">
        <f>IFERROR(__xludf.DUMMYFUNCTION("""COMPUTED_VALUE"""),1525.0)</f>
        <v>1525</v>
      </c>
      <c r="B1410" s="23" t="str">
        <f>IFERROR(__xludf.DUMMYFUNCTION("""COMPUTED_VALUE"""),"Queries on a Permutation With Key")</f>
        <v>Queries on a Permutation With Key</v>
      </c>
      <c r="C1410" s="23" t="str">
        <f>IFERROR(__xludf.DUMMYFUNCTION("""COMPUTED_VALUE"""),"queries-on-a-permutation-with-key")</f>
        <v>queries-on-a-permutation-with-key</v>
      </c>
      <c r="D1410" s="23" t="b">
        <f>IFERROR(__xludf.DUMMYFUNCTION("""COMPUTED_VALUE"""),FALSE)</f>
        <v>0</v>
      </c>
      <c r="E1410" s="23" t="str">
        <f>IFERROR(__xludf.DUMMYFUNCTION("""COMPUTED_VALUE"""),"Medium")</f>
        <v>Medium</v>
      </c>
      <c r="F1410" s="23">
        <f>IFERROR(__xludf.DUMMYFUNCTION("""COMPUTED_VALUE"""),326.0)</f>
        <v>326</v>
      </c>
      <c r="G1410" s="23">
        <f>IFERROR(__xludf.DUMMYFUNCTION("""COMPUTED_VALUE"""),517.0)</f>
        <v>517</v>
      </c>
      <c r="H1410" s="23" t="str">
        <f>IFERROR(__xludf.DUMMYFUNCTION("""COMPUTED_VALUE"""),"Algorithms")</f>
        <v>Algorithms</v>
      </c>
      <c r="I1410" s="23">
        <f>IFERROR(__xludf.DUMMYFUNCTION("""COMPUTED_VALUE"""),0.828)</f>
        <v>0.828</v>
      </c>
      <c r="J1410" s="23">
        <f>IFERROR(__xludf.DUMMYFUNCTION("""COMPUTED_VALUE"""),1409.0)</f>
        <v>1409</v>
      </c>
      <c r="K1410" s="23" t="b">
        <f>IFERROR(__xludf.DUMMYFUNCTION("""COMPUTED_VALUE"""),FALSE)</f>
        <v>0</v>
      </c>
      <c r="L1410" s="23" t="str">
        <f>IFERROR(__xludf.DUMMYFUNCTION("""COMPUTED_VALUE"""),"Array;Binary Indexed Tree;Simulation;")</f>
        <v>Array;Binary Indexed Tree;Simulation;</v>
      </c>
      <c r="M1410" s="23" t="b">
        <f>IFERROR(__xludf.DUMMYFUNCTION("""COMPUTED_VALUE"""),FALSE)</f>
        <v>0</v>
      </c>
      <c r="N1410" s="23" t="b">
        <f>IFERROR(__xludf.DUMMYFUNCTION("""COMPUTED_VALUE"""),FALSE)</f>
        <v>0</v>
      </c>
      <c r="O1410" s="23">
        <f>IFERROR(__xludf.DUMMYFUNCTION("""COMPUTED_VALUE"""),82.8425694939415)</f>
        <v>82.84256949</v>
      </c>
      <c r="P1410" s="23">
        <f>IFERROR(__xludf.DUMMYFUNCTION("""COMPUTED_VALUE"""),37193.0)</f>
        <v>37193</v>
      </c>
      <c r="Q1410" s="23">
        <f>IFERROR(__xludf.DUMMYFUNCTION("""COMPUTED_VALUE"""),44896.0)</f>
        <v>44896</v>
      </c>
    </row>
    <row r="1411">
      <c r="A1411" s="23">
        <f>IFERROR(__xludf.DUMMYFUNCTION("""COMPUTED_VALUE"""),1526.0)</f>
        <v>1526</v>
      </c>
      <c r="B1411" s="23" t="str">
        <f>IFERROR(__xludf.DUMMYFUNCTION("""COMPUTED_VALUE"""),"HTML Entity Parser")</f>
        <v>HTML Entity Parser</v>
      </c>
      <c r="C1411" s="23" t="str">
        <f>IFERROR(__xludf.DUMMYFUNCTION("""COMPUTED_VALUE"""),"html-entity-parser")</f>
        <v>html-entity-parser</v>
      </c>
      <c r="D1411" s="23" t="b">
        <f>IFERROR(__xludf.DUMMYFUNCTION("""COMPUTED_VALUE"""),FALSE)</f>
        <v>0</v>
      </c>
      <c r="E1411" s="23" t="str">
        <f>IFERROR(__xludf.DUMMYFUNCTION("""COMPUTED_VALUE"""),"Medium")</f>
        <v>Medium</v>
      </c>
      <c r="F1411" s="23">
        <f>IFERROR(__xludf.DUMMYFUNCTION("""COMPUTED_VALUE"""),131.0)</f>
        <v>131</v>
      </c>
      <c r="G1411" s="23">
        <f>IFERROR(__xludf.DUMMYFUNCTION("""COMPUTED_VALUE"""),256.0)</f>
        <v>256</v>
      </c>
      <c r="H1411" s="23" t="str">
        <f>IFERROR(__xludf.DUMMYFUNCTION("""COMPUTED_VALUE"""),"Algorithms")</f>
        <v>Algorithms</v>
      </c>
      <c r="I1411" s="23">
        <f>IFERROR(__xludf.DUMMYFUNCTION("""COMPUTED_VALUE"""),0.526)</f>
        <v>0.526</v>
      </c>
      <c r="J1411" s="23">
        <f>IFERROR(__xludf.DUMMYFUNCTION("""COMPUTED_VALUE"""),1410.0)</f>
        <v>1410</v>
      </c>
      <c r="K1411" s="23" t="b">
        <f>IFERROR(__xludf.DUMMYFUNCTION("""COMPUTED_VALUE"""),FALSE)</f>
        <v>0</v>
      </c>
      <c r="L1411" s="23" t="str">
        <f>IFERROR(__xludf.DUMMYFUNCTION("""COMPUTED_VALUE"""),"Hash Table;String;")</f>
        <v>Hash Table;String;</v>
      </c>
      <c r="M1411" s="23" t="b">
        <f>IFERROR(__xludf.DUMMYFUNCTION("""COMPUTED_VALUE"""),FALSE)</f>
        <v>0</v>
      </c>
      <c r="N1411" s="23" t="b">
        <f>IFERROR(__xludf.DUMMYFUNCTION("""COMPUTED_VALUE"""),FALSE)</f>
        <v>0</v>
      </c>
      <c r="O1411" s="23">
        <f>IFERROR(__xludf.DUMMYFUNCTION("""COMPUTED_VALUE"""),52.6207089031537)</f>
        <v>52.6207089</v>
      </c>
      <c r="P1411" s="23">
        <f>IFERROR(__xludf.DUMMYFUNCTION("""COMPUTED_VALUE"""),18854.0)</f>
        <v>18854</v>
      </c>
      <c r="Q1411" s="23">
        <f>IFERROR(__xludf.DUMMYFUNCTION("""COMPUTED_VALUE"""),35830.0)</f>
        <v>35830</v>
      </c>
    </row>
    <row r="1412">
      <c r="A1412" s="23">
        <f>IFERROR(__xludf.DUMMYFUNCTION("""COMPUTED_VALUE"""),1527.0)</f>
        <v>1527</v>
      </c>
      <c r="B1412" s="23" t="str">
        <f>IFERROR(__xludf.DUMMYFUNCTION("""COMPUTED_VALUE"""),"Number of Ways to Paint N × 3 Grid")</f>
        <v>Number of Ways to Paint N × 3 Grid</v>
      </c>
      <c r="C1412" s="23" t="str">
        <f>IFERROR(__xludf.DUMMYFUNCTION("""COMPUTED_VALUE"""),"number-of-ways-to-paint-n-3-grid")</f>
        <v>number-of-ways-to-paint-n-3-grid</v>
      </c>
      <c r="D1412" s="23" t="b">
        <f>IFERROR(__xludf.DUMMYFUNCTION("""COMPUTED_VALUE"""),FALSE)</f>
        <v>0</v>
      </c>
      <c r="E1412" s="23" t="str">
        <f>IFERROR(__xludf.DUMMYFUNCTION("""COMPUTED_VALUE"""),"Hard")</f>
        <v>Hard</v>
      </c>
      <c r="F1412" s="23">
        <f>IFERROR(__xludf.DUMMYFUNCTION("""COMPUTED_VALUE"""),754.0)</f>
        <v>754</v>
      </c>
      <c r="G1412" s="23">
        <f>IFERROR(__xludf.DUMMYFUNCTION("""COMPUTED_VALUE"""),36.0)</f>
        <v>36</v>
      </c>
      <c r="H1412" s="23" t="str">
        <f>IFERROR(__xludf.DUMMYFUNCTION("""COMPUTED_VALUE"""),"Algorithms")</f>
        <v>Algorithms</v>
      </c>
      <c r="I1412" s="23">
        <f>IFERROR(__xludf.DUMMYFUNCTION("""COMPUTED_VALUE"""),0.618)</f>
        <v>0.618</v>
      </c>
      <c r="J1412" s="23">
        <f>IFERROR(__xludf.DUMMYFUNCTION("""COMPUTED_VALUE"""),1411.0)</f>
        <v>1411</v>
      </c>
      <c r="K1412" s="23" t="b">
        <f>IFERROR(__xludf.DUMMYFUNCTION("""COMPUTED_VALUE"""),FALSE)</f>
        <v>0</v>
      </c>
      <c r="L1412" s="23" t="str">
        <f>IFERROR(__xludf.DUMMYFUNCTION("""COMPUTED_VALUE"""),"Dynamic Programming;")</f>
        <v>Dynamic Programming;</v>
      </c>
      <c r="M1412" s="23" t="b">
        <f>IFERROR(__xludf.DUMMYFUNCTION("""COMPUTED_VALUE"""),FALSE)</f>
        <v>0</v>
      </c>
      <c r="N1412" s="23" t="b">
        <f>IFERROR(__xludf.DUMMYFUNCTION("""COMPUTED_VALUE"""),FALSE)</f>
        <v>0</v>
      </c>
      <c r="O1412" s="23">
        <f>IFERROR(__xludf.DUMMYFUNCTION("""COMPUTED_VALUE"""),61.7963107431361)</f>
        <v>61.79631074</v>
      </c>
      <c r="P1412" s="23">
        <f>IFERROR(__xludf.DUMMYFUNCTION("""COMPUTED_VALUE"""),24556.0)</f>
        <v>24556</v>
      </c>
      <c r="Q1412" s="23">
        <f>IFERROR(__xludf.DUMMYFUNCTION("""COMPUTED_VALUE"""),39737.0)</f>
        <v>39737</v>
      </c>
    </row>
    <row r="1413">
      <c r="A1413" s="23">
        <f>IFERROR(__xludf.DUMMYFUNCTION("""COMPUTED_VALUE"""),1546.0)</f>
        <v>1546</v>
      </c>
      <c r="B1413" s="23" t="str">
        <f>IFERROR(__xludf.DUMMYFUNCTION("""COMPUTED_VALUE"""),"Find the Quiet Students in All Exams")</f>
        <v>Find the Quiet Students in All Exams</v>
      </c>
      <c r="C1413" s="23" t="str">
        <f>IFERROR(__xludf.DUMMYFUNCTION("""COMPUTED_VALUE"""),"find-the-quiet-students-in-all-exams")</f>
        <v>find-the-quiet-students-in-all-exams</v>
      </c>
      <c r="D1413" s="23" t="b">
        <f>IFERROR(__xludf.DUMMYFUNCTION("""COMPUTED_VALUE"""),TRUE)</f>
        <v>1</v>
      </c>
      <c r="E1413" s="23" t="str">
        <f>IFERROR(__xludf.DUMMYFUNCTION("""COMPUTED_VALUE"""),"Hard")</f>
        <v>Hard</v>
      </c>
      <c r="F1413" s="23">
        <f>IFERROR(__xludf.DUMMYFUNCTION("""COMPUTED_VALUE"""),146.0)</f>
        <v>146</v>
      </c>
      <c r="G1413" s="23">
        <f>IFERROR(__xludf.DUMMYFUNCTION("""COMPUTED_VALUE"""),11.0)</f>
        <v>11</v>
      </c>
      <c r="H1413" s="23" t="str">
        <f>IFERROR(__xludf.DUMMYFUNCTION("""COMPUTED_VALUE"""),"Database")</f>
        <v>Database</v>
      </c>
      <c r="I1413" s="23">
        <f>IFERROR(__xludf.DUMMYFUNCTION("""COMPUTED_VALUE"""),0.627)</f>
        <v>0.627</v>
      </c>
      <c r="J1413" s="23">
        <f>IFERROR(__xludf.DUMMYFUNCTION("""COMPUTED_VALUE"""),1412.0)</f>
        <v>1412</v>
      </c>
      <c r="K1413" s="23" t="b">
        <f>IFERROR(__xludf.DUMMYFUNCTION("""COMPUTED_VALUE"""),TRUE)</f>
        <v>1</v>
      </c>
      <c r="L1413" s="23" t="str">
        <f>IFERROR(__xludf.DUMMYFUNCTION("""COMPUTED_VALUE"""),"Database;")</f>
        <v>Database;</v>
      </c>
      <c r="M1413" s="23" t="b">
        <f>IFERROR(__xludf.DUMMYFUNCTION("""COMPUTED_VALUE"""),FALSE)</f>
        <v>0</v>
      </c>
      <c r="N1413" s="23" t="b">
        <f>IFERROR(__xludf.DUMMYFUNCTION("""COMPUTED_VALUE"""),FALSE)</f>
        <v>0</v>
      </c>
      <c r="O1413" s="23">
        <f>IFERROR(__xludf.DUMMYFUNCTION("""COMPUTED_VALUE"""),62.6672766784856)</f>
        <v>62.66727668</v>
      </c>
      <c r="P1413" s="23">
        <f>IFERROR(__xludf.DUMMYFUNCTION("""COMPUTED_VALUE"""),16437.0)</f>
        <v>16437</v>
      </c>
      <c r="Q1413" s="23">
        <f>IFERROR(__xludf.DUMMYFUNCTION("""COMPUTED_VALUE"""),26229.0)</f>
        <v>26229</v>
      </c>
    </row>
    <row r="1414">
      <c r="A1414" s="23">
        <f>IFERROR(__xludf.DUMMYFUNCTION("""COMPUTED_VALUE"""),1514.0)</f>
        <v>1514</v>
      </c>
      <c r="B1414" s="23" t="str">
        <f>IFERROR(__xludf.DUMMYFUNCTION("""COMPUTED_VALUE"""),"Minimum Value to Get Positive Step by Step Sum")</f>
        <v>Minimum Value to Get Positive Step by Step Sum</v>
      </c>
      <c r="C1414" s="23" t="str">
        <f>IFERROR(__xludf.DUMMYFUNCTION("""COMPUTED_VALUE"""),"minimum-value-to-get-positive-step-by-step-sum")</f>
        <v>minimum-value-to-get-positive-step-by-step-sum</v>
      </c>
      <c r="D1414" s="23" t="b">
        <f>IFERROR(__xludf.DUMMYFUNCTION("""COMPUTED_VALUE"""),FALSE)</f>
        <v>0</v>
      </c>
      <c r="E1414" s="23" t="str">
        <f>IFERROR(__xludf.DUMMYFUNCTION("""COMPUTED_VALUE"""),"Easy")</f>
        <v>Easy</v>
      </c>
      <c r="F1414" s="23">
        <f>IFERROR(__xludf.DUMMYFUNCTION("""COMPUTED_VALUE"""),1010.0)</f>
        <v>1010</v>
      </c>
      <c r="G1414" s="23">
        <f>IFERROR(__xludf.DUMMYFUNCTION("""COMPUTED_VALUE"""),231.0)</f>
        <v>231</v>
      </c>
      <c r="H1414" s="23" t="str">
        <f>IFERROR(__xludf.DUMMYFUNCTION("""COMPUTED_VALUE"""),"Algorithms")</f>
        <v>Algorithms</v>
      </c>
      <c r="I1414" s="23">
        <f>IFERROR(__xludf.DUMMYFUNCTION("""COMPUTED_VALUE"""),0.686)</f>
        <v>0.686</v>
      </c>
      <c r="J1414" s="23">
        <f>IFERROR(__xludf.DUMMYFUNCTION("""COMPUTED_VALUE"""),1413.0)</f>
        <v>1413</v>
      </c>
      <c r="K1414" s="23" t="b">
        <f>IFERROR(__xludf.DUMMYFUNCTION("""COMPUTED_VALUE"""),FALSE)</f>
        <v>0</v>
      </c>
      <c r="L1414" s="23" t="str">
        <f>IFERROR(__xludf.DUMMYFUNCTION("""COMPUTED_VALUE"""),"Array;Prefix Sum;")</f>
        <v>Array;Prefix Sum;</v>
      </c>
      <c r="M1414" s="23" t="b">
        <f>IFERROR(__xludf.DUMMYFUNCTION("""COMPUTED_VALUE"""),TRUE)</f>
        <v>1</v>
      </c>
      <c r="N1414" s="23" t="b">
        <f>IFERROR(__xludf.DUMMYFUNCTION("""COMPUTED_VALUE"""),FALSE)</f>
        <v>0</v>
      </c>
      <c r="O1414" s="23">
        <f>IFERROR(__xludf.DUMMYFUNCTION("""COMPUTED_VALUE"""),68.633941149235)</f>
        <v>68.63394115</v>
      </c>
      <c r="P1414" s="23">
        <f>IFERROR(__xludf.DUMMYFUNCTION("""COMPUTED_VALUE"""),69671.0)</f>
        <v>69671</v>
      </c>
      <c r="Q1414" s="23">
        <f>IFERROR(__xludf.DUMMYFUNCTION("""COMPUTED_VALUE"""),101510.0)</f>
        <v>101510</v>
      </c>
    </row>
    <row r="1415">
      <c r="A1415" s="23">
        <f>IFERROR(__xludf.DUMMYFUNCTION("""COMPUTED_VALUE"""),1515.0)</f>
        <v>1515</v>
      </c>
      <c r="B1415" s="23" t="str">
        <f>IFERROR(__xludf.DUMMYFUNCTION("""COMPUTED_VALUE"""),"Find the Minimum Number of Fibonacci Numbers Whose Sum Is K")</f>
        <v>Find the Minimum Number of Fibonacci Numbers Whose Sum Is K</v>
      </c>
      <c r="C1415" s="23" t="str">
        <f>IFERROR(__xludf.DUMMYFUNCTION("""COMPUTED_VALUE"""),"find-the-minimum-number-of-fibonacci-numbers-whose-sum-is-k")</f>
        <v>find-the-minimum-number-of-fibonacci-numbers-whose-sum-is-k</v>
      </c>
      <c r="D1415" s="23" t="b">
        <f>IFERROR(__xludf.DUMMYFUNCTION("""COMPUTED_VALUE"""),FALSE)</f>
        <v>0</v>
      </c>
      <c r="E1415" s="23" t="str">
        <f>IFERROR(__xludf.DUMMYFUNCTION("""COMPUTED_VALUE"""),"Medium")</f>
        <v>Medium</v>
      </c>
      <c r="F1415" s="23">
        <f>IFERROR(__xludf.DUMMYFUNCTION("""COMPUTED_VALUE"""),677.0)</f>
        <v>677</v>
      </c>
      <c r="G1415" s="23">
        <f>IFERROR(__xludf.DUMMYFUNCTION("""COMPUTED_VALUE"""),51.0)</f>
        <v>51</v>
      </c>
      <c r="H1415" s="23" t="str">
        <f>IFERROR(__xludf.DUMMYFUNCTION("""COMPUTED_VALUE"""),"Algorithms")</f>
        <v>Algorithms</v>
      </c>
      <c r="I1415" s="23">
        <f>IFERROR(__xludf.DUMMYFUNCTION("""COMPUTED_VALUE"""),0.653)</f>
        <v>0.653</v>
      </c>
      <c r="J1415" s="23">
        <f>IFERROR(__xludf.DUMMYFUNCTION("""COMPUTED_VALUE"""),1414.0)</f>
        <v>1414</v>
      </c>
      <c r="K1415" s="23" t="b">
        <f>IFERROR(__xludf.DUMMYFUNCTION("""COMPUTED_VALUE"""),FALSE)</f>
        <v>0</v>
      </c>
      <c r="L1415" s="23" t="str">
        <f>IFERROR(__xludf.DUMMYFUNCTION("""COMPUTED_VALUE"""),"Greedy;")</f>
        <v>Greedy;</v>
      </c>
      <c r="M1415" s="23" t="b">
        <f>IFERROR(__xludf.DUMMYFUNCTION("""COMPUTED_VALUE"""),FALSE)</f>
        <v>0</v>
      </c>
      <c r="N1415" s="23" t="b">
        <f>IFERROR(__xludf.DUMMYFUNCTION("""COMPUTED_VALUE"""),FALSE)</f>
        <v>0</v>
      </c>
      <c r="O1415" s="23">
        <f>IFERROR(__xludf.DUMMYFUNCTION("""COMPUTED_VALUE"""),65.3315655539636)</f>
        <v>65.33156555</v>
      </c>
      <c r="P1415" s="23">
        <f>IFERROR(__xludf.DUMMYFUNCTION("""COMPUTED_VALUE"""),30551.0)</f>
        <v>30551</v>
      </c>
      <c r="Q1415" s="23">
        <f>IFERROR(__xludf.DUMMYFUNCTION("""COMPUTED_VALUE"""),46763.0)</f>
        <v>46763</v>
      </c>
    </row>
    <row r="1416">
      <c r="A1416" s="23">
        <f>IFERROR(__xludf.DUMMYFUNCTION("""COMPUTED_VALUE"""),1516.0)</f>
        <v>1516</v>
      </c>
      <c r="B1416" s="23" t="str">
        <f>IFERROR(__xludf.DUMMYFUNCTION("""COMPUTED_VALUE"""),"The k-th Lexicographical String of All Happy Strings of Length n")</f>
        <v>The k-th Lexicographical String of All Happy Strings of Length n</v>
      </c>
      <c r="C1416" s="23" t="str">
        <f>IFERROR(__xludf.DUMMYFUNCTION("""COMPUTED_VALUE"""),"the-k-th-lexicographical-string-of-all-happy-strings-of-length-n")</f>
        <v>the-k-th-lexicographical-string-of-all-happy-strings-of-length-n</v>
      </c>
      <c r="D1416" s="23" t="b">
        <f>IFERROR(__xludf.DUMMYFUNCTION("""COMPUTED_VALUE"""),FALSE)</f>
        <v>0</v>
      </c>
      <c r="E1416" s="23" t="str">
        <f>IFERROR(__xludf.DUMMYFUNCTION("""COMPUTED_VALUE"""),"Medium")</f>
        <v>Medium</v>
      </c>
      <c r="F1416" s="23">
        <f>IFERROR(__xludf.DUMMYFUNCTION("""COMPUTED_VALUE"""),653.0)</f>
        <v>653</v>
      </c>
      <c r="G1416" s="23">
        <f>IFERROR(__xludf.DUMMYFUNCTION("""COMPUTED_VALUE"""),16.0)</f>
        <v>16</v>
      </c>
      <c r="H1416" s="23" t="str">
        <f>IFERROR(__xludf.DUMMYFUNCTION("""COMPUTED_VALUE"""),"Algorithms")</f>
        <v>Algorithms</v>
      </c>
      <c r="I1416" s="23">
        <f>IFERROR(__xludf.DUMMYFUNCTION("""COMPUTED_VALUE"""),0.713)</f>
        <v>0.713</v>
      </c>
      <c r="J1416" s="23">
        <f>IFERROR(__xludf.DUMMYFUNCTION("""COMPUTED_VALUE"""),1415.0)</f>
        <v>1415</v>
      </c>
      <c r="K1416" s="23" t="b">
        <f>IFERROR(__xludf.DUMMYFUNCTION("""COMPUTED_VALUE"""),FALSE)</f>
        <v>0</v>
      </c>
      <c r="L1416" s="23" t="str">
        <f>IFERROR(__xludf.DUMMYFUNCTION("""COMPUTED_VALUE"""),"String;Backtracking;")</f>
        <v>String;Backtracking;</v>
      </c>
      <c r="M1416" s="23" t="b">
        <f>IFERROR(__xludf.DUMMYFUNCTION("""COMPUTED_VALUE"""),FALSE)</f>
        <v>0</v>
      </c>
      <c r="N1416" s="23" t="b">
        <f>IFERROR(__xludf.DUMMYFUNCTION("""COMPUTED_VALUE"""),FALSE)</f>
        <v>0</v>
      </c>
      <c r="O1416" s="23">
        <f>IFERROR(__xludf.DUMMYFUNCTION("""COMPUTED_VALUE"""),71.3486305607108)</f>
        <v>71.34863056</v>
      </c>
      <c r="P1416" s="23">
        <f>IFERROR(__xludf.DUMMYFUNCTION("""COMPUTED_VALUE"""),25373.0)</f>
        <v>25373</v>
      </c>
      <c r="Q1416" s="23">
        <f>IFERROR(__xludf.DUMMYFUNCTION("""COMPUTED_VALUE"""),35562.0)</f>
        <v>35562</v>
      </c>
    </row>
    <row r="1417">
      <c r="A1417" s="23">
        <f>IFERROR(__xludf.DUMMYFUNCTION("""COMPUTED_VALUE"""),1517.0)</f>
        <v>1517</v>
      </c>
      <c r="B1417" s="23" t="str">
        <f>IFERROR(__xludf.DUMMYFUNCTION("""COMPUTED_VALUE"""),"Restore The Array")</f>
        <v>Restore The Array</v>
      </c>
      <c r="C1417" s="23" t="str">
        <f>IFERROR(__xludf.DUMMYFUNCTION("""COMPUTED_VALUE"""),"restore-the-array")</f>
        <v>restore-the-array</v>
      </c>
      <c r="D1417" s="23" t="b">
        <f>IFERROR(__xludf.DUMMYFUNCTION("""COMPUTED_VALUE"""),FALSE)</f>
        <v>0</v>
      </c>
      <c r="E1417" s="23" t="str">
        <f>IFERROR(__xludf.DUMMYFUNCTION("""COMPUTED_VALUE"""),"Hard")</f>
        <v>Hard</v>
      </c>
      <c r="F1417" s="23">
        <f>IFERROR(__xludf.DUMMYFUNCTION("""COMPUTED_VALUE"""),358.0)</f>
        <v>358</v>
      </c>
      <c r="G1417" s="23">
        <f>IFERROR(__xludf.DUMMYFUNCTION("""COMPUTED_VALUE"""),14.0)</f>
        <v>14</v>
      </c>
      <c r="H1417" s="23" t="str">
        <f>IFERROR(__xludf.DUMMYFUNCTION("""COMPUTED_VALUE"""),"Algorithms")</f>
        <v>Algorithms</v>
      </c>
      <c r="I1417" s="23">
        <f>IFERROR(__xludf.DUMMYFUNCTION("""COMPUTED_VALUE"""),0.379)</f>
        <v>0.379</v>
      </c>
      <c r="J1417" s="23">
        <f>IFERROR(__xludf.DUMMYFUNCTION("""COMPUTED_VALUE"""),1416.0)</f>
        <v>1416</v>
      </c>
      <c r="K1417" s="23" t="b">
        <f>IFERROR(__xludf.DUMMYFUNCTION("""COMPUTED_VALUE"""),FALSE)</f>
        <v>0</v>
      </c>
      <c r="L1417" s="23" t="str">
        <f>IFERROR(__xludf.DUMMYFUNCTION("""COMPUTED_VALUE"""),"String;Dynamic Programming;")</f>
        <v>String;Dynamic Programming;</v>
      </c>
      <c r="M1417" s="23" t="b">
        <f>IFERROR(__xludf.DUMMYFUNCTION("""COMPUTED_VALUE"""),FALSE)</f>
        <v>0</v>
      </c>
      <c r="N1417" s="23" t="b">
        <f>IFERROR(__xludf.DUMMYFUNCTION("""COMPUTED_VALUE"""),FALSE)</f>
        <v>0</v>
      </c>
      <c r="O1417" s="23">
        <f>IFERROR(__xludf.DUMMYFUNCTION("""COMPUTED_VALUE"""),37.9313596077691)</f>
        <v>37.93135961</v>
      </c>
      <c r="P1417" s="23">
        <f>IFERROR(__xludf.DUMMYFUNCTION("""COMPUTED_VALUE"""),12068.0)</f>
        <v>12068</v>
      </c>
      <c r="Q1417" s="23">
        <f>IFERROR(__xludf.DUMMYFUNCTION("""COMPUTED_VALUE"""),31816.0)</f>
        <v>31816</v>
      </c>
    </row>
    <row r="1418">
      <c r="A1418" s="23">
        <f>IFERROR(__xludf.DUMMYFUNCTION("""COMPUTED_VALUE"""),1532.0)</f>
        <v>1532</v>
      </c>
      <c r="B1418" s="23" t="str">
        <f>IFERROR(__xludf.DUMMYFUNCTION("""COMPUTED_VALUE"""),"Reformat The String")</f>
        <v>Reformat The String</v>
      </c>
      <c r="C1418" s="23" t="str">
        <f>IFERROR(__xludf.DUMMYFUNCTION("""COMPUTED_VALUE"""),"reformat-the-string")</f>
        <v>reformat-the-string</v>
      </c>
      <c r="D1418" s="23" t="b">
        <f>IFERROR(__xludf.DUMMYFUNCTION("""COMPUTED_VALUE"""),FALSE)</f>
        <v>0</v>
      </c>
      <c r="E1418" s="23" t="str">
        <f>IFERROR(__xludf.DUMMYFUNCTION("""COMPUTED_VALUE"""),"Easy")</f>
        <v>Easy</v>
      </c>
      <c r="F1418" s="23">
        <f>IFERROR(__xludf.DUMMYFUNCTION("""COMPUTED_VALUE"""),397.0)</f>
        <v>397</v>
      </c>
      <c r="G1418" s="23">
        <f>IFERROR(__xludf.DUMMYFUNCTION("""COMPUTED_VALUE"""),76.0)</f>
        <v>76</v>
      </c>
      <c r="H1418" s="23" t="str">
        <f>IFERROR(__xludf.DUMMYFUNCTION("""COMPUTED_VALUE"""),"Algorithms")</f>
        <v>Algorithms</v>
      </c>
      <c r="I1418" s="23">
        <f>IFERROR(__xludf.DUMMYFUNCTION("""COMPUTED_VALUE"""),0.563)</f>
        <v>0.563</v>
      </c>
      <c r="J1418" s="23">
        <f>IFERROR(__xludf.DUMMYFUNCTION("""COMPUTED_VALUE"""),1417.0)</f>
        <v>1417</v>
      </c>
      <c r="K1418" s="23" t="b">
        <f>IFERROR(__xludf.DUMMYFUNCTION("""COMPUTED_VALUE"""),FALSE)</f>
        <v>0</v>
      </c>
      <c r="L1418" s="23" t="str">
        <f>IFERROR(__xludf.DUMMYFUNCTION("""COMPUTED_VALUE"""),"String;")</f>
        <v>String;</v>
      </c>
      <c r="M1418" s="23" t="b">
        <f>IFERROR(__xludf.DUMMYFUNCTION("""COMPUTED_VALUE"""),FALSE)</f>
        <v>0</v>
      </c>
      <c r="N1418" s="23" t="b">
        <f>IFERROR(__xludf.DUMMYFUNCTION("""COMPUTED_VALUE"""),FALSE)</f>
        <v>0</v>
      </c>
      <c r="O1418" s="23">
        <f>IFERROR(__xludf.DUMMYFUNCTION("""COMPUTED_VALUE"""),56.311155246607)</f>
        <v>56.31115525</v>
      </c>
      <c r="P1418" s="23">
        <f>IFERROR(__xludf.DUMMYFUNCTION("""COMPUTED_VALUE"""),42529.0)</f>
        <v>42529</v>
      </c>
      <c r="Q1418" s="23">
        <f>IFERROR(__xludf.DUMMYFUNCTION("""COMPUTED_VALUE"""),75525.0)</f>
        <v>75525</v>
      </c>
    </row>
    <row r="1419">
      <c r="A1419" s="23">
        <f>IFERROR(__xludf.DUMMYFUNCTION("""COMPUTED_VALUE"""),1533.0)</f>
        <v>1533</v>
      </c>
      <c r="B1419" s="23" t="str">
        <f>IFERROR(__xludf.DUMMYFUNCTION("""COMPUTED_VALUE"""),"Display Table of Food Orders in a Restaurant")</f>
        <v>Display Table of Food Orders in a Restaurant</v>
      </c>
      <c r="C1419" s="23" t="str">
        <f>IFERROR(__xludf.DUMMYFUNCTION("""COMPUTED_VALUE"""),"display-table-of-food-orders-in-a-restaurant")</f>
        <v>display-table-of-food-orders-in-a-restaurant</v>
      </c>
      <c r="D1419" s="23" t="b">
        <f>IFERROR(__xludf.DUMMYFUNCTION("""COMPUTED_VALUE"""),FALSE)</f>
        <v>0</v>
      </c>
      <c r="E1419" s="23" t="str">
        <f>IFERROR(__xludf.DUMMYFUNCTION("""COMPUTED_VALUE"""),"Medium")</f>
        <v>Medium</v>
      </c>
      <c r="F1419" s="23">
        <f>IFERROR(__xludf.DUMMYFUNCTION("""COMPUTED_VALUE"""),200.0)</f>
        <v>200</v>
      </c>
      <c r="G1419" s="23">
        <f>IFERROR(__xludf.DUMMYFUNCTION("""COMPUTED_VALUE"""),340.0)</f>
        <v>340</v>
      </c>
      <c r="H1419" s="23" t="str">
        <f>IFERROR(__xludf.DUMMYFUNCTION("""COMPUTED_VALUE"""),"Algorithms")</f>
        <v>Algorithms</v>
      </c>
      <c r="I1419" s="23">
        <f>IFERROR(__xludf.DUMMYFUNCTION("""COMPUTED_VALUE"""),0.724)</f>
        <v>0.724</v>
      </c>
      <c r="J1419" s="23">
        <f>IFERROR(__xludf.DUMMYFUNCTION("""COMPUTED_VALUE"""),1418.0)</f>
        <v>1418</v>
      </c>
      <c r="K1419" s="23" t="b">
        <f>IFERROR(__xludf.DUMMYFUNCTION("""COMPUTED_VALUE"""),FALSE)</f>
        <v>0</v>
      </c>
      <c r="L1419" s="23" t="str">
        <f>IFERROR(__xludf.DUMMYFUNCTION("""COMPUTED_VALUE"""),"Array;Hash Table;String;Sorting;Ordered Set;")</f>
        <v>Array;Hash Table;String;Sorting;Ordered Set;</v>
      </c>
      <c r="M1419" s="23" t="b">
        <f>IFERROR(__xludf.DUMMYFUNCTION("""COMPUTED_VALUE"""),FALSE)</f>
        <v>0</v>
      </c>
      <c r="N1419" s="23" t="b">
        <f>IFERROR(__xludf.DUMMYFUNCTION("""COMPUTED_VALUE"""),FALSE)</f>
        <v>0</v>
      </c>
      <c r="O1419" s="23">
        <f>IFERROR(__xludf.DUMMYFUNCTION("""COMPUTED_VALUE"""),72.4072716044617)</f>
        <v>72.4072716</v>
      </c>
      <c r="P1419" s="23">
        <f>IFERROR(__xludf.DUMMYFUNCTION("""COMPUTED_VALUE"""),18760.0)</f>
        <v>18760</v>
      </c>
      <c r="Q1419" s="23">
        <f>IFERROR(__xludf.DUMMYFUNCTION("""COMPUTED_VALUE"""),25909.0)</f>
        <v>25909</v>
      </c>
    </row>
    <row r="1420">
      <c r="A1420" s="23">
        <f>IFERROR(__xludf.DUMMYFUNCTION("""COMPUTED_VALUE"""),1534.0)</f>
        <v>1534</v>
      </c>
      <c r="B1420" s="23" t="str">
        <f>IFERROR(__xludf.DUMMYFUNCTION("""COMPUTED_VALUE"""),"Minimum Number of Frogs Croaking")</f>
        <v>Minimum Number of Frogs Croaking</v>
      </c>
      <c r="C1420" s="23" t="str">
        <f>IFERROR(__xludf.DUMMYFUNCTION("""COMPUTED_VALUE"""),"minimum-number-of-frogs-croaking")</f>
        <v>minimum-number-of-frogs-croaking</v>
      </c>
      <c r="D1420" s="23" t="b">
        <f>IFERROR(__xludf.DUMMYFUNCTION("""COMPUTED_VALUE"""),FALSE)</f>
        <v>0</v>
      </c>
      <c r="E1420" s="23" t="str">
        <f>IFERROR(__xludf.DUMMYFUNCTION("""COMPUTED_VALUE"""),"Medium")</f>
        <v>Medium</v>
      </c>
      <c r="F1420" s="23">
        <f>IFERROR(__xludf.DUMMYFUNCTION("""COMPUTED_VALUE"""),633.0)</f>
        <v>633</v>
      </c>
      <c r="G1420" s="23">
        <f>IFERROR(__xludf.DUMMYFUNCTION("""COMPUTED_VALUE"""),40.0)</f>
        <v>40</v>
      </c>
      <c r="H1420" s="23" t="str">
        <f>IFERROR(__xludf.DUMMYFUNCTION("""COMPUTED_VALUE"""),"Algorithms")</f>
        <v>Algorithms</v>
      </c>
      <c r="I1420" s="23">
        <f>IFERROR(__xludf.DUMMYFUNCTION("""COMPUTED_VALUE"""),0.497)</f>
        <v>0.497</v>
      </c>
      <c r="J1420" s="23">
        <f>IFERROR(__xludf.DUMMYFUNCTION("""COMPUTED_VALUE"""),1419.0)</f>
        <v>1419</v>
      </c>
      <c r="K1420" s="23" t="b">
        <f>IFERROR(__xludf.DUMMYFUNCTION("""COMPUTED_VALUE"""),FALSE)</f>
        <v>0</v>
      </c>
      <c r="L1420" s="23" t="str">
        <f>IFERROR(__xludf.DUMMYFUNCTION("""COMPUTED_VALUE"""),"String;Counting;")</f>
        <v>String;Counting;</v>
      </c>
      <c r="M1420" s="23" t="b">
        <f>IFERROR(__xludf.DUMMYFUNCTION("""COMPUTED_VALUE"""),FALSE)</f>
        <v>0</v>
      </c>
      <c r="N1420" s="23" t="b">
        <f>IFERROR(__xludf.DUMMYFUNCTION("""COMPUTED_VALUE"""),FALSE)</f>
        <v>0</v>
      </c>
      <c r="O1420" s="23">
        <f>IFERROR(__xludf.DUMMYFUNCTION("""COMPUTED_VALUE"""),49.6758025378893)</f>
        <v>49.67580254</v>
      </c>
      <c r="P1420" s="23">
        <f>IFERROR(__xludf.DUMMYFUNCTION("""COMPUTED_VALUE"""),24976.0)</f>
        <v>24976</v>
      </c>
      <c r="Q1420" s="23">
        <f>IFERROR(__xludf.DUMMYFUNCTION("""COMPUTED_VALUE"""),50278.0)</f>
        <v>50278</v>
      </c>
    </row>
    <row r="1421">
      <c r="A1421" s="23">
        <f>IFERROR(__xludf.DUMMYFUNCTION("""COMPUTED_VALUE"""),1535.0)</f>
        <v>1535</v>
      </c>
      <c r="B1421" s="23" t="str">
        <f>IFERROR(__xludf.DUMMYFUNCTION("""COMPUTED_VALUE"""),"Build Array Where You Can Find The Maximum Exactly K Comparisons")</f>
        <v>Build Array Where You Can Find The Maximum Exactly K Comparisons</v>
      </c>
      <c r="C1421" s="23" t="str">
        <f>IFERROR(__xludf.DUMMYFUNCTION("""COMPUTED_VALUE"""),"build-array-where-you-can-find-the-maximum-exactly-k-comparisons")</f>
        <v>build-array-where-you-can-find-the-maximum-exactly-k-comparisons</v>
      </c>
      <c r="D1421" s="23" t="b">
        <f>IFERROR(__xludf.DUMMYFUNCTION("""COMPUTED_VALUE"""),FALSE)</f>
        <v>0</v>
      </c>
      <c r="E1421" s="23" t="str">
        <f>IFERROR(__xludf.DUMMYFUNCTION("""COMPUTED_VALUE"""),"Hard")</f>
        <v>Hard</v>
      </c>
      <c r="F1421" s="23">
        <f>IFERROR(__xludf.DUMMYFUNCTION("""COMPUTED_VALUE"""),404.0)</f>
        <v>404</v>
      </c>
      <c r="G1421" s="23">
        <f>IFERROR(__xludf.DUMMYFUNCTION("""COMPUTED_VALUE"""),10.0)</f>
        <v>10</v>
      </c>
      <c r="H1421" s="23" t="str">
        <f>IFERROR(__xludf.DUMMYFUNCTION("""COMPUTED_VALUE"""),"Algorithms")</f>
        <v>Algorithms</v>
      </c>
      <c r="I1421" s="23">
        <f>IFERROR(__xludf.DUMMYFUNCTION("""COMPUTED_VALUE"""),0.644)</f>
        <v>0.644</v>
      </c>
      <c r="J1421" s="23">
        <f>IFERROR(__xludf.DUMMYFUNCTION("""COMPUTED_VALUE"""),1420.0)</f>
        <v>1420</v>
      </c>
      <c r="K1421" s="23" t="b">
        <f>IFERROR(__xludf.DUMMYFUNCTION("""COMPUTED_VALUE"""),FALSE)</f>
        <v>0</v>
      </c>
      <c r="L1421" s="23" t="str">
        <f>IFERROR(__xludf.DUMMYFUNCTION("""COMPUTED_VALUE"""),"Dynamic Programming;")</f>
        <v>Dynamic Programming;</v>
      </c>
      <c r="M1421" s="23" t="b">
        <f>IFERROR(__xludf.DUMMYFUNCTION("""COMPUTED_VALUE"""),FALSE)</f>
        <v>0</v>
      </c>
      <c r="N1421" s="23" t="b">
        <f>IFERROR(__xludf.DUMMYFUNCTION("""COMPUTED_VALUE"""),FALSE)</f>
        <v>0</v>
      </c>
      <c r="O1421" s="23">
        <f>IFERROR(__xludf.DUMMYFUNCTION("""COMPUTED_VALUE"""),64.375506893755)</f>
        <v>64.37550689</v>
      </c>
      <c r="P1421" s="23">
        <f>IFERROR(__xludf.DUMMYFUNCTION("""COMPUTED_VALUE"""),9525.0)</f>
        <v>9525</v>
      </c>
      <c r="Q1421" s="23">
        <f>IFERROR(__xludf.DUMMYFUNCTION("""COMPUTED_VALUE"""),14796.0)</f>
        <v>14796</v>
      </c>
    </row>
    <row r="1422">
      <c r="A1422" s="23">
        <f>IFERROR(__xludf.DUMMYFUNCTION("""COMPUTED_VALUE"""),1551.0)</f>
        <v>1551</v>
      </c>
      <c r="B1422" s="23" t="str">
        <f>IFERROR(__xludf.DUMMYFUNCTION("""COMPUTED_VALUE"""),"NPV Queries")</f>
        <v>NPV Queries</v>
      </c>
      <c r="C1422" s="23" t="str">
        <f>IFERROR(__xludf.DUMMYFUNCTION("""COMPUTED_VALUE"""),"npv-queries")</f>
        <v>npv-queries</v>
      </c>
      <c r="D1422" s="23" t="b">
        <f>IFERROR(__xludf.DUMMYFUNCTION("""COMPUTED_VALUE"""),TRUE)</f>
        <v>1</v>
      </c>
      <c r="E1422" s="23" t="str">
        <f>IFERROR(__xludf.DUMMYFUNCTION("""COMPUTED_VALUE"""),"Easy")</f>
        <v>Easy</v>
      </c>
      <c r="F1422" s="23">
        <f>IFERROR(__xludf.DUMMYFUNCTION("""COMPUTED_VALUE"""),27.0)</f>
        <v>27</v>
      </c>
      <c r="G1422" s="23">
        <f>IFERROR(__xludf.DUMMYFUNCTION("""COMPUTED_VALUE"""),240.0)</f>
        <v>240</v>
      </c>
      <c r="H1422" s="23" t="str">
        <f>IFERROR(__xludf.DUMMYFUNCTION("""COMPUTED_VALUE"""),"Database")</f>
        <v>Database</v>
      </c>
      <c r="I1422" s="23">
        <f>IFERROR(__xludf.DUMMYFUNCTION("""COMPUTED_VALUE"""),0.836)</f>
        <v>0.836</v>
      </c>
      <c r="J1422" s="23">
        <f>IFERROR(__xludf.DUMMYFUNCTION("""COMPUTED_VALUE"""),1421.0)</f>
        <v>1421</v>
      </c>
      <c r="K1422" s="23" t="b">
        <f>IFERROR(__xludf.DUMMYFUNCTION("""COMPUTED_VALUE"""),TRUE)</f>
        <v>1</v>
      </c>
      <c r="L1422" s="23" t="str">
        <f>IFERROR(__xludf.DUMMYFUNCTION("""COMPUTED_VALUE"""),"Database;")</f>
        <v>Database;</v>
      </c>
      <c r="M1422" s="23" t="b">
        <f>IFERROR(__xludf.DUMMYFUNCTION("""COMPUTED_VALUE"""),FALSE)</f>
        <v>0</v>
      </c>
      <c r="N1422" s="23" t="b">
        <f>IFERROR(__xludf.DUMMYFUNCTION("""COMPUTED_VALUE"""),FALSE)</f>
        <v>0</v>
      </c>
      <c r="O1422" s="23">
        <f>IFERROR(__xludf.DUMMYFUNCTION("""COMPUTED_VALUE"""),83.6319177603672)</f>
        <v>83.63191776</v>
      </c>
      <c r="P1422" s="23">
        <f>IFERROR(__xludf.DUMMYFUNCTION("""COMPUTED_VALUE"""),16759.0)</f>
        <v>16759</v>
      </c>
      <c r="Q1422" s="23">
        <f>IFERROR(__xludf.DUMMYFUNCTION("""COMPUTED_VALUE"""),20039.0)</f>
        <v>20039</v>
      </c>
    </row>
    <row r="1423">
      <c r="A1423" s="23">
        <f>IFERROR(__xludf.DUMMYFUNCTION("""COMPUTED_VALUE"""),1537.0)</f>
        <v>1537</v>
      </c>
      <c r="B1423" s="23" t="str">
        <f>IFERROR(__xludf.DUMMYFUNCTION("""COMPUTED_VALUE"""),"Maximum Score After Splitting a String")</f>
        <v>Maximum Score After Splitting a String</v>
      </c>
      <c r="C1423" s="23" t="str">
        <f>IFERROR(__xludf.DUMMYFUNCTION("""COMPUTED_VALUE"""),"maximum-score-after-splitting-a-string")</f>
        <v>maximum-score-after-splitting-a-string</v>
      </c>
      <c r="D1423" s="23" t="b">
        <f>IFERROR(__xludf.DUMMYFUNCTION("""COMPUTED_VALUE"""),FALSE)</f>
        <v>0</v>
      </c>
      <c r="E1423" s="23" t="str">
        <f>IFERROR(__xludf.DUMMYFUNCTION("""COMPUTED_VALUE"""),"Easy")</f>
        <v>Easy</v>
      </c>
      <c r="F1423" s="23">
        <f>IFERROR(__xludf.DUMMYFUNCTION("""COMPUTED_VALUE"""),493.0)</f>
        <v>493</v>
      </c>
      <c r="G1423" s="23">
        <f>IFERROR(__xludf.DUMMYFUNCTION("""COMPUTED_VALUE"""),26.0)</f>
        <v>26</v>
      </c>
      <c r="H1423" s="23" t="str">
        <f>IFERROR(__xludf.DUMMYFUNCTION("""COMPUTED_VALUE"""),"Algorithms")</f>
        <v>Algorithms</v>
      </c>
      <c r="I1423" s="23">
        <f>IFERROR(__xludf.DUMMYFUNCTION("""COMPUTED_VALUE"""),0.578)</f>
        <v>0.578</v>
      </c>
      <c r="J1423" s="23">
        <f>IFERROR(__xludf.DUMMYFUNCTION("""COMPUTED_VALUE"""),1422.0)</f>
        <v>1422</v>
      </c>
      <c r="K1423" s="23" t="b">
        <f>IFERROR(__xludf.DUMMYFUNCTION("""COMPUTED_VALUE"""),FALSE)</f>
        <v>0</v>
      </c>
      <c r="L1423" s="23" t="str">
        <f>IFERROR(__xludf.DUMMYFUNCTION("""COMPUTED_VALUE"""),"String;")</f>
        <v>String;</v>
      </c>
      <c r="M1423" s="23" t="b">
        <f>IFERROR(__xludf.DUMMYFUNCTION("""COMPUTED_VALUE"""),FALSE)</f>
        <v>0</v>
      </c>
      <c r="N1423" s="23" t="b">
        <f>IFERROR(__xludf.DUMMYFUNCTION("""COMPUTED_VALUE"""),FALSE)</f>
        <v>0</v>
      </c>
      <c r="O1423" s="23">
        <f>IFERROR(__xludf.DUMMYFUNCTION("""COMPUTED_VALUE"""),57.7787459063185)</f>
        <v>57.77874591</v>
      </c>
      <c r="P1423" s="23">
        <f>IFERROR(__xludf.DUMMYFUNCTION("""COMPUTED_VALUE"""),38460.0)</f>
        <v>38460</v>
      </c>
      <c r="Q1423" s="23">
        <f>IFERROR(__xludf.DUMMYFUNCTION("""COMPUTED_VALUE"""),66565.0)</f>
        <v>66565</v>
      </c>
    </row>
    <row r="1424">
      <c r="A1424" s="23">
        <f>IFERROR(__xludf.DUMMYFUNCTION("""COMPUTED_VALUE"""),1538.0)</f>
        <v>1538</v>
      </c>
      <c r="B1424" s="23" t="str">
        <f>IFERROR(__xludf.DUMMYFUNCTION("""COMPUTED_VALUE"""),"Maximum Points You Can Obtain from Cards")</f>
        <v>Maximum Points You Can Obtain from Cards</v>
      </c>
      <c r="C1424" s="23" t="str">
        <f>IFERROR(__xludf.DUMMYFUNCTION("""COMPUTED_VALUE"""),"maximum-points-you-can-obtain-from-cards")</f>
        <v>maximum-points-you-can-obtain-from-cards</v>
      </c>
      <c r="D1424" s="23" t="b">
        <f>IFERROR(__xludf.DUMMYFUNCTION("""COMPUTED_VALUE"""),FALSE)</f>
        <v>0</v>
      </c>
      <c r="E1424" s="23" t="str">
        <f>IFERROR(__xludf.DUMMYFUNCTION("""COMPUTED_VALUE"""),"Medium")</f>
        <v>Medium</v>
      </c>
      <c r="F1424" s="23">
        <f>IFERROR(__xludf.DUMMYFUNCTION("""COMPUTED_VALUE"""),2812.0)</f>
        <v>2812</v>
      </c>
      <c r="G1424" s="23">
        <f>IFERROR(__xludf.DUMMYFUNCTION("""COMPUTED_VALUE"""),116.0)</f>
        <v>116</v>
      </c>
      <c r="H1424" s="23" t="str">
        <f>IFERROR(__xludf.DUMMYFUNCTION("""COMPUTED_VALUE"""),"Algorithms")</f>
        <v>Algorithms</v>
      </c>
      <c r="I1424" s="23">
        <f>IFERROR(__xludf.DUMMYFUNCTION("""COMPUTED_VALUE"""),0.501)</f>
        <v>0.501</v>
      </c>
      <c r="J1424" s="23">
        <f>IFERROR(__xludf.DUMMYFUNCTION("""COMPUTED_VALUE"""),1423.0)</f>
        <v>1423</v>
      </c>
      <c r="K1424" s="23" t="b">
        <f>IFERROR(__xludf.DUMMYFUNCTION("""COMPUTED_VALUE"""),FALSE)</f>
        <v>0</v>
      </c>
      <c r="L1424" s="23" t="str">
        <f>IFERROR(__xludf.DUMMYFUNCTION("""COMPUTED_VALUE"""),"Array;Sliding Window;Prefix Sum;")</f>
        <v>Array;Sliding Window;Prefix Sum;</v>
      </c>
      <c r="M1424" s="23" t="b">
        <f>IFERROR(__xludf.DUMMYFUNCTION("""COMPUTED_VALUE"""),TRUE)</f>
        <v>1</v>
      </c>
      <c r="N1424" s="23" t="b">
        <f>IFERROR(__xludf.DUMMYFUNCTION("""COMPUTED_VALUE"""),FALSE)</f>
        <v>0</v>
      </c>
      <c r="O1424" s="23">
        <f>IFERROR(__xludf.DUMMYFUNCTION("""COMPUTED_VALUE"""),50.0515551834279)</f>
        <v>50.05155518</v>
      </c>
      <c r="P1424" s="23">
        <f>IFERROR(__xludf.DUMMYFUNCTION("""COMPUTED_VALUE"""),129119.0)</f>
        <v>129119</v>
      </c>
      <c r="Q1424" s="23">
        <f>IFERROR(__xludf.DUMMYFUNCTION("""COMPUTED_VALUE"""),257971.0)</f>
        <v>257971</v>
      </c>
    </row>
    <row r="1425">
      <c r="A1425" s="23">
        <f>IFERROR(__xludf.DUMMYFUNCTION("""COMPUTED_VALUE"""),1539.0)</f>
        <v>1539</v>
      </c>
      <c r="B1425" s="23" t="str">
        <f>IFERROR(__xludf.DUMMYFUNCTION("""COMPUTED_VALUE"""),"Diagonal Traverse II")</f>
        <v>Diagonal Traverse II</v>
      </c>
      <c r="C1425" s="23" t="str">
        <f>IFERROR(__xludf.DUMMYFUNCTION("""COMPUTED_VALUE"""),"diagonal-traverse-ii")</f>
        <v>diagonal-traverse-ii</v>
      </c>
      <c r="D1425" s="23" t="b">
        <f>IFERROR(__xludf.DUMMYFUNCTION("""COMPUTED_VALUE"""),FALSE)</f>
        <v>0</v>
      </c>
      <c r="E1425" s="23" t="str">
        <f>IFERROR(__xludf.DUMMYFUNCTION("""COMPUTED_VALUE"""),"Medium")</f>
        <v>Medium</v>
      </c>
      <c r="F1425" s="23">
        <f>IFERROR(__xludf.DUMMYFUNCTION("""COMPUTED_VALUE"""),817.0)</f>
        <v>817</v>
      </c>
      <c r="G1425" s="23">
        <f>IFERROR(__xludf.DUMMYFUNCTION("""COMPUTED_VALUE"""),76.0)</f>
        <v>76</v>
      </c>
      <c r="H1425" s="23" t="str">
        <f>IFERROR(__xludf.DUMMYFUNCTION("""COMPUTED_VALUE"""),"Algorithms")</f>
        <v>Algorithms</v>
      </c>
      <c r="I1425" s="23">
        <f>IFERROR(__xludf.DUMMYFUNCTION("""COMPUTED_VALUE"""),0.5)</f>
        <v>0.5</v>
      </c>
      <c r="J1425" s="23">
        <f>IFERROR(__xludf.DUMMYFUNCTION("""COMPUTED_VALUE"""),1424.0)</f>
        <v>1424</v>
      </c>
      <c r="K1425" s="23" t="b">
        <f>IFERROR(__xludf.DUMMYFUNCTION("""COMPUTED_VALUE"""),FALSE)</f>
        <v>0</v>
      </c>
      <c r="L1425" s="23" t="str">
        <f>IFERROR(__xludf.DUMMYFUNCTION("""COMPUTED_VALUE"""),"Array;Sorting;Heap (Priority Queue);")</f>
        <v>Array;Sorting;Heap (Priority Queue);</v>
      </c>
      <c r="M1425" s="23" t="b">
        <f>IFERROR(__xludf.DUMMYFUNCTION("""COMPUTED_VALUE"""),FALSE)</f>
        <v>0</v>
      </c>
      <c r="N1425" s="23" t="b">
        <f>IFERROR(__xludf.DUMMYFUNCTION("""COMPUTED_VALUE"""),FALSE)</f>
        <v>0</v>
      </c>
      <c r="O1425" s="23">
        <f>IFERROR(__xludf.DUMMYFUNCTION("""COMPUTED_VALUE"""),50.0104454685099)</f>
        <v>50.01044547</v>
      </c>
      <c r="P1425" s="23">
        <f>IFERROR(__xludf.DUMMYFUNCTION("""COMPUTED_VALUE"""),40696.0)</f>
        <v>40696</v>
      </c>
      <c r="Q1425" s="23">
        <f>IFERROR(__xludf.DUMMYFUNCTION("""COMPUTED_VALUE"""),81373.0)</f>
        <v>81373</v>
      </c>
    </row>
    <row r="1426">
      <c r="A1426" s="23">
        <f>IFERROR(__xludf.DUMMYFUNCTION("""COMPUTED_VALUE"""),1286.0)</f>
        <v>1286</v>
      </c>
      <c r="B1426" s="23" t="str">
        <f>IFERROR(__xludf.DUMMYFUNCTION("""COMPUTED_VALUE"""),"Constrained Subsequence Sum")</f>
        <v>Constrained Subsequence Sum</v>
      </c>
      <c r="C1426" s="23" t="str">
        <f>IFERROR(__xludf.DUMMYFUNCTION("""COMPUTED_VALUE"""),"constrained-subsequence-sum")</f>
        <v>constrained-subsequence-sum</v>
      </c>
      <c r="D1426" s="23" t="b">
        <f>IFERROR(__xludf.DUMMYFUNCTION("""COMPUTED_VALUE"""),FALSE)</f>
        <v>0</v>
      </c>
      <c r="E1426" s="23" t="str">
        <f>IFERROR(__xludf.DUMMYFUNCTION("""COMPUTED_VALUE"""),"Hard")</f>
        <v>Hard</v>
      </c>
      <c r="F1426" s="23">
        <f>IFERROR(__xludf.DUMMYFUNCTION("""COMPUTED_VALUE"""),782.0)</f>
        <v>782</v>
      </c>
      <c r="G1426" s="23">
        <f>IFERROR(__xludf.DUMMYFUNCTION("""COMPUTED_VALUE"""),31.0)</f>
        <v>31</v>
      </c>
      <c r="H1426" s="23" t="str">
        <f>IFERROR(__xludf.DUMMYFUNCTION("""COMPUTED_VALUE"""),"Algorithms")</f>
        <v>Algorithms</v>
      </c>
      <c r="I1426" s="23">
        <f>IFERROR(__xludf.DUMMYFUNCTION("""COMPUTED_VALUE"""),0.466)</f>
        <v>0.466</v>
      </c>
      <c r="J1426" s="23">
        <f>IFERROR(__xludf.DUMMYFUNCTION("""COMPUTED_VALUE"""),1425.0)</f>
        <v>1425</v>
      </c>
      <c r="K1426" s="23" t="b">
        <f>IFERROR(__xludf.DUMMYFUNCTION("""COMPUTED_VALUE"""),FALSE)</f>
        <v>0</v>
      </c>
      <c r="L1426" s="23" t="str">
        <f>IFERROR(__xludf.DUMMYFUNCTION("""COMPUTED_VALUE"""),"Array;Dynamic Programming;Queue;Sliding Window;Heap (Priority Queue);Monotonic Queue;")</f>
        <v>Array;Dynamic Programming;Queue;Sliding Window;Heap (Priority Queue);Monotonic Queue;</v>
      </c>
      <c r="M1426" s="23" t="b">
        <f>IFERROR(__xludf.DUMMYFUNCTION("""COMPUTED_VALUE"""),FALSE)</f>
        <v>0</v>
      </c>
      <c r="N1426" s="23" t="b">
        <f>IFERROR(__xludf.DUMMYFUNCTION("""COMPUTED_VALUE"""),FALSE)</f>
        <v>0</v>
      </c>
      <c r="O1426" s="23">
        <f>IFERROR(__xludf.DUMMYFUNCTION("""COMPUTED_VALUE"""),46.6444073455759)</f>
        <v>46.64440735</v>
      </c>
      <c r="P1426" s="23">
        <f>IFERROR(__xludf.DUMMYFUNCTION("""COMPUTED_VALUE"""),18161.0)</f>
        <v>18161</v>
      </c>
      <c r="Q1426" s="23">
        <f>IFERROR(__xludf.DUMMYFUNCTION("""COMPUTED_VALUE"""),38935.0)</f>
        <v>38935</v>
      </c>
    </row>
    <row r="1427">
      <c r="A1427" s="23">
        <f>IFERROR(__xludf.DUMMYFUNCTION("""COMPUTED_VALUE"""),1391.0)</f>
        <v>1391</v>
      </c>
      <c r="B1427" s="23" t="str">
        <f>IFERROR(__xludf.DUMMYFUNCTION("""COMPUTED_VALUE"""),"Counting Elements")</f>
        <v>Counting Elements</v>
      </c>
      <c r="C1427" s="23" t="str">
        <f>IFERROR(__xludf.DUMMYFUNCTION("""COMPUTED_VALUE"""),"counting-elements")</f>
        <v>counting-elements</v>
      </c>
      <c r="D1427" s="23" t="b">
        <f>IFERROR(__xludf.DUMMYFUNCTION("""COMPUTED_VALUE"""),TRUE)</f>
        <v>1</v>
      </c>
      <c r="E1427" s="23" t="str">
        <f>IFERROR(__xludf.DUMMYFUNCTION("""COMPUTED_VALUE"""),"Easy")</f>
        <v>Easy</v>
      </c>
      <c r="F1427" s="23">
        <f>IFERROR(__xludf.DUMMYFUNCTION("""COMPUTED_VALUE"""),85.0)</f>
        <v>85</v>
      </c>
      <c r="G1427" s="23">
        <f>IFERROR(__xludf.DUMMYFUNCTION("""COMPUTED_VALUE"""),18.0)</f>
        <v>18</v>
      </c>
      <c r="H1427" s="23" t="str">
        <f>IFERROR(__xludf.DUMMYFUNCTION("""COMPUTED_VALUE"""),"Algorithms")</f>
        <v>Algorithms</v>
      </c>
      <c r="I1427" s="23">
        <f>IFERROR(__xludf.DUMMYFUNCTION("""COMPUTED_VALUE"""),0.595)</f>
        <v>0.595</v>
      </c>
      <c r="J1427" s="23">
        <f>IFERROR(__xludf.DUMMYFUNCTION("""COMPUTED_VALUE"""),1426.0)</f>
        <v>1426</v>
      </c>
      <c r="K1427" s="23" t="b">
        <f>IFERROR(__xludf.DUMMYFUNCTION("""COMPUTED_VALUE"""),TRUE)</f>
        <v>1</v>
      </c>
      <c r="L1427" s="23" t="str">
        <f>IFERROR(__xludf.DUMMYFUNCTION("""COMPUTED_VALUE"""),"Array;Hash Table;")</f>
        <v>Array;Hash Table;</v>
      </c>
      <c r="M1427" s="23" t="b">
        <f>IFERROR(__xludf.DUMMYFUNCTION("""COMPUTED_VALUE"""),TRUE)</f>
        <v>1</v>
      </c>
      <c r="N1427" s="23" t="b">
        <f>IFERROR(__xludf.DUMMYFUNCTION("""COMPUTED_VALUE"""),FALSE)</f>
        <v>0</v>
      </c>
      <c r="O1427" s="23">
        <f>IFERROR(__xludf.DUMMYFUNCTION("""COMPUTED_VALUE"""),59.4808777595777)</f>
        <v>59.48087776</v>
      </c>
      <c r="P1427" s="23">
        <f>IFERROR(__xludf.DUMMYFUNCTION("""COMPUTED_VALUE"""),89693.0)</f>
        <v>89693</v>
      </c>
      <c r="Q1427" s="23">
        <f>IFERROR(__xludf.DUMMYFUNCTION("""COMPUTED_VALUE"""),150793.0)</f>
        <v>150793</v>
      </c>
    </row>
    <row r="1428">
      <c r="A1428" s="23">
        <f>IFERROR(__xludf.DUMMYFUNCTION("""COMPUTED_VALUE"""),1345.0)</f>
        <v>1345</v>
      </c>
      <c r="B1428" s="23" t="str">
        <f>IFERROR(__xludf.DUMMYFUNCTION("""COMPUTED_VALUE"""),"Perform String Shifts")</f>
        <v>Perform String Shifts</v>
      </c>
      <c r="C1428" s="23" t="str">
        <f>IFERROR(__xludf.DUMMYFUNCTION("""COMPUTED_VALUE"""),"perform-string-shifts")</f>
        <v>perform-string-shifts</v>
      </c>
      <c r="D1428" s="23" t="b">
        <f>IFERROR(__xludf.DUMMYFUNCTION("""COMPUTED_VALUE"""),TRUE)</f>
        <v>1</v>
      </c>
      <c r="E1428" s="23" t="str">
        <f>IFERROR(__xludf.DUMMYFUNCTION("""COMPUTED_VALUE"""),"Easy")</f>
        <v>Easy</v>
      </c>
      <c r="F1428" s="23">
        <f>IFERROR(__xludf.DUMMYFUNCTION("""COMPUTED_VALUE"""),146.0)</f>
        <v>146</v>
      </c>
      <c r="G1428" s="23">
        <f>IFERROR(__xludf.DUMMYFUNCTION("""COMPUTED_VALUE"""),2.0)</f>
        <v>2</v>
      </c>
      <c r="H1428" s="23" t="str">
        <f>IFERROR(__xludf.DUMMYFUNCTION("""COMPUTED_VALUE"""),"Algorithms")</f>
        <v>Algorithms</v>
      </c>
      <c r="I1428" s="23">
        <f>IFERROR(__xludf.DUMMYFUNCTION("""COMPUTED_VALUE"""),0.54)</f>
        <v>0.54</v>
      </c>
      <c r="J1428" s="23">
        <f>IFERROR(__xludf.DUMMYFUNCTION("""COMPUTED_VALUE"""),1427.0)</f>
        <v>1427</v>
      </c>
      <c r="K1428" s="23" t="b">
        <f>IFERROR(__xludf.DUMMYFUNCTION("""COMPUTED_VALUE"""),TRUE)</f>
        <v>1</v>
      </c>
      <c r="L1428" s="23" t="str">
        <f>IFERROR(__xludf.DUMMYFUNCTION("""COMPUTED_VALUE"""),"Array;Math;String;")</f>
        <v>Array;Math;String;</v>
      </c>
      <c r="M1428" s="23" t="b">
        <f>IFERROR(__xludf.DUMMYFUNCTION("""COMPUTED_VALUE"""),TRUE)</f>
        <v>1</v>
      </c>
      <c r="N1428" s="23" t="b">
        <f>IFERROR(__xludf.DUMMYFUNCTION("""COMPUTED_VALUE"""),FALSE)</f>
        <v>0</v>
      </c>
      <c r="O1428" s="23">
        <f>IFERROR(__xludf.DUMMYFUNCTION("""COMPUTED_VALUE"""),54.0262909927861)</f>
        <v>54.02629099</v>
      </c>
      <c r="P1428" s="23">
        <f>IFERROR(__xludf.DUMMYFUNCTION("""COMPUTED_VALUE"""),69950.0)</f>
        <v>69950</v>
      </c>
      <c r="Q1428" s="23">
        <f>IFERROR(__xludf.DUMMYFUNCTION("""COMPUTED_VALUE"""),129474.0)</f>
        <v>129474</v>
      </c>
    </row>
    <row r="1429">
      <c r="A1429" s="23">
        <f>IFERROR(__xludf.DUMMYFUNCTION("""COMPUTED_VALUE"""),1374.0)</f>
        <v>1374</v>
      </c>
      <c r="B1429" s="23" t="str">
        <f>IFERROR(__xludf.DUMMYFUNCTION("""COMPUTED_VALUE"""),"Leftmost Column with at Least a One")</f>
        <v>Leftmost Column with at Least a One</v>
      </c>
      <c r="C1429" s="23" t="str">
        <f>IFERROR(__xludf.DUMMYFUNCTION("""COMPUTED_VALUE"""),"leftmost-column-with-at-least-a-one")</f>
        <v>leftmost-column-with-at-least-a-one</v>
      </c>
      <c r="D1429" s="23" t="b">
        <f>IFERROR(__xludf.DUMMYFUNCTION("""COMPUTED_VALUE"""),TRUE)</f>
        <v>1</v>
      </c>
      <c r="E1429" s="23" t="str">
        <f>IFERROR(__xludf.DUMMYFUNCTION("""COMPUTED_VALUE"""),"Medium")</f>
        <v>Medium</v>
      </c>
      <c r="F1429" s="23">
        <f>IFERROR(__xludf.DUMMYFUNCTION("""COMPUTED_VALUE"""),941.0)</f>
        <v>941</v>
      </c>
      <c r="G1429" s="23">
        <f>IFERROR(__xludf.DUMMYFUNCTION("""COMPUTED_VALUE"""),113.0)</f>
        <v>113</v>
      </c>
      <c r="H1429" s="23" t="str">
        <f>IFERROR(__xludf.DUMMYFUNCTION("""COMPUTED_VALUE"""),"Algorithms")</f>
        <v>Algorithms</v>
      </c>
      <c r="I1429" s="23">
        <f>IFERROR(__xludf.DUMMYFUNCTION("""COMPUTED_VALUE"""),0.525)</f>
        <v>0.525</v>
      </c>
      <c r="J1429" s="23">
        <f>IFERROR(__xludf.DUMMYFUNCTION("""COMPUTED_VALUE"""),1428.0)</f>
        <v>1428</v>
      </c>
      <c r="K1429" s="23" t="b">
        <f>IFERROR(__xludf.DUMMYFUNCTION("""COMPUTED_VALUE"""),TRUE)</f>
        <v>1</v>
      </c>
      <c r="L1429" s="23" t="str">
        <f>IFERROR(__xludf.DUMMYFUNCTION("""COMPUTED_VALUE"""),"Array;Binary Search;Matrix;Interactive;")</f>
        <v>Array;Binary Search;Matrix;Interactive;</v>
      </c>
      <c r="M1429" s="23" t="b">
        <f>IFERROR(__xludf.DUMMYFUNCTION("""COMPUTED_VALUE"""),TRUE)</f>
        <v>1</v>
      </c>
      <c r="N1429" s="23" t="b">
        <f>IFERROR(__xludf.DUMMYFUNCTION("""COMPUTED_VALUE"""),FALSE)</f>
        <v>0</v>
      </c>
      <c r="O1429" s="23">
        <f>IFERROR(__xludf.DUMMYFUNCTION("""COMPUTED_VALUE"""),52.5186009641365)</f>
        <v>52.51860096</v>
      </c>
      <c r="P1429" s="23">
        <f>IFERROR(__xludf.DUMMYFUNCTION("""COMPUTED_VALUE"""),146747.0)</f>
        <v>146747</v>
      </c>
      <c r="Q1429" s="23">
        <f>IFERROR(__xludf.DUMMYFUNCTION("""COMPUTED_VALUE"""),279420.0)</f>
        <v>279420</v>
      </c>
    </row>
    <row r="1430">
      <c r="A1430" s="23">
        <f>IFERROR(__xludf.DUMMYFUNCTION("""COMPUTED_VALUE"""),1366.0)</f>
        <v>1366</v>
      </c>
      <c r="B1430" s="23" t="str">
        <f>IFERROR(__xludf.DUMMYFUNCTION("""COMPUTED_VALUE"""),"First Unique Number")</f>
        <v>First Unique Number</v>
      </c>
      <c r="C1430" s="23" t="str">
        <f>IFERROR(__xludf.DUMMYFUNCTION("""COMPUTED_VALUE"""),"first-unique-number")</f>
        <v>first-unique-number</v>
      </c>
      <c r="D1430" s="23" t="b">
        <f>IFERROR(__xludf.DUMMYFUNCTION("""COMPUTED_VALUE"""),TRUE)</f>
        <v>1</v>
      </c>
      <c r="E1430" s="23" t="str">
        <f>IFERROR(__xludf.DUMMYFUNCTION("""COMPUTED_VALUE"""),"Medium")</f>
        <v>Medium</v>
      </c>
      <c r="F1430" s="23">
        <f>IFERROR(__xludf.DUMMYFUNCTION("""COMPUTED_VALUE"""),433.0)</f>
        <v>433</v>
      </c>
      <c r="G1430" s="23">
        <f>IFERROR(__xludf.DUMMYFUNCTION("""COMPUTED_VALUE"""),21.0)</f>
        <v>21</v>
      </c>
      <c r="H1430" s="23" t="str">
        <f>IFERROR(__xludf.DUMMYFUNCTION("""COMPUTED_VALUE"""),"Algorithms")</f>
        <v>Algorithms</v>
      </c>
      <c r="I1430" s="23">
        <f>IFERROR(__xludf.DUMMYFUNCTION("""COMPUTED_VALUE"""),0.523)</f>
        <v>0.523</v>
      </c>
      <c r="J1430" s="23">
        <f>IFERROR(__xludf.DUMMYFUNCTION("""COMPUTED_VALUE"""),1429.0)</f>
        <v>1429</v>
      </c>
      <c r="K1430" s="23" t="b">
        <f>IFERROR(__xludf.DUMMYFUNCTION("""COMPUTED_VALUE"""),TRUE)</f>
        <v>1</v>
      </c>
      <c r="L1430" s="23" t="str">
        <f>IFERROR(__xludf.DUMMYFUNCTION("""COMPUTED_VALUE"""),"Array;Hash Table;Design;Queue;Data Stream;")</f>
        <v>Array;Hash Table;Design;Queue;Data Stream;</v>
      </c>
      <c r="M1430" s="23" t="b">
        <f>IFERROR(__xludf.DUMMYFUNCTION("""COMPUTED_VALUE"""),TRUE)</f>
        <v>1</v>
      </c>
      <c r="N1430" s="23" t="b">
        <f>IFERROR(__xludf.DUMMYFUNCTION("""COMPUTED_VALUE"""),FALSE)</f>
        <v>0</v>
      </c>
      <c r="O1430" s="23">
        <f>IFERROR(__xludf.DUMMYFUNCTION("""COMPUTED_VALUE"""),52.2942526030943)</f>
        <v>52.2942526</v>
      </c>
      <c r="P1430" s="23">
        <f>IFERROR(__xludf.DUMMYFUNCTION("""COMPUTED_VALUE"""),71116.0)</f>
        <v>71116</v>
      </c>
      <c r="Q1430" s="23">
        <f>IFERROR(__xludf.DUMMYFUNCTION("""COMPUTED_VALUE"""),135992.0)</f>
        <v>135992</v>
      </c>
    </row>
    <row r="1431">
      <c r="A1431" s="23">
        <f>IFERROR(__xludf.DUMMYFUNCTION("""COMPUTED_VALUE"""),1432.0)</f>
        <v>1432</v>
      </c>
      <c r="B1431" s="23" t="str">
        <f>IFERROR(__xludf.DUMMYFUNCTION("""COMPUTED_VALUE"""),"Check If a String Is a Valid Sequence from Root to Leaves Path in a Binary Tree")</f>
        <v>Check If a String Is a Valid Sequence from Root to Leaves Path in a Binary Tree</v>
      </c>
      <c r="C1431" s="23" t="str">
        <f>IFERROR(__xludf.DUMMYFUNCTION("""COMPUTED_VALUE"""),"check-if-a-string-is-a-valid-sequence-from-root-to-leaves-path-in-a-binary-tree")</f>
        <v>check-if-a-string-is-a-valid-sequence-from-root-to-leaves-path-in-a-binary-tree</v>
      </c>
      <c r="D1431" s="23" t="b">
        <f>IFERROR(__xludf.DUMMYFUNCTION("""COMPUTED_VALUE"""),TRUE)</f>
        <v>1</v>
      </c>
      <c r="E1431" s="23" t="str">
        <f>IFERROR(__xludf.DUMMYFUNCTION("""COMPUTED_VALUE"""),"Medium")</f>
        <v>Medium</v>
      </c>
      <c r="F1431" s="23">
        <f>IFERROR(__xludf.DUMMYFUNCTION("""COMPUTED_VALUE"""),149.0)</f>
        <v>149</v>
      </c>
      <c r="G1431" s="23">
        <f>IFERROR(__xludf.DUMMYFUNCTION("""COMPUTED_VALUE"""),10.0)</f>
        <v>10</v>
      </c>
      <c r="H1431" s="23" t="str">
        <f>IFERROR(__xludf.DUMMYFUNCTION("""COMPUTED_VALUE"""),"Algorithms")</f>
        <v>Algorithms</v>
      </c>
      <c r="I1431" s="23">
        <f>IFERROR(__xludf.DUMMYFUNCTION("""COMPUTED_VALUE"""),0.457)</f>
        <v>0.457</v>
      </c>
      <c r="J1431" s="23">
        <f>IFERROR(__xludf.DUMMYFUNCTION("""COMPUTED_VALUE"""),1430.0)</f>
        <v>1430</v>
      </c>
      <c r="K1431" s="23" t="b">
        <f>IFERROR(__xludf.DUMMYFUNCTION("""COMPUTED_VALUE"""),TRUE)</f>
        <v>1</v>
      </c>
      <c r="L1431" s="23" t="str">
        <f>IFERROR(__xludf.DUMMYFUNCTION("""COMPUTED_VALUE"""),"Tree;Depth-First Search;Breadth-First Search;Binary Tree;")</f>
        <v>Tree;Depth-First Search;Breadth-First Search;Binary Tree;</v>
      </c>
      <c r="M1431" s="23" t="b">
        <f>IFERROR(__xludf.DUMMYFUNCTION("""COMPUTED_VALUE"""),FALSE)</f>
        <v>0</v>
      </c>
      <c r="N1431" s="23" t="b">
        <f>IFERROR(__xludf.DUMMYFUNCTION("""COMPUTED_VALUE"""),FALSE)</f>
        <v>0</v>
      </c>
      <c r="O1431" s="23">
        <f>IFERROR(__xludf.DUMMYFUNCTION("""COMPUTED_VALUE"""),45.7422723282354)</f>
        <v>45.74227233</v>
      </c>
      <c r="P1431" s="23">
        <f>IFERROR(__xludf.DUMMYFUNCTION("""COMPUTED_VALUE"""),39600.0)</f>
        <v>39600</v>
      </c>
      <c r="Q1431" s="23">
        <f>IFERROR(__xludf.DUMMYFUNCTION("""COMPUTED_VALUE"""),86572.0)</f>
        <v>86572</v>
      </c>
    </row>
    <row r="1432">
      <c r="A1432" s="23">
        <f>IFERROR(__xludf.DUMMYFUNCTION("""COMPUTED_VALUE"""),1528.0)</f>
        <v>1528</v>
      </c>
      <c r="B1432" s="23" t="str">
        <f>IFERROR(__xludf.DUMMYFUNCTION("""COMPUTED_VALUE"""),"Kids With the Greatest Number of Candies")</f>
        <v>Kids With the Greatest Number of Candies</v>
      </c>
      <c r="C1432" s="23" t="str">
        <f>IFERROR(__xludf.DUMMYFUNCTION("""COMPUTED_VALUE"""),"kids-with-the-greatest-number-of-candies")</f>
        <v>kids-with-the-greatest-number-of-candies</v>
      </c>
      <c r="D1432" s="23" t="b">
        <f>IFERROR(__xludf.DUMMYFUNCTION("""COMPUTED_VALUE"""),FALSE)</f>
        <v>0</v>
      </c>
      <c r="E1432" s="23" t="str">
        <f>IFERROR(__xludf.DUMMYFUNCTION("""COMPUTED_VALUE"""),"Easy")</f>
        <v>Easy</v>
      </c>
      <c r="F1432" s="23">
        <f>IFERROR(__xludf.DUMMYFUNCTION("""COMPUTED_VALUE"""),1527.0)</f>
        <v>1527</v>
      </c>
      <c r="G1432" s="23">
        <f>IFERROR(__xludf.DUMMYFUNCTION("""COMPUTED_VALUE"""),271.0)</f>
        <v>271</v>
      </c>
      <c r="H1432" s="23" t="str">
        <f>IFERROR(__xludf.DUMMYFUNCTION("""COMPUTED_VALUE"""),"Algorithms")</f>
        <v>Algorithms</v>
      </c>
      <c r="I1432" s="23">
        <f>IFERROR(__xludf.DUMMYFUNCTION("""COMPUTED_VALUE"""),0.877)</f>
        <v>0.877</v>
      </c>
      <c r="J1432" s="23">
        <f>IFERROR(__xludf.DUMMYFUNCTION("""COMPUTED_VALUE"""),1431.0)</f>
        <v>1431</v>
      </c>
      <c r="K1432" s="23" t="b">
        <f>IFERROR(__xludf.DUMMYFUNCTION("""COMPUTED_VALUE"""),FALSE)</f>
        <v>0</v>
      </c>
      <c r="L1432" s="23" t="str">
        <f>IFERROR(__xludf.DUMMYFUNCTION("""COMPUTED_VALUE"""),"Array;")</f>
        <v>Array;</v>
      </c>
      <c r="M1432" s="23" t="b">
        <f>IFERROR(__xludf.DUMMYFUNCTION("""COMPUTED_VALUE"""),FALSE)</f>
        <v>0</v>
      </c>
      <c r="N1432" s="23" t="b">
        <f>IFERROR(__xludf.DUMMYFUNCTION("""COMPUTED_VALUE"""),FALSE)</f>
        <v>0</v>
      </c>
      <c r="O1432" s="23">
        <f>IFERROR(__xludf.DUMMYFUNCTION("""COMPUTED_VALUE"""),87.7183300998778)</f>
        <v>87.7183301</v>
      </c>
      <c r="P1432" s="23">
        <f>IFERROR(__xludf.DUMMYFUNCTION("""COMPUTED_VALUE"""),305194.0)</f>
        <v>305194</v>
      </c>
      <c r="Q1432" s="23">
        <f>IFERROR(__xludf.DUMMYFUNCTION("""COMPUTED_VALUE"""),347925.0)</f>
        <v>347925</v>
      </c>
    </row>
    <row r="1433">
      <c r="A1433" s="23">
        <f>IFERROR(__xludf.DUMMYFUNCTION("""COMPUTED_VALUE"""),1529.0)</f>
        <v>1529</v>
      </c>
      <c r="B1433" s="23" t="str">
        <f>IFERROR(__xludf.DUMMYFUNCTION("""COMPUTED_VALUE"""),"Max Difference You Can Get From Changing an Integer")</f>
        <v>Max Difference You Can Get From Changing an Integer</v>
      </c>
      <c r="C1433" s="23" t="str">
        <f>IFERROR(__xludf.DUMMYFUNCTION("""COMPUTED_VALUE"""),"max-difference-you-can-get-from-changing-an-integer")</f>
        <v>max-difference-you-can-get-from-changing-an-integer</v>
      </c>
      <c r="D1433" s="23" t="b">
        <f>IFERROR(__xludf.DUMMYFUNCTION("""COMPUTED_VALUE"""),FALSE)</f>
        <v>0</v>
      </c>
      <c r="E1433" s="23" t="str">
        <f>IFERROR(__xludf.DUMMYFUNCTION("""COMPUTED_VALUE"""),"Medium")</f>
        <v>Medium</v>
      </c>
      <c r="F1433" s="23">
        <f>IFERROR(__xludf.DUMMYFUNCTION("""COMPUTED_VALUE"""),139.0)</f>
        <v>139</v>
      </c>
      <c r="G1433" s="23">
        <f>IFERROR(__xludf.DUMMYFUNCTION("""COMPUTED_VALUE"""),189.0)</f>
        <v>189</v>
      </c>
      <c r="H1433" s="23" t="str">
        <f>IFERROR(__xludf.DUMMYFUNCTION("""COMPUTED_VALUE"""),"Algorithms")</f>
        <v>Algorithms</v>
      </c>
      <c r="I1433" s="23">
        <f>IFERROR(__xludf.DUMMYFUNCTION("""COMPUTED_VALUE"""),0.432)</f>
        <v>0.432</v>
      </c>
      <c r="J1433" s="23">
        <f>IFERROR(__xludf.DUMMYFUNCTION("""COMPUTED_VALUE"""),1432.0)</f>
        <v>1432</v>
      </c>
      <c r="K1433" s="23" t="b">
        <f>IFERROR(__xludf.DUMMYFUNCTION("""COMPUTED_VALUE"""),FALSE)</f>
        <v>0</v>
      </c>
      <c r="L1433" s="23" t="str">
        <f>IFERROR(__xludf.DUMMYFUNCTION("""COMPUTED_VALUE"""),"Math;Greedy;")</f>
        <v>Math;Greedy;</v>
      </c>
      <c r="M1433" s="23" t="b">
        <f>IFERROR(__xludf.DUMMYFUNCTION("""COMPUTED_VALUE"""),FALSE)</f>
        <v>0</v>
      </c>
      <c r="N1433" s="23" t="b">
        <f>IFERROR(__xludf.DUMMYFUNCTION("""COMPUTED_VALUE"""),FALSE)</f>
        <v>0</v>
      </c>
      <c r="O1433" s="23">
        <f>IFERROR(__xludf.DUMMYFUNCTION("""COMPUTED_VALUE"""),43.1693989071038)</f>
        <v>43.16939891</v>
      </c>
      <c r="P1433" s="23">
        <f>IFERROR(__xludf.DUMMYFUNCTION("""COMPUTED_VALUE"""),12324.0)</f>
        <v>12324</v>
      </c>
      <c r="Q1433" s="23">
        <f>IFERROR(__xludf.DUMMYFUNCTION("""COMPUTED_VALUE"""),28548.0)</f>
        <v>28548</v>
      </c>
    </row>
    <row r="1434">
      <c r="A1434" s="23">
        <f>IFERROR(__xludf.DUMMYFUNCTION("""COMPUTED_VALUE"""),1530.0)</f>
        <v>1530</v>
      </c>
      <c r="B1434" s="23" t="str">
        <f>IFERROR(__xludf.DUMMYFUNCTION("""COMPUTED_VALUE"""),"Check If a String Can Break Another String")</f>
        <v>Check If a String Can Break Another String</v>
      </c>
      <c r="C1434" s="23" t="str">
        <f>IFERROR(__xludf.DUMMYFUNCTION("""COMPUTED_VALUE"""),"check-if-a-string-can-break-another-string")</f>
        <v>check-if-a-string-can-break-another-string</v>
      </c>
      <c r="D1434" s="23" t="b">
        <f>IFERROR(__xludf.DUMMYFUNCTION("""COMPUTED_VALUE"""),FALSE)</f>
        <v>0</v>
      </c>
      <c r="E1434" s="23" t="str">
        <f>IFERROR(__xludf.DUMMYFUNCTION("""COMPUTED_VALUE"""),"Medium")</f>
        <v>Medium</v>
      </c>
      <c r="F1434" s="23">
        <f>IFERROR(__xludf.DUMMYFUNCTION("""COMPUTED_VALUE"""),499.0)</f>
        <v>499</v>
      </c>
      <c r="G1434" s="23">
        <f>IFERROR(__xludf.DUMMYFUNCTION("""COMPUTED_VALUE"""),109.0)</f>
        <v>109</v>
      </c>
      <c r="H1434" s="23" t="str">
        <f>IFERROR(__xludf.DUMMYFUNCTION("""COMPUTED_VALUE"""),"Algorithms")</f>
        <v>Algorithms</v>
      </c>
      <c r="I1434" s="23">
        <f>IFERROR(__xludf.DUMMYFUNCTION("""COMPUTED_VALUE"""),0.684)</f>
        <v>0.684</v>
      </c>
      <c r="J1434" s="23">
        <f>IFERROR(__xludf.DUMMYFUNCTION("""COMPUTED_VALUE"""),1433.0)</f>
        <v>1433</v>
      </c>
      <c r="K1434" s="23" t="b">
        <f>IFERROR(__xludf.DUMMYFUNCTION("""COMPUTED_VALUE"""),FALSE)</f>
        <v>0</v>
      </c>
      <c r="L1434" s="23" t="str">
        <f>IFERROR(__xludf.DUMMYFUNCTION("""COMPUTED_VALUE"""),"String;Greedy;Sorting;")</f>
        <v>String;Greedy;Sorting;</v>
      </c>
      <c r="M1434" s="23" t="b">
        <f>IFERROR(__xludf.DUMMYFUNCTION("""COMPUTED_VALUE"""),FALSE)</f>
        <v>0</v>
      </c>
      <c r="N1434" s="23" t="b">
        <f>IFERROR(__xludf.DUMMYFUNCTION("""COMPUTED_VALUE"""),FALSE)</f>
        <v>0</v>
      </c>
      <c r="O1434" s="23">
        <f>IFERROR(__xludf.DUMMYFUNCTION("""COMPUTED_VALUE"""),68.3897732304752)</f>
        <v>68.38977323</v>
      </c>
      <c r="P1434" s="23">
        <f>IFERROR(__xludf.DUMMYFUNCTION("""COMPUTED_VALUE"""),29344.0)</f>
        <v>29344</v>
      </c>
      <c r="Q1434" s="23">
        <f>IFERROR(__xludf.DUMMYFUNCTION("""COMPUTED_VALUE"""),42907.0)</f>
        <v>42907</v>
      </c>
    </row>
    <row r="1435">
      <c r="A1435" s="23">
        <f>IFERROR(__xludf.DUMMYFUNCTION("""COMPUTED_VALUE"""),1531.0)</f>
        <v>1531</v>
      </c>
      <c r="B1435" s="23" t="str">
        <f>IFERROR(__xludf.DUMMYFUNCTION("""COMPUTED_VALUE"""),"Number of Ways to Wear Different Hats to Each Other")</f>
        <v>Number of Ways to Wear Different Hats to Each Other</v>
      </c>
      <c r="C1435" s="23" t="str">
        <f>IFERROR(__xludf.DUMMYFUNCTION("""COMPUTED_VALUE"""),"number-of-ways-to-wear-different-hats-to-each-other")</f>
        <v>number-of-ways-to-wear-different-hats-to-each-other</v>
      </c>
      <c r="D1435" s="23" t="b">
        <f>IFERROR(__xludf.DUMMYFUNCTION("""COMPUTED_VALUE"""),FALSE)</f>
        <v>0</v>
      </c>
      <c r="E1435" s="23" t="str">
        <f>IFERROR(__xludf.DUMMYFUNCTION("""COMPUTED_VALUE"""),"Hard")</f>
        <v>Hard</v>
      </c>
      <c r="F1435" s="23">
        <f>IFERROR(__xludf.DUMMYFUNCTION("""COMPUTED_VALUE"""),592.0)</f>
        <v>592</v>
      </c>
      <c r="G1435" s="23">
        <f>IFERROR(__xludf.DUMMYFUNCTION("""COMPUTED_VALUE"""),7.0)</f>
        <v>7</v>
      </c>
      <c r="H1435" s="23" t="str">
        <f>IFERROR(__xludf.DUMMYFUNCTION("""COMPUTED_VALUE"""),"Algorithms")</f>
        <v>Algorithms</v>
      </c>
      <c r="I1435" s="23">
        <f>IFERROR(__xludf.DUMMYFUNCTION("""COMPUTED_VALUE"""),0.42)</f>
        <v>0.42</v>
      </c>
      <c r="J1435" s="23">
        <f>IFERROR(__xludf.DUMMYFUNCTION("""COMPUTED_VALUE"""),1434.0)</f>
        <v>1434</v>
      </c>
      <c r="K1435" s="23" t="b">
        <f>IFERROR(__xludf.DUMMYFUNCTION("""COMPUTED_VALUE"""),FALSE)</f>
        <v>0</v>
      </c>
      <c r="L1435" s="23" t="str">
        <f>IFERROR(__xludf.DUMMYFUNCTION("""COMPUTED_VALUE"""),"Array;Dynamic Programming;Bit Manipulation;Bitmask;")</f>
        <v>Array;Dynamic Programming;Bit Manipulation;Bitmask;</v>
      </c>
      <c r="M1435" s="23" t="b">
        <f>IFERROR(__xludf.DUMMYFUNCTION("""COMPUTED_VALUE"""),FALSE)</f>
        <v>0</v>
      </c>
      <c r="N1435" s="23" t="b">
        <f>IFERROR(__xludf.DUMMYFUNCTION("""COMPUTED_VALUE"""),FALSE)</f>
        <v>0</v>
      </c>
      <c r="O1435" s="23">
        <f>IFERROR(__xludf.DUMMYFUNCTION("""COMPUTED_VALUE"""),42.0461923754753)</f>
        <v>42.04619238</v>
      </c>
      <c r="P1435" s="23">
        <f>IFERROR(__xludf.DUMMYFUNCTION("""COMPUTED_VALUE"""),9066.0)</f>
        <v>9066</v>
      </c>
      <c r="Q1435" s="23">
        <f>IFERROR(__xludf.DUMMYFUNCTION("""COMPUTED_VALUE"""),21562.0)</f>
        <v>21562</v>
      </c>
    </row>
    <row r="1436">
      <c r="A1436" s="23">
        <f>IFERROR(__xludf.DUMMYFUNCTION("""COMPUTED_VALUE"""),1564.0)</f>
        <v>1564</v>
      </c>
      <c r="B1436" s="23" t="str">
        <f>IFERROR(__xludf.DUMMYFUNCTION("""COMPUTED_VALUE"""),"Create a Session Bar Chart")</f>
        <v>Create a Session Bar Chart</v>
      </c>
      <c r="C1436" s="23" t="str">
        <f>IFERROR(__xludf.DUMMYFUNCTION("""COMPUTED_VALUE"""),"create-a-session-bar-chart")</f>
        <v>create-a-session-bar-chart</v>
      </c>
      <c r="D1436" s="23" t="b">
        <f>IFERROR(__xludf.DUMMYFUNCTION("""COMPUTED_VALUE"""),TRUE)</f>
        <v>1</v>
      </c>
      <c r="E1436" s="23" t="str">
        <f>IFERROR(__xludf.DUMMYFUNCTION("""COMPUTED_VALUE"""),"Easy")</f>
        <v>Easy</v>
      </c>
      <c r="F1436" s="23">
        <f>IFERROR(__xludf.DUMMYFUNCTION("""COMPUTED_VALUE"""),113.0)</f>
        <v>113</v>
      </c>
      <c r="G1436" s="23">
        <f>IFERROR(__xludf.DUMMYFUNCTION("""COMPUTED_VALUE"""),194.0)</f>
        <v>194</v>
      </c>
      <c r="H1436" s="23" t="str">
        <f>IFERROR(__xludf.DUMMYFUNCTION("""COMPUTED_VALUE"""),"Database")</f>
        <v>Database</v>
      </c>
      <c r="I1436" s="23">
        <f>IFERROR(__xludf.DUMMYFUNCTION("""COMPUTED_VALUE"""),0.782)</f>
        <v>0.782</v>
      </c>
      <c r="J1436" s="23">
        <f>IFERROR(__xludf.DUMMYFUNCTION("""COMPUTED_VALUE"""),1435.0)</f>
        <v>1435</v>
      </c>
      <c r="K1436" s="23" t="b">
        <f>IFERROR(__xludf.DUMMYFUNCTION("""COMPUTED_VALUE"""),TRUE)</f>
        <v>1</v>
      </c>
      <c r="L1436" s="23" t="str">
        <f>IFERROR(__xludf.DUMMYFUNCTION("""COMPUTED_VALUE"""),"Database;")</f>
        <v>Database;</v>
      </c>
      <c r="M1436" s="23" t="b">
        <f>IFERROR(__xludf.DUMMYFUNCTION("""COMPUTED_VALUE"""),FALSE)</f>
        <v>0</v>
      </c>
      <c r="N1436" s="23" t="b">
        <f>IFERROR(__xludf.DUMMYFUNCTION("""COMPUTED_VALUE"""),FALSE)</f>
        <v>0</v>
      </c>
      <c r="O1436" s="23">
        <f>IFERROR(__xludf.DUMMYFUNCTION("""COMPUTED_VALUE"""),78.2403306761145)</f>
        <v>78.24033068</v>
      </c>
      <c r="P1436" s="23">
        <f>IFERROR(__xludf.DUMMYFUNCTION("""COMPUTED_VALUE"""),15900.0)</f>
        <v>15900</v>
      </c>
      <c r="Q1436" s="23">
        <f>IFERROR(__xludf.DUMMYFUNCTION("""COMPUTED_VALUE"""),20322.0)</f>
        <v>20322</v>
      </c>
    </row>
    <row r="1437">
      <c r="A1437" s="23">
        <f>IFERROR(__xludf.DUMMYFUNCTION("""COMPUTED_VALUE"""),1547.0)</f>
        <v>1547</v>
      </c>
      <c r="B1437" s="23" t="str">
        <f>IFERROR(__xludf.DUMMYFUNCTION("""COMPUTED_VALUE"""),"Destination City")</f>
        <v>Destination City</v>
      </c>
      <c r="C1437" s="23" t="str">
        <f>IFERROR(__xludf.DUMMYFUNCTION("""COMPUTED_VALUE"""),"destination-city")</f>
        <v>destination-city</v>
      </c>
      <c r="D1437" s="23" t="b">
        <f>IFERROR(__xludf.DUMMYFUNCTION("""COMPUTED_VALUE"""),FALSE)</f>
        <v>0</v>
      </c>
      <c r="E1437" s="23" t="str">
        <f>IFERROR(__xludf.DUMMYFUNCTION("""COMPUTED_VALUE"""),"Easy")</f>
        <v>Easy</v>
      </c>
      <c r="F1437" s="23">
        <f>IFERROR(__xludf.DUMMYFUNCTION("""COMPUTED_VALUE"""),944.0)</f>
        <v>944</v>
      </c>
      <c r="G1437" s="23">
        <f>IFERROR(__xludf.DUMMYFUNCTION("""COMPUTED_VALUE"""),59.0)</f>
        <v>59</v>
      </c>
      <c r="H1437" s="23" t="str">
        <f>IFERROR(__xludf.DUMMYFUNCTION("""COMPUTED_VALUE"""),"Algorithms")</f>
        <v>Algorithms</v>
      </c>
      <c r="I1437" s="23">
        <f>IFERROR(__xludf.DUMMYFUNCTION("""COMPUTED_VALUE"""),0.777)</f>
        <v>0.777</v>
      </c>
      <c r="J1437" s="23">
        <f>IFERROR(__xludf.DUMMYFUNCTION("""COMPUTED_VALUE"""),1436.0)</f>
        <v>1436</v>
      </c>
      <c r="K1437" s="23" t="b">
        <f>IFERROR(__xludf.DUMMYFUNCTION("""COMPUTED_VALUE"""),FALSE)</f>
        <v>0</v>
      </c>
      <c r="L1437" s="23" t="str">
        <f>IFERROR(__xludf.DUMMYFUNCTION("""COMPUTED_VALUE"""),"Hash Table;String;")</f>
        <v>Hash Table;String;</v>
      </c>
      <c r="M1437" s="23" t="b">
        <f>IFERROR(__xludf.DUMMYFUNCTION("""COMPUTED_VALUE"""),FALSE)</f>
        <v>0</v>
      </c>
      <c r="N1437" s="23" t="b">
        <f>IFERROR(__xludf.DUMMYFUNCTION("""COMPUTED_VALUE"""),FALSE)</f>
        <v>0</v>
      </c>
      <c r="O1437" s="23">
        <f>IFERROR(__xludf.DUMMYFUNCTION("""COMPUTED_VALUE"""),77.7045879704493)</f>
        <v>77.70458797</v>
      </c>
      <c r="P1437" s="23">
        <f>IFERROR(__xludf.DUMMYFUNCTION("""COMPUTED_VALUE"""),98029.0)</f>
        <v>98029</v>
      </c>
      <c r="Q1437" s="23">
        <f>IFERROR(__xludf.DUMMYFUNCTION("""COMPUTED_VALUE"""),126156.0)</f>
        <v>126156</v>
      </c>
    </row>
    <row r="1438">
      <c r="A1438" s="23">
        <f>IFERROR(__xludf.DUMMYFUNCTION("""COMPUTED_VALUE"""),1548.0)</f>
        <v>1548</v>
      </c>
      <c r="B1438" s="23" t="str">
        <f>IFERROR(__xludf.DUMMYFUNCTION("""COMPUTED_VALUE"""),"Check If All 1's Are at Least Length K Places Away")</f>
        <v>Check If All 1's Are at Least Length K Places Away</v>
      </c>
      <c r="C1438" s="23" t="str">
        <f>IFERROR(__xludf.DUMMYFUNCTION("""COMPUTED_VALUE"""),"check-if-all-1s-are-at-least-length-k-places-away")</f>
        <v>check-if-all-1s-are-at-least-length-k-places-away</v>
      </c>
      <c r="D1438" s="23" t="b">
        <f>IFERROR(__xludf.DUMMYFUNCTION("""COMPUTED_VALUE"""),FALSE)</f>
        <v>0</v>
      </c>
      <c r="E1438" s="23" t="str">
        <f>IFERROR(__xludf.DUMMYFUNCTION("""COMPUTED_VALUE"""),"Easy")</f>
        <v>Easy</v>
      </c>
      <c r="F1438" s="23">
        <f>IFERROR(__xludf.DUMMYFUNCTION("""COMPUTED_VALUE"""),398.0)</f>
        <v>398</v>
      </c>
      <c r="G1438" s="23">
        <f>IFERROR(__xludf.DUMMYFUNCTION("""COMPUTED_VALUE"""),193.0)</f>
        <v>193</v>
      </c>
      <c r="H1438" s="23" t="str">
        <f>IFERROR(__xludf.DUMMYFUNCTION("""COMPUTED_VALUE"""),"Algorithms")</f>
        <v>Algorithms</v>
      </c>
      <c r="I1438" s="23">
        <f>IFERROR(__xludf.DUMMYFUNCTION("""COMPUTED_VALUE"""),0.6)</f>
        <v>0.6</v>
      </c>
      <c r="J1438" s="23">
        <f>IFERROR(__xludf.DUMMYFUNCTION("""COMPUTED_VALUE"""),1437.0)</f>
        <v>1437</v>
      </c>
      <c r="K1438" s="23" t="b">
        <f>IFERROR(__xludf.DUMMYFUNCTION("""COMPUTED_VALUE"""),FALSE)</f>
        <v>0</v>
      </c>
      <c r="L1438" s="23" t="str">
        <f>IFERROR(__xludf.DUMMYFUNCTION("""COMPUTED_VALUE"""),"Array;")</f>
        <v>Array;</v>
      </c>
      <c r="M1438" s="23" t="b">
        <f>IFERROR(__xludf.DUMMYFUNCTION("""COMPUTED_VALUE"""),TRUE)</f>
        <v>1</v>
      </c>
      <c r="N1438" s="23" t="b">
        <f>IFERROR(__xludf.DUMMYFUNCTION("""COMPUTED_VALUE"""),FALSE)</f>
        <v>0</v>
      </c>
      <c r="O1438" s="23">
        <f>IFERROR(__xludf.DUMMYFUNCTION("""COMPUTED_VALUE"""),59.9535421506026)</f>
        <v>59.95354215</v>
      </c>
      <c r="P1438" s="23">
        <f>IFERROR(__xludf.DUMMYFUNCTION("""COMPUTED_VALUE"""),57556.0)</f>
        <v>57556</v>
      </c>
      <c r="Q1438" s="23">
        <f>IFERROR(__xludf.DUMMYFUNCTION("""COMPUTED_VALUE"""),96001.0)</f>
        <v>96001</v>
      </c>
    </row>
    <row r="1439">
      <c r="A1439" s="23">
        <f>IFERROR(__xludf.DUMMYFUNCTION("""COMPUTED_VALUE"""),1549.0)</f>
        <v>1549</v>
      </c>
      <c r="B1439" s="23" t="str">
        <f>IFERROR(__xludf.DUMMYFUNCTION("""COMPUTED_VALUE"""),"Longest Continuous Subarray With Absolute Diff Less Than or Equal to Limit")</f>
        <v>Longest Continuous Subarray With Absolute Diff Less Than or Equal to Limit</v>
      </c>
      <c r="C1439" s="23" t="str">
        <f>IFERROR(__xludf.DUMMYFUNCTION("""COMPUTED_VALUE"""),"longest-continuous-subarray-with-absolute-diff-less-than-or-equal-to-limit")</f>
        <v>longest-continuous-subarray-with-absolute-diff-less-than-or-equal-to-limit</v>
      </c>
      <c r="D1439" s="23" t="b">
        <f>IFERROR(__xludf.DUMMYFUNCTION("""COMPUTED_VALUE"""),FALSE)</f>
        <v>0</v>
      </c>
      <c r="E1439" s="23" t="str">
        <f>IFERROR(__xludf.DUMMYFUNCTION("""COMPUTED_VALUE"""),"Medium")</f>
        <v>Medium</v>
      </c>
      <c r="F1439" s="23">
        <f>IFERROR(__xludf.DUMMYFUNCTION("""COMPUTED_VALUE"""),2091.0)</f>
        <v>2091</v>
      </c>
      <c r="G1439" s="23">
        <f>IFERROR(__xludf.DUMMYFUNCTION("""COMPUTED_VALUE"""),89.0)</f>
        <v>89</v>
      </c>
      <c r="H1439" s="23" t="str">
        <f>IFERROR(__xludf.DUMMYFUNCTION("""COMPUTED_VALUE"""),"Algorithms")</f>
        <v>Algorithms</v>
      </c>
      <c r="I1439" s="23">
        <f>IFERROR(__xludf.DUMMYFUNCTION("""COMPUTED_VALUE"""),0.464)</f>
        <v>0.464</v>
      </c>
      <c r="J1439" s="23">
        <f>IFERROR(__xludf.DUMMYFUNCTION("""COMPUTED_VALUE"""),1438.0)</f>
        <v>1438</v>
      </c>
      <c r="K1439" s="23" t="b">
        <f>IFERROR(__xludf.DUMMYFUNCTION("""COMPUTED_VALUE"""),FALSE)</f>
        <v>0</v>
      </c>
      <c r="L1439" s="23" t="str">
        <f>IFERROR(__xludf.DUMMYFUNCTION("""COMPUTED_VALUE"""),"Array;Queue;Sliding Window;Heap (Priority Queue);Ordered Set;Monotonic Queue;")</f>
        <v>Array;Queue;Sliding Window;Heap (Priority Queue);Ordered Set;Monotonic Queue;</v>
      </c>
      <c r="M1439" s="23" t="b">
        <f>IFERROR(__xludf.DUMMYFUNCTION("""COMPUTED_VALUE"""),FALSE)</f>
        <v>0</v>
      </c>
      <c r="N1439" s="23" t="b">
        <f>IFERROR(__xludf.DUMMYFUNCTION("""COMPUTED_VALUE"""),FALSE)</f>
        <v>0</v>
      </c>
      <c r="O1439" s="23">
        <f>IFERROR(__xludf.DUMMYFUNCTION("""COMPUTED_VALUE"""),46.3537218695903)</f>
        <v>46.35372187</v>
      </c>
      <c r="P1439" s="23">
        <f>IFERROR(__xludf.DUMMYFUNCTION("""COMPUTED_VALUE"""),80331.0)</f>
        <v>80331</v>
      </c>
      <c r="Q1439" s="23">
        <f>IFERROR(__xludf.DUMMYFUNCTION("""COMPUTED_VALUE"""),173300.0)</f>
        <v>173300</v>
      </c>
    </row>
    <row r="1440">
      <c r="A1440" s="23">
        <f>IFERROR(__xludf.DUMMYFUNCTION("""COMPUTED_VALUE"""),1550.0)</f>
        <v>1550</v>
      </c>
      <c r="B1440" s="23" t="str">
        <f>IFERROR(__xludf.DUMMYFUNCTION("""COMPUTED_VALUE"""),"Find the Kth Smallest Sum of a Matrix With Sorted Rows")</f>
        <v>Find the Kth Smallest Sum of a Matrix With Sorted Rows</v>
      </c>
      <c r="C1440" s="23" t="str">
        <f>IFERROR(__xludf.DUMMYFUNCTION("""COMPUTED_VALUE"""),"find-the-kth-smallest-sum-of-a-matrix-with-sorted-rows")</f>
        <v>find-the-kth-smallest-sum-of-a-matrix-with-sorted-rows</v>
      </c>
      <c r="D1440" s="23" t="b">
        <f>IFERROR(__xludf.DUMMYFUNCTION("""COMPUTED_VALUE"""),FALSE)</f>
        <v>0</v>
      </c>
      <c r="E1440" s="23" t="str">
        <f>IFERROR(__xludf.DUMMYFUNCTION("""COMPUTED_VALUE"""),"Hard")</f>
        <v>Hard</v>
      </c>
      <c r="F1440" s="23">
        <f>IFERROR(__xludf.DUMMYFUNCTION("""COMPUTED_VALUE"""),837.0)</f>
        <v>837</v>
      </c>
      <c r="G1440" s="23">
        <f>IFERROR(__xludf.DUMMYFUNCTION("""COMPUTED_VALUE"""),13.0)</f>
        <v>13</v>
      </c>
      <c r="H1440" s="23" t="str">
        <f>IFERROR(__xludf.DUMMYFUNCTION("""COMPUTED_VALUE"""),"Algorithms")</f>
        <v>Algorithms</v>
      </c>
      <c r="I1440" s="23">
        <f>IFERROR(__xludf.DUMMYFUNCTION("""COMPUTED_VALUE"""),0.615)</f>
        <v>0.615</v>
      </c>
      <c r="J1440" s="23">
        <f>IFERROR(__xludf.DUMMYFUNCTION("""COMPUTED_VALUE"""),1439.0)</f>
        <v>1439</v>
      </c>
      <c r="K1440" s="23" t="b">
        <f>IFERROR(__xludf.DUMMYFUNCTION("""COMPUTED_VALUE"""),FALSE)</f>
        <v>0</v>
      </c>
      <c r="L1440" s="23" t="str">
        <f>IFERROR(__xludf.DUMMYFUNCTION("""COMPUTED_VALUE"""),"Array;Binary Search;Heap (Priority Queue);Matrix;")</f>
        <v>Array;Binary Search;Heap (Priority Queue);Matrix;</v>
      </c>
      <c r="M1440" s="23" t="b">
        <f>IFERROR(__xludf.DUMMYFUNCTION("""COMPUTED_VALUE"""),FALSE)</f>
        <v>0</v>
      </c>
      <c r="N1440" s="23" t="b">
        <f>IFERROR(__xludf.DUMMYFUNCTION("""COMPUTED_VALUE"""),FALSE)</f>
        <v>0</v>
      </c>
      <c r="O1440" s="23">
        <f>IFERROR(__xludf.DUMMYFUNCTION("""COMPUTED_VALUE"""),61.5041810625406)</f>
        <v>61.50418106</v>
      </c>
      <c r="P1440" s="23">
        <f>IFERROR(__xludf.DUMMYFUNCTION("""COMPUTED_VALUE"""),24566.0)</f>
        <v>24566</v>
      </c>
      <c r="Q1440" s="23">
        <f>IFERROR(__xludf.DUMMYFUNCTION("""COMPUTED_VALUE"""),39942.0)</f>
        <v>39942</v>
      </c>
    </row>
    <row r="1441">
      <c r="A1441" s="23">
        <f>IFERROR(__xludf.DUMMYFUNCTION("""COMPUTED_VALUE"""),1565.0)</f>
        <v>1565</v>
      </c>
      <c r="B1441" s="23" t="str">
        <f>IFERROR(__xludf.DUMMYFUNCTION("""COMPUTED_VALUE"""),"Evaluate Boolean Expression")</f>
        <v>Evaluate Boolean Expression</v>
      </c>
      <c r="C1441" s="23" t="str">
        <f>IFERROR(__xludf.DUMMYFUNCTION("""COMPUTED_VALUE"""),"evaluate-boolean-expression")</f>
        <v>evaluate-boolean-expression</v>
      </c>
      <c r="D1441" s="23" t="b">
        <f>IFERROR(__xludf.DUMMYFUNCTION("""COMPUTED_VALUE"""),TRUE)</f>
        <v>1</v>
      </c>
      <c r="E1441" s="23" t="str">
        <f>IFERROR(__xludf.DUMMYFUNCTION("""COMPUTED_VALUE"""),"Medium")</f>
        <v>Medium</v>
      </c>
      <c r="F1441" s="23">
        <f>IFERROR(__xludf.DUMMYFUNCTION("""COMPUTED_VALUE"""),119.0)</f>
        <v>119</v>
      </c>
      <c r="G1441" s="23">
        <f>IFERROR(__xludf.DUMMYFUNCTION("""COMPUTED_VALUE"""),7.0)</f>
        <v>7</v>
      </c>
      <c r="H1441" s="23" t="str">
        <f>IFERROR(__xludf.DUMMYFUNCTION("""COMPUTED_VALUE"""),"Database")</f>
        <v>Database</v>
      </c>
      <c r="I1441" s="23">
        <f>IFERROR(__xludf.DUMMYFUNCTION("""COMPUTED_VALUE"""),0.756)</f>
        <v>0.756</v>
      </c>
      <c r="J1441" s="23">
        <f>IFERROR(__xludf.DUMMYFUNCTION("""COMPUTED_VALUE"""),1440.0)</f>
        <v>1440</v>
      </c>
      <c r="K1441" s="23" t="b">
        <f>IFERROR(__xludf.DUMMYFUNCTION("""COMPUTED_VALUE"""),TRUE)</f>
        <v>1</v>
      </c>
      <c r="L1441" s="23" t="str">
        <f>IFERROR(__xludf.DUMMYFUNCTION("""COMPUTED_VALUE"""),"Database;")</f>
        <v>Database;</v>
      </c>
      <c r="M1441" s="23" t="b">
        <f>IFERROR(__xludf.DUMMYFUNCTION("""COMPUTED_VALUE"""),FALSE)</f>
        <v>0</v>
      </c>
      <c r="N1441" s="23" t="b">
        <f>IFERROR(__xludf.DUMMYFUNCTION("""COMPUTED_VALUE"""),FALSE)</f>
        <v>0</v>
      </c>
      <c r="O1441" s="23">
        <f>IFERROR(__xludf.DUMMYFUNCTION("""COMPUTED_VALUE"""),75.5554210303287)</f>
        <v>75.55542103</v>
      </c>
      <c r="P1441" s="23">
        <f>IFERROR(__xludf.DUMMYFUNCTION("""COMPUTED_VALUE"""),12481.0)</f>
        <v>12481</v>
      </c>
      <c r="Q1441" s="23">
        <f>IFERROR(__xludf.DUMMYFUNCTION("""COMPUTED_VALUE"""),16519.0)</f>
        <v>16519</v>
      </c>
    </row>
    <row r="1442">
      <c r="A1442" s="23">
        <f>IFERROR(__xludf.DUMMYFUNCTION("""COMPUTED_VALUE"""),1552.0)</f>
        <v>1552</v>
      </c>
      <c r="B1442" s="23" t="str">
        <f>IFERROR(__xludf.DUMMYFUNCTION("""COMPUTED_VALUE"""),"Build an Array With Stack Operations")</f>
        <v>Build an Array With Stack Operations</v>
      </c>
      <c r="C1442" s="23" t="str">
        <f>IFERROR(__xludf.DUMMYFUNCTION("""COMPUTED_VALUE"""),"build-an-array-with-stack-operations")</f>
        <v>build-an-array-with-stack-operations</v>
      </c>
      <c r="D1442" s="23" t="b">
        <f>IFERROR(__xludf.DUMMYFUNCTION("""COMPUTED_VALUE"""),FALSE)</f>
        <v>0</v>
      </c>
      <c r="E1442" s="23" t="str">
        <f>IFERROR(__xludf.DUMMYFUNCTION("""COMPUTED_VALUE"""),"Easy")</f>
        <v>Easy</v>
      </c>
      <c r="F1442" s="23">
        <f>IFERROR(__xludf.DUMMYFUNCTION("""COMPUTED_VALUE"""),463.0)</f>
        <v>463</v>
      </c>
      <c r="G1442" s="23">
        <f>IFERROR(__xludf.DUMMYFUNCTION("""COMPUTED_VALUE"""),763.0)</f>
        <v>763</v>
      </c>
      <c r="H1442" s="23" t="str">
        <f>IFERROR(__xludf.DUMMYFUNCTION("""COMPUTED_VALUE"""),"Algorithms")</f>
        <v>Algorithms</v>
      </c>
      <c r="I1442" s="23">
        <f>IFERROR(__xludf.DUMMYFUNCTION("""COMPUTED_VALUE"""),0.71)</f>
        <v>0.71</v>
      </c>
      <c r="J1442" s="23">
        <f>IFERROR(__xludf.DUMMYFUNCTION("""COMPUTED_VALUE"""),1441.0)</f>
        <v>1441</v>
      </c>
      <c r="K1442" s="23" t="b">
        <f>IFERROR(__xludf.DUMMYFUNCTION("""COMPUTED_VALUE"""),FALSE)</f>
        <v>0</v>
      </c>
      <c r="L1442" s="23" t="str">
        <f>IFERROR(__xludf.DUMMYFUNCTION("""COMPUTED_VALUE"""),"Array;Stack;Simulation;")</f>
        <v>Array;Stack;Simulation;</v>
      </c>
      <c r="M1442" s="23" t="b">
        <f>IFERROR(__xludf.DUMMYFUNCTION("""COMPUTED_VALUE"""),FALSE)</f>
        <v>0</v>
      </c>
      <c r="N1442" s="23" t="b">
        <f>IFERROR(__xludf.DUMMYFUNCTION("""COMPUTED_VALUE"""),FALSE)</f>
        <v>0</v>
      </c>
      <c r="O1442" s="23">
        <f>IFERROR(__xludf.DUMMYFUNCTION("""COMPUTED_VALUE"""),70.9730918530447)</f>
        <v>70.97309185</v>
      </c>
      <c r="P1442" s="23">
        <f>IFERROR(__xludf.DUMMYFUNCTION("""COMPUTED_VALUE"""),59055.0)</f>
        <v>59055</v>
      </c>
      <c r="Q1442" s="23">
        <f>IFERROR(__xludf.DUMMYFUNCTION("""COMPUTED_VALUE"""),83208.0)</f>
        <v>83208</v>
      </c>
    </row>
    <row r="1443">
      <c r="A1443" s="23">
        <f>IFERROR(__xludf.DUMMYFUNCTION("""COMPUTED_VALUE"""),1553.0)</f>
        <v>1553</v>
      </c>
      <c r="B1443" s="23" t="str">
        <f>IFERROR(__xludf.DUMMYFUNCTION("""COMPUTED_VALUE"""),"Count Triplets That Can Form Two Arrays of Equal XOR")</f>
        <v>Count Triplets That Can Form Two Arrays of Equal XOR</v>
      </c>
      <c r="C1443" s="23" t="str">
        <f>IFERROR(__xludf.DUMMYFUNCTION("""COMPUTED_VALUE"""),"count-triplets-that-can-form-two-arrays-of-equal-xor")</f>
        <v>count-triplets-that-can-form-two-arrays-of-equal-xor</v>
      </c>
      <c r="D1443" s="23" t="b">
        <f>IFERROR(__xludf.DUMMYFUNCTION("""COMPUTED_VALUE"""),FALSE)</f>
        <v>0</v>
      </c>
      <c r="E1443" s="23" t="str">
        <f>IFERROR(__xludf.DUMMYFUNCTION("""COMPUTED_VALUE"""),"Medium")</f>
        <v>Medium</v>
      </c>
      <c r="F1443" s="23">
        <f>IFERROR(__xludf.DUMMYFUNCTION("""COMPUTED_VALUE"""),890.0)</f>
        <v>890</v>
      </c>
      <c r="G1443" s="23">
        <f>IFERROR(__xludf.DUMMYFUNCTION("""COMPUTED_VALUE"""),44.0)</f>
        <v>44</v>
      </c>
      <c r="H1443" s="23" t="str">
        <f>IFERROR(__xludf.DUMMYFUNCTION("""COMPUTED_VALUE"""),"Algorithms")</f>
        <v>Algorithms</v>
      </c>
      <c r="I1443" s="23">
        <f>IFERROR(__xludf.DUMMYFUNCTION("""COMPUTED_VALUE"""),0.747)</f>
        <v>0.747</v>
      </c>
      <c r="J1443" s="23">
        <f>IFERROR(__xludf.DUMMYFUNCTION("""COMPUTED_VALUE"""),1442.0)</f>
        <v>1442</v>
      </c>
      <c r="K1443" s="23" t="b">
        <f>IFERROR(__xludf.DUMMYFUNCTION("""COMPUTED_VALUE"""),FALSE)</f>
        <v>0</v>
      </c>
      <c r="L1443" s="23" t="str">
        <f>IFERROR(__xludf.DUMMYFUNCTION("""COMPUTED_VALUE"""),"Array;Hash Table;Math;Bit Manipulation;Prefix Sum;")</f>
        <v>Array;Hash Table;Math;Bit Manipulation;Prefix Sum;</v>
      </c>
      <c r="M1443" s="23" t="b">
        <f>IFERROR(__xludf.DUMMYFUNCTION("""COMPUTED_VALUE"""),FALSE)</f>
        <v>0</v>
      </c>
      <c r="N1443" s="23" t="b">
        <f>IFERROR(__xludf.DUMMYFUNCTION("""COMPUTED_VALUE"""),FALSE)</f>
        <v>0</v>
      </c>
      <c r="O1443" s="23">
        <f>IFERROR(__xludf.DUMMYFUNCTION("""COMPUTED_VALUE"""),74.7412251121602)</f>
        <v>74.74122511</v>
      </c>
      <c r="P1443" s="23">
        <f>IFERROR(__xludf.DUMMYFUNCTION("""COMPUTED_VALUE"""),25489.0)</f>
        <v>25489</v>
      </c>
      <c r="Q1443" s="23">
        <f>IFERROR(__xludf.DUMMYFUNCTION("""COMPUTED_VALUE"""),34103.0)</f>
        <v>34103</v>
      </c>
    </row>
    <row r="1444">
      <c r="A1444" s="23">
        <f>IFERROR(__xludf.DUMMYFUNCTION("""COMPUTED_VALUE"""),1554.0)</f>
        <v>1554</v>
      </c>
      <c r="B1444" s="23" t="str">
        <f>IFERROR(__xludf.DUMMYFUNCTION("""COMPUTED_VALUE"""),"Minimum Time to Collect All Apples in a Tree")</f>
        <v>Minimum Time to Collect All Apples in a Tree</v>
      </c>
      <c r="C1444" s="23" t="str">
        <f>IFERROR(__xludf.DUMMYFUNCTION("""COMPUTED_VALUE"""),"minimum-time-to-collect-all-apples-in-a-tree")</f>
        <v>minimum-time-to-collect-all-apples-in-a-tree</v>
      </c>
      <c r="D1444" s="23" t="b">
        <f>IFERROR(__xludf.DUMMYFUNCTION("""COMPUTED_VALUE"""),FALSE)</f>
        <v>0</v>
      </c>
      <c r="E1444" s="23" t="str">
        <f>IFERROR(__xludf.DUMMYFUNCTION("""COMPUTED_VALUE"""),"Medium")</f>
        <v>Medium</v>
      </c>
      <c r="F1444" s="23">
        <f>IFERROR(__xludf.DUMMYFUNCTION("""COMPUTED_VALUE"""),940.0)</f>
        <v>940</v>
      </c>
      <c r="G1444" s="23">
        <f>IFERROR(__xludf.DUMMYFUNCTION("""COMPUTED_VALUE"""),87.0)</f>
        <v>87</v>
      </c>
      <c r="H1444" s="23" t="str">
        <f>IFERROR(__xludf.DUMMYFUNCTION("""COMPUTED_VALUE"""),"Algorithms")</f>
        <v>Algorithms</v>
      </c>
      <c r="I1444" s="23">
        <f>IFERROR(__xludf.DUMMYFUNCTION("""COMPUTED_VALUE"""),0.556)</f>
        <v>0.556</v>
      </c>
      <c r="J1444" s="23">
        <f>IFERROR(__xludf.DUMMYFUNCTION("""COMPUTED_VALUE"""),1443.0)</f>
        <v>1443</v>
      </c>
      <c r="K1444" s="23" t="b">
        <f>IFERROR(__xludf.DUMMYFUNCTION("""COMPUTED_VALUE"""),FALSE)</f>
        <v>0</v>
      </c>
      <c r="L1444" s="23" t="str">
        <f>IFERROR(__xludf.DUMMYFUNCTION("""COMPUTED_VALUE"""),"Hash Table;Tree;Depth-First Search;Breadth-First Search;")</f>
        <v>Hash Table;Tree;Depth-First Search;Breadth-First Search;</v>
      </c>
      <c r="M1444" s="23" t="b">
        <f>IFERROR(__xludf.DUMMYFUNCTION("""COMPUTED_VALUE"""),FALSE)</f>
        <v>0</v>
      </c>
      <c r="N1444" s="23" t="b">
        <f>IFERROR(__xludf.DUMMYFUNCTION("""COMPUTED_VALUE"""),FALSE)</f>
        <v>0</v>
      </c>
      <c r="O1444" s="23">
        <f>IFERROR(__xludf.DUMMYFUNCTION("""COMPUTED_VALUE"""),55.6220211103178)</f>
        <v>55.62202111</v>
      </c>
      <c r="P1444" s="23">
        <f>IFERROR(__xludf.DUMMYFUNCTION("""COMPUTED_VALUE"""),28825.0)</f>
        <v>28825</v>
      </c>
      <c r="Q1444" s="23">
        <f>IFERROR(__xludf.DUMMYFUNCTION("""COMPUTED_VALUE"""),51823.0)</f>
        <v>51823</v>
      </c>
    </row>
    <row r="1445">
      <c r="A1445" s="23">
        <f>IFERROR(__xludf.DUMMYFUNCTION("""COMPUTED_VALUE"""),1555.0)</f>
        <v>1555</v>
      </c>
      <c r="B1445" s="23" t="str">
        <f>IFERROR(__xludf.DUMMYFUNCTION("""COMPUTED_VALUE"""),"Number of Ways of Cutting a Pizza")</f>
        <v>Number of Ways of Cutting a Pizza</v>
      </c>
      <c r="C1445" s="23" t="str">
        <f>IFERROR(__xludf.DUMMYFUNCTION("""COMPUTED_VALUE"""),"number-of-ways-of-cutting-a-pizza")</f>
        <v>number-of-ways-of-cutting-a-pizza</v>
      </c>
      <c r="D1445" s="23" t="b">
        <f>IFERROR(__xludf.DUMMYFUNCTION("""COMPUTED_VALUE"""),FALSE)</f>
        <v>0</v>
      </c>
      <c r="E1445" s="23" t="str">
        <f>IFERROR(__xludf.DUMMYFUNCTION("""COMPUTED_VALUE"""),"Hard")</f>
        <v>Hard</v>
      </c>
      <c r="F1445" s="23">
        <f>IFERROR(__xludf.DUMMYFUNCTION("""COMPUTED_VALUE"""),434.0)</f>
        <v>434</v>
      </c>
      <c r="G1445" s="23">
        <f>IFERROR(__xludf.DUMMYFUNCTION("""COMPUTED_VALUE"""),17.0)</f>
        <v>17</v>
      </c>
      <c r="H1445" s="23" t="str">
        <f>IFERROR(__xludf.DUMMYFUNCTION("""COMPUTED_VALUE"""),"Algorithms")</f>
        <v>Algorithms</v>
      </c>
      <c r="I1445" s="23">
        <f>IFERROR(__xludf.DUMMYFUNCTION("""COMPUTED_VALUE"""),0.552)</f>
        <v>0.552</v>
      </c>
      <c r="J1445" s="23">
        <f>IFERROR(__xludf.DUMMYFUNCTION("""COMPUTED_VALUE"""),1444.0)</f>
        <v>1444</v>
      </c>
      <c r="K1445" s="23" t="b">
        <f>IFERROR(__xludf.DUMMYFUNCTION("""COMPUTED_VALUE"""),FALSE)</f>
        <v>0</v>
      </c>
      <c r="L1445" s="23" t="str">
        <f>IFERROR(__xludf.DUMMYFUNCTION("""COMPUTED_VALUE"""),"Array;Dynamic Programming;Memoization;Matrix;")</f>
        <v>Array;Dynamic Programming;Memoization;Matrix;</v>
      </c>
      <c r="M1445" s="23" t="b">
        <f>IFERROR(__xludf.DUMMYFUNCTION("""COMPUTED_VALUE"""),FALSE)</f>
        <v>0</v>
      </c>
      <c r="N1445" s="23" t="b">
        <f>IFERROR(__xludf.DUMMYFUNCTION("""COMPUTED_VALUE"""),FALSE)</f>
        <v>0</v>
      </c>
      <c r="O1445" s="23">
        <f>IFERROR(__xludf.DUMMYFUNCTION("""COMPUTED_VALUE"""),55.232892466935)</f>
        <v>55.23289247</v>
      </c>
      <c r="P1445" s="23">
        <f>IFERROR(__xludf.DUMMYFUNCTION("""COMPUTED_VALUE"""),11526.0)</f>
        <v>11526</v>
      </c>
      <c r="Q1445" s="23">
        <f>IFERROR(__xludf.DUMMYFUNCTION("""COMPUTED_VALUE"""),20868.0)</f>
        <v>20868</v>
      </c>
    </row>
    <row r="1446">
      <c r="A1446" s="23">
        <f>IFERROR(__xludf.DUMMYFUNCTION("""COMPUTED_VALUE"""),1578.0)</f>
        <v>1578</v>
      </c>
      <c r="B1446" s="23" t="str">
        <f>IFERROR(__xludf.DUMMYFUNCTION("""COMPUTED_VALUE"""),"Apples &amp; Oranges")</f>
        <v>Apples &amp; Oranges</v>
      </c>
      <c r="C1446" s="23" t="str">
        <f>IFERROR(__xludf.DUMMYFUNCTION("""COMPUTED_VALUE"""),"apples-oranges")</f>
        <v>apples-oranges</v>
      </c>
      <c r="D1446" s="23" t="b">
        <f>IFERROR(__xludf.DUMMYFUNCTION("""COMPUTED_VALUE"""),TRUE)</f>
        <v>1</v>
      </c>
      <c r="E1446" s="23" t="str">
        <f>IFERROR(__xludf.DUMMYFUNCTION("""COMPUTED_VALUE"""),"Medium")</f>
        <v>Medium</v>
      </c>
      <c r="F1446" s="23">
        <f>IFERROR(__xludf.DUMMYFUNCTION("""COMPUTED_VALUE"""),141.0)</f>
        <v>141</v>
      </c>
      <c r="G1446" s="23">
        <f>IFERROR(__xludf.DUMMYFUNCTION("""COMPUTED_VALUE"""),17.0)</f>
        <v>17</v>
      </c>
      <c r="H1446" s="23" t="str">
        <f>IFERROR(__xludf.DUMMYFUNCTION("""COMPUTED_VALUE"""),"Database")</f>
        <v>Database</v>
      </c>
      <c r="I1446" s="23">
        <f>IFERROR(__xludf.DUMMYFUNCTION("""COMPUTED_VALUE"""),0.915)</f>
        <v>0.915</v>
      </c>
      <c r="J1446" s="23">
        <f>IFERROR(__xludf.DUMMYFUNCTION("""COMPUTED_VALUE"""),1445.0)</f>
        <v>1445</v>
      </c>
      <c r="K1446" s="23" t="b">
        <f>IFERROR(__xludf.DUMMYFUNCTION("""COMPUTED_VALUE"""),TRUE)</f>
        <v>1</v>
      </c>
      <c r="L1446" s="23" t="str">
        <f>IFERROR(__xludf.DUMMYFUNCTION("""COMPUTED_VALUE"""),"Database;")</f>
        <v>Database;</v>
      </c>
      <c r="M1446" s="23" t="b">
        <f>IFERROR(__xludf.DUMMYFUNCTION("""COMPUTED_VALUE"""),FALSE)</f>
        <v>0</v>
      </c>
      <c r="N1446" s="23" t="b">
        <f>IFERROR(__xludf.DUMMYFUNCTION("""COMPUTED_VALUE"""),FALSE)</f>
        <v>0</v>
      </c>
      <c r="O1446" s="23">
        <f>IFERROR(__xludf.DUMMYFUNCTION("""COMPUTED_VALUE"""),91.5097317201472)</f>
        <v>91.50973172</v>
      </c>
      <c r="P1446" s="23">
        <f>IFERROR(__xludf.DUMMYFUNCTION("""COMPUTED_VALUE"""),26094.0)</f>
        <v>26094</v>
      </c>
      <c r="Q1446" s="23">
        <f>IFERROR(__xludf.DUMMYFUNCTION("""COMPUTED_VALUE"""),28515.0)</f>
        <v>28515</v>
      </c>
    </row>
    <row r="1447">
      <c r="A1447" s="23">
        <f>IFERROR(__xludf.DUMMYFUNCTION("""COMPUTED_VALUE"""),1542.0)</f>
        <v>1542</v>
      </c>
      <c r="B1447" s="23" t="str">
        <f>IFERROR(__xludf.DUMMYFUNCTION("""COMPUTED_VALUE"""),"Consecutive Characters")</f>
        <v>Consecutive Characters</v>
      </c>
      <c r="C1447" s="23" t="str">
        <f>IFERROR(__xludf.DUMMYFUNCTION("""COMPUTED_VALUE"""),"consecutive-characters")</f>
        <v>consecutive-characters</v>
      </c>
      <c r="D1447" s="23" t="b">
        <f>IFERROR(__xludf.DUMMYFUNCTION("""COMPUTED_VALUE"""),FALSE)</f>
        <v>0</v>
      </c>
      <c r="E1447" s="23" t="str">
        <f>IFERROR(__xludf.DUMMYFUNCTION("""COMPUTED_VALUE"""),"Easy")</f>
        <v>Easy</v>
      </c>
      <c r="F1447" s="23">
        <f>IFERROR(__xludf.DUMMYFUNCTION("""COMPUTED_VALUE"""),1219.0)</f>
        <v>1219</v>
      </c>
      <c r="G1447" s="23">
        <f>IFERROR(__xludf.DUMMYFUNCTION("""COMPUTED_VALUE"""),24.0)</f>
        <v>24</v>
      </c>
      <c r="H1447" s="23" t="str">
        <f>IFERROR(__xludf.DUMMYFUNCTION("""COMPUTED_VALUE"""),"Algorithms")</f>
        <v>Algorithms</v>
      </c>
      <c r="I1447" s="23">
        <f>IFERROR(__xludf.DUMMYFUNCTION("""COMPUTED_VALUE"""),0.62)</f>
        <v>0.62</v>
      </c>
      <c r="J1447" s="23">
        <f>IFERROR(__xludf.DUMMYFUNCTION("""COMPUTED_VALUE"""),1446.0)</f>
        <v>1446</v>
      </c>
      <c r="K1447" s="23" t="b">
        <f>IFERROR(__xludf.DUMMYFUNCTION("""COMPUTED_VALUE"""),FALSE)</f>
        <v>0</v>
      </c>
      <c r="L1447" s="23" t="str">
        <f>IFERROR(__xludf.DUMMYFUNCTION("""COMPUTED_VALUE"""),"String;")</f>
        <v>String;</v>
      </c>
      <c r="M1447" s="23" t="b">
        <f>IFERROR(__xludf.DUMMYFUNCTION("""COMPUTED_VALUE"""),TRUE)</f>
        <v>1</v>
      </c>
      <c r="N1447" s="23" t="b">
        <f>IFERROR(__xludf.DUMMYFUNCTION("""COMPUTED_VALUE"""),FALSE)</f>
        <v>0</v>
      </c>
      <c r="O1447" s="23">
        <f>IFERROR(__xludf.DUMMYFUNCTION("""COMPUTED_VALUE"""),61.9782971619365)</f>
        <v>61.97829716</v>
      </c>
      <c r="P1447" s="23">
        <f>IFERROR(__xludf.DUMMYFUNCTION("""COMPUTED_VALUE"""),118800.0)</f>
        <v>118800</v>
      </c>
      <c r="Q1447" s="23">
        <f>IFERROR(__xludf.DUMMYFUNCTION("""COMPUTED_VALUE"""),191680.0)</f>
        <v>191680</v>
      </c>
    </row>
    <row r="1448">
      <c r="A1448" s="23">
        <f>IFERROR(__xludf.DUMMYFUNCTION("""COMPUTED_VALUE"""),1543.0)</f>
        <v>1543</v>
      </c>
      <c r="B1448" s="23" t="str">
        <f>IFERROR(__xludf.DUMMYFUNCTION("""COMPUTED_VALUE"""),"Simplified Fractions")</f>
        <v>Simplified Fractions</v>
      </c>
      <c r="C1448" s="23" t="str">
        <f>IFERROR(__xludf.DUMMYFUNCTION("""COMPUTED_VALUE"""),"simplified-fractions")</f>
        <v>simplified-fractions</v>
      </c>
      <c r="D1448" s="23" t="b">
        <f>IFERROR(__xludf.DUMMYFUNCTION("""COMPUTED_VALUE"""),FALSE)</f>
        <v>0</v>
      </c>
      <c r="E1448" s="23" t="str">
        <f>IFERROR(__xludf.DUMMYFUNCTION("""COMPUTED_VALUE"""),"Medium")</f>
        <v>Medium</v>
      </c>
      <c r="F1448" s="23">
        <f>IFERROR(__xludf.DUMMYFUNCTION("""COMPUTED_VALUE"""),238.0)</f>
        <v>238</v>
      </c>
      <c r="G1448" s="23">
        <f>IFERROR(__xludf.DUMMYFUNCTION("""COMPUTED_VALUE"""),32.0)</f>
        <v>32</v>
      </c>
      <c r="H1448" s="23" t="str">
        <f>IFERROR(__xludf.DUMMYFUNCTION("""COMPUTED_VALUE"""),"Algorithms")</f>
        <v>Algorithms</v>
      </c>
      <c r="I1448" s="23">
        <f>IFERROR(__xludf.DUMMYFUNCTION("""COMPUTED_VALUE"""),0.64)</f>
        <v>0.64</v>
      </c>
      <c r="J1448" s="23">
        <f>IFERROR(__xludf.DUMMYFUNCTION("""COMPUTED_VALUE"""),1447.0)</f>
        <v>1447</v>
      </c>
      <c r="K1448" s="23" t="b">
        <f>IFERROR(__xludf.DUMMYFUNCTION("""COMPUTED_VALUE"""),FALSE)</f>
        <v>0</v>
      </c>
      <c r="L1448" s="23" t="str">
        <f>IFERROR(__xludf.DUMMYFUNCTION("""COMPUTED_VALUE"""),"Math;String;Number Theory;")</f>
        <v>Math;String;Number Theory;</v>
      </c>
      <c r="M1448" s="23" t="b">
        <f>IFERROR(__xludf.DUMMYFUNCTION("""COMPUTED_VALUE"""),FALSE)</f>
        <v>0</v>
      </c>
      <c r="N1448" s="23" t="b">
        <f>IFERROR(__xludf.DUMMYFUNCTION("""COMPUTED_VALUE"""),FALSE)</f>
        <v>0</v>
      </c>
      <c r="O1448" s="23">
        <f>IFERROR(__xludf.DUMMYFUNCTION("""COMPUTED_VALUE"""),64.0112784284563)</f>
        <v>64.01127843</v>
      </c>
      <c r="P1448" s="23">
        <f>IFERROR(__xludf.DUMMYFUNCTION("""COMPUTED_VALUE"""),20659.0)</f>
        <v>20659</v>
      </c>
      <c r="Q1448" s="23">
        <f>IFERROR(__xludf.DUMMYFUNCTION("""COMPUTED_VALUE"""),32274.0)</f>
        <v>32274</v>
      </c>
    </row>
    <row r="1449">
      <c r="A1449" s="23">
        <f>IFERROR(__xludf.DUMMYFUNCTION("""COMPUTED_VALUE"""),1544.0)</f>
        <v>1544</v>
      </c>
      <c r="B1449" s="23" t="str">
        <f>IFERROR(__xludf.DUMMYFUNCTION("""COMPUTED_VALUE"""),"Count Good Nodes in Binary Tree")</f>
        <v>Count Good Nodes in Binary Tree</v>
      </c>
      <c r="C1449" s="23" t="str">
        <f>IFERROR(__xludf.DUMMYFUNCTION("""COMPUTED_VALUE"""),"count-good-nodes-in-binary-tree")</f>
        <v>count-good-nodes-in-binary-tree</v>
      </c>
      <c r="D1449" s="23" t="b">
        <f>IFERROR(__xludf.DUMMYFUNCTION("""COMPUTED_VALUE"""),FALSE)</f>
        <v>0</v>
      </c>
      <c r="E1449" s="23" t="str">
        <f>IFERROR(__xludf.DUMMYFUNCTION("""COMPUTED_VALUE"""),"Medium")</f>
        <v>Medium</v>
      </c>
      <c r="F1449" s="23">
        <f>IFERROR(__xludf.DUMMYFUNCTION("""COMPUTED_VALUE"""),2308.0)</f>
        <v>2308</v>
      </c>
      <c r="G1449" s="23">
        <f>IFERROR(__xludf.DUMMYFUNCTION("""COMPUTED_VALUE"""),76.0)</f>
        <v>76</v>
      </c>
      <c r="H1449" s="23" t="str">
        <f>IFERROR(__xludf.DUMMYFUNCTION("""COMPUTED_VALUE"""),"Algorithms")</f>
        <v>Algorithms</v>
      </c>
      <c r="I1449" s="23">
        <f>IFERROR(__xludf.DUMMYFUNCTION("""COMPUTED_VALUE"""),0.73)</f>
        <v>0.73</v>
      </c>
      <c r="J1449" s="23">
        <f>IFERROR(__xludf.DUMMYFUNCTION("""COMPUTED_VALUE"""),1448.0)</f>
        <v>1448</v>
      </c>
      <c r="K1449" s="23" t="b">
        <f>IFERROR(__xludf.DUMMYFUNCTION("""COMPUTED_VALUE"""),FALSE)</f>
        <v>0</v>
      </c>
      <c r="L1449" s="23" t="str">
        <f>IFERROR(__xludf.DUMMYFUNCTION("""COMPUTED_VALUE"""),"Tree;Depth-First Search;Breadth-First Search;Binary Tree;")</f>
        <v>Tree;Depth-First Search;Breadth-First Search;Binary Tree;</v>
      </c>
      <c r="M1449" s="23" t="b">
        <f>IFERROR(__xludf.DUMMYFUNCTION("""COMPUTED_VALUE"""),TRUE)</f>
        <v>1</v>
      </c>
      <c r="N1449" s="23" t="b">
        <f>IFERROR(__xludf.DUMMYFUNCTION("""COMPUTED_VALUE"""),TRUE)</f>
        <v>1</v>
      </c>
      <c r="O1449" s="23">
        <f>IFERROR(__xludf.DUMMYFUNCTION("""COMPUTED_VALUE"""),72.9556980974587)</f>
        <v>72.9556981</v>
      </c>
      <c r="P1449" s="23">
        <f>IFERROR(__xludf.DUMMYFUNCTION("""COMPUTED_VALUE"""),160822.0)</f>
        <v>160822</v>
      </c>
      <c r="Q1449" s="23">
        <f>IFERROR(__xludf.DUMMYFUNCTION("""COMPUTED_VALUE"""),220438.0)</f>
        <v>220438</v>
      </c>
    </row>
    <row r="1450">
      <c r="A1450" s="23">
        <f>IFERROR(__xludf.DUMMYFUNCTION("""COMPUTED_VALUE"""),1545.0)</f>
        <v>1545</v>
      </c>
      <c r="B1450" s="23" t="str">
        <f>IFERROR(__xludf.DUMMYFUNCTION("""COMPUTED_VALUE"""),"Form Largest Integer With Digits That Add up to Target")</f>
        <v>Form Largest Integer With Digits That Add up to Target</v>
      </c>
      <c r="C1450" s="23" t="str">
        <f>IFERROR(__xludf.DUMMYFUNCTION("""COMPUTED_VALUE"""),"form-largest-integer-with-digits-that-add-up-to-target")</f>
        <v>form-largest-integer-with-digits-that-add-up-to-target</v>
      </c>
      <c r="D1450" s="23" t="b">
        <f>IFERROR(__xludf.DUMMYFUNCTION("""COMPUTED_VALUE"""),FALSE)</f>
        <v>0</v>
      </c>
      <c r="E1450" s="23" t="str">
        <f>IFERROR(__xludf.DUMMYFUNCTION("""COMPUTED_VALUE"""),"Hard")</f>
        <v>Hard</v>
      </c>
      <c r="F1450" s="23">
        <f>IFERROR(__xludf.DUMMYFUNCTION("""COMPUTED_VALUE"""),492.0)</f>
        <v>492</v>
      </c>
      <c r="G1450" s="23">
        <f>IFERROR(__xludf.DUMMYFUNCTION("""COMPUTED_VALUE"""),9.0)</f>
        <v>9</v>
      </c>
      <c r="H1450" s="23" t="str">
        <f>IFERROR(__xludf.DUMMYFUNCTION("""COMPUTED_VALUE"""),"Algorithms")</f>
        <v>Algorithms</v>
      </c>
      <c r="I1450" s="23">
        <f>IFERROR(__xludf.DUMMYFUNCTION("""COMPUTED_VALUE"""),0.464)</f>
        <v>0.464</v>
      </c>
      <c r="J1450" s="23">
        <f>IFERROR(__xludf.DUMMYFUNCTION("""COMPUTED_VALUE"""),1449.0)</f>
        <v>1449</v>
      </c>
      <c r="K1450" s="23" t="b">
        <f>IFERROR(__xludf.DUMMYFUNCTION("""COMPUTED_VALUE"""),FALSE)</f>
        <v>0</v>
      </c>
      <c r="L1450" s="23" t="str">
        <f>IFERROR(__xludf.DUMMYFUNCTION("""COMPUTED_VALUE"""),"Array;Dynamic Programming;")</f>
        <v>Array;Dynamic Programming;</v>
      </c>
      <c r="M1450" s="23" t="b">
        <f>IFERROR(__xludf.DUMMYFUNCTION("""COMPUTED_VALUE"""),FALSE)</f>
        <v>0</v>
      </c>
      <c r="N1450" s="23" t="b">
        <f>IFERROR(__xludf.DUMMYFUNCTION("""COMPUTED_VALUE"""),FALSE)</f>
        <v>0</v>
      </c>
      <c r="O1450" s="23">
        <f>IFERROR(__xludf.DUMMYFUNCTION("""COMPUTED_VALUE"""),46.3939803202778)</f>
        <v>46.39398032</v>
      </c>
      <c r="P1450" s="23">
        <f>IFERROR(__xludf.DUMMYFUNCTION("""COMPUTED_VALUE"""),12023.0)</f>
        <v>12023</v>
      </c>
      <c r="Q1450" s="23">
        <f>IFERROR(__xludf.DUMMYFUNCTION("""COMPUTED_VALUE"""),25915.0)</f>
        <v>25915</v>
      </c>
    </row>
    <row r="1451">
      <c r="A1451" s="23">
        <f>IFERROR(__xludf.DUMMYFUNCTION("""COMPUTED_VALUE"""),1560.0)</f>
        <v>1560</v>
      </c>
      <c r="B1451" s="23" t="str">
        <f>IFERROR(__xludf.DUMMYFUNCTION("""COMPUTED_VALUE"""),"Number of Students Doing Homework at a Given Time")</f>
        <v>Number of Students Doing Homework at a Given Time</v>
      </c>
      <c r="C1451" s="23" t="str">
        <f>IFERROR(__xludf.DUMMYFUNCTION("""COMPUTED_VALUE"""),"number-of-students-doing-homework-at-a-given-time")</f>
        <v>number-of-students-doing-homework-at-a-given-time</v>
      </c>
      <c r="D1451" s="23" t="b">
        <f>IFERROR(__xludf.DUMMYFUNCTION("""COMPUTED_VALUE"""),FALSE)</f>
        <v>0</v>
      </c>
      <c r="E1451" s="23" t="str">
        <f>IFERROR(__xludf.DUMMYFUNCTION("""COMPUTED_VALUE"""),"Easy")</f>
        <v>Easy</v>
      </c>
      <c r="F1451" s="23">
        <f>IFERROR(__xludf.DUMMYFUNCTION("""COMPUTED_VALUE"""),569.0)</f>
        <v>569</v>
      </c>
      <c r="G1451" s="23">
        <f>IFERROR(__xludf.DUMMYFUNCTION("""COMPUTED_VALUE"""),128.0)</f>
        <v>128</v>
      </c>
      <c r="H1451" s="23" t="str">
        <f>IFERROR(__xludf.DUMMYFUNCTION("""COMPUTED_VALUE"""),"Algorithms")</f>
        <v>Algorithms</v>
      </c>
      <c r="I1451" s="23">
        <f>IFERROR(__xludf.DUMMYFUNCTION("""COMPUTED_VALUE"""),0.764)</f>
        <v>0.764</v>
      </c>
      <c r="J1451" s="23">
        <f>IFERROR(__xludf.DUMMYFUNCTION("""COMPUTED_VALUE"""),1450.0)</f>
        <v>1450</v>
      </c>
      <c r="K1451" s="23" t="b">
        <f>IFERROR(__xludf.DUMMYFUNCTION("""COMPUTED_VALUE"""),FALSE)</f>
        <v>0</v>
      </c>
      <c r="L1451" s="23" t="str">
        <f>IFERROR(__xludf.DUMMYFUNCTION("""COMPUTED_VALUE"""),"Array;")</f>
        <v>Array;</v>
      </c>
      <c r="M1451" s="23" t="b">
        <f>IFERROR(__xludf.DUMMYFUNCTION("""COMPUTED_VALUE"""),FALSE)</f>
        <v>0</v>
      </c>
      <c r="N1451" s="23" t="b">
        <f>IFERROR(__xludf.DUMMYFUNCTION("""COMPUTED_VALUE"""),FALSE)</f>
        <v>0</v>
      </c>
      <c r="O1451" s="23">
        <f>IFERROR(__xludf.DUMMYFUNCTION("""COMPUTED_VALUE"""),76.4050218139646)</f>
        <v>76.40502181</v>
      </c>
      <c r="P1451" s="23">
        <f>IFERROR(__xludf.DUMMYFUNCTION("""COMPUTED_VALUE"""),83011.0)</f>
        <v>83011</v>
      </c>
      <c r="Q1451" s="23">
        <f>IFERROR(__xludf.DUMMYFUNCTION("""COMPUTED_VALUE"""),108646.0)</f>
        <v>108646</v>
      </c>
    </row>
    <row r="1452">
      <c r="A1452" s="23">
        <f>IFERROR(__xludf.DUMMYFUNCTION("""COMPUTED_VALUE"""),1561.0)</f>
        <v>1561</v>
      </c>
      <c r="B1452" s="23" t="str">
        <f>IFERROR(__xludf.DUMMYFUNCTION("""COMPUTED_VALUE"""),"Rearrange Words in a Sentence")</f>
        <v>Rearrange Words in a Sentence</v>
      </c>
      <c r="C1452" s="23" t="str">
        <f>IFERROR(__xludf.DUMMYFUNCTION("""COMPUTED_VALUE"""),"rearrange-words-in-a-sentence")</f>
        <v>rearrange-words-in-a-sentence</v>
      </c>
      <c r="D1452" s="23" t="b">
        <f>IFERROR(__xludf.DUMMYFUNCTION("""COMPUTED_VALUE"""),FALSE)</f>
        <v>0</v>
      </c>
      <c r="E1452" s="23" t="str">
        <f>IFERROR(__xludf.DUMMYFUNCTION("""COMPUTED_VALUE"""),"Medium")</f>
        <v>Medium</v>
      </c>
      <c r="F1452" s="23">
        <f>IFERROR(__xludf.DUMMYFUNCTION("""COMPUTED_VALUE"""),477.0)</f>
        <v>477</v>
      </c>
      <c r="G1452" s="23">
        <f>IFERROR(__xludf.DUMMYFUNCTION("""COMPUTED_VALUE"""),63.0)</f>
        <v>63</v>
      </c>
      <c r="H1452" s="23" t="str">
        <f>IFERROR(__xludf.DUMMYFUNCTION("""COMPUTED_VALUE"""),"Algorithms")</f>
        <v>Algorithms</v>
      </c>
      <c r="I1452" s="23">
        <f>IFERROR(__xludf.DUMMYFUNCTION("""COMPUTED_VALUE"""),0.62)</f>
        <v>0.62</v>
      </c>
      <c r="J1452" s="23">
        <f>IFERROR(__xludf.DUMMYFUNCTION("""COMPUTED_VALUE"""),1451.0)</f>
        <v>1451</v>
      </c>
      <c r="K1452" s="23" t="b">
        <f>IFERROR(__xludf.DUMMYFUNCTION("""COMPUTED_VALUE"""),FALSE)</f>
        <v>0</v>
      </c>
      <c r="L1452" s="23" t="str">
        <f>IFERROR(__xludf.DUMMYFUNCTION("""COMPUTED_VALUE"""),"String;Sorting;")</f>
        <v>String;Sorting;</v>
      </c>
      <c r="M1452" s="23" t="b">
        <f>IFERROR(__xludf.DUMMYFUNCTION("""COMPUTED_VALUE"""),FALSE)</f>
        <v>0</v>
      </c>
      <c r="N1452" s="23" t="b">
        <f>IFERROR(__xludf.DUMMYFUNCTION("""COMPUTED_VALUE"""),FALSE)</f>
        <v>0</v>
      </c>
      <c r="O1452" s="23">
        <f>IFERROR(__xludf.DUMMYFUNCTION("""COMPUTED_VALUE"""),61.9833887043189)</f>
        <v>61.9833887</v>
      </c>
      <c r="P1452" s="23">
        <f>IFERROR(__xludf.DUMMYFUNCTION("""COMPUTED_VALUE"""),37314.0)</f>
        <v>37314</v>
      </c>
      <c r="Q1452" s="23">
        <f>IFERROR(__xludf.DUMMYFUNCTION("""COMPUTED_VALUE"""),60200.0)</f>
        <v>60200</v>
      </c>
    </row>
    <row r="1453">
      <c r="A1453" s="23">
        <f>IFERROR(__xludf.DUMMYFUNCTION("""COMPUTED_VALUE"""),1562.0)</f>
        <v>1562</v>
      </c>
      <c r="B1453" s="23" t="str">
        <f>IFERROR(__xludf.DUMMYFUNCTION("""COMPUTED_VALUE"""),"People Whose List of Favorite Companies Is Not a Subset of Another List")</f>
        <v>People Whose List of Favorite Companies Is Not a Subset of Another List</v>
      </c>
      <c r="C1453" s="23" t="str">
        <f>IFERROR(__xludf.DUMMYFUNCTION("""COMPUTED_VALUE"""),"people-whose-list-of-favorite-companies-is-not-a-subset-of-another-list")</f>
        <v>people-whose-list-of-favorite-companies-is-not-a-subset-of-another-list</v>
      </c>
      <c r="D1453" s="23" t="b">
        <f>IFERROR(__xludf.DUMMYFUNCTION("""COMPUTED_VALUE"""),FALSE)</f>
        <v>0</v>
      </c>
      <c r="E1453" s="23" t="str">
        <f>IFERROR(__xludf.DUMMYFUNCTION("""COMPUTED_VALUE"""),"Medium")</f>
        <v>Medium</v>
      </c>
      <c r="F1453" s="23">
        <f>IFERROR(__xludf.DUMMYFUNCTION("""COMPUTED_VALUE"""),247.0)</f>
        <v>247</v>
      </c>
      <c r="G1453" s="23">
        <f>IFERROR(__xludf.DUMMYFUNCTION("""COMPUTED_VALUE"""),193.0)</f>
        <v>193</v>
      </c>
      <c r="H1453" s="23" t="str">
        <f>IFERROR(__xludf.DUMMYFUNCTION("""COMPUTED_VALUE"""),"Algorithms")</f>
        <v>Algorithms</v>
      </c>
      <c r="I1453" s="23">
        <f>IFERROR(__xludf.DUMMYFUNCTION("""COMPUTED_VALUE"""),0.566)</f>
        <v>0.566</v>
      </c>
      <c r="J1453" s="23">
        <f>IFERROR(__xludf.DUMMYFUNCTION("""COMPUTED_VALUE"""),1452.0)</f>
        <v>1452</v>
      </c>
      <c r="K1453" s="23" t="b">
        <f>IFERROR(__xludf.DUMMYFUNCTION("""COMPUTED_VALUE"""),FALSE)</f>
        <v>0</v>
      </c>
      <c r="L1453" s="23" t="str">
        <f>IFERROR(__xludf.DUMMYFUNCTION("""COMPUTED_VALUE"""),"Array;Hash Table;String;")</f>
        <v>Array;Hash Table;String;</v>
      </c>
      <c r="M1453" s="23" t="b">
        <f>IFERROR(__xludf.DUMMYFUNCTION("""COMPUTED_VALUE"""),FALSE)</f>
        <v>0</v>
      </c>
      <c r="N1453" s="23" t="b">
        <f>IFERROR(__xludf.DUMMYFUNCTION("""COMPUTED_VALUE"""),FALSE)</f>
        <v>0</v>
      </c>
      <c r="O1453" s="23">
        <f>IFERROR(__xludf.DUMMYFUNCTION("""COMPUTED_VALUE"""),56.6005150734737)</f>
        <v>56.60051507</v>
      </c>
      <c r="P1453" s="23">
        <f>IFERROR(__xludf.DUMMYFUNCTION("""COMPUTED_VALUE"""),18681.0)</f>
        <v>18681</v>
      </c>
      <c r="Q1453" s="23">
        <f>IFERROR(__xludf.DUMMYFUNCTION("""COMPUTED_VALUE"""),33005.0)</f>
        <v>33005</v>
      </c>
    </row>
    <row r="1454">
      <c r="A1454" s="23">
        <f>IFERROR(__xludf.DUMMYFUNCTION("""COMPUTED_VALUE"""),1563.0)</f>
        <v>1563</v>
      </c>
      <c r="B1454" s="23" t="str">
        <f>IFERROR(__xludf.DUMMYFUNCTION("""COMPUTED_VALUE"""),"Maximum Number of Darts Inside of a Circular Dartboard")</f>
        <v>Maximum Number of Darts Inside of a Circular Dartboard</v>
      </c>
      <c r="C1454" s="23" t="str">
        <f>IFERROR(__xludf.DUMMYFUNCTION("""COMPUTED_VALUE"""),"maximum-number-of-darts-inside-of-a-circular-dartboard")</f>
        <v>maximum-number-of-darts-inside-of-a-circular-dartboard</v>
      </c>
      <c r="D1454" s="23" t="b">
        <f>IFERROR(__xludf.DUMMYFUNCTION("""COMPUTED_VALUE"""),FALSE)</f>
        <v>0</v>
      </c>
      <c r="E1454" s="23" t="str">
        <f>IFERROR(__xludf.DUMMYFUNCTION("""COMPUTED_VALUE"""),"Hard")</f>
        <v>Hard</v>
      </c>
      <c r="F1454" s="23">
        <f>IFERROR(__xludf.DUMMYFUNCTION("""COMPUTED_VALUE"""),109.0)</f>
        <v>109</v>
      </c>
      <c r="G1454" s="23">
        <f>IFERROR(__xludf.DUMMYFUNCTION("""COMPUTED_VALUE"""),241.0)</f>
        <v>241</v>
      </c>
      <c r="H1454" s="23" t="str">
        <f>IFERROR(__xludf.DUMMYFUNCTION("""COMPUTED_VALUE"""),"Algorithms")</f>
        <v>Algorithms</v>
      </c>
      <c r="I1454" s="23">
        <f>IFERROR(__xludf.DUMMYFUNCTION("""COMPUTED_VALUE"""),0.364)</f>
        <v>0.364</v>
      </c>
      <c r="J1454" s="23">
        <f>IFERROR(__xludf.DUMMYFUNCTION("""COMPUTED_VALUE"""),1453.0)</f>
        <v>1453</v>
      </c>
      <c r="K1454" s="23" t="b">
        <f>IFERROR(__xludf.DUMMYFUNCTION("""COMPUTED_VALUE"""),FALSE)</f>
        <v>0</v>
      </c>
      <c r="L1454" s="23" t="str">
        <f>IFERROR(__xludf.DUMMYFUNCTION("""COMPUTED_VALUE"""),"Array;Math;Geometry;")</f>
        <v>Array;Math;Geometry;</v>
      </c>
      <c r="M1454" s="23" t="b">
        <f>IFERROR(__xludf.DUMMYFUNCTION("""COMPUTED_VALUE"""),FALSE)</f>
        <v>0</v>
      </c>
      <c r="N1454" s="23" t="b">
        <f>IFERROR(__xludf.DUMMYFUNCTION("""COMPUTED_VALUE"""),FALSE)</f>
        <v>0</v>
      </c>
      <c r="O1454" s="23">
        <f>IFERROR(__xludf.DUMMYFUNCTION("""COMPUTED_VALUE"""),36.4304545817687)</f>
        <v>36.43045458</v>
      </c>
      <c r="P1454" s="23">
        <f>IFERROR(__xludf.DUMMYFUNCTION("""COMPUTED_VALUE"""),4560.0)</f>
        <v>4560</v>
      </c>
      <c r="Q1454" s="23">
        <f>IFERROR(__xludf.DUMMYFUNCTION("""COMPUTED_VALUE"""),12517.0)</f>
        <v>12517</v>
      </c>
    </row>
    <row r="1455">
      <c r="A1455" s="23">
        <f>IFERROR(__xludf.DUMMYFUNCTION("""COMPUTED_VALUE"""),1579.0)</f>
        <v>1579</v>
      </c>
      <c r="B1455" s="23" t="str">
        <f>IFERROR(__xludf.DUMMYFUNCTION("""COMPUTED_VALUE"""),"Active Users")</f>
        <v>Active Users</v>
      </c>
      <c r="C1455" s="23" t="str">
        <f>IFERROR(__xludf.DUMMYFUNCTION("""COMPUTED_VALUE"""),"active-users")</f>
        <v>active-users</v>
      </c>
      <c r="D1455" s="23" t="b">
        <f>IFERROR(__xludf.DUMMYFUNCTION("""COMPUTED_VALUE"""),TRUE)</f>
        <v>1</v>
      </c>
      <c r="E1455" s="23" t="str">
        <f>IFERROR(__xludf.DUMMYFUNCTION("""COMPUTED_VALUE"""),"Medium")</f>
        <v>Medium</v>
      </c>
      <c r="F1455" s="23">
        <f>IFERROR(__xludf.DUMMYFUNCTION("""COMPUTED_VALUE"""),281.0)</f>
        <v>281</v>
      </c>
      <c r="G1455" s="23">
        <f>IFERROR(__xludf.DUMMYFUNCTION("""COMPUTED_VALUE"""),28.0)</f>
        <v>28</v>
      </c>
      <c r="H1455" s="23" t="str">
        <f>IFERROR(__xludf.DUMMYFUNCTION("""COMPUTED_VALUE"""),"Database")</f>
        <v>Database</v>
      </c>
      <c r="I1455" s="23">
        <f>IFERROR(__xludf.DUMMYFUNCTION("""COMPUTED_VALUE"""),0.384)</f>
        <v>0.384</v>
      </c>
      <c r="J1455" s="23">
        <f>IFERROR(__xludf.DUMMYFUNCTION("""COMPUTED_VALUE"""),1454.0)</f>
        <v>1454</v>
      </c>
      <c r="K1455" s="23" t="b">
        <f>IFERROR(__xludf.DUMMYFUNCTION("""COMPUTED_VALUE"""),TRUE)</f>
        <v>1</v>
      </c>
      <c r="L1455" s="23" t="str">
        <f>IFERROR(__xludf.DUMMYFUNCTION("""COMPUTED_VALUE"""),"Database;")</f>
        <v>Database;</v>
      </c>
      <c r="M1455" s="23" t="b">
        <f>IFERROR(__xludf.DUMMYFUNCTION("""COMPUTED_VALUE"""),FALSE)</f>
        <v>0</v>
      </c>
      <c r="N1455" s="23" t="b">
        <f>IFERROR(__xludf.DUMMYFUNCTION("""COMPUTED_VALUE"""),FALSE)</f>
        <v>0</v>
      </c>
      <c r="O1455" s="23">
        <f>IFERROR(__xludf.DUMMYFUNCTION("""COMPUTED_VALUE"""),38.3740522325189)</f>
        <v>38.37405223</v>
      </c>
      <c r="P1455" s="23">
        <f>IFERROR(__xludf.DUMMYFUNCTION("""COMPUTED_VALUE"""),22775.0)</f>
        <v>22775</v>
      </c>
      <c r="Q1455" s="23">
        <f>IFERROR(__xludf.DUMMYFUNCTION("""COMPUTED_VALUE"""),59350.0)</f>
        <v>59350</v>
      </c>
    </row>
    <row r="1456">
      <c r="A1456" s="23">
        <f>IFERROR(__xludf.DUMMYFUNCTION("""COMPUTED_VALUE"""),1566.0)</f>
        <v>1566</v>
      </c>
      <c r="B1456" s="23" t="str">
        <f>IFERROR(__xludf.DUMMYFUNCTION("""COMPUTED_VALUE"""),"Check If a Word Occurs As a Prefix of Any Word in a Sentence")</f>
        <v>Check If a Word Occurs As a Prefix of Any Word in a Sentence</v>
      </c>
      <c r="C1456" s="23" t="str">
        <f>IFERROR(__xludf.DUMMYFUNCTION("""COMPUTED_VALUE"""),"check-if-a-word-occurs-as-a-prefix-of-any-word-in-a-sentence")</f>
        <v>check-if-a-word-occurs-as-a-prefix-of-any-word-in-a-sentence</v>
      </c>
      <c r="D1456" s="23" t="b">
        <f>IFERROR(__xludf.DUMMYFUNCTION("""COMPUTED_VALUE"""),FALSE)</f>
        <v>0</v>
      </c>
      <c r="E1456" s="23" t="str">
        <f>IFERROR(__xludf.DUMMYFUNCTION("""COMPUTED_VALUE"""),"Easy")</f>
        <v>Easy</v>
      </c>
      <c r="F1456" s="23">
        <f>IFERROR(__xludf.DUMMYFUNCTION("""COMPUTED_VALUE"""),498.0)</f>
        <v>498</v>
      </c>
      <c r="G1456" s="23">
        <f>IFERROR(__xludf.DUMMYFUNCTION("""COMPUTED_VALUE"""),23.0)</f>
        <v>23</v>
      </c>
      <c r="H1456" s="23" t="str">
        <f>IFERROR(__xludf.DUMMYFUNCTION("""COMPUTED_VALUE"""),"Algorithms")</f>
        <v>Algorithms</v>
      </c>
      <c r="I1456" s="23">
        <f>IFERROR(__xludf.DUMMYFUNCTION("""COMPUTED_VALUE"""),0.645)</f>
        <v>0.645</v>
      </c>
      <c r="J1456" s="23">
        <f>IFERROR(__xludf.DUMMYFUNCTION("""COMPUTED_VALUE"""),1455.0)</f>
        <v>1455</v>
      </c>
      <c r="K1456" s="23" t="b">
        <f>IFERROR(__xludf.DUMMYFUNCTION("""COMPUTED_VALUE"""),FALSE)</f>
        <v>0</v>
      </c>
      <c r="L1456" s="23" t="str">
        <f>IFERROR(__xludf.DUMMYFUNCTION("""COMPUTED_VALUE"""),"String;String Matching;")</f>
        <v>String;String Matching;</v>
      </c>
      <c r="M1456" s="23" t="b">
        <f>IFERROR(__xludf.DUMMYFUNCTION("""COMPUTED_VALUE"""),FALSE)</f>
        <v>0</v>
      </c>
      <c r="N1456" s="23" t="b">
        <f>IFERROR(__xludf.DUMMYFUNCTION("""COMPUTED_VALUE"""),FALSE)</f>
        <v>0</v>
      </c>
      <c r="O1456" s="23">
        <f>IFERROR(__xludf.DUMMYFUNCTION("""COMPUTED_VALUE"""),64.5156211045649)</f>
        <v>64.5156211</v>
      </c>
      <c r="P1456" s="23">
        <f>IFERROR(__xludf.DUMMYFUNCTION("""COMPUTED_VALUE"""),49168.0)</f>
        <v>49168</v>
      </c>
      <c r="Q1456" s="23">
        <f>IFERROR(__xludf.DUMMYFUNCTION("""COMPUTED_VALUE"""),76211.0)</f>
        <v>76211</v>
      </c>
    </row>
    <row r="1457">
      <c r="A1457" s="23">
        <f>IFERROR(__xludf.DUMMYFUNCTION("""COMPUTED_VALUE"""),1567.0)</f>
        <v>1567</v>
      </c>
      <c r="B1457" s="23" t="str">
        <f>IFERROR(__xludf.DUMMYFUNCTION("""COMPUTED_VALUE"""),"Maximum Number of Vowels in a Substring of Given Length")</f>
        <v>Maximum Number of Vowels in a Substring of Given Length</v>
      </c>
      <c r="C1457" s="23" t="str">
        <f>IFERROR(__xludf.DUMMYFUNCTION("""COMPUTED_VALUE"""),"maximum-number-of-vowels-in-a-substring-of-given-length")</f>
        <v>maximum-number-of-vowels-in-a-substring-of-given-length</v>
      </c>
      <c r="D1457" s="23" t="b">
        <f>IFERROR(__xludf.DUMMYFUNCTION("""COMPUTED_VALUE"""),FALSE)</f>
        <v>0</v>
      </c>
      <c r="E1457" s="23" t="str">
        <f>IFERROR(__xludf.DUMMYFUNCTION("""COMPUTED_VALUE"""),"Medium")</f>
        <v>Medium</v>
      </c>
      <c r="F1457" s="23">
        <f>IFERROR(__xludf.DUMMYFUNCTION("""COMPUTED_VALUE"""),702.0)</f>
        <v>702</v>
      </c>
      <c r="G1457" s="23">
        <f>IFERROR(__xludf.DUMMYFUNCTION("""COMPUTED_VALUE"""),37.0)</f>
        <v>37</v>
      </c>
      <c r="H1457" s="23" t="str">
        <f>IFERROR(__xludf.DUMMYFUNCTION("""COMPUTED_VALUE"""),"Algorithms")</f>
        <v>Algorithms</v>
      </c>
      <c r="I1457" s="23">
        <f>IFERROR(__xludf.DUMMYFUNCTION("""COMPUTED_VALUE"""),0.574)</f>
        <v>0.574</v>
      </c>
      <c r="J1457" s="23">
        <f>IFERROR(__xludf.DUMMYFUNCTION("""COMPUTED_VALUE"""),1456.0)</f>
        <v>1456</v>
      </c>
      <c r="K1457" s="23" t="b">
        <f>IFERROR(__xludf.DUMMYFUNCTION("""COMPUTED_VALUE"""),FALSE)</f>
        <v>0</v>
      </c>
      <c r="L1457" s="23" t="str">
        <f>IFERROR(__xludf.DUMMYFUNCTION("""COMPUTED_VALUE"""),"String;Sliding Window;")</f>
        <v>String;Sliding Window;</v>
      </c>
      <c r="M1457" s="23" t="b">
        <f>IFERROR(__xludf.DUMMYFUNCTION("""COMPUTED_VALUE"""),FALSE)</f>
        <v>0</v>
      </c>
      <c r="N1457" s="23" t="b">
        <f>IFERROR(__xludf.DUMMYFUNCTION("""COMPUTED_VALUE"""),FALSE)</f>
        <v>0</v>
      </c>
      <c r="O1457" s="23">
        <f>IFERROR(__xludf.DUMMYFUNCTION("""COMPUTED_VALUE"""),57.4097938144329)</f>
        <v>57.40979381</v>
      </c>
      <c r="P1457" s="23">
        <f>IFERROR(__xludf.DUMMYFUNCTION("""COMPUTED_VALUE"""),42768.0)</f>
        <v>42768</v>
      </c>
      <c r="Q1457" s="23">
        <f>IFERROR(__xludf.DUMMYFUNCTION("""COMPUTED_VALUE"""),74496.0)</f>
        <v>74496</v>
      </c>
    </row>
    <row r="1458">
      <c r="A1458" s="23">
        <f>IFERROR(__xludf.DUMMYFUNCTION("""COMPUTED_VALUE"""),1568.0)</f>
        <v>1568</v>
      </c>
      <c r="B1458" s="23" t="str">
        <f>IFERROR(__xludf.DUMMYFUNCTION("""COMPUTED_VALUE"""),"Pseudo-Palindromic Paths in a Binary Tree")</f>
        <v>Pseudo-Palindromic Paths in a Binary Tree</v>
      </c>
      <c r="C1458" s="23" t="str">
        <f>IFERROR(__xludf.DUMMYFUNCTION("""COMPUTED_VALUE"""),"pseudo-palindromic-paths-in-a-binary-tree")</f>
        <v>pseudo-palindromic-paths-in-a-binary-tree</v>
      </c>
      <c r="D1458" s="23" t="b">
        <f>IFERROR(__xludf.DUMMYFUNCTION("""COMPUTED_VALUE"""),FALSE)</f>
        <v>0</v>
      </c>
      <c r="E1458" s="23" t="str">
        <f>IFERROR(__xludf.DUMMYFUNCTION("""COMPUTED_VALUE"""),"Medium")</f>
        <v>Medium</v>
      </c>
      <c r="F1458" s="23">
        <f>IFERROR(__xludf.DUMMYFUNCTION("""COMPUTED_VALUE"""),969.0)</f>
        <v>969</v>
      </c>
      <c r="G1458" s="23">
        <f>IFERROR(__xludf.DUMMYFUNCTION("""COMPUTED_VALUE"""),34.0)</f>
        <v>34</v>
      </c>
      <c r="H1458" s="23" t="str">
        <f>IFERROR(__xludf.DUMMYFUNCTION("""COMPUTED_VALUE"""),"Algorithms")</f>
        <v>Algorithms</v>
      </c>
      <c r="I1458" s="23">
        <f>IFERROR(__xludf.DUMMYFUNCTION("""COMPUTED_VALUE"""),0.672)</f>
        <v>0.672</v>
      </c>
      <c r="J1458" s="23">
        <f>IFERROR(__xludf.DUMMYFUNCTION("""COMPUTED_VALUE"""),1457.0)</f>
        <v>1457</v>
      </c>
      <c r="K1458" s="23" t="b">
        <f>IFERROR(__xludf.DUMMYFUNCTION("""COMPUTED_VALUE"""),FALSE)</f>
        <v>0</v>
      </c>
      <c r="L1458" s="23" t="str">
        <f>IFERROR(__xludf.DUMMYFUNCTION("""COMPUTED_VALUE"""),"Bit Manipulation;Tree;Depth-First Search;Breadth-First Search;Binary Tree;")</f>
        <v>Bit Manipulation;Tree;Depth-First Search;Breadth-First Search;Binary Tree;</v>
      </c>
      <c r="M1458" s="23" t="b">
        <f>IFERROR(__xludf.DUMMYFUNCTION("""COMPUTED_VALUE"""),TRUE)</f>
        <v>1</v>
      </c>
      <c r="N1458" s="23" t="b">
        <f>IFERROR(__xludf.DUMMYFUNCTION("""COMPUTED_VALUE"""),FALSE)</f>
        <v>0</v>
      </c>
      <c r="O1458" s="23">
        <f>IFERROR(__xludf.DUMMYFUNCTION("""COMPUTED_VALUE"""),67.2144109004177)</f>
        <v>67.2144109</v>
      </c>
      <c r="P1458" s="23">
        <f>IFERROR(__xludf.DUMMYFUNCTION("""COMPUTED_VALUE"""),51007.0)</f>
        <v>51007</v>
      </c>
      <c r="Q1458" s="23">
        <f>IFERROR(__xludf.DUMMYFUNCTION("""COMPUTED_VALUE"""),75887.0)</f>
        <v>75887</v>
      </c>
    </row>
    <row r="1459">
      <c r="A1459" s="23">
        <f>IFERROR(__xludf.DUMMYFUNCTION("""COMPUTED_VALUE"""),1569.0)</f>
        <v>1569</v>
      </c>
      <c r="B1459" s="23" t="str">
        <f>IFERROR(__xludf.DUMMYFUNCTION("""COMPUTED_VALUE"""),"Max Dot Product of Two Subsequences")</f>
        <v>Max Dot Product of Two Subsequences</v>
      </c>
      <c r="C1459" s="23" t="str">
        <f>IFERROR(__xludf.DUMMYFUNCTION("""COMPUTED_VALUE"""),"max-dot-product-of-two-subsequences")</f>
        <v>max-dot-product-of-two-subsequences</v>
      </c>
      <c r="D1459" s="23" t="b">
        <f>IFERROR(__xludf.DUMMYFUNCTION("""COMPUTED_VALUE"""),FALSE)</f>
        <v>0</v>
      </c>
      <c r="E1459" s="23" t="str">
        <f>IFERROR(__xludf.DUMMYFUNCTION("""COMPUTED_VALUE"""),"Hard")</f>
        <v>Hard</v>
      </c>
      <c r="F1459" s="23">
        <f>IFERROR(__xludf.DUMMYFUNCTION("""COMPUTED_VALUE"""),576.0)</f>
        <v>576</v>
      </c>
      <c r="G1459" s="23">
        <f>IFERROR(__xludf.DUMMYFUNCTION("""COMPUTED_VALUE"""),11.0)</f>
        <v>11</v>
      </c>
      <c r="H1459" s="23" t="str">
        <f>IFERROR(__xludf.DUMMYFUNCTION("""COMPUTED_VALUE"""),"Algorithms")</f>
        <v>Algorithms</v>
      </c>
      <c r="I1459" s="23">
        <f>IFERROR(__xludf.DUMMYFUNCTION("""COMPUTED_VALUE"""),0.452)</f>
        <v>0.452</v>
      </c>
      <c r="J1459" s="23">
        <f>IFERROR(__xludf.DUMMYFUNCTION("""COMPUTED_VALUE"""),1458.0)</f>
        <v>1458</v>
      </c>
      <c r="K1459" s="23" t="b">
        <f>IFERROR(__xludf.DUMMYFUNCTION("""COMPUTED_VALUE"""),FALSE)</f>
        <v>0</v>
      </c>
      <c r="L1459" s="23" t="str">
        <f>IFERROR(__xludf.DUMMYFUNCTION("""COMPUTED_VALUE"""),"Array;Dynamic Programming;")</f>
        <v>Array;Dynamic Programming;</v>
      </c>
      <c r="M1459" s="23" t="b">
        <f>IFERROR(__xludf.DUMMYFUNCTION("""COMPUTED_VALUE"""),FALSE)</f>
        <v>0</v>
      </c>
      <c r="N1459" s="23" t="b">
        <f>IFERROR(__xludf.DUMMYFUNCTION("""COMPUTED_VALUE"""),FALSE)</f>
        <v>0</v>
      </c>
      <c r="O1459" s="23">
        <f>IFERROR(__xludf.DUMMYFUNCTION("""COMPUTED_VALUE"""),45.1841437865255)</f>
        <v>45.18414379</v>
      </c>
      <c r="P1459" s="23">
        <f>IFERROR(__xludf.DUMMYFUNCTION("""COMPUTED_VALUE"""),16391.0)</f>
        <v>16391</v>
      </c>
      <c r="Q1459" s="23">
        <f>IFERROR(__xludf.DUMMYFUNCTION("""COMPUTED_VALUE"""),36276.0)</f>
        <v>36276</v>
      </c>
    </row>
    <row r="1460">
      <c r="A1460" s="23">
        <f>IFERROR(__xludf.DUMMYFUNCTION("""COMPUTED_VALUE"""),1607.0)</f>
        <v>1607</v>
      </c>
      <c r="B1460" s="23" t="str">
        <f>IFERROR(__xludf.DUMMYFUNCTION("""COMPUTED_VALUE"""),"Rectangles Area")</f>
        <v>Rectangles Area</v>
      </c>
      <c r="C1460" s="23" t="str">
        <f>IFERROR(__xludf.DUMMYFUNCTION("""COMPUTED_VALUE"""),"rectangles-area")</f>
        <v>rectangles-area</v>
      </c>
      <c r="D1460" s="23" t="b">
        <f>IFERROR(__xludf.DUMMYFUNCTION("""COMPUTED_VALUE"""),TRUE)</f>
        <v>1</v>
      </c>
      <c r="E1460" s="23" t="str">
        <f>IFERROR(__xludf.DUMMYFUNCTION("""COMPUTED_VALUE"""),"Medium")</f>
        <v>Medium</v>
      </c>
      <c r="F1460" s="23">
        <f>IFERROR(__xludf.DUMMYFUNCTION("""COMPUTED_VALUE"""),51.0)</f>
        <v>51</v>
      </c>
      <c r="G1460" s="23">
        <f>IFERROR(__xludf.DUMMYFUNCTION("""COMPUTED_VALUE"""),93.0)</f>
        <v>93</v>
      </c>
      <c r="H1460" s="23" t="str">
        <f>IFERROR(__xludf.DUMMYFUNCTION("""COMPUTED_VALUE"""),"Database")</f>
        <v>Database</v>
      </c>
      <c r="I1460" s="23">
        <f>IFERROR(__xludf.DUMMYFUNCTION("""COMPUTED_VALUE"""),0.685)</f>
        <v>0.685</v>
      </c>
      <c r="J1460" s="23">
        <f>IFERROR(__xludf.DUMMYFUNCTION("""COMPUTED_VALUE"""),1459.0)</f>
        <v>1459</v>
      </c>
      <c r="K1460" s="23" t="b">
        <f>IFERROR(__xludf.DUMMYFUNCTION("""COMPUTED_VALUE"""),TRUE)</f>
        <v>1</v>
      </c>
      <c r="L1460" s="23" t="str">
        <f>IFERROR(__xludf.DUMMYFUNCTION("""COMPUTED_VALUE"""),"Database;")</f>
        <v>Database;</v>
      </c>
      <c r="M1460" s="23" t="b">
        <f>IFERROR(__xludf.DUMMYFUNCTION("""COMPUTED_VALUE"""),FALSE)</f>
        <v>0</v>
      </c>
      <c r="N1460" s="23" t="b">
        <f>IFERROR(__xludf.DUMMYFUNCTION("""COMPUTED_VALUE"""),FALSE)</f>
        <v>0</v>
      </c>
      <c r="O1460" s="23">
        <f>IFERROR(__xludf.DUMMYFUNCTION("""COMPUTED_VALUE"""),68.4700363196125)</f>
        <v>68.47003632</v>
      </c>
      <c r="P1460" s="23">
        <f>IFERROR(__xludf.DUMMYFUNCTION("""COMPUTED_VALUE"""),9049.0)</f>
        <v>9049</v>
      </c>
      <c r="Q1460" s="23">
        <f>IFERROR(__xludf.DUMMYFUNCTION("""COMPUTED_VALUE"""),13216.0)</f>
        <v>13216</v>
      </c>
    </row>
    <row r="1461">
      <c r="A1461" s="23">
        <f>IFERROR(__xludf.DUMMYFUNCTION("""COMPUTED_VALUE"""),1556.0)</f>
        <v>1556</v>
      </c>
      <c r="B1461" s="23" t="str">
        <f>IFERROR(__xludf.DUMMYFUNCTION("""COMPUTED_VALUE"""),"Make Two Arrays Equal by Reversing Sub-arrays")</f>
        <v>Make Two Arrays Equal by Reversing Sub-arrays</v>
      </c>
      <c r="C1461" s="23" t="str">
        <f>IFERROR(__xludf.DUMMYFUNCTION("""COMPUTED_VALUE"""),"make-two-arrays-equal-by-reversing-sub-arrays")</f>
        <v>make-two-arrays-equal-by-reversing-sub-arrays</v>
      </c>
      <c r="D1461" s="23" t="b">
        <f>IFERROR(__xludf.DUMMYFUNCTION("""COMPUTED_VALUE"""),FALSE)</f>
        <v>0</v>
      </c>
      <c r="E1461" s="23" t="str">
        <f>IFERROR(__xludf.DUMMYFUNCTION("""COMPUTED_VALUE"""),"Easy")</f>
        <v>Easy</v>
      </c>
      <c r="F1461" s="23">
        <f>IFERROR(__xludf.DUMMYFUNCTION("""COMPUTED_VALUE"""),717.0)</f>
        <v>717</v>
      </c>
      <c r="G1461" s="23">
        <f>IFERROR(__xludf.DUMMYFUNCTION("""COMPUTED_VALUE"""),108.0)</f>
        <v>108</v>
      </c>
      <c r="H1461" s="23" t="str">
        <f>IFERROR(__xludf.DUMMYFUNCTION("""COMPUTED_VALUE"""),"Algorithms")</f>
        <v>Algorithms</v>
      </c>
      <c r="I1461" s="23">
        <f>IFERROR(__xludf.DUMMYFUNCTION("""COMPUTED_VALUE"""),0.725)</f>
        <v>0.725</v>
      </c>
      <c r="J1461" s="23">
        <f>IFERROR(__xludf.DUMMYFUNCTION("""COMPUTED_VALUE"""),1460.0)</f>
        <v>1460</v>
      </c>
      <c r="K1461" s="23" t="b">
        <f>IFERROR(__xludf.DUMMYFUNCTION("""COMPUTED_VALUE"""),FALSE)</f>
        <v>0</v>
      </c>
      <c r="L1461" s="23" t="str">
        <f>IFERROR(__xludf.DUMMYFUNCTION("""COMPUTED_VALUE"""),"Array;Hash Table;Sorting;")</f>
        <v>Array;Hash Table;Sorting;</v>
      </c>
      <c r="M1461" s="23" t="b">
        <f>IFERROR(__xludf.DUMMYFUNCTION("""COMPUTED_VALUE"""),FALSE)</f>
        <v>0</v>
      </c>
      <c r="N1461" s="23" t="b">
        <f>IFERROR(__xludf.DUMMYFUNCTION("""COMPUTED_VALUE"""),FALSE)</f>
        <v>0</v>
      </c>
      <c r="O1461" s="23">
        <f>IFERROR(__xludf.DUMMYFUNCTION("""COMPUTED_VALUE"""),72.5046952945075)</f>
        <v>72.50469529</v>
      </c>
      <c r="P1461" s="23">
        <f>IFERROR(__xludf.DUMMYFUNCTION("""COMPUTED_VALUE"""),85317.0)</f>
        <v>85317</v>
      </c>
      <c r="Q1461" s="23">
        <f>IFERROR(__xludf.DUMMYFUNCTION("""COMPUTED_VALUE"""),117671.0)</f>
        <v>117671</v>
      </c>
    </row>
    <row r="1462">
      <c r="A1462" s="23">
        <f>IFERROR(__xludf.DUMMYFUNCTION("""COMPUTED_VALUE"""),1557.0)</f>
        <v>1557</v>
      </c>
      <c r="B1462" s="23" t="str">
        <f>IFERROR(__xludf.DUMMYFUNCTION("""COMPUTED_VALUE"""),"Check If a String Contains All Binary Codes of Size K")</f>
        <v>Check If a String Contains All Binary Codes of Size K</v>
      </c>
      <c r="C1462" s="23" t="str">
        <f>IFERROR(__xludf.DUMMYFUNCTION("""COMPUTED_VALUE"""),"check-if-a-string-contains-all-binary-codes-of-size-k")</f>
        <v>check-if-a-string-contains-all-binary-codes-of-size-k</v>
      </c>
      <c r="D1462" s="23" t="b">
        <f>IFERROR(__xludf.DUMMYFUNCTION("""COMPUTED_VALUE"""),FALSE)</f>
        <v>0</v>
      </c>
      <c r="E1462" s="23" t="str">
        <f>IFERROR(__xludf.DUMMYFUNCTION("""COMPUTED_VALUE"""),"Medium")</f>
        <v>Medium</v>
      </c>
      <c r="F1462" s="23">
        <f>IFERROR(__xludf.DUMMYFUNCTION("""COMPUTED_VALUE"""),688.0)</f>
        <v>688</v>
      </c>
      <c r="G1462" s="23">
        <f>IFERROR(__xludf.DUMMYFUNCTION("""COMPUTED_VALUE"""),66.0)</f>
        <v>66</v>
      </c>
      <c r="H1462" s="23" t="str">
        <f>IFERROR(__xludf.DUMMYFUNCTION("""COMPUTED_VALUE"""),"Algorithms")</f>
        <v>Algorithms</v>
      </c>
      <c r="I1462" s="23">
        <f>IFERROR(__xludf.DUMMYFUNCTION("""COMPUTED_VALUE"""),0.545)</f>
        <v>0.545</v>
      </c>
      <c r="J1462" s="23">
        <f>IFERROR(__xludf.DUMMYFUNCTION("""COMPUTED_VALUE"""),1461.0)</f>
        <v>1461</v>
      </c>
      <c r="K1462" s="23" t="b">
        <f>IFERROR(__xludf.DUMMYFUNCTION("""COMPUTED_VALUE"""),FALSE)</f>
        <v>0</v>
      </c>
      <c r="L1462" s="23" t="str">
        <f>IFERROR(__xludf.DUMMYFUNCTION("""COMPUTED_VALUE"""),"Hash Table;String;Bit Manipulation;Rolling Hash;Hash Function;")</f>
        <v>Hash Table;String;Bit Manipulation;Rolling Hash;Hash Function;</v>
      </c>
      <c r="M1462" s="23" t="b">
        <f>IFERROR(__xludf.DUMMYFUNCTION("""COMPUTED_VALUE"""),TRUE)</f>
        <v>1</v>
      </c>
      <c r="N1462" s="23" t="b">
        <f>IFERROR(__xludf.DUMMYFUNCTION("""COMPUTED_VALUE"""),FALSE)</f>
        <v>0</v>
      </c>
      <c r="O1462" s="23">
        <f>IFERROR(__xludf.DUMMYFUNCTION("""COMPUTED_VALUE"""),54.4691239718448)</f>
        <v>54.46912397</v>
      </c>
      <c r="P1462" s="23">
        <f>IFERROR(__xludf.DUMMYFUNCTION("""COMPUTED_VALUE"""),47746.0)</f>
        <v>47746</v>
      </c>
      <c r="Q1462" s="23">
        <f>IFERROR(__xludf.DUMMYFUNCTION("""COMPUTED_VALUE"""),87657.0)</f>
        <v>87657</v>
      </c>
    </row>
    <row r="1463">
      <c r="A1463" s="23">
        <f>IFERROR(__xludf.DUMMYFUNCTION("""COMPUTED_VALUE"""),1558.0)</f>
        <v>1558</v>
      </c>
      <c r="B1463" s="23" t="str">
        <f>IFERROR(__xludf.DUMMYFUNCTION("""COMPUTED_VALUE"""),"Course Schedule IV")</f>
        <v>Course Schedule IV</v>
      </c>
      <c r="C1463" s="23" t="str">
        <f>IFERROR(__xludf.DUMMYFUNCTION("""COMPUTED_VALUE"""),"course-schedule-iv")</f>
        <v>course-schedule-iv</v>
      </c>
      <c r="D1463" s="23" t="b">
        <f>IFERROR(__xludf.DUMMYFUNCTION("""COMPUTED_VALUE"""),FALSE)</f>
        <v>0</v>
      </c>
      <c r="E1463" s="23" t="str">
        <f>IFERROR(__xludf.DUMMYFUNCTION("""COMPUTED_VALUE"""),"Medium")</f>
        <v>Medium</v>
      </c>
      <c r="F1463" s="23">
        <f>IFERROR(__xludf.DUMMYFUNCTION("""COMPUTED_VALUE"""),780.0)</f>
        <v>780</v>
      </c>
      <c r="G1463" s="23">
        <f>IFERROR(__xludf.DUMMYFUNCTION("""COMPUTED_VALUE"""),46.0)</f>
        <v>46</v>
      </c>
      <c r="H1463" s="23" t="str">
        <f>IFERROR(__xludf.DUMMYFUNCTION("""COMPUTED_VALUE"""),"Algorithms")</f>
        <v>Algorithms</v>
      </c>
      <c r="I1463" s="23">
        <f>IFERROR(__xludf.DUMMYFUNCTION("""COMPUTED_VALUE"""),0.479)</f>
        <v>0.479</v>
      </c>
      <c r="J1463" s="23">
        <f>IFERROR(__xludf.DUMMYFUNCTION("""COMPUTED_VALUE"""),1462.0)</f>
        <v>1462</v>
      </c>
      <c r="K1463" s="23" t="b">
        <f>IFERROR(__xludf.DUMMYFUNCTION("""COMPUTED_VALUE"""),FALSE)</f>
        <v>0</v>
      </c>
      <c r="L1463" s="23" t="str">
        <f>IFERROR(__xludf.DUMMYFUNCTION("""COMPUTED_VALUE"""),"Depth-First Search;Breadth-First Search;Graph;Topological Sort;")</f>
        <v>Depth-First Search;Breadth-First Search;Graph;Topological Sort;</v>
      </c>
      <c r="M1463" s="23" t="b">
        <f>IFERROR(__xludf.DUMMYFUNCTION("""COMPUTED_VALUE"""),FALSE)</f>
        <v>0</v>
      </c>
      <c r="N1463" s="23" t="b">
        <f>IFERROR(__xludf.DUMMYFUNCTION("""COMPUTED_VALUE"""),FALSE)</f>
        <v>0</v>
      </c>
      <c r="O1463" s="23">
        <f>IFERROR(__xludf.DUMMYFUNCTION("""COMPUTED_VALUE"""),47.9028765852149)</f>
        <v>47.90287659</v>
      </c>
      <c r="P1463" s="23">
        <f>IFERROR(__xludf.DUMMYFUNCTION("""COMPUTED_VALUE"""),30974.0)</f>
        <v>30974</v>
      </c>
      <c r="Q1463" s="23">
        <f>IFERROR(__xludf.DUMMYFUNCTION("""COMPUTED_VALUE"""),64660.0)</f>
        <v>64660</v>
      </c>
    </row>
    <row r="1464">
      <c r="A1464" s="23">
        <f>IFERROR(__xludf.DUMMYFUNCTION("""COMPUTED_VALUE"""),1559.0)</f>
        <v>1559</v>
      </c>
      <c r="B1464" s="23" t="str">
        <f>IFERROR(__xludf.DUMMYFUNCTION("""COMPUTED_VALUE"""),"Cherry Pickup II")</f>
        <v>Cherry Pickup II</v>
      </c>
      <c r="C1464" s="23" t="str">
        <f>IFERROR(__xludf.DUMMYFUNCTION("""COMPUTED_VALUE"""),"cherry-pickup-ii")</f>
        <v>cherry-pickup-ii</v>
      </c>
      <c r="D1464" s="23" t="b">
        <f>IFERROR(__xludf.DUMMYFUNCTION("""COMPUTED_VALUE"""),FALSE)</f>
        <v>0</v>
      </c>
      <c r="E1464" s="23" t="str">
        <f>IFERROR(__xludf.DUMMYFUNCTION("""COMPUTED_VALUE"""),"Hard")</f>
        <v>Hard</v>
      </c>
      <c r="F1464" s="23">
        <f>IFERROR(__xludf.DUMMYFUNCTION("""COMPUTED_VALUE"""),1942.0)</f>
        <v>1942</v>
      </c>
      <c r="G1464" s="23">
        <f>IFERROR(__xludf.DUMMYFUNCTION("""COMPUTED_VALUE"""),20.0)</f>
        <v>20</v>
      </c>
      <c r="H1464" s="23" t="str">
        <f>IFERROR(__xludf.DUMMYFUNCTION("""COMPUTED_VALUE"""),"Algorithms")</f>
        <v>Algorithms</v>
      </c>
      <c r="I1464" s="23">
        <f>IFERROR(__xludf.DUMMYFUNCTION("""COMPUTED_VALUE"""),0.708)</f>
        <v>0.708</v>
      </c>
      <c r="J1464" s="23">
        <f>IFERROR(__xludf.DUMMYFUNCTION("""COMPUTED_VALUE"""),1463.0)</f>
        <v>1463</v>
      </c>
      <c r="K1464" s="23" t="b">
        <f>IFERROR(__xludf.DUMMYFUNCTION("""COMPUTED_VALUE"""),FALSE)</f>
        <v>0</v>
      </c>
      <c r="L1464" s="23" t="str">
        <f>IFERROR(__xludf.DUMMYFUNCTION("""COMPUTED_VALUE"""),"Array;Dynamic Programming;Matrix;")</f>
        <v>Array;Dynamic Programming;Matrix;</v>
      </c>
      <c r="M1464" s="23" t="b">
        <f>IFERROR(__xludf.DUMMYFUNCTION("""COMPUTED_VALUE"""),TRUE)</f>
        <v>1</v>
      </c>
      <c r="N1464" s="23" t="b">
        <f>IFERROR(__xludf.DUMMYFUNCTION("""COMPUTED_VALUE"""),FALSE)</f>
        <v>0</v>
      </c>
      <c r="O1464" s="23">
        <f>IFERROR(__xludf.DUMMYFUNCTION("""COMPUTED_VALUE"""),70.7603048987716)</f>
        <v>70.7603049</v>
      </c>
      <c r="P1464" s="23">
        <f>IFERROR(__xludf.DUMMYFUNCTION("""COMPUTED_VALUE"""),58298.0)</f>
        <v>58298</v>
      </c>
      <c r="Q1464" s="23">
        <f>IFERROR(__xludf.DUMMYFUNCTION("""COMPUTED_VALUE"""),82388.0)</f>
        <v>82388</v>
      </c>
    </row>
    <row r="1465">
      <c r="A1465" s="23">
        <f>IFERROR(__xludf.DUMMYFUNCTION("""COMPUTED_VALUE"""),1574.0)</f>
        <v>1574</v>
      </c>
      <c r="B1465" s="23" t="str">
        <f>IFERROR(__xludf.DUMMYFUNCTION("""COMPUTED_VALUE"""),"Maximum Product of Two Elements in an Array")</f>
        <v>Maximum Product of Two Elements in an Array</v>
      </c>
      <c r="C1465" s="23" t="str">
        <f>IFERROR(__xludf.DUMMYFUNCTION("""COMPUTED_VALUE"""),"maximum-product-of-two-elements-in-an-array")</f>
        <v>maximum-product-of-two-elements-in-an-array</v>
      </c>
      <c r="D1465" s="23" t="b">
        <f>IFERROR(__xludf.DUMMYFUNCTION("""COMPUTED_VALUE"""),FALSE)</f>
        <v>0</v>
      </c>
      <c r="E1465" s="23" t="str">
        <f>IFERROR(__xludf.DUMMYFUNCTION("""COMPUTED_VALUE"""),"Easy")</f>
        <v>Easy</v>
      </c>
      <c r="F1465" s="23">
        <f>IFERROR(__xludf.DUMMYFUNCTION("""COMPUTED_VALUE"""),930.0)</f>
        <v>930</v>
      </c>
      <c r="G1465" s="23">
        <f>IFERROR(__xludf.DUMMYFUNCTION("""COMPUTED_VALUE"""),157.0)</f>
        <v>157</v>
      </c>
      <c r="H1465" s="23" t="str">
        <f>IFERROR(__xludf.DUMMYFUNCTION("""COMPUTED_VALUE"""),"Algorithms")</f>
        <v>Algorithms</v>
      </c>
      <c r="I1465" s="23">
        <f>IFERROR(__xludf.DUMMYFUNCTION("""COMPUTED_VALUE"""),0.785)</f>
        <v>0.785</v>
      </c>
      <c r="J1465" s="23">
        <f>IFERROR(__xludf.DUMMYFUNCTION("""COMPUTED_VALUE"""),1464.0)</f>
        <v>1464</v>
      </c>
      <c r="K1465" s="23" t="b">
        <f>IFERROR(__xludf.DUMMYFUNCTION("""COMPUTED_VALUE"""),FALSE)</f>
        <v>0</v>
      </c>
      <c r="L1465" s="23" t="str">
        <f>IFERROR(__xludf.DUMMYFUNCTION("""COMPUTED_VALUE"""),"Array;Sorting;Heap (Priority Queue);")</f>
        <v>Array;Sorting;Heap (Priority Queue);</v>
      </c>
      <c r="M1465" s="23" t="b">
        <f>IFERROR(__xludf.DUMMYFUNCTION("""COMPUTED_VALUE"""),FALSE)</f>
        <v>0</v>
      </c>
      <c r="N1465" s="23" t="b">
        <f>IFERROR(__xludf.DUMMYFUNCTION("""COMPUTED_VALUE"""),FALSE)</f>
        <v>0</v>
      </c>
      <c r="O1465" s="23">
        <f>IFERROR(__xludf.DUMMYFUNCTION("""COMPUTED_VALUE"""),78.4552056937085)</f>
        <v>78.45520569</v>
      </c>
      <c r="P1465" s="23">
        <f>IFERROR(__xludf.DUMMYFUNCTION("""COMPUTED_VALUE"""),129412.0)</f>
        <v>129412</v>
      </c>
      <c r="Q1465" s="23">
        <f>IFERROR(__xludf.DUMMYFUNCTION("""COMPUTED_VALUE"""),164951.0)</f>
        <v>164951</v>
      </c>
    </row>
    <row r="1466">
      <c r="A1466" s="23">
        <f>IFERROR(__xludf.DUMMYFUNCTION("""COMPUTED_VALUE"""),1575.0)</f>
        <v>1575</v>
      </c>
      <c r="B1466" s="23" t="str">
        <f>IFERROR(__xludf.DUMMYFUNCTION("""COMPUTED_VALUE"""),"Maximum Area of a Piece of Cake After Horizontal and Vertical Cuts")</f>
        <v>Maximum Area of a Piece of Cake After Horizontal and Vertical Cuts</v>
      </c>
      <c r="C1466" s="23" t="str">
        <f>IFERROR(__xludf.DUMMYFUNCTION("""COMPUTED_VALUE"""),"maximum-area-of-a-piece-of-cake-after-horizontal-and-vertical-cuts")</f>
        <v>maximum-area-of-a-piece-of-cake-after-horizontal-and-vertical-cuts</v>
      </c>
      <c r="D1466" s="23" t="b">
        <f>IFERROR(__xludf.DUMMYFUNCTION("""COMPUTED_VALUE"""),FALSE)</f>
        <v>0</v>
      </c>
      <c r="E1466" s="23" t="str">
        <f>IFERROR(__xludf.DUMMYFUNCTION("""COMPUTED_VALUE"""),"Medium")</f>
        <v>Medium</v>
      </c>
      <c r="F1466" s="23">
        <f>IFERROR(__xludf.DUMMYFUNCTION("""COMPUTED_VALUE"""),1049.0)</f>
        <v>1049</v>
      </c>
      <c r="G1466" s="23">
        <f>IFERROR(__xludf.DUMMYFUNCTION("""COMPUTED_VALUE"""),232.0)</f>
        <v>232</v>
      </c>
      <c r="H1466" s="23" t="str">
        <f>IFERROR(__xludf.DUMMYFUNCTION("""COMPUTED_VALUE"""),"Algorithms")</f>
        <v>Algorithms</v>
      </c>
      <c r="I1466" s="23">
        <f>IFERROR(__xludf.DUMMYFUNCTION("""COMPUTED_VALUE"""),0.371)</f>
        <v>0.371</v>
      </c>
      <c r="J1466" s="23">
        <f>IFERROR(__xludf.DUMMYFUNCTION("""COMPUTED_VALUE"""),1465.0)</f>
        <v>1465</v>
      </c>
      <c r="K1466" s="23" t="b">
        <f>IFERROR(__xludf.DUMMYFUNCTION("""COMPUTED_VALUE"""),FALSE)</f>
        <v>0</v>
      </c>
      <c r="L1466" s="23" t="str">
        <f>IFERROR(__xludf.DUMMYFUNCTION("""COMPUTED_VALUE"""),"Array;Greedy;Sorting;")</f>
        <v>Array;Greedy;Sorting;</v>
      </c>
      <c r="M1466" s="23" t="b">
        <f>IFERROR(__xludf.DUMMYFUNCTION("""COMPUTED_VALUE"""),TRUE)</f>
        <v>1</v>
      </c>
      <c r="N1466" s="23" t="b">
        <f>IFERROR(__xludf.DUMMYFUNCTION("""COMPUTED_VALUE"""),FALSE)</f>
        <v>0</v>
      </c>
      <c r="O1466" s="23">
        <f>IFERROR(__xludf.DUMMYFUNCTION("""COMPUTED_VALUE"""),37.1402333226329)</f>
        <v>37.14023332</v>
      </c>
      <c r="P1466" s="23">
        <f>IFERROR(__xludf.DUMMYFUNCTION("""COMPUTED_VALUE"""),91401.0)</f>
        <v>91401</v>
      </c>
      <c r="Q1466" s="23">
        <f>IFERROR(__xludf.DUMMYFUNCTION("""COMPUTED_VALUE"""),246097.0)</f>
        <v>246097</v>
      </c>
    </row>
    <row r="1467">
      <c r="A1467" s="23">
        <f>IFERROR(__xludf.DUMMYFUNCTION("""COMPUTED_VALUE"""),1576.0)</f>
        <v>1576</v>
      </c>
      <c r="B1467" s="23" t="str">
        <f>IFERROR(__xludf.DUMMYFUNCTION("""COMPUTED_VALUE"""),"Reorder Routes to Make All Paths Lead to the City Zero")</f>
        <v>Reorder Routes to Make All Paths Lead to the City Zero</v>
      </c>
      <c r="C1467" s="23" t="str">
        <f>IFERROR(__xludf.DUMMYFUNCTION("""COMPUTED_VALUE"""),"reorder-routes-to-make-all-paths-lead-to-the-city-zero")</f>
        <v>reorder-routes-to-make-all-paths-lead-to-the-city-zero</v>
      </c>
      <c r="D1467" s="23" t="b">
        <f>IFERROR(__xludf.DUMMYFUNCTION("""COMPUTED_VALUE"""),FALSE)</f>
        <v>0</v>
      </c>
      <c r="E1467" s="23" t="str">
        <f>IFERROR(__xludf.DUMMYFUNCTION("""COMPUTED_VALUE"""),"Medium")</f>
        <v>Medium</v>
      </c>
      <c r="F1467" s="23">
        <f>IFERROR(__xludf.DUMMYFUNCTION("""COMPUTED_VALUE"""),1448.0)</f>
        <v>1448</v>
      </c>
      <c r="G1467" s="23">
        <f>IFERROR(__xludf.DUMMYFUNCTION("""COMPUTED_VALUE"""),37.0)</f>
        <v>37</v>
      </c>
      <c r="H1467" s="23" t="str">
        <f>IFERROR(__xludf.DUMMYFUNCTION("""COMPUTED_VALUE"""),"Algorithms")</f>
        <v>Algorithms</v>
      </c>
      <c r="I1467" s="23">
        <f>IFERROR(__xludf.DUMMYFUNCTION("""COMPUTED_VALUE"""),0.61)</f>
        <v>0.61</v>
      </c>
      <c r="J1467" s="23">
        <f>IFERROR(__xludf.DUMMYFUNCTION("""COMPUTED_VALUE"""),1466.0)</f>
        <v>1466</v>
      </c>
      <c r="K1467" s="23" t="b">
        <f>IFERROR(__xludf.DUMMYFUNCTION("""COMPUTED_VALUE"""),FALSE)</f>
        <v>0</v>
      </c>
      <c r="L1467" s="23" t="str">
        <f>IFERROR(__xludf.DUMMYFUNCTION("""COMPUTED_VALUE"""),"Depth-First Search;Breadth-First Search;Graph;")</f>
        <v>Depth-First Search;Breadth-First Search;Graph;</v>
      </c>
      <c r="M1467" s="23" t="b">
        <f>IFERROR(__xludf.DUMMYFUNCTION("""COMPUTED_VALUE"""),FALSE)</f>
        <v>0</v>
      </c>
      <c r="N1467" s="23" t="b">
        <f>IFERROR(__xludf.DUMMYFUNCTION("""COMPUTED_VALUE"""),FALSE)</f>
        <v>0</v>
      </c>
      <c r="O1467" s="23">
        <f>IFERROR(__xludf.DUMMYFUNCTION("""COMPUTED_VALUE"""),61.0332361516035)</f>
        <v>61.03323615</v>
      </c>
      <c r="P1467" s="23">
        <f>IFERROR(__xludf.DUMMYFUNCTION("""COMPUTED_VALUE"""),52335.0)</f>
        <v>52335</v>
      </c>
      <c r="Q1467" s="23">
        <f>IFERROR(__xludf.DUMMYFUNCTION("""COMPUTED_VALUE"""),85749.0)</f>
        <v>85749</v>
      </c>
    </row>
    <row r="1468">
      <c r="A1468" s="23">
        <f>IFERROR(__xludf.DUMMYFUNCTION("""COMPUTED_VALUE"""),1577.0)</f>
        <v>1577</v>
      </c>
      <c r="B1468" s="23" t="str">
        <f>IFERROR(__xludf.DUMMYFUNCTION("""COMPUTED_VALUE"""),"Probability of a Two Boxes Having The Same Number of Distinct Balls")</f>
        <v>Probability of a Two Boxes Having The Same Number of Distinct Balls</v>
      </c>
      <c r="C1468" s="23" t="str">
        <f>IFERROR(__xludf.DUMMYFUNCTION("""COMPUTED_VALUE"""),"probability-of-a-two-boxes-having-the-same-number-of-distinct-balls")</f>
        <v>probability-of-a-two-boxes-having-the-same-number-of-distinct-balls</v>
      </c>
      <c r="D1468" s="23" t="b">
        <f>IFERROR(__xludf.DUMMYFUNCTION("""COMPUTED_VALUE"""),FALSE)</f>
        <v>0</v>
      </c>
      <c r="E1468" s="23" t="str">
        <f>IFERROR(__xludf.DUMMYFUNCTION("""COMPUTED_VALUE"""),"Hard")</f>
        <v>Hard</v>
      </c>
      <c r="F1468" s="23">
        <f>IFERROR(__xludf.DUMMYFUNCTION("""COMPUTED_VALUE"""),194.0)</f>
        <v>194</v>
      </c>
      <c r="G1468" s="23">
        <f>IFERROR(__xludf.DUMMYFUNCTION("""COMPUTED_VALUE"""),142.0)</f>
        <v>142</v>
      </c>
      <c r="H1468" s="23" t="str">
        <f>IFERROR(__xludf.DUMMYFUNCTION("""COMPUTED_VALUE"""),"Algorithms")</f>
        <v>Algorithms</v>
      </c>
      <c r="I1468" s="23">
        <f>IFERROR(__xludf.DUMMYFUNCTION("""COMPUTED_VALUE"""),0.609)</f>
        <v>0.609</v>
      </c>
      <c r="J1468" s="23">
        <f>IFERROR(__xludf.DUMMYFUNCTION("""COMPUTED_VALUE"""),1467.0)</f>
        <v>1467</v>
      </c>
      <c r="K1468" s="23" t="b">
        <f>IFERROR(__xludf.DUMMYFUNCTION("""COMPUTED_VALUE"""),FALSE)</f>
        <v>0</v>
      </c>
      <c r="L1468" s="23" t="str">
        <f>IFERROR(__xludf.DUMMYFUNCTION("""COMPUTED_VALUE"""),"Math;Dynamic Programming;Backtracking;Combinatorics;Probability and Statistics;")</f>
        <v>Math;Dynamic Programming;Backtracking;Combinatorics;Probability and Statistics;</v>
      </c>
      <c r="M1468" s="23" t="b">
        <f>IFERROR(__xludf.DUMMYFUNCTION("""COMPUTED_VALUE"""),FALSE)</f>
        <v>0</v>
      </c>
      <c r="N1468" s="23" t="b">
        <f>IFERROR(__xludf.DUMMYFUNCTION("""COMPUTED_VALUE"""),FALSE)</f>
        <v>0</v>
      </c>
      <c r="O1468" s="23">
        <f>IFERROR(__xludf.DUMMYFUNCTION("""COMPUTED_VALUE"""),60.8966503267973)</f>
        <v>60.89665033</v>
      </c>
      <c r="P1468" s="23">
        <f>IFERROR(__xludf.DUMMYFUNCTION("""COMPUTED_VALUE"""),5963.0)</f>
        <v>5963</v>
      </c>
      <c r="Q1468" s="23">
        <f>IFERROR(__xludf.DUMMYFUNCTION("""COMPUTED_VALUE"""),9792.0)</f>
        <v>9792</v>
      </c>
    </row>
    <row r="1469">
      <c r="A1469" s="23">
        <f>IFERROR(__xludf.DUMMYFUNCTION("""COMPUTED_VALUE"""),1608.0)</f>
        <v>1608</v>
      </c>
      <c r="B1469" s="23" t="str">
        <f>IFERROR(__xludf.DUMMYFUNCTION("""COMPUTED_VALUE"""),"Calculate Salaries")</f>
        <v>Calculate Salaries</v>
      </c>
      <c r="C1469" s="23" t="str">
        <f>IFERROR(__xludf.DUMMYFUNCTION("""COMPUTED_VALUE"""),"calculate-salaries")</f>
        <v>calculate-salaries</v>
      </c>
      <c r="D1469" s="23" t="b">
        <f>IFERROR(__xludf.DUMMYFUNCTION("""COMPUTED_VALUE"""),TRUE)</f>
        <v>1</v>
      </c>
      <c r="E1469" s="23" t="str">
        <f>IFERROR(__xludf.DUMMYFUNCTION("""COMPUTED_VALUE"""),"Medium")</f>
        <v>Medium</v>
      </c>
      <c r="F1469" s="23">
        <f>IFERROR(__xludf.DUMMYFUNCTION("""COMPUTED_VALUE"""),83.0)</f>
        <v>83</v>
      </c>
      <c r="G1469" s="23">
        <f>IFERROR(__xludf.DUMMYFUNCTION("""COMPUTED_VALUE"""),16.0)</f>
        <v>16</v>
      </c>
      <c r="H1469" s="23" t="str">
        <f>IFERROR(__xludf.DUMMYFUNCTION("""COMPUTED_VALUE"""),"Database")</f>
        <v>Database</v>
      </c>
      <c r="I1469" s="23">
        <f>IFERROR(__xludf.DUMMYFUNCTION("""COMPUTED_VALUE"""),0.824)</f>
        <v>0.824</v>
      </c>
      <c r="J1469" s="23">
        <f>IFERROR(__xludf.DUMMYFUNCTION("""COMPUTED_VALUE"""),1468.0)</f>
        <v>1468</v>
      </c>
      <c r="K1469" s="23" t="b">
        <f>IFERROR(__xludf.DUMMYFUNCTION("""COMPUTED_VALUE"""),TRUE)</f>
        <v>1</v>
      </c>
      <c r="L1469" s="23" t="str">
        <f>IFERROR(__xludf.DUMMYFUNCTION("""COMPUTED_VALUE"""),"Database;")</f>
        <v>Database;</v>
      </c>
      <c r="M1469" s="23" t="b">
        <f>IFERROR(__xludf.DUMMYFUNCTION("""COMPUTED_VALUE"""),FALSE)</f>
        <v>0</v>
      </c>
      <c r="N1469" s="23" t="b">
        <f>IFERROR(__xludf.DUMMYFUNCTION("""COMPUTED_VALUE"""),FALSE)</f>
        <v>0</v>
      </c>
      <c r="O1469" s="23">
        <f>IFERROR(__xludf.DUMMYFUNCTION("""COMPUTED_VALUE"""),82.3942529351846)</f>
        <v>82.39425294</v>
      </c>
      <c r="P1469" s="23">
        <f>IFERROR(__xludf.DUMMYFUNCTION("""COMPUTED_VALUE"""),15369.0)</f>
        <v>15369</v>
      </c>
      <c r="Q1469" s="23">
        <f>IFERROR(__xludf.DUMMYFUNCTION("""COMPUTED_VALUE"""),18653.0)</f>
        <v>18653</v>
      </c>
    </row>
    <row r="1470">
      <c r="A1470" s="23">
        <f>IFERROR(__xludf.DUMMYFUNCTION("""COMPUTED_VALUE"""),1609.0)</f>
        <v>1609</v>
      </c>
      <c r="B1470" s="23" t="str">
        <f>IFERROR(__xludf.DUMMYFUNCTION("""COMPUTED_VALUE"""),"Find All The Lonely Nodes")</f>
        <v>Find All The Lonely Nodes</v>
      </c>
      <c r="C1470" s="23" t="str">
        <f>IFERROR(__xludf.DUMMYFUNCTION("""COMPUTED_VALUE"""),"find-all-the-lonely-nodes")</f>
        <v>find-all-the-lonely-nodes</v>
      </c>
      <c r="D1470" s="23" t="b">
        <f>IFERROR(__xludf.DUMMYFUNCTION("""COMPUTED_VALUE"""),TRUE)</f>
        <v>1</v>
      </c>
      <c r="E1470" s="23" t="str">
        <f>IFERROR(__xludf.DUMMYFUNCTION("""COMPUTED_VALUE"""),"Easy")</f>
        <v>Easy</v>
      </c>
      <c r="F1470" s="23">
        <f>IFERROR(__xludf.DUMMYFUNCTION("""COMPUTED_VALUE"""),368.0)</f>
        <v>368</v>
      </c>
      <c r="G1470" s="23">
        <f>IFERROR(__xludf.DUMMYFUNCTION("""COMPUTED_VALUE"""),9.0)</f>
        <v>9</v>
      </c>
      <c r="H1470" s="23" t="str">
        <f>IFERROR(__xludf.DUMMYFUNCTION("""COMPUTED_VALUE"""),"Algorithms")</f>
        <v>Algorithms</v>
      </c>
      <c r="I1470" s="23">
        <f>IFERROR(__xludf.DUMMYFUNCTION("""COMPUTED_VALUE"""),0.817)</f>
        <v>0.817</v>
      </c>
      <c r="J1470" s="23">
        <f>IFERROR(__xludf.DUMMYFUNCTION("""COMPUTED_VALUE"""),1469.0)</f>
        <v>1469</v>
      </c>
      <c r="K1470" s="23" t="b">
        <f>IFERROR(__xludf.DUMMYFUNCTION("""COMPUTED_VALUE"""),TRUE)</f>
        <v>1</v>
      </c>
      <c r="L1470" s="23" t="str">
        <f>IFERROR(__xludf.DUMMYFUNCTION("""COMPUTED_VALUE"""),"Tree;Depth-First Search;Breadth-First Search;Binary Tree;")</f>
        <v>Tree;Depth-First Search;Breadth-First Search;Binary Tree;</v>
      </c>
      <c r="M1470" s="23" t="b">
        <f>IFERROR(__xludf.DUMMYFUNCTION("""COMPUTED_VALUE"""),FALSE)</f>
        <v>0</v>
      </c>
      <c r="N1470" s="23" t="b">
        <f>IFERROR(__xludf.DUMMYFUNCTION("""COMPUTED_VALUE"""),FALSE)</f>
        <v>0</v>
      </c>
      <c r="O1470" s="23">
        <f>IFERROR(__xludf.DUMMYFUNCTION("""COMPUTED_VALUE"""),81.6593358789695)</f>
        <v>81.65933588</v>
      </c>
      <c r="P1470" s="23">
        <f>IFERROR(__xludf.DUMMYFUNCTION("""COMPUTED_VALUE"""),33787.0)</f>
        <v>33787</v>
      </c>
      <c r="Q1470" s="23">
        <f>IFERROR(__xludf.DUMMYFUNCTION("""COMPUTED_VALUE"""),41376.0)</f>
        <v>41376</v>
      </c>
    </row>
    <row r="1471">
      <c r="A1471" s="23">
        <f>IFERROR(__xludf.DUMMYFUNCTION("""COMPUTED_VALUE"""),1580.0)</f>
        <v>1580</v>
      </c>
      <c r="B1471" s="23" t="str">
        <f>IFERROR(__xludf.DUMMYFUNCTION("""COMPUTED_VALUE"""),"Shuffle the Array")</f>
        <v>Shuffle the Array</v>
      </c>
      <c r="C1471" s="23" t="str">
        <f>IFERROR(__xludf.DUMMYFUNCTION("""COMPUTED_VALUE"""),"shuffle-the-array")</f>
        <v>shuffle-the-array</v>
      </c>
      <c r="D1471" s="23" t="b">
        <f>IFERROR(__xludf.DUMMYFUNCTION("""COMPUTED_VALUE"""),FALSE)</f>
        <v>0</v>
      </c>
      <c r="E1471" s="23" t="str">
        <f>IFERROR(__xludf.DUMMYFUNCTION("""COMPUTED_VALUE"""),"Easy")</f>
        <v>Easy</v>
      </c>
      <c r="F1471" s="23">
        <f>IFERROR(__xludf.DUMMYFUNCTION("""COMPUTED_VALUE"""),2294.0)</f>
        <v>2294</v>
      </c>
      <c r="G1471" s="23">
        <f>IFERROR(__xludf.DUMMYFUNCTION("""COMPUTED_VALUE"""),170.0)</f>
        <v>170</v>
      </c>
      <c r="H1471" s="23" t="str">
        <f>IFERROR(__xludf.DUMMYFUNCTION("""COMPUTED_VALUE"""),"Algorithms")</f>
        <v>Algorithms</v>
      </c>
      <c r="I1471" s="23">
        <f>IFERROR(__xludf.DUMMYFUNCTION("""COMPUTED_VALUE"""),0.883)</f>
        <v>0.883</v>
      </c>
      <c r="J1471" s="23">
        <f>IFERROR(__xludf.DUMMYFUNCTION("""COMPUTED_VALUE"""),1470.0)</f>
        <v>1470</v>
      </c>
      <c r="K1471" s="23" t="b">
        <f>IFERROR(__xludf.DUMMYFUNCTION("""COMPUTED_VALUE"""),FALSE)</f>
        <v>0</v>
      </c>
      <c r="L1471" s="23" t="str">
        <f>IFERROR(__xludf.DUMMYFUNCTION("""COMPUTED_VALUE"""),"Array;")</f>
        <v>Array;</v>
      </c>
      <c r="M1471" s="23" t="b">
        <f>IFERROR(__xludf.DUMMYFUNCTION("""COMPUTED_VALUE"""),FALSE)</f>
        <v>0</v>
      </c>
      <c r="N1471" s="23" t="b">
        <f>IFERROR(__xludf.DUMMYFUNCTION("""COMPUTED_VALUE"""),FALSE)</f>
        <v>0</v>
      </c>
      <c r="O1471" s="23">
        <f>IFERROR(__xludf.DUMMYFUNCTION("""COMPUTED_VALUE"""),88.3243707468)</f>
        <v>88.32437075</v>
      </c>
      <c r="P1471" s="23">
        <f>IFERROR(__xludf.DUMMYFUNCTION("""COMPUTED_VALUE"""),310590.0)</f>
        <v>310590</v>
      </c>
      <c r="Q1471" s="23">
        <f>IFERROR(__xludf.DUMMYFUNCTION("""COMPUTED_VALUE"""),351647.0)</f>
        <v>351647</v>
      </c>
    </row>
    <row r="1472">
      <c r="A1472" s="23">
        <f>IFERROR(__xludf.DUMMYFUNCTION("""COMPUTED_VALUE"""),1581.0)</f>
        <v>1581</v>
      </c>
      <c r="B1472" s="23" t="str">
        <f>IFERROR(__xludf.DUMMYFUNCTION("""COMPUTED_VALUE"""),"The k Strongest Values in an Array")</f>
        <v>The k Strongest Values in an Array</v>
      </c>
      <c r="C1472" s="23" t="str">
        <f>IFERROR(__xludf.DUMMYFUNCTION("""COMPUTED_VALUE"""),"the-k-strongest-values-in-an-array")</f>
        <v>the-k-strongest-values-in-an-array</v>
      </c>
      <c r="D1472" s="23" t="b">
        <f>IFERROR(__xludf.DUMMYFUNCTION("""COMPUTED_VALUE"""),FALSE)</f>
        <v>0</v>
      </c>
      <c r="E1472" s="23" t="str">
        <f>IFERROR(__xludf.DUMMYFUNCTION("""COMPUTED_VALUE"""),"Medium")</f>
        <v>Medium</v>
      </c>
      <c r="F1472" s="23">
        <f>IFERROR(__xludf.DUMMYFUNCTION("""COMPUTED_VALUE"""),409.0)</f>
        <v>409</v>
      </c>
      <c r="G1472" s="23">
        <f>IFERROR(__xludf.DUMMYFUNCTION("""COMPUTED_VALUE"""),94.0)</f>
        <v>94</v>
      </c>
      <c r="H1472" s="23" t="str">
        <f>IFERROR(__xludf.DUMMYFUNCTION("""COMPUTED_VALUE"""),"Algorithms")</f>
        <v>Algorithms</v>
      </c>
      <c r="I1472" s="23">
        <f>IFERROR(__xludf.DUMMYFUNCTION("""COMPUTED_VALUE"""),0.598)</f>
        <v>0.598</v>
      </c>
      <c r="J1472" s="23">
        <f>IFERROR(__xludf.DUMMYFUNCTION("""COMPUTED_VALUE"""),1471.0)</f>
        <v>1471</v>
      </c>
      <c r="K1472" s="23" t="b">
        <f>IFERROR(__xludf.DUMMYFUNCTION("""COMPUTED_VALUE"""),FALSE)</f>
        <v>0</v>
      </c>
      <c r="L1472" s="23" t="str">
        <f>IFERROR(__xludf.DUMMYFUNCTION("""COMPUTED_VALUE"""),"Array;Two Pointers;Sorting;")</f>
        <v>Array;Two Pointers;Sorting;</v>
      </c>
      <c r="M1472" s="23" t="b">
        <f>IFERROR(__xludf.DUMMYFUNCTION("""COMPUTED_VALUE"""),FALSE)</f>
        <v>0</v>
      </c>
      <c r="N1472" s="23" t="b">
        <f>IFERROR(__xludf.DUMMYFUNCTION("""COMPUTED_VALUE"""),FALSE)</f>
        <v>0</v>
      </c>
      <c r="O1472" s="23">
        <f>IFERROR(__xludf.DUMMYFUNCTION("""COMPUTED_VALUE"""),59.7637536913485)</f>
        <v>59.76375369</v>
      </c>
      <c r="P1472" s="23">
        <f>IFERROR(__xludf.DUMMYFUNCTION("""COMPUTED_VALUE"""),27321.0)</f>
        <v>27321</v>
      </c>
      <c r="Q1472" s="23">
        <f>IFERROR(__xludf.DUMMYFUNCTION("""COMPUTED_VALUE"""),45715.0)</f>
        <v>45715</v>
      </c>
    </row>
    <row r="1473">
      <c r="A1473" s="23">
        <f>IFERROR(__xludf.DUMMYFUNCTION("""COMPUTED_VALUE"""),1582.0)</f>
        <v>1582</v>
      </c>
      <c r="B1473" s="23" t="str">
        <f>IFERROR(__xludf.DUMMYFUNCTION("""COMPUTED_VALUE"""),"Design Browser History")</f>
        <v>Design Browser History</v>
      </c>
      <c r="C1473" s="23" t="str">
        <f>IFERROR(__xludf.DUMMYFUNCTION("""COMPUTED_VALUE"""),"design-browser-history")</f>
        <v>design-browser-history</v>
      </c>
      <c r="D1473" s="23" t="b">
        <f>IFERROR(__xludf.DUMMYFUNCTION("""COMPUTED_VALUE"""),FALSE)</f>
        <v>0</v>
      </c>
      <c r="E1473" s="23" t="str">
        <f>IFERROR(__xludf.DUMMYFUNCTION("""COMPUTED_VALUE"""),"Medium")</f>
        <v>Medium</v>
      </c>
      <c r="F1473" s="23">
        <f>IFERROR(__xludf.DUMMYFUNCTION("""COMPUTED_VALUE"""),1265.0)</f>
        <v>1265</v>
      </c>
      <c r="G1473" s="23">
        <f>IFERROR(__xludf.DUMMYFUNCTION("""COMPUTED_VALUE"""),102.0)</f>
        <v>102</v>
      </c>
      <c r="H1473" s="23" t="str">
        <f>IFERROR(__xludf.DUMMYFUNCTION("""COMPUTED_VALUE"""),"Algorithms")</f>
        <v>Algorithms</v>
      </c>
      <c r="I1473" s="23">
        <f>IFERROR(__xludf.DUMMYFUNCTION("""COMPUTED_VALUE"""),0.749)</f>
        <v>0.749</v>
      </c>
      <c r="J1473" s="23">
        <f>IFERROR(__xludf.DUMMYFUNCTION("""COMPUTED_VALUE"""),1472.0)</f>
        <v>1472</v>
      </c>
      <c r="K1473" s="23" t="b">
        <f>IFERROR(__xludf.DUMMYFUNCTION("""COMPUTED_VALUE"""),FALSE)</f>
        <v>0</v>
      </c>
      <c r="L1473" s="23" t="str">
        <f>IFERROR(__xludf.DUMMYFUNCTION("""COMPUTED_VALUE"""),"Array;Linked List;Stack;Design;Doubly-Linked List;Data Stream;")</f>
        <v>Array;Linked List;Stack;Design;Doubly-Linked List;Data Stream;</v>
      </c>
      <c r="M1473" s="23" t="b">
        <f>IFERROR(__xludf.DUMMYFUNCTION("""COMPUTED_VALUE"""),FALSE)</f>
        <v>0</v>
      </c>
      <c r="N1473" s="23" t="b">
        <f>IFERROR(__xludf.DUMMYFUNCTION("""COMPUTED_VALUE"""),FALSE)</f>
        <v>0</v>
      </c>
      <c r="O1473" s="23">
        <f>IFERROR(__xludf.DUMMYFUNCTION("""COMPUTED_VALUE"""),74.926182826372)</f>
        <v>74.92618283</v>
      </c>
      <c r="P1473" s="23">
        <f>IFERROR(__xludf.DUMMYFUNCTION("""COMPUTED_VALUE"""),74858.0)</f>
        <v>74858</v>
      </c>
      <c r="Q1473" s="23">
        <f>IFERROR(__xludf.DUMMYFUNCTION("""COMPUTED_VALUE"""),99909.0)</f>
        <v>99909</v>
      </c>
    </row>
    <row r="1474">
      <c r="A1474" s="23">
        <f>IFERROR(__xludf.DUMMYFUNCTION("""COMPUTED_VALUE"""),1583.0)</f>
        <v>1583</v>
      </c>
      <c r="B1474" s="23" t="str">
        <f>IFERROR(__xludf.DUMMYFUNCTION("""COMPUTED_VALUE"""),"Paint House III")</f>
        <v>Paint House III</v>
      </c>
      <c r="C1474" s="23" t="str">
        <f>IFERROR(__xludf.DUMMYFUNCTION("""COMPUTED_VALUE"""),"paint-house-iii")</f>
        <v>paint-house-iii</v>
      </c>
      <c r="D1474" s="23" t="b">
        <f>IFERROR(__xludf.DUMMYFUNCTION("""COMPUTED_VALUE"""),FALSE)</f>
        <v>0</v>
      </c>
      <c r="E1474" s="23" t="str">
        <f>IFERROR(__xludf.DUMMYFUNCTION("""COMPUTED_VALUE"""),"Hard")</f>
        <v>Hard</v>
      </c>
      <c r="F1474" s="23">
        <f>IFERROR(__xludf.DUMMYFUNCTION("""COMPUTED_VALUE"""),565.0)</f>
        <v>565</v>
      </c>
      <c r="G1474" s="23">
        <f>IFERROR(__xludf.DUMMYFUNCTION("""COMPUTED_VALUE"""),29.0)</f>
        <v>29</v>
      </c>
      <c r="H1474" s="23" t="str">
        <f>IFERROR(__xludf.DUMMYFUNCTION("""COMPUTED_VALUE"""),"Algorithms")</f>
        <v>Algorithms</v>
      </c>
      <c r="I1474" s="23">
        <f>IFERROR(__xludf.DUMMYFUNCTION("""COMPUTED_VALUE"""),0.509)</f>
        <v>0.509</v>
      </c>
      <c r="J1474" s="23">
        <f>IFERROR(__xludf.DUMMYFUNCTION("""COMPUTED_VALUE"""),1473.0)</f>
        <v>1473</v>
      </c>
      <c r="K1474" s="23" t="b">
        <f>IFERROR(__xludf.DUMMYFUNCTION("""COMPUTED_VALUE"""),FALSE)</f>
        <v>0</v>
      </c>
      <c r="L1474" s="23" t="str">
        <f>IFERROR(__xludf.DUMMYFUNCTION("""COMPUTED_VALUE"""),"Array;Dynamic Programming;")</f>
        <v>Array;Dynamic Programming;</v>
      </c>
      <c r="M1474" s="23" t="b">
        <f>IFERROR(__xludf.DUMMYFUNCTION("""COMPUTED_VALUE"""),TRUE)</f>
        <v>1</v>
      </c>
      <c r="N1474" s="23" t="b">
        <f>IFERROR(__xludf.DUMMYFUNCTION("""COMPUTED_VALUE"""),FALSE)</f>
        <v>0</v>
      </c>
      <c r="O1474" s="23">
        <f>IFERROR(__xludf.DUMMYFUNCTION("""COMPUTED_VALUE"""),50.8817999092264)</f>
        <v>50.88179991</v>
      </c>
      <c r="P1474" s="23">
        <f>IFERROR(__xludf.DUMMYFUNCTION("""COMPUTED_VALUE"""),15695.0)</f>
        <v>15695</v>
      </c>
      <c r="Q1474" s="23">
        <f>IFERROR(__xludf.DUMMYFUNCTION("""COMPUTED_VALUE"""),30846.0)</f>
        <v>30846</v>
      </c>
    </row>
    <row r="1475">
      <c r="A1475" s="23">
        <f>IFERROR(__xludf.DUMMYFUNCTION("""COMPUTED_VALUE"""),1618.0)</f>
        <v>1618</v>
      </c>
      <c r="B1475" s="23" t="str">
        <f>IFERROR(__xludf.DUMMYFUNCTION("""COMPUTED_VALUE"""),"Delete N Nodes After M Nodes of a Linked List")</f>
        <v>Delete N Nodes After M Nodes of a Linked List</v>
      </c>
      <c r="C1475" s="23" t="str">
        <f>IFERROR(__xludf.DUMMYFUNCTION("""COMPUTED_VALUE"""),"delete-n-nodes-after-m-nodes-of-a-linked-list")</f>
        <v>delete-n-nodes-after-m-nodes-of-a-linked-list</v>
      </c>
      <c r="D1475" s="23" t="b">
        <f>IFERROR(__xludf.DUMMYFUNCTION("""COMPUTED_VALUE"""),TRUE)</f>
        <v>1</v>
      </c>
      <c r="E1475" s="23" t="str">
        <f>IFERROR(__xludf.DUMMYFUNCTION("""COMPUTED_VALUE"""),"Easy")</f>
        <v>Easy</v>
      </c>
      <c r="F1475" s="23">
        <f>IFERROR(__xludf.DUMMYFUNCTION("""COMPUTED_VALUE"""),285.0)</f>
        <v>285</v>
      </c>
      <c r="G1475" s="23">
        <f>IFERROR(__xludf.DUMMYFUNCTION("""COMPUTED_VALUE"""),8.0)</f>
        <v>8</v>
      </c>
      <c r="H1475" s="23" t="str">
        <f>IFERROR(__xludf.DUMMYFUNCTION("""COMPUTED_VALUE"""),"Algorithms")</f>
        <v>Algorithms</v>
      </c>
      <c r="I1475" s="23">
        <f>IFERROR(__xludf.DUMMYFUNCTION("""COMPUTED_VALUE"""),0.734)</f>
        <v>0.734</v>
      </c>
      <c r="J1475" s="23">
        <f>IFERROR(__xludf.DUMMYFUNCTION("""COMPUTED_VALUE"""),1474.0)</f>
        <v>1474</v>
      </c>
      <c r="K1475" s="23" t="b">
        <f>IFERROR(__xludf.DUMMYFUNCTION("""COMPUTED_VALUE"""),TRUE)</f>
        <v>1</v>
      </c>
      <c r="L1475" s="23" t="str">
        <f>IFERROR(__xludf.DUMMYFUNCTION("""COMPUTED_VALUE"""),"Linked List;")</f>
        <v>Linked List;</v>
      </c>
      <c r="M1475" s="23" t="b">
        <f>IFERROR(__xludf.DUMMYFUNCTION("""COMPUTED_VALUE"""),TRUE)</f>
        <v>1</v>
      </c>
      <c r="N1475" s="23" t="b">
        <f>IFERROR(__xludf.DUMMYFUNCTION("""COMPUTED_VALUE"""),FALSE)</f>
        <v>0</v>
      </c>
      <c r="O1475" s="23">
        <f>IFERROR(__xludf.DUMMYFUNCTION("""COMPUTED_VALUE"""),73.4280824466106)</f>
        <v>73.42808245</v>
      </c>
      <c r="P1475" s="23">
        <f>IFERROR(__xludf.DUMMYFUNCTION("""COMPUTED_VALUE"""),19736.0)</f>
        <v>19736</v>
      </c>
      <c r="Q1475" s="23">
        <f>IFERROR(__xludf.DUMMYFUNCTION("""COMPUTED_VALUE"""),26878.0)</f>
        <v>26878</v>
      </c>
    </row>
    <row r="1476">
      <c r="A1476" s="23">
        <f>IFERROR(__xludf.DUMMYFUNCTION("""COMPUTED_VALUE"""),1570.0)</f>
        <v>1570</v>
      </c>
      <c r="B1476" s="23" t="str">
        <f>IFERROR(__xludf.DUMMYFUNCTION("""COMPUTED_VALUE"""),"Final Prices With a Special Discount in a Shop")</f>
        <v>Final Prices With a Special Discount in a Shop</v>
      </c>
      <c r="C1476" s="23" t="str">
        <f>IFERROR(__xludf.DUMMYFUNCTION("""COMPUTED_VALUE"""),"final-prices-with-a-special-discount-in-a-shop")</f>
        <v>final-prices-with-a-special-discount-in-a-shop</v>
      </c>
      <c r="D1476" s="23" t="b">
        <f>IFERROR(__xludf.DUMMYFUNCTION("""COMPUTED_VALUE"""),FALSE)</f>
        <v>0</v>
      </c>
      <c r="E1476" s="23" t="str">
        <f>IFERROR(__xludf.DUMMYFUNCTION("""COMPUTED_VALUE"""),"Easy")</f>
        <v>Easy</v>
      </c>
      <c r="F1476" s="23">
        <f>IFERROR(__xludf.DUMMYFUNCTION("""COMPUTED_VALUE"""),1041.0)</f>
        <v>1041</v>
      </c>
      <c r="G1476" s="23">
        <f>IFERROR(__xludf.DUMMYFUNCTION("""COMPUTED_VALUE"""),66.0)</f>
        <v>66</v>
      </c>
      <c r="H1476" s="23" t="str">
        <f>IFERROR(__xludf.DUMMYFUNCTION("""COMPUTED_VALUE"""),"Algorithms")</f>
        <v>Algorithms</v>
      </c>
      <c r="I1476" s="23">
        <f>IFERROR(__xludf.DUMMYFUNCTION("""COMPUTED_VALUE"""),0.752)</f>
        <v>0.752</v>
      </c>
      <c r="J1476" s="23">
        <f>IFERROR(__xludf.DUMMYFUNCTION("""COMPUTED_VALUE"""),1475.0)</f>
        <v>1475</v>
      </c>
      <c r="K1476" s="23" t="b">
        <f>IFERROR(__xludf.DUMMYFUNCTION("""COMPUTED_VALUE"""),FALSE)</f>
        <v>0</v>
      </c>
      <c r="L1476" s="23" t="str">
        <f>IFERROR(__xludf.DUMMYFUNCTION("""COMPUTED_VALUE"""),"Array;Stack;Monotonic Stack;")</f>
        <v>Array;Stack;Monotonic Stack;</v>
      </c>
      <c r="M1476" s="23" t="b">
        <f>IFERROR(__xludf.DUMMYFUNCTION("""COMPUTED_VALUE"""),FALSE)</f>
        <v>0</v>
      </c>
      <c r="N1476" s="23" t="b">
        <f>IFERROR(__xludf.DUMMYFUNCTION("""COMPUTED_VALUE"""),FALSE)</f>
        <v>0</v>
      </c>
      <c r="O1476" s="23">
        <f>IFERROR(__xludf.DUMMYFUNCTION("""COMPUTED_VALUE"""),75.2170434086817)</f>
        <v>75.21704341</v>
      </c>
      <c r="P1476" s="23">
        <f>IFERROR(__xludf.DUMMYFUNCTION("""COMPUTED_VALUE"""),75201.0)</f>
        <v>75201</v>
      </c>
      <c r="Q1476" s="23">
        <f>IFERROR(__xludf.DUMMYFUNCTION("""COMPUTED_VALUE"""),99979.0)</f>
        <v>99979</v>
      </c>
    </row>
    <row r="1477">
      <c r="A1477" s="23">
        <f>IFERROR(__xludf.DUMMYFUNCTION("""COMPUTED_VALUE"""),1572.0)</f>
        <v>1572</v>
      </c>
      <c r="B1477" s="23" t="str">
        <f>IFERROR(__xludf.DUMMYFUNCTION("""COMPUTED_VALUE"""),"Subrectangle Queries")</f>
        <v>Subrectangle Queries</v>
      </c>
      <c r="C1477" s="23" t="str">
        <f>IFERROR(__xludf.DUMMYFUNCTION("""COMPUTED_VALUE"""),"subrectangle-queries")</f>
        <v>subrectangle-queries</v>
      </c>
      <c r="D1477" s="23" t="b">
        <f>IFERROR(__xludf.DUMMYFUNCTION("""COMPUTED_VALUE"""),FALSE)</f>
        <v>0</v>
      </c>
      <c r="E1477" s="23" t="str">
        <f>IFERROR(__xludf.DUMMYFUNCTION("""COMPUTED_VALUE"""),"Medium")</f>
        <v>Medium</v>
      </c>
      <c r="F1477" s="23">
        <f>IFERROR(__xludf.DUMMYFUNCTION("""COMPUTED_VALUE"""),368.0)</f>
        <v>368</v>
      </c>
      <c r="G1477" s="23">
        <f>IFERROR(__xludf.DUMMYFUNCTION("""COMPUTED_VALUE"""),989.0)</f>
        <v>989</v>
      </c>
      <c r="H1477" s="23" t="str">
        <f>IFERROR(__xludf.DUMMYFUNCTION("""COMPUTED_VALUE"""),"Algorithms")</f>
        <v>Algorithms</v>
      </c>
      <c r="I1477" s="23">
        <f>IFERROR(__xludf.DUMMYFUNCTION("""COMPUTED_VALUE"""),0.882)</f>
        <v>0.882</v>
      </c>
      <c r="J1477" s="23">
        <f>IFERROR(__xludf.DUMMYFUNCTION("""COMPUTED_VALUE"""),1476.0)</f>
        <v>1476</v>
      </c>
      <c r="K1477" s="23" t="b">
        <f>IFERROR(__xludf.DUMMYFUNCTION("""COMPUTED_VALUE"""),FALSE)</f>
        <v>0</v>
      </c>
      <c r="L1477" s="23" t="str">
        <f>IFERROR(__xludf.DUMMYFUNCTION("""COMPUTED_VALUE"""),"Array;Design;Matrix;")</f>
        <v>Array;Design;Matrix;</v>
      </c>
      <c r="M1477" s="23" t="b">
        <f>IFERROR(__xludf.DUMMYFUNCTION("""COMPUTED_VALUE"""),FALSE)</f>
        <v>0</v>
      </c>
      <c r="N1477" s="23" t="b">
        <f>IFERROR(__xludf.DUMMYFUNCTION("""COMPUTED_VALUE"""),FALSE)</f>
        <v>0</v>
      </c>
      <c r="O1477" s="23">
        <f>IFERROR(__xludf.DUMMYFUNCTION("""COMPUTED_VALUE"""),88.1535398622858)</f>
        <v>88.15353986</v>
      </c>
      <c r="P1477" s="23">
        <f>IFERROR(__xludf.DUMMYFUNCTION("""COMPUTED_VALUE"""),69517.0)</f>
        <v>69517</v>
      </c>
      <c r="Q1477" s="23">
        <f>IFERROR(__xludf.DUMMYFUNCTION("""COMPUTED_VALUE"""),78859.0)</f>
        <v>78859</v>
      </c>
    </row>
    <row r="1478">
      <c r="A1478" s="23">
        <f>IFERROR(__xludf.DUMMYFUNCTION("""COMPUTED_VALUE"""),1573.0)</f>
        <v>1573</v>
      </c>
      <c r="B1478" s="23" t="str">
        <f>IFERROR(__xludf.DUMMYFUNCTION("""COMPUTED_VALUE"""),"Find Two Non-overlapping Sub-arrays Each With Target Sum")</f>
        <v>Find Two Non-overlapping Sub-arrays Each With Target Sum</v>
      </c>
      <c r="C1478" s="23" t="str">
        <f>IFERROR(__xludf.DUMMYFUNCTION("""COMPUTED_VALUE"""),"find-two-non-overlapping-sub-arrays-each-with-target-sum")</f>
        <v>find-two-non-overlapping-sub-arrays-each-with-target-sum</v>
      </c>
      <c r="D1478" s="23" t="b">
        <f>IFERROR(__xludf.DUMMYFUNCTION("""COMPUTED_VALUE"""),FALSE)</f>
        <v>0</v>
      </c>
      <c r="E1478" s="23" t="str">
        <f>IFERROR(__xludf.DUMMYFUNCTION("""COMPUTED_VALUE"""),"Medium")</f>
        <v>Medium</v>
      </c>
      <c r="F1478" s="23">
        <f>IFERROR(__xludf.DUMMYFUNCTION("""COMPUTED_VALUE"""),1210.0)</f>
        <v>1210</v>
      </c>
      <c r="G1478" s="23">
        <f>IFERROR(__xludf.DUMMYFUNCTION("""COMPUTED_VALUE"""),60.0)</f>
        <v>60</v>
      </c>
      <c r="H1478" s="23" t="str">
        <f>IFERROR(__xludf.DUMMYFUNCTION("""COMPUTED_VALUE"""),"Algorithms")</f>
        <v>Algorithms</v>
      </c>
      <c r="I1478" s="23">
        <f>IFERROR(__xludf.DUMMYFUNCTION("""COMPUTED_VALUE"""),0.368)</f>
        <v>0.368</v>
      </c>
      <c r="J1478" s="23">
        <f>IFERROR(__xludf.DUMMYFUNCTION("""COMPUTED_VALUE"""),1477.0)</f>
        <v>1477</v>
      </c>
      <c r="K1478" s="23" t="b">
        <f>IFERROR(__xludf.DUMMYFUNCTION("""COMPUTED_VALUE"""),FALSE)</f>
        <v>0</v>
      </c>
      <c r="L1478" s="23" t="str">
        <f>IFERROR(__xludf.DUMMYFUNCTION("""COMPUTED_VALUE"""),"Array;Hash Table;Binary Search;Dynamic Programming;Sliding Window;")</f>
        <v>Array;Hash Table;Binary Search;Dynamic Programming;Sliding Window;</v>
      </c>
      <c r="M1478" s="23" t="b">
        <f>IFERROR(__xludf.DUMMYFUNCTION("""COMPUTED_VALUE"""),FALSE)</f>
        <v>0</v>
      </c>
      <c r="N1478" s="23" t="b">
        <f>IFERROR(__xludf.DUMMYFUNCTION("""COMPUTED_VALUE"""),FALSE)</f>
        <v>0</v>
      </c>
      <c r="O1478" s="23">
        <f>IFERROR(__xludf.DUMMYFUNCTION("""COMPUTED_VALUE"""),36.7511785960943)</f>
        <v>36.7511786</v>
      </c>
      <c r="P1478" s="23">
        <f>IFERROR(__xludf.DUMMYFUNCTION("""COMPUTED_VALUE"""),36717.0)</f>
        <v>36717</v>
      </c>
      <c r="Q1478" s="23">
        <f>IFERROR(__xludf.DUMMYFUNCTION("""COMPUTED_VALUE"""),99907.0)</f>
        <v>99907</v>
      </c>
    </row>
    <row r="1479">
      <c r="A1479" s="23">
        <f>IFERROR(__xludf.DUMMYFUNCTION("""COMPUTED_VALUE"""),1571.0)</f>
        <v>1571</v>
      </c>
      <c r="B1479" s="23" t="str">
        <f>IFERROR(__xludf.DUMMYFUNCTION("""COMPUTED_VALUE"""),"Allocate Mailboxes")</f>
        <v>Allocate Mailboxes</v>
      </c>
      <c r="C1479" s="23" t="str">
        <f>IFERROR(__xludf.DUMMYFUNCTION("""COMPUTED_VALUE"""),"allocate-mailboxes")</f>
        <v>allocate-mailboxes</v>
      </c>
      <c r="D1479" s="23" t="b">
        <f>IFERROR(__xludf.DUMMYFUNCTION("""COMPUTED_VALUE"""),FALSE)</f>
        <v>0</v>
      </c>
      <c r="E1479" s="23" t="str">
        <f>IFERROR(__xludf.DUMMYFUNCTION("""COMPUTED_VALUE"""),"Hard")</f>
        <v>Hard</v>
      </c>
      <c r="F1479" s="23">
        <f>IFERROR(__xludf.DUMMYFUNCTION("""COMPUTED_VALUE"""),707.0)</f>
        <v>707</v>
      </c>
      <c r="G1479" s="23">
        <f>IFERROR(__xludf.DUMMYFUNCTION("""COMPUTED_VALUE"""),12.0)</f>
        <v>12</v>
      </c>
      <c r="H1479" s="23" t="str">
        <f>IFERROR(__xludf.DUMMYFUNCTION("""COMPUTED_VALUE"""),"Algorithms")</f>
        <v>Algorithms</v>
      </c>
      <c r="I1479" s="23">
        <f>IFERROR(__xludf.DUMMYFUNCTION("""COMPUTED_VALUE"""),0.554)</f>
        <v>0.554</v>
      </c>
      <c r="J1479" s="23">
        <f>IFERROR(__xludf.DUMMYFUNCTION("""COMPUTED_VALUE"""),1478.0)</f>
        <v>1478</v>
      </c>
      <c r="K1479" s="23" t="b">
        <f>IFERROR(__xludf.DUMMYFUNCTION("""COMPUTED_VALUE"""),FALSE)</f>
        <v>0</v>
      </c>
      <c r="L1479" s="23" t="str">
        <f>IFERROR(__xludf.DUMMYFUNCTION("""COMPUTED_VALUE"""),"Array;Math;Dynamic Programming;Sorting;")</f>
        <v>Array;Math;Dynamic Programming;Sorting;</v>
      </c>
      <c r="M1479" s="23" t="b">
        <f>IFERROR(__xludf.DUMMYFUNCTION("""COMPUTED_VALUE"""),FALSE)</f>
        <v>0</v>
      </c>
      <c r="N1479" s="23" t="b">
        <f>IFERROR(__xludf.DUMMYFUNCTION("""COMPUTED_VALUE"""),FALSE)</f>
        <v>0</v>
      </c>
      <c r="O1479" s="23">
        <f>IFERROR(__xludf.DUMMYFUNCTION("""COMPUTED_VALUE"""),55.4152274035693)</f>
        <v>55.4152274</v>
      </c>
      <c r="P1479" s="23">
        <f>IFERROR(__xludf.DUMMYFUNCTION("""COMPUTED_VALUE"""),15401.0)</f>
        <v>15401</v>
      </c>
      <c r="Q1479" s="23">
        <f>IFERROR(__xludf.DUMMYFUNCTION("""COMPUTED_VALUE"""),27792.0)</f>
        <v>27792</v>
      </c>
    </row>
    <row r="1480">
      <c r="A1480" s="23">
        <f>IFERROR(__xludf.DUMMYFUNCTION("""COMPUTED_VALUE"""),1623.0)</f>
        <v>1623</v>
      </c>
      <c r="B1480" s="23" t="str">
        <f>IFERROR(__xludf.DUMMYFUNCTION("""COMPUTED_VALUE"""),"Sales by Day of the Week")</f>
        <v>Sales by Day of the Week</v>
      </c>
      <c r="C1480" s="23" t="str">
        <f>IFERROR(__xludf.DUMMYFUNCTION("""COMPUTED_VALUE"""),"sales-by-day-of-the-week")</f>
        <v>sales-by-day-of-the-week</v>
      </c>
      <c r="D1480" s="23" t="b">
        <f>IFERROR(__xludf.DUMMYFUNCTION("""COMPUTED_VALUE"""),TRUE)</f>
        <v>1</v>
      </c>
      <c r="E1480" s="23" t="str">
        <f>IFERROR(__xludf.DUMMYFUNCTION("""COMPUTED_VALUE"""),"Hard")</f>
        <v>Hard</v>
      </c>
      <c r="F1480" s="23">
        <f>IFERROR(__xludf.DUMMYFUNCTION("""COMPUTED_VALUE"""),98.0)</f>
        <v>98</v>
      </c>
      <c r="G1480" s="23">
        <f>IFERROR(__xludf.DUMMYFUNCTION("""COMPUTED_VALUE"""),34.0)</f>
        <v>34</v>
      </c>
      <c r="H1480" s="23" t="str">
        <f>IFERROR(__xludf.DUMMYFUNCTION("""COMPUTED_VALUE"""),"Database")</f>
        <v>Database</v>
      </c>
      <c r="I1480" s="23">
        <f>IFERROR(__xludf.DUMMYFUNCTION("""COMPUTED_VALUE"""),0.823)</f>
        <v>0.823</v>
      </c>
      <c r="J1480" s="23">
        <f>IFERROR(__xludf.DUMMYFUNCTION("""COMPUTED_VALUE"""),1479.0)</f>
        <v>1479</v>
      </c>
      <c r="K1480" s="23" t="b">
        <f>IFERROR(__xludf.DUMMYFUNCTION("""COMPUTED_VALUE"""),TRUE)</f>
        <v>1</v>
      </c>
      <c r="L1480" s="23" t="str">
        <f>IFERROR(__xludf.DUMMYFUNCTION("""COMPUTED_VALUE"""),"Database;")</f>
        <v>Database;</v>
      </c>
      <c r="M1480" s="23" t="b">
        <f>IFERROR(__xludf.DUMMYFUNCTION("""COMPUTED_VALUE"""),FALSE)</f>
        <v>0</v>
      </c>
      <c r="N1480" s="23" t="b">
        <f>IFERROR(__xludf.DUMMYFUNCTION("""COMPUTED_VALUE"""),FALSE)</f>
        <v>0</v>
      </c>
      <c r="O1480" s="23">
        <f>IFERROR(__xludf.DUMMYFUNCTION("""COMPUTED_VALUE"""),82.3479342630786)</f>
        <v>82.34793426</v>
      </c>
      <c r="P1480" s="23">
        <f>IFERROR(__xludf.DUMMYFUNCTION("""COMPUTED_VALUE"""),12577.0)</f>
        <v>12577</v>
      </c>
      <c r="Q1480" s="23">
        <f>IFERROR(__xludf.DUMMYFUNCTION("""COMPUTED_VALUE"""),15273.0)</f>
        <v>15273</v>
      </c>
    </row>
    <row r="1481">
      <c r="A1481" s="23">
        <f>IFERROR(__xludf.DUMMYFUNCTION("""COMPUTED_VALUE"""),1603.0)</f>
        <v>1603</v>
      </c>
      <c r="B1481" s="23" t="str">
        <f>IFERROR(__xludf.DUMMYFUNCTION("""COMPUTED_VALUE"""),"Running Sum of 1d Array")</f>
        <v>Running Sum of 1d Array</v>
      </c>
      <c r="C1481" s="23" t="str">
        <f>IFERROR(__xludf.DUMMYFUNCTION("""COMPUTED_VALUE"""),"running-sum-of-1d-array")</f>
        <v>running-sum-of-1d-array</v>
      </c>
      <c r="D1481" s="23" t="b">
        <f>IFERROR(__xludf.DUMMYFUNCTION("""COMPUTED_VALUE"""),FALSE)</f>
        <v>0</v>
      </c>
      <c r="E1481" s="23" t="str">
        <f>IFERROR(__xludf.DUMMYFUNCTION("""COMPUTED_VALUE"""),"Easy")</f>
        <v>Easy</v>
      </c>
      <c r="F1481" s="23">
        <f>IFERROR(__xludf.DUMMYFUNCTION("""COMPUTED_VALUE"""),2544.0)</f>
        <v>2544</v>
      </c>
      <c r="G1481" s="23">
        <f>IFERROR(__xludf.DUMMYFUNCTION("""COMPUTED_VALUE"""),177.0)</f>
        <v>177</v>
      </c>
      <c r="H1481" s="23" t="str">
        <f>IFERROR(__xludf.DUMMYFUNCTION("""COMPUTED_VALUE"""),"Algorithms")</f>
        <v>Algorithms</v>
      </c>
      <c r="I1481" s="23">
        <f>IFERROR(__xludf.DUMMYFUNCTION("""COMPUTED_VALUE"""),0.896)</f>
        <v>0.896</v>
      </c>
      <c r="J1481" s="23">
        <f>IFERROR(__xludf.DUMMYFUNCTION("""COMPUTED_VALUE"""),1480.0)</f>
        <v>1480</v>
      </c>
      <c r="K1481" s="23" t="b">
        <f>IFERROR(__xludf.DUMMYFUNCTION("""COMPUTED_VALUE"""),FALSE)</f>
        <v>0</v>
      </c>
      <c r="L1481" s="23" t="str">
        <f>IFERROR(__xludf.DUMMYFUNCTION("""COMPUTED_VALUE"""),"Array;Prefix Sum;")</f>
        <v>Array;Prefix Sum;</v>
      </c>
      <c r="M1481" s="23" t="b">
        <f>IFERROR(__xludf.DUMMYFUNCTION("""COMPUTED_VALUE"""),TRUE)</f>
        <v>1</v>
      </c>
      <c r="N1481" s="23" t="b">
        <f>IFERROR(__xludf.DUMMYFUNCTION("""COMPUTED_VALUE"""),FALSE)</f>
        <v>0</v>
      </c>
      <c r="O1481" s="23">
        <f>IFERROR(__xludf.DUMMYFUNCTION("""COMPUTED_VALUE"""),89.596483771725)</f>
        <v>89.59648377</v>
      </c>
      <c r="P1481" s="23">
        <f>IFERROR(__xludf.DUMMYFUNCTION("""COMPUTED_VALUE"""),512267.0)</f>
        <v>512267</v>
      </c>
      <c r="Q1481" s="23">
        <f>IFERROR(__xludf.DUMMYFUNCTION("""COMPUTED_VALUE"""),571749.0)</f>
        <v>571749</v>
      </c>
    </row>
    <row r="1482">
      <c r="A1482" s="23">
        <f>IFERROR(__xludf.DUMMYFUNCTION("""COMPUTED_VALUE"""),1604.0)</f>
        <v>1604</v>
      </c>
      <c r="B1482" s="23" t="str">
        <f>IFERROR(__xludf.DUMMYFUNCTION("""COMPUTED_VALUE"""),"Least Number of Unique Integers after K Removals")</f>
        <v>Least Number of Unique Integers after K Removals</v>
      </c>
      <c r="C1482" s="23" t="str">
        <f>IFERROR(__xludf.DUMMYFUNCTION("""COMPUTED_VALUE"""),"least-number-of-unique-integers-after-k-removals")</f>
        <v>least-number-of-unique-integers-after-k-removals</v>
      </c>
      <c r="D1482" s="23" t="b">
        <f>IFERROR(__xludf.DUMMYFUNCTION("""COMPUTED_VALUE"""),FALSE)</f>
        <v>0</v>
      </c>
      <c r="E1482" s="23" t="str">
        <f>IFERROR(__xludf.DUMMYFUNCTION("""COMPUTED_VALUE"""),"Medium")</f>
        <v>Medium</v>
      </c>
      <c r="F1482" s="23">
        <f>IFERROR(__xludf.DUMMYFUNCTION("""COMPUTED_VALUE"""),880.0)</f>
        <v>880</v>
      </c>
      <c r="G1482" s="23">
        <f>IFERROR(__xludf.DUMMYFUNCTION("""COMPUTED_VALUE"""),64.0)</f>
        <v>64</v>
      </c>
      <c r="H1482" s="23" t="str">
        <f>IFERROR(__xludf.DUMMYFUNCTION("""COMPUTED_VALUE"""),"Algorithms")</f>
        <v>Algorithms</v>
      </c>
      <c r="I1482" s="23">
        <f>IFERROR(__xludf.DUMMYFUNCTION("""COMPUTED_VALUE"""),0.603)</f>
        <v>0.603</v>
      </c>
      <c r="J1482" s="23">
        <f>IFERROR(__xludf.DUMMYFUNCTION("""COMPUTED_VALUE"""),1481.0)</f>
        <v>1481</v>
      </c>
      <c r="K1482" s="23" t="b">
        <f>IFERROR(__xludf.DUMMYFUNCTION("""COMPUTED_VALUE"""),FALSE)</f>
        <v>0</v>
      </c>
      <c r="L1482" s="23" t="str">
        <f>IFERROR(__xludf.DUMMYFUNCTION("""COMPUTED_VALUE"""),"Array;Hash Table;Greedy;Sorting;Counting;")</f>
        <v>Array;Hash Table;Greedy;Sorting;Counting;</v>
      </c>
      <c r="M1482" s="23" t="b">
        <f>IFERROR(__xludf.DUMMYFUNCTION("""COMPUTED_VALUE"""),FALSE)</f>
        <v>0</v>
      </c>
      <c r="N1482" s="23" t="b">
        <f>IFERROR(__xludf.DUMMYFUNCTION("""COMPUTED_VALUE"""),FALSE)</f>
        <v>0</v>
      </c>
      <c r="O1482" s="23">
        <f>IFERROR(__xludf.DUMMYFUNCTION("""COMPUTED_VALUE"""),60.2547693584931)</f>
        <v>60.25476936</v>
      </c>
      <c r="P1482" s="23">
        <f>IFERROR(__xludf.DUMMYFUNCTION("""COMPUTED_VALUE"""),69675.0)</f>
        <v>69675</v>
      </c>
      <c r="Q1482" s="23">
        <f>IFERROR(__xludf.DUMMYFUNCTION("""COMPUTED_VALUE"""),115634.0)</f>
        <v>115634</v>
      </c>
    </row>
    <row r="1483">
      <c r="A1483" s="23">
        <f>IFERROR(__xludf.DUMMYFUNCTION("""COMPUTED_VALUE"""),1605.0)</f>
        <v>1605</v>
      </c>
      <c r="B1483" s="23" t="str">
        <f>IFERROR(__xludf.DUMMYFUNCTION("""COMPUTED_VALUE"""),"Minimum Number of Days to Make m Bouquets")</f>
        <v>Minimum Number of Days to Make m Bouquets</v>
      </c>
      <c r="C1483" s="23" t="str">
        <f>IFERROR(__xludf.DUMMYFUNCTION("""COMPUTED_VALUE"""),"minimum-number-of-days-to-make-m-bouquets")</f>
        <v>minimum-number-of-days-to-make-m-bouquets</v>
      </c>
      <c r="D1483" s="23" t="b">
        <f>IFERROR(__xludf.DUMMYFUNCTION("""COMPUTED_VALUE"""),FALSE)</f>
        <v>0</v>
      </c>
      <c r="E1483" s="23" t="str">
        <f>IFERROR(__xludf.DUMMYFUNCTION("""COMPUTED_VALUE"""),"Medium")</f>
        <v>Medium</v>
      </c>
      <c r="F1483" s="23">
        <f>IFERROR(__xludf.DUMMYFUNCTION("""COMPUTED_VALUE"""),1593.0)</f>
        <v>1593</v>
      </c>
      <c r="G1483" s="23">
        <f>IFERROR(__xludf.DUMMYFUNCTION("""COMPUTED_VALUE"""),40.0)</f>
        <v>40</v>
      </c>
      <c r="H1483" s="23" t="str">
        <f>IFERROR(__xludf.DUMMYFUNCTION("""COMPUTED_VALUE"""),"Algorithms")</f>
        <v>Algorithms</v>
      </c>
      <c r="I1483" s="23">
        <f>IFERROR(__xludf.DUMMYFUNCTION("""COMPUTED_VALUE"""),0.559)</f>
        <v>0.559</v>
      </c>
      <c r="J1483" s="23">
        <f>IFERROR(__xludf.DUMMYFUNCTION("""COMPUTED_VALUE"""),1482.0)</f>
        <v>1482</v>
      </c>
      <c r="K1483" s="23" t="b">
        <f>IFERROR(__xludf.DUMMYFUNCTION("""COMPUTED_VALUE"""),FALSE)</f>
        <v>0</v>
      </c>
      <c r="L1483" s="23" t="str">
        <f>IFERROR(__xludf.DUMMYFUNCTION("""COMPUTED_VALUE"""),"Array;Binary Search;")</f>
        <v>Array;Binary Search;</v>
      </c>
      <c r="M1483" s="23" t="b">
        <f>IFERROR(__xludf.DUMMYFUNCTION("""COMPUTED_VALUE"""),FALSE)</f>
        <v>0</v>
      </c>
      <c r="N1483" s="23" t="b">
        <f>IFERROR(__xludf.DUMMYFUNCTION("""COMPUTED_VALUE"""),FALSE)</f>
        <v>0</v>
      </c>
      <c r="O1483" s="23">
        <f>IFERROR(__xludf.DUMMYFUNCTION("""COMPUTED_VALUE"""),55.8802822175951)</f>
        <v>55.88028222</v>
      </c>
      <c r="P1483" s="23">
        <f>IFERROR(__xludf.DUMMYFUNCTION("""COMPUTED_VALUE"""),37304.0)</f>
        <v>37304</v>
      </c>
      <c r="Q1483" s="23">
        <f>IFERROR(__xludf.DUMMYFUNCTION("""COMPUTED_VALUE"""),66757.0)</f>
        <v>66757</v>
      </c>
    </row>
    <row r="1484">
      <c r="A1484" s="23">
        <f>IFERROR(__xludf.DUMMYFUNCTION("""COMPUTED_VALUE"""),1296.0)</f>
        <v>1296</v>
      </c>
      <c r="B1484" s="23" t="str">
        <f>IFERROR(__xludf.DUMMYFUNCTION("""COMPUTED_VALUE"""),"Kth Ancestor of a Tree Node")</f>
        <v>Kth Ancestor of a Tree Node</v>
      </c>
      <c r="C1484" s="23" t="str">
        <f>IFERROR(__xludf.DUMMYFUNCTION("""COMPUTED_VALUE"""),"kth-ancestor-of-a-tree-node")</f>
        <v>kth-ancestor-of-a-tree-node</v>
      </c>
      <c r="D1484" s="23" t="b">
        <f>IFERROR(__xludf.DUMMYFUNCTION("""COMPUTED_VALUE"""),FALSE)</f>
        <v>0</v>
      </c>
      <c r="E1484" s="23" t="str">
        <f>IFERROR(__xludf.DUMMYFUNCTION("""COMPUTED_VALUE"""),"Hard")</f>
        <v>Hard</v>
      </c>
      <c r="F1484" s="23">
        <f>IFERROR(__xludf.DUMMYFUNCTION("""COMPUTED_VALUE"""),982.0)</f>
        <v>982</v>
      </c>
      <c r="G1484" s="23">
        <f>IFERROR(__xludf.DUMMYFUNCTION("""COMPUTED_VALUE"""),83.0)</f>
        <v>83</v>
      </c>
      <c r="H1484" s="23" t="str">
        <f>IFERROR(__xludf.DUMMYFUNCTION("""COMPUTED_VALUE"""),"Algorithms")</f>
        <v>Algorithms</v>
      </c>
      <c r="I1484" s="23">
        <f>IFERROR(__xludf.DUMMYFUNCTION("""COMPUTED_VALUE"""),0.334)</f>
        <v>0.334</v>
      </c>
      <c r="J1484" s="23">
        <f>IFERROR(__xludf.DUMMYFUNCTION("""COMPUTED_VALUE"""),1483.0)</f>
        <v>1483</v>
      </c>
      <c r="K1484" s="23" t="b">
        <f>IFERROR(__xludf.DUMMYFUNCTION("""COMPUTED_VALUE"""),FALSE)</f>
        <v>0</v>
      </c>
      <c r="L1484" s="23" t="str">
        <f>IFERROR(__xludf.DUMMYFUNCTION("""COMPUTED_VALUE"""),"Binary Search;Dynamic Programming;Tree;Depth-First Search;Breadth-First Search;Design;")</f>
        <v>Binary Search;Dynamic Programming;Tree;Depth-First Search;Breadth-First Search;Design;</v>
      </c>
      <c r="M1484" s="23" t="b">
        <f>IFERROR(__xludf.DUMMYFUNCTION("""COMPUTED_VALUE"""),FALSE)</f>
        <v>0</v>
      </c>
      <c r="N1484" s="23" t="b">
        <f>IFERROR(__xludf.DUMMYFUNCTION("""COMPUTED_VALUE"""),FALSE)</f>
        <v>0</v>
      </c>
      <c r="O1484" s="23">
        <f>IFERROR(__xludf.DUMMYFUNCTION("""COMPUTED_VALUE"""),33.4136212624584)</f>
        <v>33.41362126</v>
      </c>
      <c r="P1484" s="23">
        <f>IFERROR(__xludf.DUMMYFUNCTION("""COMPUTED_VALUE"""),20115.0)</f>
        <v>20115</v>
      </c>
      <c r="Q1484" s="23">
        <f>IFERROR(__xludf.DUMMYFUNCTION("""COMPUTED_VALUE"""),60200.0)</f>
        <v>60200</v>
      </c>
    </row>
    <row r="1485">
      <c r="A1485" s="23">
        <f>IFERROR(__xludf.DUMMYFUNCTION("""COMPUTED_VALUE"""),1625.0)</f>
        <v>1625</v>
      </c>
      <c r="B1485" s="23" t="str">
        <f>IFERROR(__xludf.DUMMYFUNCTION("""COMPUTED_VALUE"""),"Group Sold Products By The Date")</f>
        <v>Group Sold Products By The Date</v>
      </c>
      <c r="C1485" s="23" t="str">
        <f>IFERROR(__xludf.DUMMYFUNCTION("""COMPUTED_VALUE"""),"group-sold-products-by-the-date")</f>
        <v>group-sold-products-by-the-date</v>
      </c>
      <c r="D1485" s="23" t="b">
        <f>IFERROR(__xludf.DUMMYFUNCTION("""COMPUTED_VALUE"""),FALSE)</f>
        <v>0</v>
      </c>
      <c r="E1485" s="23" t="str">
        <f>IFERROR(__xludf.DUMMYFUNCTION("""COMPUTED_VALUE"""),"Easy")</f>
        <v>Easy</v>
      </c>
      <c r="F1485" s="23">
        <f>IFERROR(__xludf.DUMMYFUNCTION("""COMPUTED_VALUE"""),281.0)</f>
        <v>281</v>
      </c>
      <c r="G1485" s="23">
        <f>IFERROR(__xludf.DUMMYFUNCTION("""COMPUTED_VALUE"""),20.0)</f>
        <v>20</v>
      </c>
      <c r="H1485" s="23" t="str">
        <f>IFERROR(__xludf.DUMMYFUNCTION("""COMPUTED_VALUE"""),"Database")</f>
        <v>Database</v>
      </c>
      <c r="I1485" s="23">
        <f>IFERROR(__xludf.DUMMYFUNCTION("""COMPUTED_VALUE"""),0.845)</f>
        <v>0.845</v>
      </c>
      <c r="J1485" s="23">
        <f>IFERROR(__xludf.DUMMYFUNCTION("""COMPUTED_VALUE"""),1484.0)</f>
        <v>1484</v>
      </c>
      <c r="K1485" s="23" t="b">
        <f>IFERROR(__xludf.DUMMYFUNCTION("""COMPUTED_VALUE"""),FALSE)</f>
        <v>0</v>
      </c>
      <c r="L1485" s="23" t="str">
        <f>IFERROR(__xludf.DUMMYFUNCTION("""COMPUTED_VALUE"""),"Database;")</f>
        <v>Database;</v>
      </c>
      <c r="M1485" s="23" t="b">
        <f>IFERROR(__xludf.DUMMYFUNCTION("""COMPUTED_VALUE"""),FALSE)</f>
        <v>0</v>
      </c>
      <c r="N1485" s="23" t="b">
        <f>IFERROR(__xludf.DUMMYFUNCTION("""COMPUTED_VALUE"""),FALSE)</f>
        <v>0</v>
      </c>
      <c r="O1485" s="23">
        <f>IFERROR(__xludf.DUMMYFUNCTION("""COMPUTED_VALUE"""),84.5472249269717)</f>
        <v>84.54722493</v>
      </c>
      <c r="P1485" s="23">
        <f>IFERROR(__xludf.DUMMYFUNCTION("""COMPUTED_VALUE"""),26047.0)</f>
        <v>26047</v>
      </c>
      <c r="Q1485" s="23">
        <f>IFERROR(__xludf.DUMMYFUNCTION("""COMPUTED_VALUE"""),30808.0)</f>
        <v>30808</v>
      </c>
    </row>
    <row r="1486">
      <c r="A1486" s="23">
        <f>IFERROR(__xludf.DUMMYFUNCTION("""COMPUTED_VALUE"""),1624.0)</f>
        <v>1624</v>
      </c>
      <c r="B1486" s="23" t="str">
        <f>IFERROR(__xludf.DUMMYFUNCTION("""COMPUTED_VALUE"""),"Clone Binary Tree With Random Pointer")</f>
        <v>Clone Binary Tree With Random Pointer</v>
      </c>
      <c r="C1486" s="23" t="str">
        <f>IFERROR(__xludf.DUMMYFUNCTION("""COMPUTED_VALUE"""),"clone-binary-tree-with-random-pointer")</f>
        <v>clone-binary-tree-with-random-pointer</v>
      </c>
      <c r="D1486" s="23" t="b">
        <f>IFERROR(__xludf.DUMMYFUNCTION("""COMPUTED_VALUE"""),TRUE)</f>
        <v>1</v>
      </c>
      <c r="E1486" s="23" t="str">
        <f>IFERROR(__xludf.DUMMYFUNCTION("""COMPUTED_VALUE"""),"Medium")</f>
        <v>Medium</v>
      </c>
      <c r="F1486" s="23">
        <f>IFERROR(__xludf.DUMMYFUNCTION("""COMPUTED_VALUE"""),286.0)</f>
        <v>286</v>
      </c>
      <c r="G1486" s="23">
        <f>IFERROR(__xludf.DUMMYFUNCTION("""COMPUTED_VALUE"""),43.0)</f>
        <v>43</v>
      </c>
      <c r="H1486" s="23" t="str">
        <f>IFERROR(__xludf.DUMMYFUNCTION("""COMPUTED_VALUE"""),"Algorithms")</f>
        <v>Algorithms</v>
      </c>
      <c r="I1486" s="23">
        <f>IFERROR(__xludf.DUMMYFUNCTION("""COMPUTED_VALUE"""),0.798)</f>
        <v>0.798</v>
      </c>
      <c r="J1486" s="23">
        <f>IFERROR(__xludf.DUMMYFUNCTION("""COMPUTED_VALUE"""),1485.0)</f>
        <v>1485</v>
      </c>
      <c r="K1486" s="23" t="b">
        <f>IFERROR(__xludf.DUMMYFUNCTION("""COMPUTED_VALUE"""),TRUE)</f>
        <v>1</v>
      </c>
      <c r="L1486" s="23" t="str">
        <f>IFERROR(__xludf.DUMMYFUNCTION("""COMPUTED_VALUE"""),"Hash Table;Tree;Depth-First Search;Breadth-First Search;Binary Tree;")</f>
        <v>Hash Table;Tree;Depth-First Search;Breadth-First Search;Binary Tree;</v>
      </c>
      <c r="M1486" s="23" t="b">
        <f>IFERROR(__xludf.DUMMYFUNCTION("""COMPUTED_VALUE"""),TRUE)</f>
        <v>1</v>
      </c>
      <c r="N1486" s="23" t="b">
        <f>IFERROR(__xludf.DUMMYFUNCTION("""COMPUTED_VALUE"""),FALSE)</f>
        <v>0</v>
      </c>
      <c r="O1486" s="23">
        <f>IFERROR(__xludf.DUMMYFUNCTION("""COMPUTED_VALUE"""),79.7991558725076)</f>
        <v>79.79915587</v>
      </c>
      <c r="P1486" s="23">
        <f>IFERROR(__xludf.DUMMYFUNCTION("""COMPUTED_VALUE"""),16449.0)</f>
        <v>16449</v>
      </c>
      <c r="Q1486" s="23">
        <f>IFERROR(__xludf.DUMMYFUNCTION("""COMPUTED_VALUE"""),20613.0)</f>
        <v>20613</v>
      </c>
    </row>
    <row r="1487">
      <c r="A1487" s="23">
        <f>IFERROR(__xludf.DUMMYFUNCTION("""COMPUTED_VALUE"""),1610.0)</f>
        <v>1610</v>
      </c>
      <c r="B1487" s="23" t="str">
        <f>IFERROR(__xludf.DUMMYFUNCTION("""COMPUTED_VALUE"""),"XOR Operation in an Array")</f>
        <v>XOR Operation in an Array</v>
      </c>
      <c r="C1487" s="23" t="str">
        <f>IFERROR(__xludf.DUMMYFUNCTION("""COMPUTED_VALUE"""),"xor-operation-in-an-array")</f>
        <v>xor-operation-in-an-array</v>
      </c>
      <c r="D1487" s="23" t="b">
        <f>IFERROR(__xludf.DUMMYFUNCTION("""COMPUTED_VALUE"""),FALSE)</f>
        <v>0</v>
      </c>
      <c r="E1487" s="23" t="str">
        <f>IFERROR(__xludf.DUMMYFUNCTION("""COMPUTED_VALUE"""),"Easy")</f>
        <v>Easy</v>
      </c>
      <c r="F1487" s="23">
        <f>IFERROR(__xludf.DUMMYFUNCTION("""COMPUTED_VALUE"""),806.0)</f>
        <v>806</v>
      </c>
      <c r="G1487" s="23">
        <f>IFERROR(__xludf.DUMMYFUNCTION("""COMPUTED_VALUE"""),282.0)</f>
        <v>282</v>
      </c>
      <c r="H1487" s="23" t="str">
        <f>IFERROR(__xludf.DUMMYFUNCTION("""COMPUTED_VALUE"""),"Algorithms")</f>
        <v>Algorithms</v>
      </c>
      <c r="I1487" s="23">
        <f>IFERROR(__xludf.DUMMYFUNCTION("""COMPUTED_VALUE"""),0.842)</f>
        <v>0.842</v>
      </c>
      <c r="J1487" s="23">
        <f>IFERROR(__xludf.DUMMYFUNCTION("""COMPUTED_VALUE"""),1486.0)</f>
        <v>1486</v>
      </c>
      <c r="K1487" s="23" t="b">
        <f>IFERROR(__xludf.DUMMYFUNCTION("""COMPUTED_VALUE"""),FALSE)</f>
        <v>0</v>
      </c>
      <c r="L1487" s="23" t="str">
        <f>IFERROR(__xludf.DUMMYFUNCTION("""COMPUTED_VALUE"""),"Math;Bit Manipulation;")</f>
        <v>Math;Bit Manipulation;</v>
      </c>
      <c r="M1487" s="23" t="b">
        <f>IFERROR(__xludf.DUMMYFUNCTION("""COMPUTED_VALUE"""),FALSE)</f>
        <v>0</v>
      </c>
      <c r="N1487" s="23" t="b">
        <f>IFERROR(__xludf.DUMMYFUNCTION("""COMPUTED_VALUE"""),FALSE)</f>
        <v>0</v>
      </c>
      <c r="O1487" s="23">
        <f>IFERROR(__xludf.DUMMYFUNCTION("""COMPUTED_VALUE"""),84.2237308146399)</f>
        <v>84.22373081</v>
      </c>
      <c r="P1487" s="23">
        <f>IFERROR(__xludf.DUMMYFUNCTION("""COMPUTED_VALUE"""),119847.0)</f>
        <v>119847</v>
      </c>
      <c r="Q1487" s="23">
        <f>IFERROR(__xludf.DUMMYFUNCTION("""COMPUTED_VALUE"""),142296.0)</f>
        <v>142296</v>
      </c>
    </row>
    <row r="1488">
      <c r="A1488" s="23">
        <f>IFERROR(__xludf.DUMMYFUNCTION("""COMPUTED_VALUE"""),1611.0)</f>
        <v>1611</v>
      </c>
      <c r="B1488" s="23" t="str">
        <f>IFERROR(__xludf.DUMMYFUNCTION("""COMPUTED_VALUE"""),"Making File Names Unique")</f>
        <v>Making File Names Unique</v>
      </c>
      <c r="C1488" s="23" t="str">
        <f>IFERROR(__xludf.DUMMYFUNCTION("""COMPUTED_VALUE"""),"making-file-names-unique")</f>
        <v>making-file-names-unique</v>
      </c>
      <c r="D1488" s="23" t="b">
        <f>IFERROR(__xludf.DUMMYFUNCTION("""COMPUTED_VALUE"""),FALSE)</f>
        <v>0</v>
      </c>
      <c r="E1488" s="23" t="str">
        <f>IFERROR(__xludf.DUMMYFUNCTION("""COMPUTED_VALUE"""),"Medium")</f>
        <v>Medium</v>
      </c>
      <c r="F1488" s="23">
        <f>IFERROR(__xludf.DUMMYFUNCTION("""COMPUTED_VALUE"""),327.0)</f>
        <v>327</v>
      </c>
      <c r="G1488" s="23">
        <f>IFERROR(__xludf.DUMMYFUNCTION("""COMPUTED_VALUE"""),512.0)</f>
        <v>512</v>
      </c>
      <c r="H1488" s="23" t="str">
        <f>IFERROR(__xludf.DUMMYFUNCTION("""COMPUTED_VALUE"""),"Algorithms")</f>
        <v>Algorithms</v>
      </c>
      <c r="I1488" s="23">
        <f>IFERROR(__xludf.DUMMYFUNCTION("""COMPUTED_VALUE"""),0.349)</f>
        <v>0.349</v>
      </c>
      <c r="J1488" s="23">
        <f>IFERROR(__xludf.DUMMYFUNCTION("""COMPUTED_VALUE"""),1487.0)</f>
        <v>1487</v>
      </c>
      <c r="K1488" s="23" t="b">
        <f>IFERROR(__xludf.DUMMYFUNCTION("""COMPUTED_VALUE"""),FALSE)</f>
        <v>0</v>
      </c>
      <c r="L1488" s="23" t="str">
        <f>IFERROR(__xludf.DUMMYFUNCTION("""COMPUTED_VALUE"""),"Array;Hash Table;String;")</f>
        <v>Array;Hash Table;String;</v>
      </c>
      <c r="M1488" s="23" t="b">
        <f>IFERROR(__xludf.DUMMYFUNCTION("""COMPUTED_VALUE"""),FALSE)</f>
        <v>0</v>
      </c>
      <c r="N1488" s="23" t="b">
        <f>IFERROR(__xludf.DUMMYFUNCTION("""COMPUTED_VALUE"""),FALSE)</f>
        <v>0</v>
      </c>
      <c r="O1488" s="23">
        <f>IFERROR(__xludf.DUMMYFUNCTION("""COMPUTED_VALUE"""),34.8737788080865)</f>
        <v>34.87377881</v>
      </c>
      <c r="P1488" s="23">
        <f>IFERROR(__xludf.DUMMYFUNCTION("""COMPUTED_VALUE"""),23167.0)</f>
        <v>23167</v>
      </c>
      <c r="Q1488" s="23">
        <f>IFERROR(__xludf.DUMMYFUNCTION("""COMPUTED_VALUE"""),66431.0)</f>
        <v>66431</v>
      </c>
    </row>
    <row r="1489">
      <c r="A1489" s="23">
        <f>IFERROR(__xludf.DUMMYFUNCTION("""COMPUTED_VALUE"""),1612.0)</f>
        <v>1612</v>
      </c>
      <c r="B1489" s="23" t="str">
        <f>IFERROR(__xludf.DUMMYFUNCTION("""COMPUTED_VALUE"""),"Avoid Flood in The City")</f>
        <v>Avoid Flood in The City</v>
      </c>
      <c r="C1489" s="23" t="str">
        <f>IFERROR(__xludf.DUMMYFUNCTION("""COMPUTED_VALUE"""),"avoid-flood-in-the-city")</f>
        <v>avoid-flood-in-the-city</v>
      </c>
      <c r="D1489" s="23" t="b">
        <f>IFERROR(__xludf.DUMMYFUNCTION("""COMPUTED_VALUE"""),FALSE)</f>
        <v>0</v>
      </c>
      <c r="E1489" s="23" t="str">
        <f>IFERROR(__xludf.DUMMYFUNCTION("""COMPUTED_VALUE"""),"Medium")</f>
        <v>Medium</v>
      </c>
      <c r="F1489" s="23">
        <f>IFERROR(__xludf.DUMMYFUNCTION("""COMPUTED_VALUE"""),991.0)</f>
        <v>991</v>
      </c>
      <c r="G1489" s="23">
        <f>IFERROR(__xludf.DUMMYFUNCTION("""COMPUTED_VALUE"""),198.0)</f>
        <v>198</v>
      </c>
      <c r="H1489" s="23" t="str">
        <f>IFERROR(__xludf.DUMMYFUNCTION("""COMPUTED_VALUE"""),"Algorithms")</f>
        <v>Algorithms</v>
      </c>
      <c r="I1489" s="23">
        <f>IFERROR(__xludf.DUMMYFUNCTION("""COMPUTED_VALUE"""),0.254)</f>
        <v>0.254</v>
      </c>
      <c r="J1489" s="23">
        <f>IFERROR(__xludf.DUMMYFUNCTION("""COMPUTED_VALUE"""),1488.0)</f>
        <v>1488</v>
      </c>
      <c r="K1489" s="23" t="b">
        <f>IFERROR(__xludf.DUMMYFUNCTION("""COMPUTED_VALUE"""),FALSE)</f>
        <v>0</v>
      </c>
      <c r="L1489" s="23" t="str">
        <f>IFERROR(__xludf.DUMMYFUNCTION("""COMPUTED_VALUE"""),"Array;Hash Table;Binary Search;Greedy;Heap (Priority Queue);")</f>
        <v>Array;Hash Table;Binary Search;Greedy;Heap (Priority Queue);</v>
      </c>
      <c r="M1489" s="23" t="b">
        <f>IFERROR(__xludf.DUMMYFUNCTION("""COMPUTED_VALUE"""),FALSE)</f>
        <v>0</v>
      </c>
      <c r="N1489" s="23" t="b">
        <f>IFERROR(__xludf.DUMMYFUNCTION("""COMPUTED_VALUE"""),FALSE)</f>
        <v>0</v>
      </c>
      <c r="O1489" s="23">
        <f>IFERROR(__xludf.DUMMYFUNCTION("""COMPUTED_VALUE"""),25.3691436304307)</f>
        <v>25.36914363</v>
      </c>
      <c r="P1489" s="23">
        <f>IFERROR(__xludf.DUMMYFUNCTION("""COMPUTED_VALUE"""),23246.0)</f>
        <v>23246</v>
      </c>
      <c r="Q1489" s="23">
        <f>IFERROR(__xludf.DUMMYFUNCTION("""COMPUTED_VALUE"""),91631.0)</f>
        <v>91631</v>
      </c>
    </row>
    <row r="1490">
      <c r="A1490" s="23">
        <f>IFERROR(__xludf.DUMMYFUNCTION("""COMPUTED_VALUE"""),1613.0)</f>
        <v>1613</v>
      </c>
      <c r="B1490" s="23" t="str">
        <f>IFERROR(__xludf.DUMMYFUNCTION("""COMPUTED_VALUE"""),"Find Critical and Pseudo-Critical Edges in Minimum Spanning Tree")</f>
        <v>Find Critical and Pseudo-Critical Edges in Minimum Spanning Tree</v>
      </c>
      <c r="C1490" s="23" t="str">
        <f>IFERROR(__xludf.DUMMYFUNCTION("""COMPUTED_VALUE"""),"find-critical-and-pseudo-critical-edges-in-minimum-spanning-tree")</f>
        <v>find-critical-and-pseudo-critical-edges-in-minimum-spanning-tree</v>
      </c>
      <c r="D1490" s="23" t="b">
        <f>IFERROR(__xludf.DUMMYFUNCTION("""COMPUTED_VALUE"""),FALSE)</f>
        <v>0</v>
      </c>
      <c r="E1490" s="23" t="str">
        <f>IFERROR(__xludf.DUMMYFUNCTION("""COMPUTED_VALUE"""),"Hard")</f>
        <v>Hard</v>
      </c>
      <c r="F1490" s="23">
        <f>IFERROR(__xludf.DUMMYFUNCTION("""COMPUTED_VALUE"""),449.0)</f>
        <v>449</v>
      </c>
      <c r="G1490" s="23">
        <f>IFERROR(__xludf.DUMMYFUNCTION("""COMPUTED_VALUE"""),43.0)</f>
        <v>43</v>
      </c>
      <c r="H1490" s="23" t="str">
        <f>IFERROR(__xludf.DUMMYFUNCTION("""COMPUTED_VALUE"""),"Algorithms")</f>
        <v>Algorithms</v>
      </c>
      <c r="I1490" s="23">
        <f>IFERROR(__xludf.DUMMYFUNCTION("""COMPUTED_VALUE"""),0.53)</f>
        <v>0.53</v>
      </c>
      <c r="J1490" s="23">
        <f>IFERROR(__xludf.DUMMYFUNCTION("""COMPUTED_VALUE"""),1489.0)</f>
        <v>1489</v>
      </c>
      <c r="K1490" s="23" t="b">
        <f>IFERROR(__xludf.DUMMYFUNCTION("""COMPUTED_VALUE"""),FALSE)</f>
        <v>0</v>
      </c>
      <c r="L1490" s="23" t="str">
        <f>IFERROR(__xludf.DUMMYFUNCTION("""COMPUTED_VALUE"""),"Union Find;Graph;Sorting;Minimum Spanning Tree;Strongly Connected Component;")</f>
        <v>Union Find;Graph;Sorting;Minimum Spanning Tree;Strongly Connected Component;</v>
      </c>
      <c r="M1490" s="23" t="b">
        <f>IFERROR(__xludf.DUMMYFUNCTION("""COMPUTED_VALUE"""),FALSE)</f>
        <v>0</v>
      </c>
      <c r="N1490" s="23" t="b">
        <f>IFERROR(__xludf.DUMMYFUNCTION("""COMPUTED_VALUE"""),FALSE)</f>
        <v>0</v>
      </c>
      <c r="O1490" s="23">
        <f>IFERROR(__xludf.DUMMYFUNCTION("""COMPUTED_VALUE"""),53.0093071354705)</f>
        <v>53.00930714</v>
      </c>
      <c r="P1490" s="23">
        <f>IFERROR(__xludf.DUMMYFUNCTION("""COMPUTED_VALUE"""),7689.0)</f>
        <v>7689</v>
      </c>
      <c r="Q1490" s="23">
        <f>IFERROR(__xludf.DUMMYFUNCTION("""COMPUTED_VALUE"""),14505.0)</f>
        <v>14505</v>
      </c>
    </row>
    <row r="1491">
      <c r="A1491" s="23">
        <f>IFERROR(__xludf.DUMMYFUNCTION("""COMPUTED_VALUE"""),1634.0)</f>
        <v>1634</v>
      </c>
      <c r="B1491" s="23" t="str">
        <f>IFERROR(__xludf.DUMMYFUNCTION("""COMPUTED_VALUE"""),"Clone N-ary Tree")</f>
        <v>Clone N-ary Tree</v>
      </c>
      <c r="C1491" s="23" t="str">
        <f>IFERROR(__xludf.DUMMYFUNCTION("""COMPUTED_VALUE"""),"clone-n-ary-tree")</f>
        <v>clone-n-ary-tree</v>
      </c>
      <c r="D1491" s="23" t="b">
        <f>IFERROR(__xludf.DUMMYFUNCTION("""COMPUTED_VALUE"""),TRUE)</f>
        <v>1</v>
      </c>
      <c r="E1491" s="23" t="str">
        <f>IFERROR(__xludf.DUMMYFUNCTION("""COMPUTED_VALUE"""),"Medium")</f>
        <v>Medium</v>
      </c>
      <c r="F1491" s="23">
        <f>IFERROR(__xludf.DUMMYFUNCTION("""COMPUTED_VALUE"""),310.0)</f>
        <v>310</v>
      </c>
      <c r="G1491" s="23">
        <f>IFERROR(__xludf.DUMMYFUNCTION("""COMPUTED_VALUE"""),13.0)</f>
        <v>13</v>
      </c>
      <c r="H1491" s="23" t="str">
        <f>IFERROR(__xludf.DUMMYFUNCTION("""COMPUTED_VALUE"""),"Algorithms")</f>
        <v>Algorithms</v>
      </c>
      <c r="I1491" s="23">
        <f>IFERROR(__xludf.DUMMYFUNCTION("""COMPUTED_VALUE"""),0.838)</f>
        <v>0.838</v>
      </c>
      <c r="J1491" s="23">
        <f>IFERROR(__xludf.DUMMYFUNCTION("""COMPUTED_VALUE"""),1490.0)</f>
        <v>1490</v>
      </c>
      <c r="K1491" s="23" t="b">
        <f>IFERROR(__xludf.DUMMYFUNCTION("""COMPUTED_VALUE"""),TRUE)</f>
        <v>1</v>
      </c>
      <c r="L1491" s="23" t="str">
        <f>IFERROR(__xludf.DUMMYFUNCTION("""COMPUTED_VALUE"""),"Hash Table;Tree;Depth-First Search;Breadth-First Search;")</f>
        <v>Hash Table;Tree;Depth-First Search;Breadth-First Search;</v>
      </c>
      <c r="M1491" s="23" t="b">
        <f>IFERROR(__xludf.DUMMYFUNCTION("""COMPUTED_VALUE"""),TRUE)</f>
        <v>1</v>
      </c>
      <c r="N1491" s="23" t="b">
        <f>IFERROR(__xludf.DUMMYFUNCTION("""COMPUTED_VALUE"""),FALSE)</f>
        <v>0</v>
      </c>
      <c r="O1491" s="23">
        <f>IFERROR(__xludf.DUMMYFUNCTION("""COMPUTED_VALUE"""),83.7800111669458)</f>
        <v>83.78001117</v>
      </c>
      <c r="P1491" s="23">
        <f>IFERROR(__xludf.DUMMYFUNCTION("""COMPUTED_VALUE"""),21007.0)</f>
        <v>21007</v>
      </c>
      <c r="Q1491" s="23">
        <f>IFERROR(__xludf.DUMMYFUNCTION("""COMPUTED_VALUE"""),25074.0)</f>
        <v>25074</v>
      </c>
    </row>
    <row r="1492">
      <c r="A1492" s="23">
        <f>IFERROR(__xludf.DUMMYFUNCTION("""COMPUTED_VALUE"""),1584.0)</f>
        <v>1584</v>
      </c>
      <c r="B1492" s="23" t="str">
        <f>IFERROR(__xludf.DUMMYFUNCTION("""COMPUTED_VALUE"""),"Average Salary Excluding the Minimum and Maximum Salary")</f>
        <v>Average Salary Excluding the Minimum and Maximum Salary</v>
      </c>
      <c r="C1492" s="23" t="str">
        <f>IFERROR(__xludf.DUMMYFUNCTION("""COMPUTED_VALUE"""),"average-salary-excluding-the-minimum-and-maximum-salary")</f>
        <v>average-salary-excluding-the-minimum-and-maximum-salary</v>
      </c>
      <c r="D1492" s="23" t="b">
        <f>IFERROR(__xludf.DUMMYFUNCTION("""COMPUTED_VALUE"""),FALSE)</f>
        <v>0</v>
      </c>
      <c r="E1492" s="23" t="str">
        <f>IFERROR(__xludf.DUMMYFUNCTION("""COMPUTED_VALUE"""),"Easy")</f>
        <v>Easy</v>
      </c>
      <c r="F1492" s="23">
        <f>IFERROR(__xludf.DUMMYFUNCTION("""COMPUTED_VALUE"""),648.0)</f>
        <v>648</v>
      </c>
      <c r="G1492" s="23">
        <f>IFERROR(__xludf.DUMMYFUNCTION("""COMPUTED_VALUE"""),89.0)</f>
        <v>89</v>
      </c>
      <c r="H1492" s="23" t="str">
        <f>IFERROR(__xludf.DUMMYFUNCTION("""COMPUTED_VALUE"""),"Algorithms")</f>
        <v>Algorithms</v>
      </c>
      <c r="I1492" s="23">
        <f>IFERROR(__xludf.DUMMYFUNCTION("""COMPUTED_VALUE"""),0.651)</f>
        <v>0.651</v>
      </c>
      <c r="J1492" s="23">
        <f>IFERROR(__xludf.DUMMYFUNCTION("""COMPUTED_VALUE"""),1491.0)</f>
        <v>1491</v>
      </c>
      <c r="K1492" s="23" t="b">
        <f>IFERROR(__xludf.DUMMYFUNCTION("""COMPUTED_VALUE"""),FALSE)</f>
        <v>0</v>
      </c>
      <c r="L1492" s="23" t="str">
        <f>IFERROR(__xludf.DUMMYFUNCTION("""COMPUTED_VALUE"""),"Array;Sorting;")</f>
        <v>Array;Sorting;</v>
      </c>
      <c r="M1492" s="23" t="b">
        <f>IFERROR(__xludf.DUMMYFUNCTION("""COMPUTED_VALUE"""),FALSE)</f>
        <v>0</v>
      </c>
      <c r="N1492" s="23" t="b">
        <f>IFERROR(__xludf.DUMMYFUNCTION("""COMPUTED_VALUE"""),FALSE)</f>
        <v>0</v>
      </c>
      <c r="O1492" s="23">
        <f>IFERROR(__xludf.DUMMYFUNCTION("""COMPUTED_VALUE"""),65.0583636499129)</f>
        <v>65.05836365</v>
      </c>
      <c r="P1492" s="23">
        <f>IFERROR(__xludf.DUMMYFUNCTION("""COMPUTED_VALUE"""),96031.0)</f>
        <v>96031</v>
      </c>
      <c r="Q1492" s="23">
        <f>IFERROR(__xludf.DUMMYFUNCTION("""COMPUTED_VALUE"""),147608.0)</f>
        <v>147608</v>
      </c>
    </row>
    <row r="1493">
      <c r="A1493" s="23">
        <f>IFERROR(__xludf.DUMMYFUNCTION("""COMPUTED_VALUE"""),1585.0)</f>
        <v>1585</v>
      </c>
      <c r="B1493" s="23" t="str">
        <f>IFERROR(__xludf.DUMMYFUNCTION("""COMPUTED_VALUE"""),"The kth Factor of n")</f>
        <v>The kth Factor of n</v>
      </c>
      <c r="C1493" s="23" t="str">
        <f>IFERROR(__xludf.DUMMYFUNCTION("""COMPUTED_VALUE"""),"the-kth-factor-of-n")</f>
        <v>the-kth-factor-of-n</v>
      </c>
      <c r="D1493" s="23" t="b">
        <f>IFERROR(__xludf.DUMMYFUNCTION("""COMPUTED_VALUE"""),FALSE)</f>
        <v>0</v>
      </c>
      <c r="E1493" s="23" t="str">
        <f>IFERROR(__xludf.DUMMYFUNCTION("""COMPUTED_VALUE"""),"Medium")</f>
        <v>Medium</v>
      </c>
      <c r="F1493" s="23">
        <f>IFERROR(__xludf.DUMMYFUNCTION("""COMPUTED_VALUE"""),715.0)</f>
        <v>715</v>
      </c>
      <c r="G1493" s="23">
        <f>IFERROR(__xludf.DUMMYFUNCTION("""COMPUTED_VALUE"""),207.0)</f>
        <v>207</v>
      </c>
      <c r="H1493" s="23" t="str">
        <f>IFERROR(__xludf.DUMMYFUNCTION("""COMPUTED_VALUE"""),"Algorithms")</f>
        <v>Algorithms</v>
      </c>
      <c r="I1493" s="23">
        <f>IFERROR(__xludf.DUMMYFUNCTION("""COMPUTED_VALUE"""),0.62)</f>
        <v>0.62</v>
      </c>
      <c r="J1493" s="23">
        <f>IFERROR(__xludf.DUMMYFUNCTION("""COMPUTED_VALUE"""),1492.0)</f>
        <v>1492</v>
      </c>
      <c r="K1493" s="23" t="b">
        <f>IFERROR(__xludf.DUMMYFUNCTION("""COMPUTED_VALUE"""),FALSE)</f>
        <v>0</v>
      </c>
      <c r="L1493" s="23" t="str">
        <f>IFERROR(__xludf.DUMMYFUNCTION("""COMPUTED_VALUE"""),"Math;")</f>
        <v>Math;</v>
      </c>
      <c r="M1493" s="23" t="b">
        <f>IFERROR(__xludf.DUMMYFUNCTION("""COMPUTED_VALUE"""),TRUE)</f>
        <v>1</v>
      </c>
      <c r="N1493" s="23" t="b">
        <f>IFERROR(__xludf.DUMMYFUNCTION("""COMPUTED_VALUE"""),FALSE)</f>
        <v>0</v>
      </c>
      <c r="O1493" s="23">
        <f>IFERROR(__xludf.DUMMYFUNCTION("""COMPUTED_VALUE"""),62.0472133252388)</f>
        <v>62.04721333</v>
      </c>
      <c r="P1493" s="23">
        <f>IFERROR(__xludf.DUMMYFUNCTION("""COMPUTED_VALUE"""),88918.0)</f>
        <v>88918</v>
      </c>
      <c r="Q1493" s="23">
        <f>IFERROR(__xludf.DUMMYFUNCTION("""COMPUTED_VALUE"""),143307.0)</f>
        <v>143307</v>
      </c>
    </row>
    <row r="1494">
      <c r="A1494" s="23">
        <f>IFERROR(__xludf.DUMMYFUNCTION("""COMPUTED_VALUE"""),1586.0)</f>
        <v>1586</v>
      </c>
      <c r="B1494" s="23" t="str">
        <f>IFERROR(__xludf.DUMMYFUNCTION("""COMPUTED_VALUE"""),"Longest Subarray of 1's After Deleting One Element")</f>
        <v>Longest Subarray of 1's After Deleting One Element</v>
      </c>
      <c r="C1494" s="23" t="str">
        <f>IFERROR(__xludf.DUMMYFUNCTION("""COMPUTED_VALUE"""),"longest-subarray-of-1s-after-deleting-one-element")</f>
        <v>longest-subarray-of-1s-after-deleting-one-element</v>
      </c>
      <c r="D1494" s="23" t="b">
        <f>IFERROR(__xludf.DUMMYFUNCTION("""COMPUTED_VALUE"""),FALSE)</f>
        <v>0</v>
      </c>
      <c r="E1494" s="23" t="str">
        <f>IFERROR(__xludf.DUMMYFUNCTION("""COMPUTED_VALUE"""),"Medium")</f>
        <v>Medium</v>
      </c>
      <c r="F1494" s="23">
        <f>IFERROR(__xludf.DUMMYFUNCTION("""COMPUTED_VALUE"""),883.0)</f>
        <v>883</v>
      </c>
      <c r="G1494" s="23">
        <f>IFERROR(__xludf.DUMMYFUNCTION("""COMPUTED_VALUE"""),21.0)</f>
        <v>21</v>
      </c>
      <c r="H1494" s="23" t="str">
        <f>IFERROR(__xludf.DUMMYFUNCTION("""COMPUTED_VALUE"""),"Algorithms")</f>
        <v>Algorithms</v>
      </c>
      <c r="I1494" s="23">
        <f>IFERROR(__xludf.DUMMYFUNCTION("""COMPUTED_VALUE"""),0.601)</f>
        <v>0.601</v>
      </c>
      <c r="J1494" s="23">
        <f>IFERROR(__xludf.DUMMYFUNCTION("""COMPUTED_VALUE"""),1493.0)</f>
        <v>1493</v>
      </c>
      <c r="K1494" s="23" t="b">
        <f>IFERROR(__xludf.DUMMYFUNCTION("""COMPUTED_VALUE"""),FALSE)</f>
        <v>0</v>
      </c>
      <c r="L1494" s="23" t="str">
        <f>IFERROR(__xludf.DUMMYFUNCTION("""COMPUTED_VALUE"""),"Math;Dynamic Programming;Sliding Window;")</f>
        <v>Math;Dynamic Programming;Sliding Window;</v>
      </c>
      <c r="M1494" s="23" t="b">
        <f>IFERROR(__xludf.DUMMYFUNCTION("""COMPUTED_VALUE"""),FALSE)</f>
        <v>0</v>
      </c>
      <c r="N1494" s="23" t="b">
        <f>IFERROR(__xludf.DUMMYFUNCTION("""COMPUTED_VALUE"""),FALSE)</f>
        <v>0</v>
      </c>
      <c r="O1494" s="23">
        <f>IFERROR(__xludf.DUMMYFUNCTION("""COMPUTED_VALUE"""),60.0523853502702)</f>
        <v>60.05238535</v>
      </c>
      <c r="P1494" s="23">
        <f>IFERROR(__xludf.DUMMYFUNCTION("""COMPUTED_VALUE"""),39664.0)</f>
        <v>39664</v>
      </c>
      <c r="Q1494" s="23">
        <f>IFERROR(__xludf.DUMMYFUNCTION("""COMPUTED_VALUE"""),66049.0)</f>
        <v>66049</v>
      </c>
    </row>
    <row r="1495">
      <c r="A1495" s="23">
        <f>IFERROR(__xludf.DUMMYFUNCTION("""COMPUTED_VALUE"""),1587.0)</f>
        <v>1587</v>
      </c>
      <c r="B1495" s="23" t="str">
        <f>IFERROR(__xludf.DUMMYFUNCTION("""COMPUTED_VALUE"""),"Parallel Courses II")</f>
        <v>Parallel Courses II</v>
      </c>
      <c r="C1495" s="23" t="str">
        <f>IFERROR(__xludf.DUMMYFUNCTION("""COMPUTED_VALUE"""),"parallel-courses-ii")</f>
        <v>parallel-courses-ii</v>
      </c>
      <c r="D1495" s="23" t="b">
        <f>IFERROR(__xludf.DUMMYFUNCTION("""COMPUTED_VALUE"""),FALSE)</f>
        <v>0</v>
      </c>
      <c r="E1495" s="23" t="str">
        <f>IFERROR(__xludf.DUMMYFUNCTION("""COMPUTED_VALUE"""),"Hard")</f>
        <v>Hard</v>
      </c>
      <c r="F1495" s="23">
        <f>IFERROR(__xludf.DUMMYFUNCTION("""COMPUTED_VALUE"""),593.0)</f>
        <v>593</v>
      </c>
      <c r="G1495" s="23">
        <f>IFERROR(__xludf.DUMMYFUNCTION("""COMPUTED_VALUE"""),49.0)</f>
        <v>49</v>
      </c>
      <c r="H1495" s="23" t="str">
        <f>IFERROR(__xludf.DUMMYFUNCTION("""COMPUTED_VALUE"""),"Algorithms")</f>
        <v>Algorithms</v>
      </c>
      <c r="I1495" s="23">
        <f>IFERROR(__xludf.DUMMYFUNCTION("""COMPUTED_VALUE"""),0.317)</f>
        <v>0.317</v>
      </c>
      <c r="J1495" s="23">
        <f>IFERROR(__xludf.DUMMYFUNCTION("""COMPUTED_VALUE"""),1494.0)</f>
        <v>1494</v>
      </c>
      <c r="K1495" s="23" t="b">
        <f>IFERROR(__xludf.DUMMYFUNCTION("""COMPUTED_VALUE"""),FALSE)</f>
        <v>0</v>
      </c>
      <c r="L1495" s="23" t="str">
        <f>IFERROR(__xludf.DUMMYFUNCTION("""COMPUTED_VALUE"""),"Dynamic Programming;Bit Manipulation;Graph;Bitmask;")</f>
        <v>Dynamic Programming;Bit Manipulation;Graph;Bitmask;</v>
      </c>
      <c r="M1495" s="23" t="b">
        <f>IFERROR(__xludf.DUMMYFUNCTION("""COMPUTED_VALUE"""),FALSE)</f>
        <v>0</v>
      </c>
      <c r="N1495" s="23" t="b">
        <f>IFERROR(__xludf.DUMMYFUNCTION("""COMPUTED_VALUE"""),FALSE)</f>
        <v>0</v>
      </c>
      <c r="O1495" s="23">
        <f>IFERROR(__xludf.DUMMYFUNCTION("""COMPUTED_VALUE"""),31.7107750472589)</f>
        <v>31.71077505</v>
      </c>
      <c r="P1495" s="23">
        <f>IFERROR(__xludf.DUMMYFUNCTION("""COMPUTED_VALUE"""),10736.0)</f>
        <v>10736</v>
      </c>
      <c r="Q1495" s="23">
        <f>IFERROR(__xludf.DUMMYFUNCTION("""COMPUTED_VALUE"""),33856.0)</f>
        <v>33856</v>
      </c>
    </row>
    <row r="1496">
      <c r="A1496" s="23">
        <f>IFERROR(__xludf.DUMMYFUNCTION("""COMPUTED_VALUE"""),1639.0)</f>
        <v>1639</v>
      </c>
      <c r="B1496" s="23" t="str">
        <f>IFERROR(__xludf.DUMMYFUNCTION("""COMPUTED_VALUE"""),"Friendly Movies Streamed Last Month")</f>
        <v>Friendly Movies Streamed Last Month</v>
      </c>
      <c r="C1496" s="23" t="str">
        <f>IFERROR(__xludf.DUMMYFUNCTION("""COMPUTED_VALUE"""),"friendly-movies-streamed-last-month")</f>
        <v>friendly-movies-streamed-last-month</v>
      </c>
      <c r="D1496" s="23" t="b">
        <f>IFERROR(__xludf.DUMMYFUNCTION("""COMPUTED_VALUE"""),TRUE)</f>
        <v>1</v>
      </c>
      <c r="E1496" s="23" t="str">
        <f>IFERROR(__xludf.DUMMYFUNCTION("""COMPUTED_VALUE"""),"Easy")</f>
        <v>Easy</v>
      </c>
      <c r="F1496" s="23">
        <f>IFERROR(__xludf.DUMMYFUNCTION("""COMPUTED_VALUE"""),54.0)</f>
        <v>54</v>
      </c>
      <c r="G1496" s="23">
        <f>IFERROR(__xludf.DUMMYFUNCTION("""COMPUTED_VALUE"""),9.0)</f>
        <v>9</v>
      </c>
      <c r="H1496" s="23" t="str">
        <f>IFERROR(__xludf.DUMMYFUNCTION("""COMPUTED_VALUE"""),"Database")</f>
        <v>Database</v>
      </c>
      <c r="I1496" s="23">
        <f>IFERROR(__xludf.DUMMYFUNCTION("""COMPUTED_VALUE"""),0.503)</f>
        <v>0.503</v>
      </c>
      <c r="J1496" s="23">
        <f>IFERROR(__xludf.DUMMYFUNCTION("""COMPUTED_VALUE"""),1495.0)</f>
        <v>1495</v>
      </c>
      <c r="K1496" s="23" t="b">
        <f>IFERROR(__xludf.DUMMYFUNCTION("""COMPUTED_VALUE"""),TRUE)</f>
        <v>1</v>
      </c>
      <c r="L1496" s="23" t="str">
        <f>IFERROR(__xludf.DUMMYFUNCTION("""COMPUTED_VALUE"""),"Database;")</f>
        <v>Database;</v>
      </c>
      <c r="M1496" s="23" t="b">
        <f>IFERROR(__xludf.DUMMYFUNCTION("""COMPUTED_VALUE"""),FALSE)</f>
        <v>0</v>
      </c>
      <c r="N1496" s="23" t="b">
        <f>IFERROR(__xludf.DUMMYFUNCTION("""COMPUTED_VALUE"""),FALSE)</f>
        <v>0</v>
      </c>
      <c r="O1496" s="23">
        <f>IFERROR(__xludf.DUMMYFUNCTION("""COMPUTED_VALUE"""),50.2988667405944)</f>
        <v>50.29886674</v>
      </c>
      <c r="P1496" s="23">
        <f>IFERROR(__xludf.DUMMYFUNCTION("""COMPUTED_VALUE"""),18597.0)</f>
        <v>18597</v>
      </c>
      <c r="Q1496" s="23">
        <f>IFERROR(__xludf.DUMMYFUNCTION("""COMPUTED_VALUE"""),36973.0)</f>
        <v>36973</v>
      </c>
    </row>
    <row r="1497">
      <c r="A1497" s="23">
        <f>IFERROR(__xludf.DUMMYFUNCTION("""COMPUTED_VALUE"""),1619.0)</f>
        <v>1619</v>
      </c>
      <c r="B1497" s="23" t="str">
        <f>IFERROR(__xludf.DUMMYFUNCTION("""COMPUTED_VALUE"""),"Path Crossing")</f>
        <v>Path Crossing</v>
      </c>
      <c r="C1497" s="23" t="str">
        <f>IFERROR(__xludf.DUMMYFUNCTION("""COMPUTED_VALUE"""),"path-crossing")</f>
        <v>path-crossing</v>
      </c>
      <c r="D1497" s="23" t="b">
        <f>IFERROR(__xludf.DUMMYFUNCTION("""COMPUTED_VALUE"""),FALSE)</f>
        <v>0</v>
      </c>
      <c r="E1497" s="23" t="str">
        <f>IFERROR(__xludf.DUMMYFUNCTION("""COMPUTED_VALUE"""),"Easy")</f>
        <v>Easy</v>
      </c>
      <c r="F1497" s="23">
        <f>IFERROR(__xludf.DUMMYFUNCTION("""COMPUTED_VALUE"""),474.0)</f>
        <v>474</v>
      </c>
      <c r="G1497" s="23">
        <f>IFERROR(__xludf.DUMMYFUNCTION("""COMPUTED_VALUE"""),9.0)</f>
        <v>9</v>
      </c>
      <c r="H1497" s="23" t="str">
        <f>IFERROR(__xludf.DUMMYFUNCTION("""COMPUTED_VALUE"""),"Algorithms")</f>
        <v>Algorithms</v>
      </c>
      <c r="I1497" s="23">
        <f>IFERROR(__xludf.DUMMYFUNCTION("""COMPUTED_VALUE"""),0.557)</f>
        <v>0.557</v>
      </c>
      <c r="J1497" s="23">
        <f>IFERROR(__xludf.DUMMYFUNCTION("""COMPUTED_VALUE"""),1496.0)</f>
        <v>1496</v>
      </c>
      <c r="K1497" s="23" t="b">
        <f>IFERROR(__xludf.DUMMYFUNCTION("""COMPUTED_VALUE"""),FALSE)</f>
        <v>0</v>
      </c>
      <c r="L1497" s="23" t="str">
        <f>IFERROR(__xludf.DUMMYFUNCTION("""COMPUTED_VALUE"""),"Hash Table;String;")</f>
        <v>Hash Table;String;</v>
      </c>
      <c r="M1497" s="23" t="b">
        <f>IFERROR(__xludf.DUMMYFUNCTION("""COMPUTED_VALUE"""),FALSE)</f>
        <v>0</v>
      </c>
      <c r="N1497" s="23" t="b">
        <f>IFERROR(__xludf.DUMMYFUNCTION("""COMPUTED_VALUE"""),FALSE)</f>
        <v>0</v>
      </c>
      <c r="O1497" s="23">
        <f>IFERROR(__xludf.DUMMYFUNCTION("""COMPUTED_VALUE"""),55.7388933541361)</f>
        <v>55.73889335</v>
      </c>
      <c r="P1497" s="23">
        <f>IFERROR(__xludf.DUMMYFUNCTION("""COMPUTED_VALUE"""),35368.0)</f>
        <v>35368</v>
      </c>
      <c r="Q1497" s="23">
        <f>IFERROR(__xludf.DUMMYFUNCTION("""COMPUTED_VALUE"""),63452.0)</f>
        <v>63452</v>
      </c>
    </row>
    <row r="1498">
      <c r="A1498" s="23">
        <f>IFERROR(__xludf.DUMMYFUNCTION("""COMPUTED_VALUE"""),1620.0)</f>
        <v>1620</v>
      </c>
      <c r="B1498" s="23" t="str">
        <f>IFERROR(__xludf.DUMMYFUNCTION("""COMPUTED_VALUE"""),"Check If Array Pairs Are Divisible by k")</f>
        <v>Check If Array Pairs Are Divisible by k</v>
      </c>
      <c r="C1498" s="23" t="str">
        <f>IFERROR(__xludf.DUMMYFUNCTION("""COMPUTED_VALUE"""),"check-if-array-pairs-are-divisible-by-k")</f>
        <v>check-if-array-pairs-are-divisible-by-k</v>
      </c>
      <c r="D1498" s="23" t="b">
        <f>IFERROR(__xludf.DUMMYFUNCTION("""COMPUTED_VALUE"""),FALSE)</f>
        <v>0</v>
      </c>
      <c r="E1498" s="23" t="str">
        <f>IFERROR(__xludf.DUMMYFUNCTION("""COMPUTED_VALUE"""),"Medium")</f>
        <v>Medium</v>
      </c>
      <c r="F1498" s="23">
        <f>IFERROR(__xludf.DUMMYFUNCTION("""COMPUTED_VALUE"""),945.0)</f>
        <v>945</v>
      </c>
      <c r="G1498" s="23">
        <f>IFERROR(__xludf.DUMMYFUNCTION("""COMPUTED_VALUE"""),56.0)</f>
        <v>56</v>
      </c>
      <c r="H1498" s="23" t="str">
        <f>IFERROR(__xludf.DUMMYFUNCTION("""COMPUTED_VALUE"""),"Algorithms")</f>
        <v>Algorithms</v>
      </c>
      <c r="I1498" s="23">
        <f>IFERROR(__xludf.DUMMYFUNCTION("""COMPUTED_VALUE"""),0.405)</f>
        <v>0.405</v>
      </c>
      <c r="J1498" s="23">
        <f>IFERROR(__xludf.DUMMYFUNCTION("""COMPUTED_VALUE"""),1497.0)</f>
        <v>1497</v>
      </c>
      <c r="K1498" s="23" t="b">
        <f>IFERROR(__xludf.DUMMYFUNCTION("""COMPUTED_VALUE"""),FALSE)</f>
        <v>0</v>
      </c>
      <c r="L1498" s="23" t="str">
        <f>IFERROR(__xludf.DUMMYFUNCTION("""COMPUTED_VALUE"""),"Array;Hash Table;Counting;")</f>
        <v>Array;Hash Table;Counting;</v>
      </c>
      <c r="M1498" s="23" t="b">
        <f>IFERROR(__xludf.DUMMYFUNCTION("""COMPUTED_VALUE"""),FALSE)</f>
        <v>0</v>
      </c>
      <c r="N1498" s="23" t="b">
        <f>IFERROR(__xludf.DUMMYFUNCTION("""COMPUTED_VALUE"""),FALSE)</f>
        <v>0</v>
      </c>
      <c r="O1498" s="23">
        <f>IFERROR(__xludf.DUMMYFUNCTION("""COMPUTED_VALUE"""),40.5097055328139)</f>
        <v>40.50970553</v>
      </c>
      <c r="P1498" s="23">
        <f>IFERROR(__xludf.DUMMYFUNCTION("""COMPUTED_VALUE"""),30678.0)</f>
        <v>30678</v>
      </c>
      <c r="Q1498" s="23">
        <f>IFERROR(__xludf.DUMMYFUNCTION("""COMPUTED_VALUE"""),75730.0)</f>
        <v>75730</v>
      </c>
    </row>
    <row r="1499">
      <c r="A1499" s="23">
        <f>IFERROR(__xludf.DUMMYFUNCTION("""COMPUTED_VALUE"""),1621.0)</f>
        <v>1621</v>
      </c>
      <c r="B1499" s="23" t="str">
        <f>IFERROR(__xludf.DUMMYFUNCTION("""COMPUTED_VALUE"""),"Number of Subsequences That Satisfy the Given Sum Condition")</f>
        <v>Number of Subsequences That Satisfy the Given Sum Condition</v>
      </c>
      <c r="C1499" s="23" t="str">
        <f>IFERROR(__xludf.DUMMYFUNCTION("""COMPUTED_VALUE"""),"number-of-subsequences-that-satisfy-the-given-sum-condition")</f>
        <v>number-of-subsequences-that-satisfy-the-given-sum-condition</v>
      </c>
      <c r="D1499" s="23" t="b">
        <f>IFERROR(__xludf.DUMMYFUNCTION("""COMPUTED_VALUE"""),FALSE)</f>
        <v>0</v>
      </c>
      <c r="E1499" s="23" t="str">
        <f>IFERROR(__xludf.DUMMYFUNCTION("""COMPUTED_VALUE"""),"Medium")</f>
        <v>Medium</v>
      </c>
      <c r="F1499" s="23">
        <f>IFERROR(__xludf.DUMMYFUNCTION("""COMPUTED_VALUE"""),1123.0)</f>
        <v>1123</v>
      </c>
      <c r="G1499" s="23">
        <f>IFERROR(__xludf.DUMMYFUNCTION("""COMPUTED_VALUE"""),104.0)</f>
        <v>104</v>
      </c>
      <c r="H1499" s="23" t="str">
        <f>IFERROR(__xludf.DUMMYFUNCTION("""COMPUTED_VALUE"""),"Algorithms")</f>
        <v>Algorithms</v>
      </c>
      <c r="I1499" s="23">
        <f>IFERROR(__xludf.DUMMYFUNCTION("""COMPUTED_VALUE"""),0.392)</f>
        <v>0.392</v>
      </c>
      <c r="J1499" s="23">
        <f>IFERROR(__xludf.DUMMYFUNCTION("""COMPUTED_VALUE"""),1498.0)</f>
        <v>1498</v>
      </c>
      <c r="K1499" s="23" t="b">
        <f>IFERROR(__xludf.DUMMYFUNCTION("""COMPUTED_VALUE"""),FALSE)</f>
        <v>0</v>
      </c>
      <c r="L1499" s="23" t="str">
        <f>IFERROR(__xludf.DUMMYFUNCTION("""COMPUTED_VALUE"""),"Array;Two Pointers;Binary Search;Sorting;")</f>
        <v>Array;Two Pointers;Binary Search;Sorting;</v>
      </c>
      <c r="M1499" s="23" t="b">
        <f>IFERROR(__xludf.DUMMYFUNCTION("""COMPUTED_VALUE"""),FALSE)</f>
        <v>0</v>
      </c>
      <c r="N1499" s="23" t="b">
        <f>IFERROR(__xludf.DUMMYFUNCTION("""COMPUTED_VALUE"""),FALSE)</f>
        <v>0</v>
      </c>
      <c r="O1499" s="23">
        <f>IFERROR(__xludf.DUMMYFUNCTION("""COMPUTED_VALUE"""),39.1559202813599)</f>
        <v>39.15592028</v>
      </c>
      <c r="P1499" s="23">
        <f>IFERROR(__xludf.DUMMYFUNCTION("""COMPUTED_VALUE"""),28390.0)</f>
        <v>28390</v>
      </c>
      <c r="Q1499" s="23">
        <f>IFERROR(__xludf.DUMMYFUNCTION("""COMPUTED_VALUE"""),72505.0)</f>
        <v>72505</v>
      </c>
    </row>
    <row r="1500">
      <c r="A1500" s="23">
        <f>IFERROR(__xludf.DUMMYFUNCTION("""COMPUTED_VALUE"""),1622.0)</f>
        <v>1622</v>
      </c>
      <c r="B1500" s="23" t="str">
        <f>IFERROR(__xludf.DUMMYFUNCTION("""COMPUTED_VALUE"""),"Max Value of Equation")</f>
        <v>Max Value of Equation</v>
      </c>
      <c r="C1500" s="23" t="str">
        <f>IFERROR(__xludf.DUMMYFUNCTION("""COMPUTED_VALUE"""),"max-value-of-equation")</f>
        <v>max-value-of-equation</v>
      </c>
      <c r="D1500" s="23" t="b">
        <f>IFERROR(__xludf.DUMMYFUNCTION("""COMPUTED_VALUE"""),FALSE)</f>
        <v>0</v>
      </c>
      <c r="E1500" s="23" t="str">
        <f>IFERROR(__xludf.DUMMYFUNCTION("""COMPUTED_VALUE"""),"Hard")</f>
        <v>Hard</v>
      </c>
      <c r="F1500" s="23">
        <f>IFERROR(__xludf.DUMMYFUNCTION("""COMPUTED_VALUE"""),790.0)</f>
        <v>790</v>
      </c>
      <c r="G1500" s="23">
        <f>IFERROR(__xludf.DUMMYFUNCTION("""COMPUTED_VALUE"""),30.0)</f>
        <v>30</v>
      </c>
      <c r="H1500" s="23" t="str">
        <f>IFERROR(__xludf.DUMMYFUNCTION("""COMPUTED_VALUE"""),"Algorithms")</f>
        <v>Algorithms</v>
      </c>
      <c r="I1500" s="23">
        <f>IFERROR(__xludf.DUMMYFUNCTION("""COMPUTED_VALUE"""),0.469)</f>
        <v>0.469</v>
      </c>
      <c r="J1500" s="23">
        <f>IFERROR(__xludf.DUMMYFUNCTION("""COMPUTED_VALUE"""),1499.0)</f>
        <v>1499</v>
      </c>
      <c r="K1500" s="23" t="b">
        <f>IFERROR(__xludf.DUMMYFUNCTION("""COMPUTED_VALUE"""),FALSE)</f>
        <v>0</v>
      </c>
      <c r="L1500" s="23" t="str">
        <f>IFERROR(__xludf.DUMMYFUNCTION("""COMPUTED_VALUE"""),"Array;Queue;Sliding Window;Heap (Priority Queue);Monotonic Queue;")</f>
        <v>Array;Queue;Sliding Window;Heap (Priority Queue);Monotonic Queue;</v>
      </c>
      <c r="M1500" s="23" t="b">
        <f>IFERROR(__xludf.DUMMYFUNCTION("""COMPUTED_VALUE"""),FALSE)</f>
        <v>0</v>
      </c>
      <c r="N1500" s="23" t="b">
        <f>IFERROR(__xludf.DUMMYFUNCTION("""COMPUTED_VALUE"""),FALSE)</f>
        <v>0</v>
      </c>
      <c r="O1500" s="23">
        <f>IFERROR(__xludf.DUMMYFUNCTION("""COMPUTED_VALUE"""),46.8927528953893)</f>
        <v>46.8927529</v>
      </c>
      <c r="P1500" s="23">
        <f>IFERROR(__xludf.DUMMYFUNCTION("""COMPUTED_VALUE"""),29880.0)</f>
        <v>29880</v>
      </c>
      <c r="Q1500" s="23">
        <f>IFERROR(__xludf.DUMMYFUNCTION("""COMPUTED_VALUE"""),63721.0)</f>
        <v>63721</v>
      </c>
    </row>
    <row r="1501">
      <c r="A1501" s="23">
        <f>IFERROR(__xludf.DUMMYFUNCTION("""COMPUTED_VALUE"""),1640.0)</f>
        <v>1640</v>
      </c>
      <c r="B1501" s="23" t="str">
        <f>IFERROR(__xludf.DUMMYFUNCTION("""COMPUTED_VALUE"""),"Design a File Sharing System")</f>
        <v>Design a File Sharing System</v>
      </c>
      <c r="C1501" s="23" t="str">
        <f>IFERROR(__xludf.DUMMYFUNCTION("""COMPUTED_VALUE"""),"design-a-file-sharing-system")</f>
        <v>design-a-file-sharing-system</v>
      </c>
      <c r="D1501" s="23" t="b">
        <f>IFERROR(__xludf.DUMMYFUNCTION("""COMPUTED_VALUE"""),TRUE)</f>
        <v>1</v>
      </c>
      <c r="E1501" s="23" t="str">
        <f>IFERROR(__xludf.DUMMYFUNCTION("""COMPUTED_VALUE"""),"Medium")</f>
        <v>Medium</v>
      </c>
      <c r="F1501" s="23">
        <f>IFERROR(__xludf.DUMMYFUNCTION("""COMPUTED_VALUE"""),38.0)</f>
        <v>38</v>
      </c>
      <c r="G1501" s="23">
        <f>IFERROR(__xludf.DUMMYFUNCTION("""COMPUTED_VALUE"""),91.0)</f>
        <v>91</v>
      </c>
      <c r="H1501" s="23" t="str">
        <f>IFERROR(__xludf.DUMMYFUNCTION("""COMPUTED_VALUE"""),"Algorithms")</f>
        <v>Algorithms</v>
      </c>
      <c r="I1501" s="23">
        <f>IFERROR(__xludf.DUMMYFUNCTION("""COMPUTED_VALUE"""),0.449)</f>
        <v>0.449</v>
      </c>
      <c r="J1501" s="23">
        <f>IFERROR(__xludf.DUMMYFUNCTION("""COMPUTED_VALUE"""),1500.0)</f>
        <v>1500</v>
      </c>
      <c r="K1501" s="23" t="b">
        <f>IFERROR(__xludf.DUMMYFUNCTION("""COMPUTED_VALUE"""),TRUE)</f>
        <v>1</v>
      </c>
      <c r="L1501" s="23" t="str">
        <f>IFERROR(__xludf.DUMMYFUNCTION("""COMPUTED_VALUE"""),"Hash Table;Design;Heap (Priority Queue);Data Stream;")</f>
        <v>Hash Table;Design;Heap (Priority Queue);Data Stream;</v>
      </c>
      <c r="M1501" s="23" t="b">
        <f>IFERROR(__xludf.DUMMYFUNCTION("""COMPUTED_VALUE"""),FALSE)</f>
        <v>0</v>
      </c>
      <c r="N1501" s="23" t="b">
        <f>IFERROR(__xludf.DUMMYFUNCTION("""COMPUTED_VALUE"""),FALSE)</f>
        <v>0</v>
      </c>
      <c r="O1501" s="23">
        <f>IFERROR(__xludf.DUMMYFUNCTION("""COMPUTED_VALUE"""),44.893816364772)</f>
        <v>44.89381636</v>
      </c>
      <c r="P1501" s="23">
        <f>IFERROR(__xludf.DUMMYFUNCTION("""COMPUTED_VALUE"""),2875.0)</f>
        <v>2875</v>
      </c>
      <c r="Q1501" s="23">
        <f>IFERROR(__xludf.DUMMYFUNCTION("""COMPUTED_VALUE"""),6404.0)</f>
        <v>6404</v>
      </c>
    </row>
    <row r="1502">
      <c r="A1502" s="23">
        <f>IFERROR(__xludf.DUMMYFUNCTION("""COMPUTED_VALUE"""),1641.0)</f>
        <v>1641</v>
      </c>
      <c r="B1502" s="23" t="str">
        <f>IFERROR(__xludf.DUMMYFUNCTION("""COMPUTED_VALUE"""),"Countries You Can Safely Invest In")</f>
        <v>Countries You Can Safely Invest In</v>
      </c>
      <c r="C1502" s="23" t="str">
        <f>IFERROR(__xludf.DUMMYFUNCTION("""COMPUTED_VALUE"""),"countries-you-can-safely-invest-in")</f>
        <v>countries-you-can-safely-invest-in</v>
      </c>
      <c r="D1502" s="23" t="b">
        <f>IFERROR(__xludf.DUMMYFUNCTION("""COMPUTED_VALUE"""),TRUE)</f>
        <v>1</v>
      </c>
      <c r="E1502" s="23" t="str">
        <f>IFERROR(__xludf.DUMMYFUNCTION("""COMPUTED_VALUE"""),"Medium")</f>
        <v>Medium</v>
      </c>
      <c r="F1502" s="23">
        <f>IFERROR(__xludf.DUMMYFUNCTION("""COMPUTED_VALUE"""),164.0)</f>
        <v>164</v>
      </c>
      <c r="G1502" s="23">
        <f>IFERROR(__xludf.DUMMYFUNCTION("""COMPUTED_VALUE"""),19.0)</f>
        <v>19</v>
      </c>
      <c r="H1502" s="23" t="str">
        <f>IFERROR(__xludf.DUMMYFUNCTION("""COMPUTED_VALUE"""),"Database")</f>
        <v>Database</v>
      </c>
      <c r="I1502" s="23">
        <f>IFERROR(__xludf.DUMMYFUNCTION("""COMPUTED_VALUE"""),0.576)</f>
        <v>0.576</v>
      </c>
      <c r="J1502" s="23">
        <f>IFERROR(__xludf.DUMMYFUNCTION("""COMPUTED_VALUE"""),1501.0)</f>
        <v>1501</v>
      </c>
      <c r="K1502" s="23" t="b">
        <f>IFERROR(__xludf.DUMMYFUNCTION("""COMPUTED_VALUE"""),TRUE)</f>
        <v>1</v>
      </c>
      <c r="L1502" s="23" t="str">
        <f>IFERROR(__xludf.DUMMYFUNCTION("""COMPUTED_VALUE"""),"Database;")</f>
        <v>Database;</v>
      </c>
      <c r="M1502" s="23" t="b">
        <f>IFERROR(__xludf.DUMMYFUNCTION("""COMPUTED_VALUE"""),FALSE)</f>
        <v>0</v>
      </c>
      <c r="N1502" s="23" t="b">
        <f>IFERROR(__xludf.DUMMYFUNCTION("""COMPUTED_VALUE"""),FALSE)</f>
        <v>0</v>
      </c>
      <c r="O1502" s="23">
        <f>IFERROR(__xludf.DUMMYFUNCTION("""COMPUTED_VALUE"""),57.5655636413565)</f>
        <v>57.56556364</v>
      </c>
      <c r="P1502" s="23">
        <f>IFERROR(__xludf.DUMMYFUNCTION("""COMPUTED_VALUE"""),16770.0)</f>
        <v>16770</v>
      </c>
      <c r="Q1502" s="23">
        <f>IFERROR(__xludf.DUMMYFUNCTION("""COMPUTED_VALUE"""),29132.0)</f>
        <v>29132</v>
      </c>
    </row>
    <row r="1503">
      <c r="A1503" s="23">
        <f>IFERROR(__xludf.DUMMYFUNCTION("""COMPUTED_VALUE"""),1626.0)</f>
        <v>1626</v>
      </c>
      <c r="B1503" s="23" t="str">
        <f>IFERROR(__xludf.DUMMYFUNCTION("""COMPUTED_VALUE"""),"Can Make Arithmetic Progression From Sequence")</f>
        <v>Can Make Arithmetic Progression From Sequence</v>
      </c>
      <c r="C1503" s="23" t="str">
        <f>IFERROR(__xludf.DUMMYFUNCTION("""COMPUTED_VALUE"""),"can-make-arithmetic-progression-from-sequence")</f>
        <v>can-make-arithmetic-progression-from-sequence</v>
      </c>
      <c r="D1503" s="23" t="b">
        <f>IFERROR(__xludf.DUMMYFUNCTION("""COMPUTED_VALUE"""),FALSE)</f>
        <v>0</v>
      </c>
      <c r="E1503" s="23" t="str">
        <f>IFERROR(__xludf.DUMMYFUNCTION("""COMPUTED_VALUE"""),"Easy")</f>
        <v>Easy</v>
      </c>
      <c r="F1503" s="23">
        <f>IFERROR(__xludf.DUMMYFUNCTION("""COMPUTED_VALUE"""),658.0)</f>
        <v>658</v>
      </c>
      <c r="G1503" s="23">
        <f>IFERROR(__xludf.DUMMYFUNCTION("""COMPUTED_VALUE"""),44.0)</f>
        <v>44</v>
      </c>
      <c r="H1503" s="23" t="str">
        <f>IFERROR(__xludf.DUMMYFUNCTION("""COMPUTED_VALUE"""),"Algorithms")</f>
        <v>Algorithms</v>
      </c>
      <c r="I1503" s="23">
        <f>IFERROR(__xludf.DUMMYFUNCTION("""COMPUTED_VALUE"""),0.697)</f>
        <v>0.697</v>
      </c>
      <c r="J1503" s="23">
        <f>IFERROR(__xludf.DUMMYFUNCTION("""COMPUTED_VALUE"""),1502.0)</f>
        <v>1502</v>
      </c>
      <c r="K1503" s="23" t="b">
        <f>IFERROR(__xludf.DUMMYFUNCTION("""COMPUTED_VALUE"""),FALSE)</f>
        <v>0</v>
      </c>
      <c r="L1503" s="23" t="str">
        <f>IFERROR(__xludf.DUMMYFUNCTION("""COMPUTED_VALUE"""),"Array;Sorting;")</f>
        <v>Array;Sorting;</v>
      </c>
      <c r="M1503" s="23" t="b">
        <f>IFERROR(__xludf.DUMMYFUNCTION("""COMPUTED_VALUE"""),FALSE)</f>
        <v>0</v>
      </c>
      <c r="N1503" s="23" t="b">
        <f>IFERROR(__xludf.DUMMYFUNCTION("""COMPUTED_VALUE"""),FALSE)</f>
        <v>0</v>
      </c>
      <c r="O1503" s="23">
        <f>IFERROR(__xludf.DUMMYFUNCTION("""COMPUTED_VALUE"""),69.6748972275544)</f>
        <v>69.67489723</v>
      </c>
      <c r="P1503" s="23">
        <f>IFERROR(__xludf.DUMMYFUNCTION("""COMPUTED_VALUE"""),79490.0)</f>
        <v>79490</v>
      </c>
      <c r="Q1503" s="23">
        <f>IFERROR(__xludf.DUMMYFUNCTION("""COMPUTED_VALUE"""),114087.0)</f>
        <v>114087</v>
      </c>
    </row>
    <row r="1504">
      <c r="A1504" s="23">
        <f>IFERROR(__xludf.DUMMYFUNCTION("""COMPUTED_VALUE"""),1627.0)</f>
        <v>1627</v>
      </c>
      <c r="B1504" s="23" t="str">
        <f>IFERROR(__xludf.DUMMYFUNCTION("""COMPUTED_VALUE"""),"Last Moment Before All Ants Fall Out of a Plank")</f>
        <v>Last Moment Before All Ants Fall Out of a Plank</v>
      </c>
      <c r="C1504" s="23" t="str">
        <f>IFERROR(__xludf.DUMMYFUNCTION("""COMPUTED_VALUE"""),"last-moment-before-all-ants-fall-out-of-a-plank")</f>
        <v>last-moment-before-all-ants-fall-out-of-a-plank</v>
      </c>
      <c r="D1504" s="23" t="b">
        <f>IFERROR(__xludf.DUMMYFUNCTION("""COMPUTED_VALUE"""),FALSE)</f>
        <v>0</v>
      </c>
      <c r="E1504" s="23" t="str">
        <f>IFERROR(__xludf.DUMMYFUNCTION("""COMPUTED_VALUE"""),"Medium")</f>
        <v>Medium</v>
      </c>
      <c r="F1504" s="23">
        <f>IFERROR(__xludf.DUMMYFUNCTION("""COMPUTED_VALUE"""),336.0)</f>
        <v>336</v>
      </c>
      <c r="G1504" s="23">
        <f>IFERROR(__xludf.DUMMYFUNCTION("""COMPUTED_VALUE"""),181.0)</f>
        <v>181</v>
      </c>
      <c r="H1504" s="23" t="str">
        <f>IFERROR(__xludf.DUMMYFUNCTION("""COMPUTED_VALUE"""),"Algorithms")</f>
        <v>Algorithms</v>
      </c>
      <c r="I1504" s="23">
        <f>IFERROR(__xludf.DUMMYFUNCTION("""COMPUTED_VALUE"""),0.548)</f>
        <v>0.548</v>
      </c>
      <c r="J1504" s="23">
        <f>IFERROR(__xludf.DUMMYFUNCTION("""COMPUTED_VALUE"""),1503.0)</f>
        <v>1503</v>
      </c>
      <c r="K1504" s="23" t="b">
        <f>IFERROR(__xludf.DUMMYFUNCTION("""COMPUTED_VALUE"""),FALSE)</f>
        <v>0</v>
      </c>
      <c r="L1504" s="23" t="str">
        <f>IFERROR(__xludf.DUMMYFUNCTION("""COMPUTED_VALUE"""),"Array;Brainteaser;Simulation;")</f>
        <v>Array;Brainteaser;Simulation;</v>
      </c>
      <c r="M1504" s="23" t="b">
        <f>IFERROR(__xludf.DUMMYFUNCTION("""COMPUTED_VALUE"""),FALSE)</f>
        <v>0</v>
      </c>
      <c r="N1504" s="23" t="b">
        <f>IFERROR(__xludf.DUMMYFUNCTION("""COMPUTED_VALUE"""),FALSE)</f>
        <v>0</v>
      </c>
      <c r="O1504" s="23">
        <f>IFERROR(__xludf.DUMMYFUNCTION("""COMPUTED_VALUE"""),54.828548929773)</f>
        <v>54.82854893</v>
      </c>
      <c r="P1504" s="23">
        <f>IFERROR(__xludf.DUMMYFUNCTION("""COMPUTED_VALUE"""),15318.0)</f>
        <v>15318</v>
      </c>
      <c r="Q1504" s="23">
        <f>IFERROR(__xludf.DUMMYFUNCTION("""COMPUTED_VALUE"""),27938.0)</f>
        <v>27938</v>
      </c>
    </row>
    <row r="1505">
      <c r="A1505" s="23">
        <f>IFERROR(__xludf.DUMMYFUNCTION("""COMPUTED_VALUE"""),1628.0)</f>
        <v>1628</v>
      </c>
      <c r="B1505" s="23" t="str">
        <f>IFERROR(__xludf.DUMMYFUNCTION("""COMPUTED_VALUE"""),"Count Submatrices With All Ones")</f>
        <v>Count Submatrices With All Ones</v>
      </c>
      <c r="C1505" s="23" t="str">
        <f>IFERROR(__xludf.DUMMYFUNCTION("""COMPUTED_VALUE"""),"count-submatrices-with-all-ones")</f>
        <v>count-submatrices-with-all-ones</v>
      </c>
      <c r="D1505" s="23" t="b">
        <f>IFERROR(__xludf.DUMMYFUNCTION("""COMPUTED_VALUE"""),FALSE)</f>
        <v>0</v>
      </c>
      <c r="E1505" s="23" t="str">
        <f>IFERROR(__xludf.DUMMYFUNCTION("""COMPUTED_VALUE"""),"Medium")</f>
        <v>Medium</v>
      </c>
      <c r="F1505" s="23">
        <f>IFERROR(__xludf.DUMMYFUNCTION("""COMPUTED_VALUE"""),1509.0)</f>
        <v>1509</v>
      </c>
      <c r="G1505" s="23">
        <f>IFERROR(__xludf.DUMMYFUNCTION("""COMPUTED_VALUE"""),119.0)</f>
        <v>119</v>
      </c>
      <c r="H1505" s="23" t="str">
        <f>IFERROR(__xludf.DUMMYFUNCTION("""COMPUTED_VALUE"""),"Algorithms")</f>
        <v>Algorithms</v>
      </c>
      <c r="I1505" s="23">
        <f>IFERROR(__xludf.DUMMYFUNCTION("""COMPUTED_VALUE"""),0.585)</f>
        <v>0.585</v>
      </c>
      <c r="J1505" s="23">
        <f>IFERROR(__xludf.DUMMYFUNCTION("""COMPUTED_VALUE"""),1504.0)</f>
        <v>1504</v>
      </c>
      <c r="K1505" s="23" t="b">
        <f>IFERROR(__xludf.DUMMYFUNCTION("""COMPUTED_VALUE"""),FALSE)</f>
        <v>0</v>
      </c>
      <c r="L1505" s="23" t="str">
        <f>IFERROR(__xludf.DUMMYFUNCTION("""COMPUTED_VALUE"""),"Array;Dynamic Programming;Stack;Matrix;Monotonic Stack;")</f>
        <v>Array;Dynamic Programming;Stack;Matrix;Monotonic Stack;</v>
      </c>
      <c r="M1505" s="23" t="b">
        <f>IFERROR(__xludf.DUMMYFUNCTION("""COMPUTED_VALUE"""),FALSE)</f>
        <v>0</v>
      </c>
      <c r="N1505" s="23" t="b">
        <f>IFERROR(__xludf.DUMMYFUNCTION("""COMPUTED_VALUE"""),FALSE)</f>
        <v>0</v>
      </c>
      <c r="O1505" s="23">
        <f>IFERROR(__xludf.DUMMYFUNCTION("""COMPUTED_VALUE"""),58.5277621054727)</f>
        <v>58.52776211</v>
      </c>
      <c r="P1505" s="23">
        <f>IFERROR(__xludf.DUMMYFUNCTION("""COMPUTED_VALUE"""),35270.0)</f>
        <v>35270</v>
      </c>
      <c r="Q1505" s="23">
        <f>IFERROR(__xludf.DUMMYFUNCTION("""COMPUTED_VALUE"""),60262.0)</f>
        <v>60262</v>
      </c>
    </row>
    <row r="1506">
      <c r="A1506" s="23">
        <f>IFERROR(__xludf.DUMMYFUNCTION("""COMPUTED_VALUE"""),1629.0)</f>
        <v>1629</v>
      </c>
      <c r="B1506" s="23" t="str">
        <f>IFERROR(__xludf.DUMMYFUNCTION("""COMPUTED_VALUE"""),"Minimum Possible Integer After at Most K Adjacent Swaps On Digits")</f>
        <v>Minimum Possible Integer After at Most K Adjacent Swaps On Digits</v>
      </c>
      <c r="C1506" s="23" t="str">
        <f>IFERROR(__xludf.DUMMYFUNCTION("""COMPUTED_VALUE"""),"minimum-possible-integer-after-at-most-k-adjacent-swaps-on-digits")</f>
        <v>minimum-possible-integer-after-at-most-k-adjacent-swaps-on-digits</v>
      </c>
      <c r="D1506" s="23" t="b">
        <f>IFERROR(__xludf.DUMMYFUNCTION("""COMPUTED_VALUE"""),FALSE)</f>
        <v>0</v>
      </c>
      <c r="E1506" s="23" t="str">
        <f>IFERROR(__xludf.DUMMYFUNCTION("""COMPUTED_VALUE"""),"Hard")</f>
        <v>Hard</v>
      </c>
      <c r="F1506" s="23">
        <f>IFERROR(__xludf.DUMMYFUNCTION("""COMPUTED_VALUE"""),312.0)</f>
        <v>312</v>
      </c>
      <c r="G1506" s="23">
        <f>IFERROR(__xludf.DUMMYFUNCTION("""COMPUTED_VALUE"""),20.0)</f>
        <v>20</v>
      </c>
      <c r="H1506" s="23" t="str">
        <f>IFERROR(__xludf.DUMMYFUNCTION("""COMPUTED_VALUE"""),"Algorithms")</f>
        <v>Algorithms</v>
      </c>
      <c r="I1506" s="23">
        <f>IFERROR(__xludf.DUMMYFUNCTION("""COMPUTED_VALUE"""),0.378)</f>
        <v>0.378</v>
      </c>
      <c r="J1506" s="23">
        <f>IFERROR(__xludf.DUMMYFUNCTION("""COMPUTED_VALUE"""),1505.0)</f>
        <v>1505</v>
      </c>
      <c r="K1506" s="23" t="b">
        <f>IFERROR(__xludf.DUMMYFUNCTION("""COMPUTED_VALUE"""),FALSE)</f>
        <v>0</v>
      </c>
      <c r="L1506" s="23" t="str">
        <f>IFERROR(__xludf.DUMMYFUNCTION("""COMPUTED_VALUE"""),"String;Greedy;Binary Indexed Tree;Segment Tree;")</f>
        <v>String;Greedy;Binary Indexed Tree;Segment Tree;</v>
      </c>
      <c r="M1506" s="23" t="b">
        <f>IFERROR(__xludf.DUMMYFUNCTION("""COMPUTED_VALUE"""),FALSE)</f>
        <v>0</v>
      </c>
      <c r="N1506" s="23" t="b">
        <f>IFERROR(__xludf.DUMMYFUNCTION("""COMPUTED_VALUE"""),FALSE)</f>
        <v>0</v>
      </c>
      <c r="O1506" s="23">
        <f>IFERROR(__xludf.DUMMYFUNCTION("""COMPUTED_VALUE"""),37.7848004485447)</f>
        <v>37.78480045</v>
      </c>
      <c r="P1506" s="23">
        <f>IFERROR(__xludf.DUMMYFUNCTION("""COMPUTED_VALUE"""),7413.0)</f>
        <v>7413</v>
      </c>
      <c r="Q1506" s="23">
        <f>IFERROR(__xludf.DUMMYFUNCTION("""COMPUTED_VALUE"""),19619.0)</f>
        <v>19619</v>
      </c>
    </row>
    <row r="1507">
      <c r="A1507" s="23">
        <f>IFERROR(__xludf.DUMMYFUNCTION("""COMPUTED_VALUE"""),1650.0)</f>
        <v>1650</v>
      </c>
      <c r="B1507" s="23" t="str">
        <f>IFERROR(__xludf.DUMMYFUNCTION("""COMPUTED_VALUE"""),"Find Root of N-Ary Tree")</f>
        <v>Find Root of N-Ary Tree</v>
      </c>
      <c r="C1507" s="23" t="str">
        <f>IFERROR(__xludf.DUMMYFUNCTION("""COMPUTED_VALUE"""),"find-root-of-n-ary-tree")</f>
        <v>find-root-of-n-ary-tree</v>
      </c>
      <c r="D1507" s="23" t="b">
        <f>IFERROR(__xludf.DUMMYFUNCTION("""COMPUTED_VALUE"""),TRUE)</f>
        <v>1</v>
      </c>
      <c r="E1507" s="23" t="str">
        <f>IFERROR(__xludf.DUMMYFUNCTION("""COMPUTED_VALUE"""),"Medium")</f>
        <v>Medium</v>
      </c>
      <c r="F1507" s="23">
        <f>IFERROR(__xludf.DUMMYFUNCTION("""COMPUTED_VALUE"""),326.0)</f>
        <v>326</v>
      </c>
      <c r="G1507" s="23">
        <f>IFERROR(__xludf.DUMMYFUNCTION("""COMPUTED_VALUE"""),118.0)</f>
        <v>118</v>
      </c>
      <c r="H1507" s="23" t="str">
        <f>IFERROR(__xludf.DUMMYFUNCTION("""COMPUTED_VALUE"""),"Algorithms")</f>
        <v>Algorithms</v>
      </c>
      <c r="I1507" s="23">
        <f>IFERROR(__xludf.DUMMYFUNCTION("""COMPUTED_VALUE"""),0.78)</f>
        <v>0.78</v>
      </c>
      <c r="J1507" s="23">
        <f>IFERROR(__xludf.DUMMYFUNCTION("""COMPUTED_VALUE"""),1506.0)</f>
        <v>1506</v>
      </c>
      <c r="K1507" s="23" t="b">
        <f>IFERROR(__xludf.DUMMYFUNCTION("""COMPUTED_VALUE"""),TRUE)</f>
        <v>1</v>
      </c>
      <c r="L1507" s="23" t="str">
        <f>IFERROR(__xludf.DUMMYFUNCTION("""COMPUTED_VALUE"""),"Hash Table;Bit Manipulation;Tree;Depth-First Search;")</f>
        <v>Hash Table;Bit Manipulation;Tree;Depth-First Search;</v>
      </c>
      <c r="M1507" s="23" t="b">
        <f>IFERROR(__xludf.DUMMYFUNCTION("""COMPUTED_VALUE"""),TRUE)</f>
        <v>1</v>
      </c>
      <c r="N1507" s="23" t="b">
        <f>IFERROR(__xludf.DUMMYFUNCTION("""COMPUTED_VALUE"""),FALSE)</f>
        <v>0</v>
      </c>
      <c r="O1507" s="23">
        <f>IFERROR(__xludf.DUMMYFUNCTION("""COMPUTED_VALUE"""),78.020883297052)</f>
        <v>78.0208833</v>
      </c>
      <c r="P1507" s="23">
        <f>IFERROR(__xludf.DUMMYFUNCTION("""COMPUTED_VALUE"""),21146.0)</f>
        <v>21146</v>
      </c>
      <c r="Q1507" s="23">
        <f>IFERROR(__xludf.DUMMYFUNCTION("""COMPUTED_VALUE"""),27103.0)</f>
        <v>27103</v>
      </c>
    </row>
    <row r="1508">
      <c r="A1508" s="23">
        <f>IFERROR(__xludf.DUMMYFUNCTION("""COMPUTED_VALUE"""),1283.0)</f>
        <v>1283</v>
      </c>
      <c r="B1508" s="23" t="str">
        <f>IFERROR(__xludf.DUMMYFUNCTION("""COMPUTED_VALUE"""),"Reformat Date")</f>
        <v>Reformat Date</v>
      </c>
      <c r="C1508" s="23" t="str">
        <f>IFERROR(__xludf.DUMMYFUNCTION("""COMPUTED_VALUE"""),"reformat-date")</f>
        <v>reformat-date</v>
      </c>
      <c r="D1508" s="23" t="b">
        <f>IFERROR(__xludf.DUMMYFUNCTION("""COMPUTED_VALUE"""),FALSE)</f>
        <v>0</v>
      </c>
      <c r="E1508" s="23" t="str">
        <f>IFERROR(__xludf.DUMMYFUNCTION("""COMPUTED_VALUE"""),"Easy")</f>
        <v>Easy</v>
      </c>
      <c r="F1508" s="23">
        <f>IFERROR(__xludf.DUMMYFUNCTION("""COMPUTED_VALUE"""),250.0)</f>
        <v>250</v>
      </c>
      <c r="G1508" s="23">
        <f>IFERROR(__xludf.DUMMYFUNCTION("""COMPUTED_VALUE"""),331.0)</f>
        <v>331</v>
      </c>
      <c r="H1508" s="23" t="str">
        <f>IFERROR(__xludf.DUMMYFUNCTION("""COMPUTED_VALUE"""),"Algorithms")</f>
        <v>Algorithms</v>
      </c>
      <c r="I1508" s="23">
        <f>IFERROR(__xludf.DUMMYFUNCTION("""COMPUTED_VALUE"""),0.618)</f>
        <v>0.618</v>
      </c>
      <c r="J1508" s="23">
        <f>IFERROR(__xludf.DUMMYFUNCTION("""COMPUTED_VALUE"""),1507.0)</f>
        <v>1507</v>
      </c>
      <c r="K1508" s="23" t="b">
        <f>IFERROR(__xludf.DUMMYFUNCTION("""COMPUTED_VALUE"""),FALSE)</f>
        <v>0</v>
      </c>
      <c r="L1508" s="23" t="str">
        <f>IFERROR(__xludf.DUMMYFUNCTION("""COMPUTED_VALUE"""),"String;")</f>
        <v>String;</v>
      </c>
      <c r="M1508" s="23" t="b">
        <f>IFERROR(__xludf.DUMMYFUNCTION("""COMPUTED_VALUE"""),FALSE)</f>
        <v>0</v>
      </c>
      <c r="N1508" s="23" t="b">
        <f>IFERROR(__xludf.DUMMYFUNCTION("""COMPUTED_VALUE"""),FALSE)</f>
        <v>0</v>
      </c>
      <c r="O1508" s="23">
        <f>IFERROR(__xludf.DUMMYFUNCTION("""COMPUTED_VALUE"""),61.7573678465616)</f>
        <v>61.75736785</v>
      </c>
      <c r="P1508" s="23">
        <f>IFERROR(__xludf.DUMMYFUNCTION("""COMPUTED_VALUE"""),39605.0)</f>
        <v>39605</v>
      </c>
      <c r="Q1508" s="23">
        <f>IFERROR(__xludf.DUMMYFUNCTION("""COMPUTED_VALUE"""),64130.0)</f>
        <v>64130</v>
      </c>
    </row>
    <row r="1509">
      <c r="A1509" s="23">
        <f>IFERROR(__xludf.DUMMYFUNCTION("""COMPUTED_VALUE"""),1615.0)</f>
        <v>1615</v>
      </c>
      <c r="B1509" s="23" t="str">
        <f>IFERROR(__xludf.DUMMYFUNCTION("""COMPUTED_VALUE"""),"Range Sum of Sorted Subarray Sums")</f>
        <v>Range Sum of Sorted Subarray Sums</v>
      </c>
      <c r="C1509" s="23" t="str">
        <f>IFERROR(__xludf.DUMMYFUNCTION("""COMPUTED_VALUE"""),"range-sum-of-sorted-subarray-sums")</f>
        <v>range-sum-of-sorted-subarray-sums</v>
      </c>
      <c r="D1509" s="23" t="b">
        <f>IFERROR(__xludf.DUMMYFUNCTION("""COMPUTED_VALUE"""),FALSE)</f>
        <v>0</v>
      </c>
      <c r="E1509" s="23" t="str">
        <f>IFERROR(__xludf.DUMMYFUNCTION("""COMPUTED_VALUE"""),"Medium")</f>
        <v>Medium</v>
      </c>
      <c r="F1509" s="23">
        <f>IFERROR(__xludf.DUMMYFUNCTION("""COMPUTED_VALUE"""),570.0)</f>
        <v>570</v>
      </c>
      <c r="G1509" s="23">
        <f>IFERROR(__xludf.DUMMYFUNCTION("""COMPUTED_VALUE"""),107.0)</f>
        <v>107</v>
      </c>
      <c r="H1509" s="23" t="str">
        <f>IFERROR(__xludf.DUMMYFUNCTION("""COMPUTED_VALUE"""),"Algorithms")</f>
        <v>Algorithms</v>
      </c>
      <c r="I1509" s="23">
        <f>IFERROR(__xludf.DUMMYFUNCTION("""COMPUTED_VALUE"""),0.592)</f>
        <v>0.592</v>
      </c>
      <c r="J1509" s="23">
        <f>IFERROR(__xludf.DUMMYFUNCTION("""COMPUTED_VALUE"""),1508.0)</f>
        <v>1508</v>
      </c>
      <c r="K1509" s="23" t="b">
        <f>IFERROR(__xludf.DUMMYFUNCTION("""COMPUTED_VALUE"""),FALSE)</f>
        <v>0</v>
      </c>
      <c r="L1509" s="23" t="str">
        <f>IFERROR(__xludf.DUMMYFUNCTION("""COMPUTED_VALUE"""),"Array;Two Pointers;Binary Search;Sorting;")</f>
        <v>Array;Two Pointers;Binary Search;Sorting;</v>
      </c>
      <c r="M1509" s="23" t="b">
        <f>IFERROR(__xludf.DUMMYFUNCTION("""COMPUTED_VALUE"""),FALSE)</f>
        <v>0</v>
      </c>
      <c r="N1509" s="23" t="b">
        <f>IFERROR(__xludf.DUMMYFUNCTION("""COMPUTED_VALUE"""),FALSE)</f>
        <v>0</v>
      </c>
      <c r="O1509" s="23">
        <f>IFERROR(__xludf.DUMMYFUNCTION("""COMPUTED_VALUE"""),59.2151030297215)</f>
        <v>59.21510303</v>
      </c>
      <c r="P1509" s="23">
        <f>IFERROR(__xludf.DUMMYFUNCTION("""COMPUTED_VALUE"""),24684.0)</f>
        <v>24684</v>
      </c>
      <c r="Q1509" s="23">
        <f>IFERROR(__xludf.DUMMYFUNCTION("""COMPUTED_VALUE"""),41686.0)</f>
        <v>41686</v>
      </c>
    </row>
    <row r="1510">
      <c r="A1510" s="23">
        <f>IFERROR(__xludf.DUMMYFUNCTION("""COMPUTED_VALUE"""),1616.0)</f>
        <v>1616</v>
      </c>
      <c r="B1510" s="23" t="str">
        <f>IFERROR(__xludf.DUMMYFUNCTION("""COMPUTED_VALUE"""),"Minimum Difference Between Largest and Smallest Value in Three Moves")</f>
        <v>Minimum Difference Between Largest and Smallest Value in Three Moves</v>
      </c>
      <c r="C1510" s="23" t="str">
        <f>IFERROR(__xludf.DUMMYFUNCTION("""COMPUTED_VALUE"""),"minimum-difference-between-largest-and-smallest-value-in-three-moves")</f>
        <v>minimum-difference-between-largest-and-smallest-value-in-three-moves</v>
      </c>
      <c r="D1510" s="23" t="b">
        <f>IFERROR(__xludf.DUMMYFUNCTION("""COMPUTED_VALUE"""),FALSE)</f>
        <v>0</v>
      </c>
      <c r="E1510" s="23" t="str">
        <f>IFERROR(__xludf.DUMMYFUNCTION("""COMPUTED_VALUE"""),"Medium")</f>
        <v>Medium</v>
      </c>
      <c r="F1510" s="23">
        <f>IFERROR(__xludf.DUMMYFUNCTION("""COMPUTED_VALUE"""),1067.0)</f>
        <v>1067</v>
      </c>
      <c r="G1510" s="23">
        <f>IFERROR(__xludf.DUMMYFUNCTION("""COMPUTED_VALUE"""),147.0)</f>
        <v>147</v>
      </c>
      <c r="H1510" s="23" t="str">
        <f>IFERROR(__xludf.DUMMYFUNCTION("""COMPUTED_VALUE"""),"Algorithms")</f>
        <v>Algorithms</v>
      </c>
      <c r="I1510" s="23">
        <f>IFERROR(__xludf.DUMMYFUNCTION("""COMPUTED_VALUE"""),0.555)</f>
        <v>0.555</v>
      </c>
      <c r="J1510" s="23">
        <f>IFERROR(__xludf.DUMMYFUNCTION("""COMPUTED_VALUE"""),1509.0)</f>
        <v>1509</v>
      </c>
      <c r="K1510" s="23" t="b">
        <f>IFERROR(__xludf.DUMMYFUNCTION("""COMPUTED_VALUE"""),FALSE)</f>
        <v>0</v>
      </c>
      <c r="L1510" s="23" t="str">
        <f>IFERROR(__xludf.DUMMYFUNCTION("""COMPUTED_VALUE"""),"Array;Greedy;Sorting;")</f>
        <v>Array;Greedy;Sorting;</v>
      </c>
      <c r="M1510" s="23" t="b">
        <f>IFERROR(__xludf.DUMMYFUNCTION("""COMPUTED_VALUE"""),FALSE)</f>
        <v>0</v>
      </c>
      <c r="N1510" s="23" t="b">
        <f>IFERROR(__xludf.DUMMYFUNCTION("""COMPUTED_VALUE"""),FALSE)</f>
        <v>0</v>
      </c>
      <c r="O1510" s="23">
        <f>IFERROR(__xludf.DUMMYFUNCTION("""COMPUTED_VALUE"""),55.479104801912)</f>
        <v>55.4791048</v>
      </c>
      <c r="P1510" s="23">
        <f>IFERROR(__xludf.DUMMYFUNCTION("""COMPUTED_VALUE"""),61280.0)</f>
        <v>61280</v>
      </c>
      <c r="Q1510" s="23">
        <f>IFERROR(__xludf.DUMMYFUNCTION("""COMPUTED_VALUE"""),110456.0)</f>
        <v>110456</v>
      </c>
    </row>
    <row r="1511">
      <c r="A1511" s="23">
        <f>IFERROR(__xludf.DUMMYFUNCTION("""COMPUTED_VALUE"""),1617.0)</f>
        <v>1617</v>
      </c>
      <c r="B1511" s="23" t="str">
        <f>IFERROR(__xludf.DUMMYFUNCTION("""COMPUTED_VALUE"""),"Stone Game IV")</f>
        <v>Stone Game IV</v>
      </c>
      <c r="C1511" s="23" t="str">
        <f>IFERROR(__xludf.DUMMYFUNCTION("""COMPUTED_VALUE"""),"stone-game-iv")</f>
        <v>stone-game-iv</v>
      </c>
      <c r="D1511" s="23" t="b">
        <f>IFERROR(__xludf.DUMMYFUNCTION("""COMPUTED_VALUE"""),FALSE)</f>
        <v>0</v>
      </c>
      <c r="E1511" s="23" t="str">
        <f>IFERROR(__xludf.DUMMYFUNCTION("""COMPUTED_VALUE"""),"Hard")</f>
        <v>Hard</v>
      </c>
      <c r="F1511" s="23">
        <f>IFERROR(__xludf.DUMMYFUNCTION("""COMPUTED_VALUE"""),1250.0)</f>
        <v>1250</v>
      </c>
      <c r="G1511" s="23">
        <f>IFERROR(__xludf.DUMMYFUNCTION("""COMPUTED_VALUE"""),55.0)</f>
        <v>55</v>
      </c>
      <c r="H1511" s="23" t="str">
        <f>IFERROR(__xludf.DUMMYFUNCTION("""COMPUTED_VALUE"""),"Algorithms")</f>
        <v>Algorithms</v>
      </c>
      <c r="I1511" s="23">
        <f>IFERROR(__xludf.DUMMYFUNCTION("""COMPUTED_VALUE"""),0.608)</f>
        <v>0.608</v>
      </c>
      <c r="J1511" s="23">
        <f>IFERROR(__xludf.DUMMYFUNCTION("""COMPUTED_VALUE"""),1510.0)</f>
        <v>1510</v>
      </c>
      <c r="K1511" s="23" t="b">
        <f>IFERROR(__xludf.DUMMYFUNCTION("""COMPUTED_VALUE"""),FALSE)</f>
        <v>0</v>
      </c>
      <c r="L1511" s="23" t="str">
        <f>IFERROR(__xludf.DUMMYFUNCTION("""COMPUTED_VALUE"""),"Math;Dynamic Programming;Game Theory;")</f>
        <v>Math;Dynamic Programming;Game Theory;</v>
      </c>
      <c r="M1511" s="23" t="b">
        <f>IFERROR(__xludf.DUMMYFUNCTION("""COMPUTED_VALUE"""),TRUE)</f>
        <v>1</v>
      </c>
      <c r="N1511" s="23" t="b">
        <f>IFERROR(__xludf.DUMMYFUNCTION("""COMPUTED_VALUE"""),FALSE)</f>
        <v>0</v>
      </c>
      <c r="O1511" s="23">
        <f>IFERROR(__xludf.DUMMYFUNCTION("""COMPUTED_VALUE"""),60.8003585873326)</f>
        <v>60.80035859</v>
      </c>
      <c r="P1511" s="23">
        <f>IFERROR(__xludf.DUMMYFUNCTION("""COMPUTED_VALUE"""),58327.0)</f>
        <v>58327</v>
      </c>
      <c r="Q1511" s="23">
        <f>IFERROR(__xludf.DUMMYFUNCTION("""COMPUTED_VALUE"""),95932.0)</f>
        <v>95932</v>
      </c>
    </row>
    <row r="1512">
      <c r="A1512" s="23">
        <f>IFERROR(__xludf.DUMMYFUNCTION("""COMPUTED_VALUE"""),1654.0)</f>
        <v>1654</v>
      </c>
      <c r="B1512" s="23" t="str">
        <f>IFERROR(__xludf.DUMMYFUNCTION("""COMPUTED_VALUE"""),"Customer Order Frequency")</f>
        <v>Customer Order Frequency</v>
      </c>
      <c r="C1512" s="23" t="str">
        <f>IFERROR(__xludf.DUMMYFUNCTION("""COMPUTED_VALUE"""),"customer-order-frequency")</f>
        <v>customer-order-frequency</v>
      </c>
      <c r="D1512" s="23" t="b">
        <f>IFERROR(__xludf.DUMMYFUNCTION("""COMPUTED_VALUE"""),TRUE)</f>
        <v>1</v>
      </c>
      <c r="E1512" s="23" t="str">
        <f>IFERROR(__xludf.DUMMYFUNCTION("""COMPUTED_VALUE"""),"Easy")</f>
        <v>Easy</v>
      </c>
      <c r="F1512" s="23">
        <f>IFERROR(__xludf.DUMMYFUNCTION("""COMPUTED_VALUE"""),225.0)</f>
        <v>225</v>
      </c>
      <c r="G1512" s="23">
        <f>IFERROR(__xludf.DUMMYFUNCTION("""COMPUTED_VALUE"""),45.0)</f>
        <v>45</v>
      </c>
      <c r="H1512" s="23" t="str">
        <f>IFERROR(__xludf.DUMMYFUNCTION("""COMPUTED_VALUE"""),"Database")</f>
        <v>Database</v>
      </c>
      <c r="I1512" s="23">
        <f>IFERROR(__xludf.DUMMYFUNCTION("""COMPUTED_VALUE"""),0.733)</f>
        <v>0.733</v>
      </c>
      <c r="J1512" s="23">
        <f>IFERROR(__xludf.DUMMYFUNCTION("""COMPUTED_VALUE"""),1511.0)</f>
        <v>1511</v>
      </c>
      <c r="K1512" s="23" t="b">
        <f>IFERROR(__xludf.DUMMYFUNCTION("""COMPUTED_VALUE"""),TRUE)</f>
        <v>1</v>
      </c>
      <c r="L1512" s="23" t="str">
        <f>IFERROR(__xludf.DUMMYFUNCTION("""COMPUTED_VALUE"""),"Database;")</f>
        <v>Database;</v>
      </c>
      <c r="M1512" s="23" t="b">
        <f>IFERROR(__xludf.DUMMYFUNCTION("""COMPUTED_VALUE"""),FALSE)</f>
        <v>0</v>
      </c>
      <c r="N1512" s="23" t="b">
        <f>IFERROR(__xludf.DUMMYFUNCTION("""COMPUTED_VALUE"""),FALSE)</f>
        <v>0</v>
      </c>
      <c r="O1512" s="23">
        <f>IFERROR(__xludf.DUMMYFUNCTION("""COMPUTED_VALUE"""),73.291892606798)</f>
        <v>73.29189261</v>
      </c>
      <c r="P1512" s="23">
        <f>IFERROR(__xludf.DUMMYFUNCTION("""COMPUTED_VALUE"""),27708.0)</f>
        <v>27708</v>
      </c>
      <c r="Q1512" s="23">
        <f>IFERROR(__xludf.DUMMYFUNCTION("""COMPUTED_VALUE"""),37805.0)</f>
        <v>37805</v>
      </c>
    </row>
    <row r="1513">
      <c r="A1513" s="23">
        <f>IFERROR(__xludf.DUMMYFUNCTION("""COMPUTED_VALUE"""),1635.0)</f>
        <v>1635</v>
      </c>
      <c r="B1513" s="23" t="str">
        <f>IFERROR(__xludf.DUMMYFUNCTION("""COMPUTED_VALUE"""),"Number of Good Pairs")</f>
        <v>Number of Good Pairs</v>
      </c>
      <c r="C1513" s="23" t="str">
        <f>IFERROR(__xludf.DUMMYFUNCTION("""COMPUTED_VALUE"""),"number-of-good-pairs")</f>
        <v>number-of-good-pairs</v>
      </c>
      <c r="D1513" s="23" t="b">
        <f>IFERROR(__xludf.DUMMYFUNCTION("""COMPUTED_VALUE"""),FALSE)</f>
        <v>0</v>
      </c>
      <c r="E1513" s="23" t="str">
        <f>IFERROR(__xludf.DUMMYFUNCTION("""COMPUTED_VALUE"""),"Easy")</f>
        <v>Easy</v>
      </c>
      <c r="F1513" s="23">
        <f>IFERROR(__xludf.DUMMYFUNCTION("""COMPUTED_VALUE"""),2409.0)</f>
        <v>2409</v>
      </c>
      <c r="G1513" s="23">
        <f>IFERROR(__xludf.DUMMYFUNCTION("""COMPUTED_VALUE"""),141.0)</f>
        <v>141</v>
      </c>
      <c r="H1513" s="23" t="str">
        <f>IFERROR(__xludf.DUMMYFUNCTION("""COMPUTED_VALUE"""),"Algorithms")</f>
        <v>Algorithms</v>
      </c>
      <c r="I1513" s="23">
        <f>IFERROR(__xludf.DUMMYFUNCTION("""COMPUTED_VALUE"""),0.88)</f>
        <v>0.88</v>
      </c>
      <c r="J1513" s="23">
        <f>IFERROR(__xludf.DUMMYFUNCTION("""COMPUTED_VALUE"""),1512.0)</f>
        <v>1512</v>
      </c>
      <c r="K1513" s="23" t="b">
        <f>IFERROR(__xludf.DUMMYFUNCTION("""COMPUTED_VALUE"""),FALSE)</f>
        <v>0</v>
      </c>
      <c r="L1513" s="23" t="str">
        <f>IFERROR(__xludf.DUMMYFUNCTION("""COMPUTED_VALUE"""),"Array;Hash Table;Math;Counting;")</f>
        <v>Array;Hash Table;Math;Counting;</v>
      </c>
      <c r="M1513" s="23" t="b">
        <f>IFERROR(__xludf.DUMMYFUNCTION("""COMPUTED_VALUE"""),FALSE)</f>
        <v>0</v>
      </c>
      <c r="N1513" s="23" t="b">
        <f>IFERROR(__xludf.DUMMYFUNCTION("""COMPUTED_VALUE"""),FALSE)</f>
        <v>0</v>
      </c>
      <c r="O1513" s="23">
        <f>IFERROR(__xludf.DUMMYFUNCTION("""COMPUTED_VALUE"""),87.9577575948906)</f>
        <v>87.95775759</v>
      </c>
      <c r="P1513" s="23">
        <f>IFERROR(__xludf.DUMMYFUNCTION("""COMPUTED_VALUE"""),289756.0)</f>
        <v>289756</v>
      </c>
      <c r="Q1513" s="23">
        <f>IFERROR(__xludf.DUMMYFUNCTION("""COMPUTED_VALUE"""),329426.0)</f>
        <v>329426</v>
      </c>
    </row>
    <row r="1514">
      <c r="A1514" s="23">
        <f>IFERROR(__xludf.DUMMYFUNCTION("""COMPUTED_VALUE"""),1636.0)</f>
        <v>1636</v>
      </c>
      <c r="B1514" s="23" t="str">
        <f>IFERROR(__xludf.DUMMYFUNCTION("""COMPUTED_VALUE"""),"Number of Substrings With Only 1s")</f>
        <v>Number of Substrings With Only 1s</v>
      </c>
      <c r="C1514" s="23" t="str">
        <f>IFERROR(__xludf.DUMMYFUNCTION("""COMPUTED_VALUE"""),"number-of-substrings-with-only-1s")</f>
        <v>number-of-substrings-with-only-1s</v>
      </c>
      <c r="D1514" s="23" t="b">
        <f>IFERROR(__xludf.DUMMYFUNCTION("""COMPUTED_VALUE"""),FALSE)</f>
        <v>0</v>
      </c>
      <c r="E1514" s="23" t="str">
        <f>IFERROR(__xludf.DUMMYFUNCTION("""COMPUTED_VALUE"""),"Medium")</f>
        <v>Medium</v>
      </c>
      <c r="F1514" s="23">
        <f>IFERROR(__xludf.DUMMYFUNCTION("""COMPUTED_VALUE"""),515.0)</f>
        <v>515</v>
      </c>
      <c r="G1514" s="23">
        <f>IFERROR(__xludf.DUMMYFUNCTION("""COMPUTED_VALUE"""),23.0)</f>
        <v>23</v>
      </c>
      <c r="H1514" s="23" t="str">
        <f>IFERROR(__xludf.DUMMYFUNCTION("""COMPUTED_VALUE"""),"Algorithms")</f>
        <v>Algorithms</v>
      </c>
      <c r="I1514" s="23">
        <f>IFERROR(__xludf.DUMMYFUNCTION("""COMPUTED_VALUE"""),0.442)</f>
        <v>0.442</v>
      </c>
      <c r="J1514" s="23">
        <f>IFERROR(__xludf.DUMMYFUNCTION("""COMPUTED_VALUE"""),1513.0)</f>
        <v>1513</v>
      </c>
      <c r="K1514" s="23" t="b">
        <f>IFERROR(__xludf.DUMMYFUNCTION("""COMPUTED_VALUE"""),FALSE)</f>
        <v>0</v>
      </c>
      <c r="L1514" s="23" t="str">
        <f>IFERROR(__xludf.DUMMYFUNCTION("""COMPUTED_VALUE"""),"Math;String;")</f>
        <v>Math;String;</v>
      </c>
      <c r="M1514" s="23" t="b">
        <f>IFERROR(__xludf.DUMMYFUNCTION("""COMPUTED_VALUE"""),FALSE)</f>
        <v>0</v>
      </c>
      <c r="N1514" s="23" t="b">
        <f>IFERROR(__xludf.DUMMYFUNCTION("""COMPUTED_VALUE"""),FALSE)</f>
        <v>0</v>
      </c>
      <c r="O1514" s="23">
        <f>IFERROR(__xludf.DUMMYFUNCTION("""COMPUTED_VALUE"""),44.23682616596)</f>
        <v>44.23682617</v>
      </c>
      <c r="P1514" s="23">
        <f>IFERROR(__xludf.DUMMYFUNCTION("""COMPUTED_VALUE"""),29214.0)</f>
        <v>29214</v>
      </c>
      <c r="Q1514" s="23">
        <f>IFERROR(__xludf.DUMMYFUNCTION("""COMPUTED_VALUE"""),66040.0)</f>
        <v>66040</v>
      </c>
    </row>
    <row r="1515">
      <c r="A1515" s="23">
        <f>IFERROR(__xludf.DUMMYFUNCTION("""COMPUTED_VALUE"""),1325.0)</f>
        <v>1325</v>
      </c>
      <c r="B1515" s="23" t="str">
        <f>IFERROR(__xludf.DUMMYFUNCTION("""COMPUTED_VALUE"""),"Path with Maximum Probability")</f>
        <v>Path with Maximum Probability</v>
      </c>
      <c r="C1515" s="23" t="str">
        <f>IFERROR(__xludf.DUMMYFUNCTION("""COMPUTED_VALUE"""),"path-with-maximum-probability")</f>
        <v>path-with-maximum-probability</v>
      </c>
      <c r="D1515" s="23" t="b">
        <f>IFERROR(__xludf.DUMMYFUNCTION("""COMPUTED_VALUE"""),FALSE)</f>
        <v>0</v>
      </c>
      <c r="E1515" s="23" t="str">
        <f>IFERROR(__xludf.DUMMYFUNCTION("""COMPUTED_VALUE"""),"Medium")</f>
        <v>Medium</v>
      </c>
      <c r="F1515" s="23">
        <f>IFERROR(__xludf.DUMMYFUNCTION("""COMPUTED_VALUE"""),1158.0)</f>
        <v>1158</v>
      </c>
      <c r="G1515" s="23">
        <f>IFERROR(__xludf.DUMMYFUNCTION("""COMPUTED_VALUE"""),25.0)</f>
        <v>25</v>
      </c>
      <c r="H1515" s="23" t="str">
        <f>IFERROR(__xludf.DUMMYFUNCTION("""COMPUTED_VALUE"""),"Algorithms")</f>
        <v>Algorithms</v>
      </c>
      <c r="I1515" s="23">
        <f>IFERROR(__xludf.DUMMYFUNCTION("""COMPUTED_VALUE"""),0.465)</f>
        <v>0.465</v>
      </c>
      <c r="J1515" s="23">
        <f>IFERROR(__xludf.DUMMYFUNCTION("""COMPUTED_VALUE"""),1514.0)</f>
        <v>1514</v>
      </c>
      <c r="K1515" s="23" t="b">
        <f>IFERROR(__xludf.DUMMYFUNCTION("""COMPUTED_VALUE"""),FALSE)</f>
        <v>0</v>
      </c>
      <c r="L1515" s="23" t="str">
        <f>IFERROR(__xludf.DUMMYFUNCTION("""COMPUTED_VALUE"""),"Graph;Heap (Priority Queue);Shortest Path;")</f>
        <v>Graph;Heap (Priority Queue);Shortest Path;</v>
      </c>
      <c r="M1515" s="23" t="b">
        <f>IFERROR(__xludf.DUMMYFUNCTION("""COMPUTED_VALUE"""),FALSE)</f>
        <v>0</v>
      </c>
      <c r="N1515" s="23" t="b">
        <f>IFERROR(__xludf.DUMMYFUNCTION("""COMPUTED_VALUE"""),FALSE)</f>
        <v>0</v>
      </c>
      <c r="O1515" s="23">
        <f>IFERROR(__xludf.DUMMYFUNCTION("""COMPUTED_VALUE"""),46.4594957579463)</f>
        <v>46.45949576</v>
      </c>
      <c r="P1515" s="23">
        <f>IFERROR(__xludf.DUMMYFUNCTION("""COMPUTED_VALUE"""),42549.0)</f>
        <v>42549</v>
      </c>
      <c r="Q1515" s="23">
        <f>IFERROR(__xludf.DUMMYFUNCTION("""COMPUTED_VALUE"""),91583.0)</f>
        <v>91583</v>
      </c>
    </row>
    <row r="1516">
      <c r="A1516" s="23">
        <f>IFERROR(__xludf.DUMMYFUNCTION("""COMPUTED_VALUE"""),1638.0)</f>
        <v>1638</v>
      </c>
      <c r="B1516" s="23" t="str">
        <f>IFERROR(__xludf.DUMMYFUNCTION("""COMPUTED_VALUE"""),"Best Position for a Service Centre")</f>
        <v>Best Position for a Service Centre</v>
      </c>
      <c r="C1516" s="23" t="str">
        <f>IFERROR(__xludf.DUMMYFUNCTION("""COMPUTED_VALUE"""),"best-position-for-a-service-centre")</f>
        <v>best-position-for-a-service-centre</v>
      </c>
      <c r="D1516" s="23" t="b">
        <f>IFERROR(__xludf.DUMMYFUNCTION("""COMPUTED_VALUE"""),FALSE)</f>
        <v>0</v>
      </c>
      <c r="E1516" s="23" t="str">
        <f>IFERROR(__xludf.DUMMYFUNCTION("""COMPUTED_VALUE"""),"Hard")</f>
        <v>Hard</v>
      </c>
      <c r="F1516" s="23">
        <f>IFERROR(__xludf.DUMMYFUNCTION("""COMPUTED_VALUE"""),162.0)</f>
        <v>162</v>
      </c>
      <c r="G1516" s="23">
        <f>IFERROR(__xludf.DUMMYFUNCTION("""COMPUTED_VALUE"""),197.0)</f>
        <v>197</v>
      </c>
      <c r="H1516" s="23" t="str">
        <f>IFERROR(__xludf.DUMMYFUNCTION("""COMPUTED_VALUE"""),"Algorithms")</f>
        <v>Algorithms</v>
      </c>
      <c r="I1516" s="23">
        <f>IFERROR(__xludf.DUMMYFUNCTION("""COMPUTED_VALUE"""),0.386)</f>
        <v>0.386</v>
      </c>
      <c r="J1516" s="23">
        <f>IFERROR(__xludf.DUMMYFUNCTION("""COMPUTED_VALUE"""),1515.0)</f>
        <v>1515</v>
      </c>
      <c r="K1516" s="23" t="b">
        <f>IFERROR(__xludf.DUMMYFUNCTION("""COMPUTED_VALUE"""),FALSE)</f>
        <v>0</v>
      </c>
      <c r="L1516" s="23" t="str">
        <f>IFERROR(__xludf.DUMMYFUNCTION("""COMPUTED_VALUE"""),"Math;Geometry;Randomized;")</f>
        <v>Math;Geometry;Randomized;</v>
      </c>
      <c r="M1516" s="23" t="b">
        <f>IFERROR(__xludf.DUMMYFUNCTION("""COMPUTED_VALUE"""),FALSE)</f>
        <v>0</v>
      </c>
      <c r="N1516" s="23" t="b">
        <f>IFERROR(__xludf.DUMMYFUNCTION("""COMPUTED_VALUE"""),FALSE)</f>
        <v>0</v>
      </c>
      <c r="O1516" s="23">
        <f>IFERROR(__xludf.DUMMYFUNCTION("""COMPUTED_VALUE"""),38.5918299568249)</f>
        <v>38.59182996</v>
      </c>
      <c r="P1516" s="23">
        <f>IFERROR(__xludf.DUMMYFUNCTION("""COMPUTED_VALUE"""),9296.0)</f>
        <v>9296</v>
      </c>
      <c r="Q1516" s="23">
        <f>IFERROR(__xludf.DUMMYFUNCTION("""COMPUTED_VALUE"""),24088.0)</f>
        <v>24088</v>
      </c>
    </row>
    <row r="1517">
      <c r="A1517" s="23">
        <f>IFERROR(__xludf.DUMMYFUNCTION("""COMPUTED_VALUE"""),1655.0)</f>
        <v>1655</v>
      </c>
      <c r="B1517" s="23" t="str">
        <f>IFERROR(__xludf.DUMMYFUNCTION("""COMPUTED_VALUE"""),"Move Sub-Tree of N-Ary Tree")</f>
        <v>Move Sub-Tree of N-Ary Tree</v>
      </c>
      <c r="C1517" s="23" t="str">
        <f>IFERROR(__xludf.DUMMYFUNCTION("""COMPUTED_VALUE"""),"move-sub-tree-of-n-ary-tree")</f>
        <v>move-sub-tree-of-n-ary-tree</v>
      </c>
      <c r="D1517" s="23" t="b">
        <f>IFERROR(__xludf.DUMMYFUNCTION("""COMPUTED_VALUE"""),TRUE)</f>
        <v>1</v>
      </c>
      <c r="E1517" s="23" t="str">
        <f>IFERROR(__xludf.DUMMYFUNCTION("""COMPUTED_VALUE"""),"Hard")</f>
        <v>Hard</v>
      </c>
      <c r="F1517" s="23">
        <f>IFERROR(__xludf.DUMMYFUNCTION("""COMPUTED_VALUE"""),24.0)</f>
        <v>24</v>
      </c>
      <c r="G1517" s="23">
        <f>IFERROR(__xludf.DUMMYFUNCTION("""COMPUTED_VALUE"""),36.0)</f>
        <v>36</v>
      </c>
      <c r="H1517" s="23" t="str">
        <f>IFERROR(__xludf.DUMMYFUNCTION("""COMPUTED_VALUE"""),"Algorithms")</f>
        <v>Algorithms</v>
      </c>
      <c r="I1517" s="23">
        <f>IFERROR(__xludf.DUMMYFUNCTION("""COMPUTED_VALUE"""),0.649)</f>
        <v>0.649</v>
      </c>
      <c r="J1517" s="23">
        <f>IFERROR(__xludf.DUMMYFUNCTION("""COMPUTED_VALUE"""),1516.0)</f>
        <v>1516</v>
      </c>
      <c r="K1517" s="23" t="b">
        <f>IFERROR(__xludf.DUMMYFUNCTION("""COMPUTED_VALUE"""),TRUE)</f>
        <v>1</v>
      </c>
      <c r="L1517" s="23" t="str">
        <f>IFERROR(__xludf.DUMMYFUNCTION("""COMPUTED_VALUE"""),"Tree;Depth-First Search;")</f>
        <v>Tree;Depth-First Search;</v>
      </c>
      <c r="M1517" s="23" t="b">
        <f>IFERROR(__xludf.DUMMYFUNCTION("""COMPUTED_VALUE"""),FALSE)</f>
        <v>0</v>
      </c>
      <c r="N1517" s="23" t="b">
        <f>IFERROR(__xludf.DUMMYFUNCTION("""COMPUTED_VALUE"""),FALSE)</f>
        <v>0</v>
      </c>
      <c r="O1517" s="23">
        <f>IFERROR(__xludf.DUMMYFUNCTION("""COMPUTED_VALUE"""),64.8698884758364)</f>
        <v>64.86988848</v>
      </c>
      <c r="P1517" s="23">
        <f>IFERROR(__xludf.DUMMYFUNCTION("""COMPUTED_VALUE"""),1745.0)</f>
        <v>1745</v>
      </c>
      <c r="Q1517" s="23">
        <f>IFERROR(__xludf.DUMMYFUNCTION("""COMPUTED_VALUE"""),2690.0)</f>
        <v>2690</v>
      </c>
    </row>
    <row r="1518">
      <c r="A1518" s="23">
        <f>IFERROR(__xludf.DUMMYFUNCTION("""COMPUTED_VALUE"""),1664.0)</f>
        <v>1664</v>
      </c>
      <c r="B1518" s="23" t="str">
        <f>IFERROR(__xludf.DUMMYFUNCTION("""COMPUTED_VALUE"""),"Find Users With Valid E-Mails")</f>
        <v>Find Users With Valid E-Mails</v>
      </c>
      <c r="C1518" s="23" t="str">
        <f>IFERROR(__xludf.DUMMYFUNCTION("""COMPUTED_VALUE"""),"find-users-with-valid-e-mails")</f>
        <v>find-users-with-valid-e-mails</v>
      </c>
      <c r="D1518" s="23" t="b">
        <f>IFERROR(__xludf.DUMMYFUNCTION("""COMPUTED_VALUE"""),TRUE)</f>
        <v>1</v>
      </c>
      <c r="E1518" s="23" t="str">
        <f>IFERROR(__xludf.DUMMYFUNCTION("""COMPUTED_VALUE"""),"Easy")</f>
        <v>Easy</v>
      </c>
      <c r="F1518" s="23">
        <f>IFERROR(__xludf.DUMMYFUNCTION("""COMPUTED_VALUE"""),95.0)</f>
        <v>95</v>
      </c>
      <c r="G1518" s="23">
        <f>IFERROR(__xludf.DUMMYFUNCTION("""COMPUTED_VALUE"""),67.0)</f>
        <v>67</v>
      </c>
      <c r="H1518" s="23" t="str">
        <f>IFERROR(__xludf.DUMMYFUNCTION("""COMPUTED_VALUE"""),"Database")</f>
        <v>Database</v>
      </c>
      <c r="I1518" s="23">
        <f>IFERROR(__xludf.DUMMYFUNCTION("""COMPUTED_VALUE"""),0.606)</f>
        <v>0.606</v>
      </c>
      <c r="J1518" s="23">
        <f>IFERROR(__xludf.DUMMYFUNCTION("""COMPUTED_VALUE"""),1517.0)</f>
        <v>1517</v>
      </c>
      <c r="K1518" s="23" t="b">
        <f>IFERROR(__xludf.DUMMYFUNCTION("""COMPUTED_VALUE"""),TRUE)</f>
        <v>1</v>
      </c>
      <c r="L1518" s="23" t="str">
        <f>IFERROR(__xludf.DUMMYFUNCTION("""COMPUTED_VALUE"""),"Database;")</f>
        <v>Database;</v>
      </c>
      <c r="M1518" s="23" t="b">
        <f>IFERROR(__xludf.DUMMYFUNCTION("""COMPUTED_VALUE"""),FALSE)</f>
        <v>0</v>
      </c>
      <c r="N1518" s="23" t="b">
        <f>IFERROR(__xludf.DUMMYFUNCTION("""COMPUTED_VALUE"""),FALSE)</f>
        <v>0</v>
      </c>
      <c r="O1518" s="23">
        <f>IFERROR(__xludf.DUMMYFUNCTION("""COMPUTED_VALUE"""),60.6034454144123)</f>
        <v>60.60344541</v>
      </c>
      <c r="P1518" s="23">
        <f>IFERROR(__xludf.DUMMYFUNCTION("""COMPUTED_VALUE"""),18258.0)</f>
        <v>18258</v>
      </c>
      <c r="Q1518" s="23">
        <f>IFERROR(__xludf.DUMMYFUNCTION("""COMPUTED_VALUE"""),30127.0)</f>
        <v>30127</v>
      </c>
    </row>
    <row r="1519">
      <c r="A1519" s="23">
        <f>IFERROR(__xludf.DUMMYFUNCTION("""COMPUTED_VALUE"""),1642.0)</f>
        <v>1642</v>
      </c>
      <c r="B1519" s="23" t="str">
        <f>IFERROR(__xludf.DUMMYFUNCTION("""COMPUTED_VALUE"""),"Water Bottles")</f>
        <v>Water Bottles</v>
      </c>
      <c r="C1519" s="23" t="str">
        <f>IFERROR(__xludf.DUMMYFUNCTION("""COMPUTED_VALUE"""),"water-bottles")</f>
        <v>water-bottles</v>
      </c>
      <c r="D1519" s="23" t="b">
        <f>IFERROR(__xludf.DUMMYFUNCTION("""COMPUTED_VALUE"""),FALSE)</f>
        <v>0</v>
      </c>
      <c r="E1519" s="23" t="str">
        <f>IFERROR(__xludf.DUMMYFUNCTION("""COMPUTED_VALUE"""),"Easy")</f>
        <v>Easy</v>
      </c>
      <c r="F1519" s="23">
        <f>IFERROR(__xludf.DUMMYFUNCTION("""COMPUTED_VALUE"""),669.0)</f>
        <v>669</v>
      </c>
      <c r="G1519" s="23">
        <f>IFERROR(__xludf.DUMMYFUNCTION("""COMPUTED_VALUE"""),54.0)</f>
        <v>54</v>
      </c>
      <c r="H1519" s="23" t="str">
        <f>IFERROR(__xludf.DUMMYFUNCTION("""COMPUTED_VALUE"""),"Algorithms")</f>
        <v>Algorithms</v>
      </c>
      <c r="I1519" s="23">
        <f>IFERROR(__xludf.DUMMYFUNCTION("""COMPUTED_VALUE"""),0.604)</f>
        <v>0.604</v>
      </c>
      <c r="J1519" s="23">
        <f>IFERROR(__xludf.DUMMYFUNCTION("""COMPUTED_VALUE"""),1518.0)</f>
        <v>1518</v>
      </c>
      <c r="K1519" s="23" t="b">
        <f>IFERROR(__xludf.DUMMYFUNCTION("""COMPUTED_VALUE"""),FALSE)</f>
        <v>0</v>
      </c>
      <c r="L1519" s="23" t="str">
        <f>IFERROR(__xludf.DUMMYFUNCTION("""COMPUTED_VALUE"""),"Math;Simulation;")</f>
        <v>Math;Simulation;</v>
      </c>
      <c r="M1519" s="23" t="b">
        <f>IFERROR(__xludf.DUMMYFUNCTION("""COMPUTED_VALUE"""),FALSE)</f>
        <v>0</v>
      </c>
      <c r="N1519" s="23" t="b">
        <f>IFERROR(__xludf.DUMMYFUNCTION("""COMPUTED_VALUE"""),FALSE)</f>
        <v>0</v>
      </c>
      <c r="O1519" s="23">
        <f>IFERROR(__xludf.DUMMYFUNCTION("""COMPUTED_VALUE"""),60.4062920904024)</f>
        <v>60.40629209</v>
      </c>
      <c r="P1519" s="23">
        <f>IFERROR(__xludf.DUMMYFUNCTION("""COMPUTED_VALUE"""),48885.0)</f>
        <v>48885</v>
      </c>
      <c r="Q1519" s="23">
        <f>IFERROR(__xludf.DUMMYFUNCTION("""COMPUTED_VALUE"""),80927.0)</f>
        <v>80927</v>
      </c>
    </row>
    <row r="1520">
      <c r="A1520" s="23">
        <f>IFERROR(__xludf.DUMMYFUNCTION("""COMPUTED_VALUE"""),1643.0)</f>
        <v>1643</v>
      </c>
      <c r="B1520" s="23" t="str">
        <f>IFERROR(__xludf.DUMMYFUNCTION("""COMPUTED_VALUE"""),"Number of Nodes in the Sub-Tree With the Same Label")</f>
        <v>Number of Nodes in the Sub-Tree With the Same Label</v>
      </c>
      <c r="C1520" s="23" t="str">
        <f>IFERROR(__xludf.DUMMYFUNCTION("""COMPUTED_VALUE"""),"number-of-nodes-in-the-sub-tree-with-the-same-label")</f>
        <v>number-of-nodes-in-the-sub-tree-with-the-same-label</v>
      </c>
      <c r="D1520" s="23" t="b">
        <f>IFERROR(__xludf.DUMMYFUNCTION("""COMPUTED_VALUE"""),FALSE)</f>
        <v>0</v>
      </c>
      <c r="E1520" s="23" t="str">
        <f>IFERROR(__xludf.DUMMYFUNCTION("""COMPUTED_VALUE"""),"Medium")</f>
        <v>Medium</v>
      </c>
      <c r="F1520" s="23">
        <f>IFERROR(__xludf.DUMMYFUNCTION("""COMPUTED_VALUE"""),386.0)</f>
        <v>386</v>
      </c>
      <c r="G1520" s="23">
        <f>IFERROR(__xludf.DUMMYFUNCTION("""COMPUTED_VALUE"""),359.0)</f>
        <v>359</v>
      </c>
      <c r="H1520" s="23" t="str">
        <f>IFERROR(__xludf.DUMMYFUNCTION("""COMPUTED_VALUE"""),"Algorithms")</f>
        <v>Algorithms</v>
      </c>
      <c r="I1520" s="23">
        <f>IFERROR(__xludf.DUMMYFUNCTION("""COMPUTED_VALUE"""),0.399)</f>
        <v>0.399</v>
      </c>
      <c r="J1520" s="23">
        <f>IFERROR(__xludf.DUMMYFUNCTION("""COMPUTED_VALUE"""),1519.0)</f>
        <v>1519</v>
      </c>
      <c r="K1520" s="23" t="b">
        <f>IFERROR(__xludf.DUMMYFUNCTION("""COMPUTED_VALUE"""),FALSE)</f>
        <v>0</v>
      </c>
      <c r="L1520" s="23" t="str">
        <f>IFERROR(__xludf.DUMMYFUNCTION("""COMPUTED_VALUE"""),"Hash Table;Tree;Depth-First Search;Breadth-First Search;Counting;")</f>
        <v>Hash Table;Tree;Depth-First Search;Breadth-First Search;Counting;</v>
      </c>
      <c r="M1520" s="23" t="b">
        <f>IFERROR(__xludf.DUMMYFUNCTION("""COMPUTED_VALUE"""),FALSE)</f>
        <v>0</v>
      </c>
      <c r="N1520" s="23" t="b">
        <f>IFERROR(__xludf.DUMMYFUNCTION("""COMPUTED_VALUE"""),FALSE)</f>
        <v>0</v>
      </c>
      <c r="O1520" s="23">
        <f>IFERROR(__xludf.DUMMYFUNCTION("""COMPUTED_VALUE"""),39.8694848971953)</f>
        <v>39.8694849</v>
      </c>
      <c r="P1520" s="23">
        <f>IFERROR(__xludf.DUMMYFUNCTION("""COMPUTED_VALUE"""),16618.0)</f>
        <v>16618</v>
      </c>
      <c r="Q1520" s="23">
        <f>IFERROR(__xludf.DUMMYFUNCTION("""COMPUTED_VALUE"""),41681.0)</f>
        <v>41681</v>
      </c>
    </row>
    <row r="1521">
      <c r="A1521" s="23">
        <f>IFERROR(__xludf.DUMMYFUNCTION("""COMPUTED_VALUE"""),1644.0)</f>
        <v>1644</v>
      </c>
      <c r="B1521" s="23" t="str">
        <f>IFERROR(__xludf.DUMMYFUNCTION("""COMPUTED_VALUE"""),"Maximum Number of Non-Overlapping Substrings")</f>
        <v>Maximum Number of Non-Overlapping Substrings</v>
      </c>
      <c r="C1521" s="23" t="str">
        <f>IFERROR(__xludf.DUMMYFUNCTION("""COMPUTED_VALUE"""),"maximum-number-of-non-overlapping-substrings")</f>
        <v>maximum-number-of-non-overlapping-substrings</v>
      </c>
      <c r="D1521" s="23" t="b">
        <f>IFERROR(__xludf.DUMMYFUNCTION("""COMPUTED_VALUE"""),FALSE)</f>
        <v>0</v>
      </c>
      <c r="E1521" s="23" t="str">
        <f>IFERROR(__xludf.DUMMYFUNCTION("""COMPUTED_VALUE"""),"Hard")</f>
        <v>Hard</v>
      </c>
      <c r="F1521" s="23">
        <f>IFERROR(__xludf.DUMMYFUNCTION("""COMPUTED_VALUE"""),466.0)</f>
        <v>466</v>
      </c>
      <c r="G1521" s="23">
        <f>IFERROR(__xludf.DUMMYFUNCTION("""COMPUTED_VALUE"""),56.0)</f>
        <v>56</v>
      </c>
      <c r="H1521" s="23" t="str">
        <f>IFERROR(__xludf.DUMMYFUNCTION("""COMPUTED_VALUE"""),"Algorithms")</f>
        <v>Algorithms</v>
      </c>
      <c r="I1521" s="23">
        <f>IFERROR(__xludf.DUMMYFUNCTION("""COMPUTED_VALUE"""),0.375)</f>
        <v>0.375</v>
      </c>
      <c r="J1521" s="23">
        <f>IFERROR(__xludf.DUMMYFUNCTION("""COMPUTED_VALUE"""),1520.0)</f>
        <v>1520</v>
      </c>
      <c r="K1521" s="23" t="b">
        <f>IFERROR(__xludf.DUMMYFUNCTION("""COMPUTED_VALUE"""),FALSE)</f>
        <v>0</v>
      </c>
      <c r="L1521" s="23" t="str">
        <f>IFERROR(__xludf.DUMMYFUNCTION("""COMPUTED_VALUE"""),"String;Greedy;")</f>
        <v>String;Greedy;</v>
      </c>
      <c r="M1521" s="23" t="b">
        <f>IFERROR(__xludf.DUMMYFUNCTION("""COMPUTED_VALUE"""),FALSE)</f>
        <v>0</v>
      </c>
      <c r="N1521" s="23" t="b">
        <f>IFERROR(__xludf.DUMMYFUNCTION("""COMPUTED_VALUE"""),FALSE)</f>
        <v>0</v>
      </c>
      <c r="O1521" s="23">
        <f>IFERROR(__xludf.DUMMYFUNCTION("""COMPUTED_VALUE"""),37.4577629149684)</f>
        <v>37.45776291</v>
      </c>
      <c r="P1521" s="23">
        <f>IFERROR(__xludf.DUMMYFUNCTION("""COMPUTED_VALUE"""),10753.0)</f>
        <v>10753</v>
      </c>
      <c r="Q1521" s="23">
        <f>IFERROR(__xludf.DUMMYFUNCTION("""COMPUTED_VALUE"""),28707.0)</f>
        <v>28707</v>
      </c>
    </row>
    <row r="1522">
      <c r="A1522" s="23">
        <f>IFERROR(__xludf.DUMMYFUNCTION("""COMPUTED_VALUE"""),1645.0)</f>
        <v>1645</v>
      </c>
      <c r="B1522" s="23" t="str">
        <f>IFERROR(__xludf.DUMMYFUNCTION("""COMPUTED_VALUE"""),"Find a Value of a Mysterious Function Closest to Target")</f>
        <v>Find a Value of a Mysterious Function Closest to Target</v>
      </c>
      <c r="C1522" s="23" t="str">
        <f>IFERROR(__xludf.DUMMYFUNCTION("""COMPUTED_VALUE"""),"find-a-value-of-a-mysterious-function-closest-to-target")</f>
        <v>find-a-value-of-a-mysterious-function-closest-to-target</v>
      </c>
      <c r="D1522" s="23" t="b">
        <f>IFERROR(__xludf.DUMMYFUNCTION("""COMPUTED_VALUE"""),FALSE)</f>
        <v>0</v>
      </c>
      <c r="E1522" s="23" t="str">
        <f>IFERROR(__xludf.DUMMYFUNCTION("""COMPUTED_VALUE"""),"Hard")</f>
        <v>Hard</v>
      </c>
      <c r="F1522" s="23">
        <f>IFERROR(__xludf.DUMMYFUNCTION("""COMPUTED_VALUE"""),262.0)</f>
        <v>262</v>
      </c>
      <c r="G1522" s="23">
        <f>IFERROR(__xludf.DUMMYFUNCTION("""COMPUTED_VALUE"""),10.0)</f>
        <v>10</v>
      </c>
      <c r="H1522" s="23" t="str">
        <f>IFERROR(__xludf.DUMMYFUNCTION("""COMPUTED_VALUE"""),"Algorithms")</f>
        <v>Algorithms</v>
      </c>
      <c r="I1522" s="23">
        <f>IFERROR(__xludf.DUMMYFUNCTION("""COMPUTED_VALUE"""),0.435)</f>
        <v>0.435</v>
      </c>
      <c r="J1522" s="23">
        <f>IFERROR(__xludf.DUMMYFUNCTION("""COMPUTED_VALUE"""),1521.0)</f>
        <v>1521</v>
      </c>
      <c r="K1522" s="23" t="b">
        <f>IFERROR(__xludf.DUMMYFUNCTION("""COMPUTED_VALUE"""),FALSE)</f>
        <v>0</v>
      </c>
      <c r="L1522" s="23" t="str">
        <f>IFERROR(__xludf.DUMMYFUNCTION("""COMPUTED_VALUE"""),"Array;Binary Search;Bit Manipulation;Segment Tree;")</f>
        <v>Array;Binary Search;Bit Manipulation;Segment Tree;</v>
      </c>
      <c r="M1522" s="23" t="b">
        <f>IFERROR(__xludf.DUMMYFUNCTION("""COMPUTED_VALUE"""),FALSE)</f>
        <v>0</v>
      </c>
      <c r="N1522" s="23" t="b">
        <f>IFERROR(__xludf.DUMMYFUNCTION("""COMPUTED_VALUE"""),FALSE)</f>
        <v>0</v>
      </c>
      <c r="O1522" s="23">
        <f>IFERROR(__xludf.DUMMYFUNCTION("""COMPUTED_VALUE"""),43.5404165195905)</f>
        <v>43.54041652</v>
      </c>
      <c r="P1522" s="23">
        <f>IFERROR(__xludf.DUMMYFUNCTION("""COMPUTED_VALUE"""),7401.0)</f>
        <v>7401</v>
      </c>
      <c r="Q1522" s="23">
        <f>IFERROR(__xludf.DUMMYFUNCTION("""COMPUTED_VALUE"""),16998.0)</f>
        <v>16998</v>
      </c>
    </row>
    <row r="1523">
      <c r="A1523" s="23">
        <f>IFERROR(__xludf.DUMMYFUNCTION("""COMPUTED_VALUE"""),1665.0)</f>
        <v>1665</v>
      </c>
      <c r="B1523" s="23" t="str">
        <f>IFERROR(__xludf.DUMMYFUNCTION("""COMPUTED_VALUE"""),"Diameter of N-Ary Tree")</f>
        <v>Diameter of N-Ary Tree</v>
      </c>
      <c r="C1523" s="23" t="str">
        <f>IFERROR(__xludf.DUMMYFUNCTION("""COMPUTED_VALUE"""),"diameter-of-n-ary-tree")</f>
        <v>diameter-of-n-ary-tree</v>
      </c>
      <c r="D1523" s="23" t="b">
        <f>IFERROR(__xludf.DUMMYFUNCTION("""COMPUTED_VALUE"""),TRUE)</f>
        <v>1</v>
      </c>
      <c r="E1523" s="23" t="str">
        <f>IFERROR(__xludf.DUMMYFUNCTION("""COMPUTED_VALUE"""),"Medium")</f>
        <v>Medium</v>
      </c>
      <c r="F1523" s="23">
        <f>IFERROR(__xludf.DUMMYFUNCTION("""COMPUTED_VALUE"""),434.0)</f>
        <v>434</v>
      </c>
      <c r="G1523" s="23">
        <f>IFERROR(__xludf.DUMMYFUNCTION("""COMPUTED_VALUE"""),6.0)</f>
        <v>6</v>
      </c>
      <c r="H1523" s="23" t="str">
        <f>IFERROR(__xludf.DUMMYFUNCTION("""COMPUTED_VALUE"""),"Algorithms")</f>
        <v>Algorithms</v>
      </c>
      <c r="I1523" s="23">
        <f>IFERROR(__xludf.DUMMYFUNCTION("""COMPUTED_VALUE"""),0.731)</f>
        <v>0.731</v>
      </c>
      <c r="J1523" s="23">
        <f>IFERROR(__xludf.DUMMYFUNCTION("""COMPUTED_VALUE"""),1522.0)</f>
        <v>1522</v>
      </c>
      <c r="K1523" s="23" t="b">
        <f>IFERROR(__xludf.DUMMYFUNCTION("""COMPUTED_VALUE"""),TRUE)</f>
        <v>1</v>
      </c>
      <c r="L1523" s="23" t="str">
        <f>IFERROR(__xludf.DUMMYFUNCTION("""COMPUTED_VALUE"""),"Tree;Depth-First Search;")</f>
        <v>Tree;Depth-First Search;</v>
      </c>
      <c r="M1523" s="23" t="b">
        <f>IFERROR(__xludf.DUMMYFUNCTION("""COMPUTED_VALUE"""),TRUE)</f>
        <v>1</v>
      </c>
      <c r="N1523" s="23" t="b">
        <f>IFERROR(__xludf.DUMMYFUNCTION("""COMPUTED_VALUE"""),FALSE)</f>
        <v>0</v>
      </c>
      <c r="O1523" s="23">
        <f>IFERROR(__xludf.DUMMYFUNCTION("""COMPUTED_VALUE"""),73.0758407204165)</f>
        <v>73.07584072</v>
      </c>
      <c r="P1523" s="23">
        <f>IFERROR(__xludf.DUMMYFUNCTION("""COMPUTED_VALUE"""),31160.0)</f>
        <v>31160</v>
      </c>
      <c r="Q1523" s="23">
        <f>IFERROR(__xludf.DUMMYFUNCTION("""COMPUTED_VALUE"""),42641.0)</f>
        <v>42641</v>
      </c>
    </row>
    <row r="1524">
      <c r="A1524" s="23">
        <f>IFERROR(__xludf.DUMMYFUNCTION("""COMPUTED_VALUE"""),1630.0)</f>
        <v>1630</v>
      </c>
      <c r="B1524" s="23" t="str">
        <f>IFERROR(__xludf.DUMMYFUNCTION("""COMPUTED_VALUE"""),"Count Odd Numbers in an Interval Range")</f>
        <v>Count Odd Numbers in an Interval Range</v>
      </c>
      <c r="C1524" s="23" t="str">
        <f>IFERROR(__xludf.DUMMYFUNCTION("""COMPUTED_VALUE"""),"count-odd-numbers-in-an-interval-range")</f>
        <v>count-odd-numbers-in-an-interval-range</v>
      </c>
      <c r="D1524" s="23" t="b">
        <f>IFERROR(__xludf.DUMMYFUNCTION("""COMPUTED_VALUE"""),FALSE)</f>
        <v>0</v>
      </c>
      <c r="E1524" s="23" t="str">
        <f>IFERROR(__xludf.DUMMYFUNCTION("""COMPUTED_VALUE"""),"Easy")</f>
        <v>Easy</v>
      </c>
      <c r="F1524" s="23">
        <f>IFERROR(__xludf.DUMMYFUNCTION("""COMPUTED_VALUE"""),647.0)</f>
        <v>647</v>
      </c>
      <c r="G1524" s="23">
        <f>IFERROR(__xludf.DUMMYFUNCTION("""COMPUTED_VALUE"""),52.0)</f>
        <v>52</v>
      </c>
      <c r="H1524" s="23" t="str">
        <f>IFERROR(__xludf.DUMMYFUNCTION("""COMPUTED_VALUE"""),"Algorithms")</f>
        <v>Algorithms</v>
      </c>
      <c r="I1524" s="23">
        <f>IFERROR(__xludf.DUMMYFUNCTION("""COMPUTED_VALUE"""),0.479)</f>
        <v>0.479</v>
      </c>
      <c r="J1524" s="23">
        <f>IFERROR(__xludf.DUMMYFUNCTION("""COMPUTED_VALUE"""),1523.0)</f>
        <v>1523</v>
      </c>
      <c r="K1524" s="23" t="b">
        <f>IFERROR(__xludf.DUMMYFUNCTION("""COMPUTED_VALUE"""),FALSE)</f>
        <v>0</v>
      </c>
      <c r="L1524" s="23" t="str">
        <f>IFERROR(__xludf.DUMMYFUNCTION("""COMPUTED_VALUE"""),"Math;")</f>
        <v>Math;</v>
      </c>
      <c r="M1524" s="23" t="b">
        <f>IFERROR(__xludf.DUMMYFUNCTION("""COMPUTED_VALUE"""),FALSE)</f>
        <v>0</v>
      </c>
      <c r="N1524" s="23" t="b">
        <f>IFERROR(__xludf.DUMMYFUNCTION("""COMPUTED_VALUE"""),FALSE)</f>
        <v>0</v>
      </c>
      <c r="O1524" s="23">
        <f>IFERROR(__xludf.DUMMYFUNCTION("""COMPUTED_VALUE"""),47.9415586069854)</f>
        <v>47.94155861</v>
      </c>
      <c r="P1524" s="23">
        <f>IFERROR(__xludf.DUMMYFUNCTION("""COMPUTED_VALUE"""),75272.0)</f>
        <v>75272</v>
      </c>
      <c r="Q1524" s="23">
        <f>IFERROR(__xludf.DUMMYFUNCTION("""COMPUTED_VALUE"""),157007.0)</f>
        <v>157007</v>
      </c>
    </row>
    <row r="1525">
      <c r="A1525" s="23">
        <f>IFERROR(__xludf.DUMMYFUNCTION("""COMPUTED_VALUE"""),1631.0)</f>
        <v>1631</v>
      </c>
      <c r="B1525" s="23" t="str">
        <f>IFERROR(__xludf.DUMMYFUNCTION("""COMPUTED_VALUE"""),"Number of Sub-arrays With Odd Sum")</f>
        <v>Number of Sub-arrays With Odd Sum</v>
      </c>
      <c r="C1525" s="23" t="str">
        <f>IFERROR(__xludf.DUMMYFUNCTION("""COMPUTED_VALUE"""),"number-of-sub-arrays-with-odd-sum")</f>
        <v>number-of-sub-arrays-with-odd-sum</v>
      </c>
      <c r="D1525" s="23" t="b">
        <f>IFERROR(__xludf.DUMMYFUNCTION("""COMPUTED_VALUE"""),FALSE)</f>
        <v>0</v>
      </c>
      <c r="E1525" s="23" t="str">
        <f>IFERROR(__xludf.DUMMYFUNCTION("""COMPUTED_VALUE"""),"Medium")</f>
        <v>Medium</v>
      </c>
      <c r="F1525" s="23">
        <f>IFERROR(__xludf.DUMMYFUNCTION("""COMPUTED_VALUE"""),761.0)</f>
        <v>761</v>
      </c>
      <c r="G1525" s="23">
        <f>IFERROR(__xludf.DUMMYFUNCTION("""COMPUTED_VALUE"""),33.0)</f>
        <v>33</v>
      </c>
      <c r="H1525" s="23" t="str">
        <f>IFERROR(__xludf.DUMMYFUNCTION("""COMPUTED_VALUE"""),"Algorithms")</f>
        <v>Algorithms</v>
      </c>
      <c r="I1525" s="23">
        <f>IFERROR(__xludf.DUMMYFUNCTION("""COMPUTED_VALUE"""),0.435)</f>
        <v>0.435</v>
      </c>
      <c r="J1525" s="23">
        <f>IFERROR(__xludf.DUMMYFUNCTION("""COMPUTED_VALUE"""),1524.0)</f>
        <v>1524</v>
      </c>
      <c r="K1525" s="23" t="b">
        <f>IFERROR(__xludf.DUMMYFUNCTION("""COMPUTED_VALUE"""),FALSE)</f>
        <v>0</v>
      </c>
      <c r="L1525" s="23" t="str">
        <f>IFERROR(__xludf.DUMMYFUNCTION("""COMPUTED_VALUE"""),"Array;Math;Dynamic Programming;Prefix Sum;")</f>
        <v>Array;Math;Dynamic Programming;Prefix Sum;</v>
      </c>
      <c r="M1525" s="23" t="b">
        <f>IFERROR(__xludf.DUMMYFUNCTION("""COMPUTED_VALUE"""),FALSE)</f>
        <v>0</v>
      </c>
      <c r="N1525" s="23" t="b">
        <f>IFERROR(__xludf.DUMMYFUNCTION("""COMPUTED_VALUE"""),FALSE)</f>
        <v>0</v>
      </c>
      <c r="O1525" s="23">
        <f>IFERROR(__xludf.DUMMYFUNCTION("""COMPUTED_VALUE"""),43.5200180784151)</f>
        <v>43.52001808</v>
      </c>
      <c r="P1525" s="23">
        <f>IFERROR(__xludf.DUMMYFUNCTION("""COMPUTED_VALUE"""),23110.0)</f>
        <v>23110</v>
      </c>
      <c r="Q1525" s="23">
        <f>IFERROR(__xludf.DUMMYFUNCTION("""COMPUTED_VALUE"""),53102.0)</f>
        <v>53102</v>
      </c>
    </row>
    <row r="1526">
      <c r="A1526" s="23">
        <f>IFERROR(__xludf.DUMMYFUNCTION("""COMPUTED_VALUE"""),1632.0)</f>
        <v>1632</v>
      </c>
      <c r="B1526" s="23" t="str">
        <f>IFERROR(__xludf.DUMMYFUNCTION("""COMPUTED_VALUE"""),"Number of Good Ways to Split a String")</f>
        <v>Number of Good Ways to Split a String</v>
      </c>
      <c r="C1526" s="23" t="str">
        <f>IFERROR(__xludf.DUMMYFUNCTION("""COMPUTED_VALUE"""),"number-of-good-ways-to-split-a-string")</f>
        <v>number-of-good-ways-to-split-a-string</v>
      </c>
      <c r="D1526" s="23" t="b">
        <f>IFERROR(__xludf.DUMMYFUNCTION("""COMPUTED_VALUE"""),FALSE)</f>
        <v>0</v>
      </c>
      <c r="E1526" s="23" t="str">
        <f>IFERROR(__xludf.DUMMYFUNCTION("""COMPUTED_VALUE"""),"Medium")</f>
        <v>Medium</v>
      </c>
      <c r="F1526" s="23">
        <f>IFERROR(__xludf.DUMMYFUNCTION("""COMPUTED_VALUE"""),1326.0)</f>
        <v>1326</v>
      </c>
      <c r="G1526" s="23">
        <f>IFERROR(__xludf.DUMMYFUNCTION("""COMPUTED_VALUE"""),30.0)</f>
        <v>30</v>
      </c>
      <c r="H1526" s="23" t="str">
        <f>IFERROR(__xludf.DUMMYFUNCTION("""COMPUTED_VALUE"""),"Algorithms")</f>
        <v>Algorithms</v>
      </c>
      <c r="I1526" s="23">
        <f>IFERROR(__xludf.DUMMYFUNCTION("""COMPUTED_VALUE"""),0.701)</f>
        <v>0.701</v>
      </c>
      <c r="J1526" s="23">
        <f>IFERROR(__xludf.DUMMYFUNCTION("""COMPUTED_VALUE"""),1525.0)</f>
        <v>1525</v>
      </c>
      <c r="K1526" s="23" t="b">
        <f>IFERROR(__xludf.DUMMYFUNCTION("""COMPUTED_VALUE"""),FALSE)</f>
        <v>0</v>
      </c>
      <c r="L1526" s="23" t="str">
        <f>IFERROR(__xludf.DUMMYFUNCTION("""COMPUTED_VALUE"""),"String;Dynamic Programming;Bit Manipulation;")</f>
        <v>String;Dynamic Programming;Bit Manipulation;</v>
      </c>
      <c r="M1526" s="23" t="b">
        <f>IFERROR(__xludf.DUMMYFUNCTION("""COMPUTED_VALUE"""),FALSE)</f>
        <v>0</v>
      </c>
      <c r="N1526" s="23" t="b">
        <f>IFERROR(__xludf.DUMMYFUNCTION("""COMPUTED_VALUE"""),FALSE)</f>
        <v>0</v>
      </c>
      <c r="O1526" s="23">
        <f>IFERROR(__xludf.DUMMYFUNCTION("""COMPUTED_VALUE"""),70.1268092221226)</f>
        <v>70.12680922</v>
      </c>
      <c r="P1526" s="23">
        <f>IFERROR(__xludf.DUMMYFUNCTION("""COMPUTED_VALUE"""),69624.0)</f>
        <v>69624</v>
      </c>
      <c r="Q1526" s="23">
        <f>IFERROR(__xludf.DUMMYFUNCTION("""COMPUTED_VALUE"""),99283.0)</f>
        <v>99283</v>
      </c>
    </row>
    <row r="1527">
      <c r="A1527" s="23">
        <f>IFERROR(__xludf.DUMMYFUNCTION("""COMPUTED_VALUE"""),1633.0)</f>
        <v>1633</v>
      </c>
      <c r="B1527" s="23" t="str">
        <f>IFERROR(__xludf.DUMMYFUNCTION("""COMPUTED_VALUE"""),"Minimum Number of Increments on Subarrays to Form a Target Array")</f>
        <v>Minimum Number of Increments on Subarrays to Form a Target Array</v>
      </c>
      <c r="C1527" s="23" t="str">
        <f>IFERROR(__xludf.DUMMYFUNCTION("""COMPUTED_VALUE"""),"minimum-number-of-increments-on-subarrays-to-form-a-target-array")</f>
        <v>minimum-number-of-increments-on-subarrays-to-form-a-target-array</v>
      </c>
      <c r="D1527" s="23" t="b">
        <f>IFERROR(__xludf.DUMMYFUNCTION("""COMPUTED_VALUE"""),FALSE)</f>
        <v>0</v>
      </c>
      <c r="E1527" s="23" t="str">
        <f>IFERROR(__xludf.DUMMYFUNCTION("""COMPUTED_VALUE"""),"Hard")</f>
        <v>Hard</v>
      </c>
      <c r="F1527" s="23">
        <f>IFERROR(__xludf.DUMMYFUNCTION("""COMPUTED_VALUE"""),864.0)</f>
        <v>864</v>
      </c>
      <c r="G1527" s="23">
        <f>IFERROR(__xludf.DUMMYFUNCTION("""COMPUTED_VALUE"""),53.0)</f>
        <v>53</v>
      </c>
      <c r="H1527" s="23" t="str">
        <f>IFERROR(__xludf.DUMMYFUNCTION("""COMPUTED_VALUE"""),"Algorithms")</f>
        <v>Algorithms</v>
      </c>
      <c r="I1527" s="23">
        <f>IFERROR(__xludf.DUMMYFUNCTION("""COMPUTED_VALUE"""),0.68)</f>
        <v>0.68</v>
      </c>
      <c r="J1527" s="23">
        <f>IFERROR(__xludf.DUMMYFUNCTION("""COMPUTED_VALUE"""),1526.0)</f>
        <v>1526</v>
      </c>
      <c r="K1527" s="23" t="b">
        <f>IFERROR(__xludf.DUMMYFUNCTION("""COMPUTED_VALUE"""),FALSE)</f>
        <v>0</v>
      </c>
      <c r="L1527" s="23" t="str">
        <f>IFERROR(__xludf.DUMMYFUNCTION("""COMPUTED_VALUE"""),"Array;Dynamic Programming;Stack;Greedy;Monotonic Stack;")</f>
        <v>Array;Dynamic Programming;Stack;Greedy;Monotonic Stack;</v>
      </c>
      <c r="M1527" s="23" t="b">
        <f>IFERROR(__xludf.DUMMYFUNCTION("""COMPUTED_VALUE"""),FALSE)</f>
        <v>0</v>
      </c>
      <c r="N1527" s="23" t="b">
        <f>IFERROR(__xludf.DUMMYFUNCTION("""COMPUTED_VALUE"""),FALSE)</f>
        <v>0</v>
      </c>
      <c r="O1527" s="23">
        <f>IFERROR(__xludf.DUMMYFUNCTION("""COMPUTED_VALUE"""),67.9943977591036)</f>
        <v>67.99439776</v>
      </c>
      <c r="P1527" s="23">
        <f>IFERROR(__xludf.DUMMYFUNCTION("""COMPUTED_VALUE"""),24274.0)</f>
        <v>24274</v>
      </c>
      <c r="Q1527" s="23">
        <f>IFERROR(__xludf.DUMMYFUNCTION("""COMPUTED_VALUE"""),35700.0)</f>
        <v>35700</v>
      </c>
    </row>
    <row r="1528">
      <c r="A1528" s="23">
        <f>IFERROR(__xludf.DUMMYFUNCTION("""COMPUTED_VALUE"""),1670.0)</f>
        <v>1670</v>
      </c>
      <c r="B1528" s="23" t="str">
        <f>IFERROR(__xludf.DUMMYFUNCTION("""COMPUTED_VALUE"""),"Patients With a Condition")</f>
        <v>Patients With a Condition</v>
      </c>
      <c r="C1528" s="23" t="str">
        <f>IFERROR(__xludf.DUMMYFUNCTION("""COMPUTED_VALUE"""),"patients-with-a-condition")</f>
        <v>patients-with-a-condition</v>
      </c>
      <c r="D1528" s="23" t="b">
        <f>IFERROR(__xludf.DUMMYFUNCTION("""COMPUTED_VALUE"""),FALSE)</f>
        <v>0</v>
      </c>
      <c r="E1528" s="23" t="str">
        <f>IFERROR(__xludf.DUMMYFUNCTION("""COMPUTED_VALUE"""),"Easy")</f>
        <v>Easy</v>
      </c>
      <c r="F1528" s="23">
        <f>IFERROR(__xludf.DUMMYFUNCTION("""COMPUTED_VALUE"""),75.0)</f>
        <v>75</v>
      </c>
      <c r="G1528" s="23">
        <f>IFERROR(__xludf.DUMMYFUNCTION("""COMPUTED_VALUE"""),123.0)</f>
        <v>123</v>
      </c>
      <c r="H1528" s="23" t="str">
        <f>IFERROR(__xludf.DUMMYFUNCTION("""COMPUTED_VALUE"""),"Database")</f>
        <v>Database</v>
      </c>
      <c r="I1528" s="23">
        <f>IFERROR(__xludf.DUMMYFUNCTION("""COMPUTED_VALUE"""),0.477)</f>
        <v>0.477</v>
      </c>
      <c r="J1528" s="23">
        <f>IFERROR(__xludf.DUMMYFUNCTION("""COMPUTED_VALUE"""),1527.0)</f>
        <v>1527</v>
      </c>
      <c r="K1528" s="23" t="b">
        <f>IFERROR(__xludf.DUMMYFUNCTION("""COMPUTED_VALUE"""),FALSE)</f>
        <v>0</v>
      </c>
      <c r="L1528" s="23" t="str">
        <f>IFERROR(__xludf.DUMMYFUNCTION("""COMPUTED_VALUE"""),"Database;")</f>
        <v>Database;</v>
      </c>
      <c r="M1528" s="23" t="b">
        <f>IFERROR(__xludf.DUMMYFUNCTION("""COMPUTED_VALUE"""),FALSE)</f>
        <v>0</v>
      </c>
      <c r="N1528" s="23" t="b">
        <f>IFERROR(__xludf.DUMMYFUNCTION("""COMPUTED_VALUE"""),FALSE)</f>
        <v>0</v>
      </c>
      <c r="O1528" s="23">
        <f>IFERROR(__xludf.DUMMYFUNCTION("""COMPUTED_VALUE"""),47.7262463872832)</f>
        <v>47.72624639</v>
      </c>
      <c r="P1528" s="23">
        <f>IFERROR(__xludf.DUMMYFUNCTION("""COMPUTED_VALUE"""),21136.0)</f>
        <v>21136</v>
      </c>
      <c r="Q1528" s="23">
        <f>IFERROR(__xludf.DUMMYFUNCTION("""COMPUTED_VALUE"""),44278.0)</f>
        <v>44278</v>
      </c>
    </row>
    <row r="1529">
      <c r="A1529" s="23">
        <f>IFERROR(__xludf.DUMMYFUNCTION("""COMPUTED_VALUE"""),1651.0)</f>
        <v>1651</v>
      </c>
      <c r="B1529" s="23" t="str">
        <f>IFERROR(__xludf.DUMMYFUNCTION("""COMPUTED_VALUE"""),"Shuffle String")</f>
        <v>Shuffle String</v>
      </c>
      <c r="C1529" s="23" t="str">
        <f>IFERROR(__xludf.DUMMYFUNCTION("""COMPUTED_VALUE"""),"shuffle-string")</f>
        <v>shuffle-string</v>
      </c>
      <c r="D1529" s="23" t="b">
        <f>IFERROR(__xludf.DUMMYFUNCTION("""COMPUTED_VALUE"""),FALSE)</f>
        <v>0</v>
      </c>
      <c r="E1529" s="23" t="str">
        <f>IFERROR(__xludf.DUMMYFUNCTION("""COMPUTED_VALUE"""),"Easy")</f>
        <v>Easy</v>
      </c>
      <c r="F1529" s="23">
        <f>IFERROR(__xludf.DUMMYFUNCTION("""COMPUTED_VALUE"""),1365.0)</f>
        <v>1365</v>
      </c>
      <c r="G1529" s="23">
        <f>IFERROR(__xludf.DUMMYFUNCTION("""COMPUTED_VALUE"""),250.0)</f>
        <v>250</v>
      </c>
      <c r="H1529" s="23" t="str">
        <f>IFERROR(__xludf.DUMMYFUNCTION("""COMPUTED_VALUE"""),"Algorithms")</f>
        <v>Algorithms</v>
      </c>
      <c r="I1529" s="23">
        <f>IFERROR(__xludf.DUMMYFUNCTION("""COMPUTED_VALUE"""),0.857)</f>
        <v>0.857</v>
      </c>
      <c r="J1529" s="23">
        <f>IFERROR(__xludf.DUMMYFUNCTION("""COMPUTED_VALUE"""),1528.0)</f>
        <v>1528</v>
      </c>
      <c r="K1529" s="23" t="b">
        <f>IFERROR(__xludf.DUMMYFUNCTION("""COMPUTED_VALUE"""),FALSE)</f>
        <v>0</v>
      </c>
      <c r="L1529" s="23" t="str">
        <f>IFERROR(__xludf.DUMMYFUNCTION("""COMPUTED_VALUE"""),"Array;String;")</f>
        <v>Array;String;</v>
      </c>
      <c r="M1529" s="23" t="b">
        <f>IFERROR(__xludf.DUMMYFUNCTION("""COMPUTED_VALUE"""),FALSE)</f>
        <v>0</v>
      </c>
      <c r="N1529" s="23" t="b">
        <f>IFERROR(__xludf.DUMMYFUNCTION("""COMPUTED_VALUE"""),FALSE)</f>
        <v>0</v>
      </c>
      <c r="O1529" s="23">
        <f>IFERROR(__xludf.DUMMYFUNCTION("""COMPUTED_VALUE"""),85.7476286583518)</f>
        <v>85.74762866</v>
      </c>
      <c r="P1529" s="23">
        <f>IFERROR(__xludf.DUMMYFUNCTION("""COMPUTED_VALUE"""),200957.0)</f>
        <v>200957</v>
      </c>
      <c r="Q1529" s="23">
        <f>IFERROR(__xludf.DUMMYFUNCTION("""COMPUTED_VALUE"""),234359.0)</f>
        <v>234359</v>
      </c>
    </row>
    <row r="1530">
      <c r="A1530" s="23">
        <f>IFERROR(__xludf.DUMMYFUNCTION("""COMPUTED_VALUE"""),1652.0)</f>
        <v>1652</v>
      </c>
      <c r="B1530" s="23" t="str">
        <f>IFERROR(__xludf.DUMMYFUNCTION("""COMPUTED_VALUE"""),"Minimum Suffix Flips")</f>
        <v>Minimum Suffix Flips</v>
      </c>
      <c r="C1530" s="23" t="str">
        <f>IFERROR(__xludf.DUMMYFUNCTION("""COMPUTED_VALUE"""),"minimum-suffix-flips")</f>
        <v>minimum-suffix-flips</v>
      </c>
      <c r="D1530" s="23" t="b">
        <f>IFERROR(__xludf.DUMMYFUNCTION("""COMPUTED_VALUE"""),FALSE)</f>
        <v>0</v>
      </c>
      <c r="E1530" s="23" t="str">
        <f>IFERROR(__xludf.DUMMYFUNCTION("""COMPUTED_VALUE"""),"Medium")</f>
        <v>Medium</v>
      </c>
      <c r="F1530" s="23">
        <f>IFERROR(__xludf.DUMMYFUNCTION("""COMPUTED_VALUE"""),639.0)</f>
        <v>639</v>
      </c>
      <c r="G1530" s="23">
        <f>IFERROR(__xludf.DUMMYFUNCTION("""COMPUTED_VALUE"""),32.0)</f>
        <v>32</v>
      </c>
      <c r="H1530" s="23" t="str">
        <f>IFERROR(__xludf.DUMMYFUNCTION("""COMPUTED_VALUE"""),"Algorithms")</f>
        <v>Algorithms</v>
      </c>
      <c r="I1530" s="23">
        <f>IFERROR(__xludf.DUMMYFUNCTION("""COMPUTED_VALUE"""),0.724)</f>
        <v>0.724</v>
      </c>
      <c r="J1530" s="23">
        <f>IFERROR(__xludf.DUMMYFUNCTION("""COMPUTED_VALUE"""),1529.0)</f>
        <v>1529</v>
      </c>
      <c r="K1530" s="23" t="b">
        <f>IFERROR(__xludf.DUMMYFUNCTION("""COMPUTED_VALUE"""),FALSE)</f>
        <v>0</v>
      </c>
      <c r="L1530" s="23" t="str">
        <f>IFERROR(__xludf.DUMMYFUNCTION("""COMPUTED_VALUE"""),"String;Greedy;")</f>
        <v>String;Greedy;</v>
      </c>
      <c r="M1530" s="23" t="b">
        <f>IFERROR(__xludf.DUMMYFUNCTION("""COMPUTED_VALUE"""),FALSE)</f>
        <v>0</v>
      </c>
      <c r="N1530" s="23" t="b">
        <f>IFERROR(__xludf.DUMMYFUNCTION("""COMPUTED_VALUE"""),FALSE)</f>
        <v>0</v>
      </c>
      <c r="O1530" s="23">
        <f>IFERROR(__xludf.DUMMYFUNCTION("""COMPUTED_VALUE"""),72.3917036240648)</f>
        <v>72.39170362</v>
      </c>
      <c r="P1530" s="23">
        <f>IFERROR(__xludf.DUMMYFUNCTION("""COMPUTED_VALUE"""),32320.0)</f>
        <v>32320</v>
      </c>
      <c r="Q1530" s="23">
        <f>IFERROR(__xludf.DUMMYFUNCTION("""COMPUTED_VALUE"""),44646.0)</f>
        <v>44646</v>
      </c>
    </row>
    <row r="1531">
      <c r="A1531" s="23">
        <f>IFERROR(__xludf.DUMMYFUNCTION("""COMPUTED_VALUE"""),1653.0)</f>
        <v>1653</v>
      </c>
      <c r="B1531" s="23" t="str">
        <f>IFERROR(__xludf.DUMMYFUNCTION("""COMPUTED_VALUE"""),"Number of Good Leaf Nodes Pairs")</f>
        <v>Number of Good Leaf Nodes Pairs</v>
      </c>
      <c r="C1531" s="23" t="str">
        <f>IFERROR(__xludf.DUMMYFUNCTION("""COMPUTED_VALUE"""),"number-of-good-leaf-nodes-pairs")</f>
        <v>number-of-good-leaf-nodes-pairs</v>
      </c>
      <c r="D1531" s="23" t="b">
        <f>IFERROR(__xludf.DUMMYFUNCTION("""COMPUTED_VALUE"""),FALSE)</f>
        <v>0</v>
      </c>
      <c r="E1531" s="23" t="str">
        <f>IFERROR(__xludf.DUMMYFUNCTION("""COMPUTED_VALUE"""),"Medium")</f>
        <v>Medium</v>
      </c>
      <c r="F1531" s="23">
        <f>IFERROR(__xludf.DUMMYFUNCTION("""COMPUTED_VALUE"""),1087.0)</f>
        <v>1087</v>
      </c>
      <c r="G1531" s="23">
        <f>IFERROR(__xludf.DUMMYFUNCTION("""COMPUTED_VALUE"""),21.0)</f>
        <v>21</v>
      </c>
      <c r="H1531" s="23" t="str">
        <f>IFERROR(__xludf.DUMMYFUNCTION("""COMPUTED_VALUE"""),"Algorithms")</f>
        <v>Algorithms</v>
      </c>
      <c r="I1531" s="23">
        <f>IFERROR(__xludf.DUMMYFUNCTION("""COMPUTED_VALUE"""),0.596)</f>
        <v>0.596</v>
      </c>
      <c r="J1531" s="23">
        <f>IFERROR(__xludf.DUMMYFUNCTION("""COMPUTED_VALUE"""),1530.0)</f>
        <v>1530</v>
      </c>
      <c r="K1531" s="23" t="b">
        <f>IFERROR(__xludf.DUMMYFUNCTION("""COMPUTED_VALUE"""),FALSE)</f>
        <v>0</v>
      </c>
      <c r="L1531" s="23" t="str">
        <f>IFERROR(__xludf.DUMMYFUNCTION("""COMPUTED_VALUE"""),"Tree;Depth-First Search;Binary Tree;")</f>
        <v>Tree;Depth-First Search;Binary Tree;</v>
      </c>
      <c r="M1531" s="23" t="b">
        <f>IFERROR(__xludf.DUMMYFUNCTION("""COMPUTED_VALUE"""),FALSE)</f>
        <v>0</v>
      </c>
      <c r="N1531" s="23" t="b">
        <f>IFERROR(__xludf.DUMMYFUNCTION("""COMPUTED_VALUE"""),FALSE)</f>
        <v>0</v>
      </c>
      <c r="O1531" s="23">
        <f>IFERROR(__xludf.DUMMYFUNCTION("""COMPUTED_VALUE"""),59.6208953821581)</f>
        <v>59.62089538</v>
      </c>
      <c r="P1531" s="23">
        <f>IFERROR(__xludf.DUMMYFUNCTION("""COMPUTED_VALUE"""),25383.0)</f>
        <v>25383</v>
      </c>
      <c r="Q1531" s="23">
        <f>IFERROR(__xludf.DUMMYFUNCTION("""COMPUTED_VALUE"""),42574.0)</f>
        <v>42574</v>
      </c>
    </row>
    <row r="1532">
      <c r="A1532" s="23">
        <f>IFERROR(__xludf.DUMMYFUNCTION("""COMPUTED_VALUE"""),1637.0)</f>
        <v>1637</v>
      </c>
      <c r="B1532" s="23" t="str">
        <f>IFERROR(__xludf.DUMMYFUNCTION("""COMPUTED_VALUE"""),"String Compression II")</f>
        <v>String Compression II</v>
      </c>
      <c r="C1532" s="23" t="str">
        <f>IFERROR(__xludf.DUMMYFUNCTION("""COMPUTED_VALUE"""),"string-compression-ii")</f>
        <v>string-compression-ii</v>
      </c>
      <c r="D1532" s="23" t="b">
        <f>IFERROR(__xludf.DUMMYFUNCTION("""COMPUTED_VALUE"""),FALSE)</f>
        <v>0</v>
      </c>
      <c r="E1532" s="23" t="str">
        <f>IFERROR(__xludf.DUMMYFUNCTION("""COMPUTED_VALUE"""),"Hard")</f>
        <v>Hard</v>
      </c>
      <c r="F1532" s="23">
        <f>IFERROR(__xludf.DUMMYFUNCTION("""COMPUTED_VALUE"""),461.0)</f>
        <v>461</v>
      </c>
      <c r="G1532" s="23">
        <f>IFERROR(__xludf.DUMMYFUNCTION("""COMPUTED_VALUE"""),48.0)</f>
        <v>48</v>
      </c>
      <c r="H1532" s="23" t="str">
        <f>IFERROR(__xludf.DUMMYFUNCTION("""COMPUTED_VALUE"""),"Algorithms")</f>
        <v>Algorithms</v>
      </c>
      <c r="I1532" s="23">
        <f>IFERROR(__xludf.DUMMYFUNCTION("""COMPUTED_VALUE"""),0.38)</f>
        <v>0.38</v>
      </c>
      <c r="J1532" s="23">
        <f>IFERROR(__xludf.DUMMYFUNCTION("""COMPUTED_VALUE"""),1531.0)</f>
        <v>1531</v>
      </c>
      <c r="K1532" s="23" t="b">
        <f>IFERROR(__xludf.DUMMYFUNCTION("""COMPUTED_VALUE"""),FALSE)</f>
        <v>0</v>
      </c>
      <c r="L1532" s="23" t="str">
        <f>IFERROR(__xludf.DUMMYFUNCTION("""COMPUTED_VALUE"""),"String;Dynamic Programming;")</f>
        <v>String;Dynamic Programming;</v>
      </c>
      <c r="M1532" s="23" t="b">
        <f>IFERROR(__xludf.DUMMYFUNCTION("""COMPUTED_VALUE"""),FALSE)</f>
        <v>0</v>
      </c>
      <c r="N1532" s="23" t="b">
        <f>IFERROR(__xludf.DUMMYFUNCTION("""COMPUTED_VALUE"""),FALSE)</f>
        <v>0</v>
      </c>
      <c r="O1532" s="23">
        <f>IFERROR(__xludf.DUMMYFUNCTION("""COMPUTED_VALUE"""),37.9894758422743)</f>
        <v>37.98947584</v>
      </c>
      <c r="P1532" s="23">
        <f>IFERROR(__xludf.DUMMYFUNCTION("""COMPUTED_VALUE"""),11118.0)</f>
        <v>11118</v>
      </c>
      <c r="Q1532" s="23">
        <f>IFERROR(__xludf.DUMMYFUNCTION("""COMPUTED_VALUE"""),29266.0)</f>
        <v>29266</v>
      </c>
    </row>
    <row r="1533">
      <c r="A1533" s="23">
        <f>IFERROR(__xludf.DUMMYFUNCTION("""COMPUTED_VALUE"""),1671.0)</f>
        <v>1671</v>
      </c>
      <c r="B1533" s="23" t="str">
        <f>IFERROR(__xludf.DUMMYFUNCTION("""COMPUTED_VALUE"""),"The Most Recent Three Orders")</f>
        <v>The Most Recent Three Orders</v>
      </c>
      <c r="C1533" s="23" t="str">
        <f>IFERROR(__xludf.DUMMYFUNCTION("""COMPUTED_VALUE"""),"the-most-recent-three-orders")</f>
        <v>the-most-recent-three-orders</v>
      </c>
      <c r="D1533" s="23" t="b">
        <f>IFERROR(__xludf.DUMMYFUNCTION("""COMPUTED_VALUE"""),TRUE)</f>
        <v>1</v>
      </c>
      <c r="E1533" s="23" t="str">
        <f>IFERROR(__xludf.DUMMYFUNCTION("""COMPUTED_VALUE"""),"Medium")</f>
        <v>Medium</v>
      </c>
      <c r="F1533" s="23">
        <f>IFERROR(__xludf.DUMMYFUNCTION("""COMPUTED_VALUE"""),89.0)</f>
        <v>89</v>
      </c>
      <c r="G1533" s="23">
        <f>IFERROR(__xludf.DUMMYFUNCTION("""COMPUTED_VALUE"""),7.0)</f>
        <v>7</v>
      </c>
      <c r="H1533" s="23" t="str">
        <f>IFERROR(__xludf.DUMMYFUNCTION("""COMPUTED_VALUE"""),"Database")</f>
        <v>Database</v>
      </c>
      <c r="I1533" s="23">
        <f>IFERROR(__xludf.DUMMYFUNCTION("""COMPUTED_VALUE"""),0.71)</f>
        <v>0.71</v>
      </c>
      <c r="J1533" s="23">
        <f>IFERROR(__xludf.DUMMYFUNCTION("""COMPUTED_VALUE"""),1532.0)</f>
        <v>1532</v>
      </c>
      <c r="K1533" s="23" t="b">
        <f>IFERROR(__xludf.DUMMYFUNCTION("""COMPUTED_VALUE"""),TRUE)</f>
        <v>1</v>
      </c>
      <c r="L1533" s="23" t="str">
        <f>IFERROR(__xludf.DUMMYFUNCTION("""COMPUTED_VALUE"""),"Database;")</f>
        <v>Database;</v>
      </c>
      <c r="M1533" s="23" t="b">
        <f>IFERROR(__xludf.DUMMYFUNCTION("""COMPUTED_VALUE"""),FALSE)</f>
        <v>0</v>
      </c>
      <c r="N1533" s="23" t="b">
        <f>IFERROR(__xludf.DUMMYFUNCTION("""COMPUTED_VALUE"""),FALSE)</f>
        <v>0</v>
      </c>
      <c r="O1533" s="23">
        <f>IFERROR(__xludf.DUMMYFUNCTION("""COMPUTED_VALUE"""),71.0222016651248)</f>
        <v>71.02220167</v>
      </c>
      <c r="P1533" s="23">
        <f>IFERROR(__xludf.DUMMYFUNCTION("""COMPUTED_VALUE"""),15355.0)</f>
        <v>15355</v>
      </c>
      <c r="Q1533" s="23">
        <f>IFERROR(__xludf.DUMMYFUNCTION("""COMPUTED_VALUE"""),21620.0)</f>
        <v>21620</v>
      </c>
    </row>
    <row r="1534">
      <c r="A1534" s="23">
        <f>IFERROR(__xludf.DUMMYFUNCTION("""COMPUTED_VALUE"""),1672.0)</f>
        <v>1672</v>
      </c>
      <c r="B1534" s="23" t="str">
        <f>IFERROR(__xludf.DUMMYFUNCTION("""COMPUTED_VALUE"""),"Find the Index of the Large Integer")</f>
        <v>Find the Index of the Large Integer</v>
      </c>
      <c r="C1534" s="23" t="str">
        <f>IFERROR(__xludf.DUMMYFUNCTION("""COMPUTED_VALUE"""),"find-the-index-of-the-large-integer")</f>
        <v>find-the-index-of-the-large-integer</v>
      </c>
      <c r="D1534" s="23" t="b">
        <f>IFERROR(__xludf.DUMMYFUNCTION("""COMPUTED_VALUE"""),TRUE)</f>
        <v>1</v>
      </c>
      <c r="E1534" s="23" t="str">
        <f>IFERROR(__xludf.DUMMYFUNCTION("""COMPUTED_VALUE"""),"Medium")</f>
        <v>Medium</v>
      </c>
      <c r="F1534" s="23">
        <f>IFERROR(__xludf.DUMMYFUNCTION("""COMPUTED_VALUE"""),87.0)</f>
        <v>87</v>
      </c>
      <c r="G1534" s="23">
        <f>IFERROR(__xludf.DUMMYFUNCTION("""COMPUTED_VALUE"""),16.0)</f>
        <v>16</v>
      </c>
      <c r="H1534" s="23" t="str">
        <f>IFERROR(__xludf.DUMMYFUNCTION("""COMPUTED_VALUE"""),"Algorithms")</f>
        <v>Algorithms</v>
      </c>
      <c r="I1534" s="23">
        <f>IFERROR(__xludf.DUMMYFUNCTION("""COMPUTED_VALUE"""),0.506)</f>
        <v>0.506</v>
      </c>
      <c r="J1534" s="23">
        <f>IFERROR(__xludf.DUMMYFUNCTION("""COMPUTED_VALUE"""),1533.0)</f>
        <v>1533</v>
      </c>
      <c r="K1534" s="23" t="b">
        <f>IFERROR(__xludf.DUMMYFUNCTION("""COMPUTED_VALUE"""),TRUE)</f>
        <v>1</v>
      </c>
      <c r="L1534" s="23" t="str">
        <f>IFERROR(__xludf.DUMMYFUNCTION("""COMPUTED_VALUE"""),"Array;Binary Search;Interactive;")</f>
        <v>Array;Binary Search;Interactive;</v>
      </c>
      <c r="M1534" s="23" t="b">
        <f>IFERROR(__xludf.DUMMYFUNCTION("""COMPUTED_VALUE"""),FALSE)</f>
        <v>0</v>
      </c>
      <c r="N1534" s="23" t="b">
        <f>IFERROR(__xludf.DUMMYFUNCTION("""COMPUTED_VALUE"""),FALSE)</f>
        <v>0</v>
      </c>
      <c r="O1534" s="23">
        <f>IFERROR(__xludf.DUMMYFUNCTION("""COMPUTED_VALUE"""),50.6353164707279)</f>
        <v>50.63531647</v>
      </c>
      <c r="P1534" s="23">
        <f>IFERROR(__xludf.DUMMYFUNCTION("""COMPUTED_VALUE"""),4264.0)</f>
        <v>4264</v>
      </c>
      <c r="Q1534" s="23">
        <f>IFERROR(__xludf.DUMMYFUNCTION("""COMPUTED_VALUE"""),8421.0)</f>
        <v>8421</v>
      </c>
    </row>
    <row r="1535">
      <c r="A1535" s="23">
        <f>IFERROR(__xludf.DUMMYFUNCTION("""COMPUTED_VALUE"""),1656.0)</f>
        <v>1656</v>
      </c>
      <c r="B1535" s="23" t="str">
        <f>IFERROR(__xludf.DUMMYFUNCTION("""COMPUTED_VALUE"""),"Count Good Triplets")</f>
        <v>Count Good Triplets</v>
      </c>
      <c r="C1535" s="23" t="str">
        <f>IFERROR(__xludf.DUMMYFUNCTION("""COMPUTED_VALUE"""),"count-good-triplets")</f>
        <v>count-good-triplets</v>
      </c>
      <c r="D1535" s="23" t="b">
        <f>IFERROR(__xludf.DUMMYFUNCTION("""COMPUTED_VALUE"""),FALSE)</f>
        <v>0</v>
      </c>
      <c r="E1535" s="23" t="str">
        <f>IFERROR(__xludf.DUMMYFUNCTION("""COMPUTED_VALUE"""),"Easy")</f>
        <v>Easy</v>
      </c>
      <c r="F1535" s="23">
        <f>IFERROR(__xludf.DUMMYFUNCTION("""COMPUTED_VALUE"""),421.0)</f>
        <v>421</v>
      </c>
      <c r="G1535" s="23">
        <f>IFERROR(__xludf.DUMMYFUNCTION("""COMPUTED_VALUE"""),867.0)</f>
        <v>867</v>
      </c>
      <c r="H1535" s="23" t="str">
        <f>IFERROR(__xludf.DUMMYFUNCTION("""COMPUTED_VALUE"""),"Algorithms")</f>
        <v>Algorithms</v>
      </c>
      <c r="I1535" s="23">
        <f>IFERROR(__xludf.DUMMYFUNCTION("""COMPUTED_VALUE"""),0.806)</f>
        <v>0.806</v>
      </c>
      <c r="J1535" s="23">
        <f>IFERROR(__xludf.DUMMYFUNCTION("""COMPUTED_VALUE"""),1534.0)</f>
        <v>1534</v>
      </c>
      <c r="K1535" s="23" t="b">
        <f>IFERROR(__xludf.DUMMYFUNCTION("""COMPUTED_VALUE"""),FALSE)</f>
        <v>0</v>
      </c>
      <c r="L1535" s="23" t="str">
        <f>IFERROR(__xludf.DUMMYFUNCTION("""COMPUTED_VALUE"""),"Array;Enumeration;")</f>
        <v>Array;Enumeration;</v>
      </c>
      <c r="M1535" s="23" t="b">
        <f>IFERROR(__xludf.DUMMYFUNCTION("""COMPUTED_VALUE"""),FALSE)</f>
        <v>0</v>
      </c>
      <c r="N1535" s="23" t="b">
        <f>IFERROR(__xludf.DUMMYFUNCTION("""COMPUTED_VALUE"""),FALSE)</f>
        <v>0</v>
      </c>
      <c r="O1535" s="23">
        <f>IFERROR(__xludf.DUMMYFUNCTION("""COMPUTED_VALUE"""),80.6086786636855)</f>
        <v>80.60867866</v>
      </c>
      <c r="P1535" s="23">
        <f>IFERROR(__xludf.DUMMYFUNCTION("""COMPUTED_VALUE"""),74268.0)</f>
        <v>74268</v>
      </c>
      <c r="Q1535" s="23">
        <f>IFERROR(__xludf.DUMMYFUNCTION("""COMPUTED_VALUE"""),92134.0)</f>
        <v>92134</v>
      </c>
    </row>
    <row r="1536">
      <c r="A1536" s="23">
        <f>IFERROR(__xludf.DUMMYFUNCTION("""COMPUTED_VALUE"""),1657.0)</f>
        <v>1657</v>
      </c>
      <c r="B1536" s="23" t="str">
        <f>IFERROR(__xludf.DUMMYFUNCTION("""COMPUTED_VALUE"""),"Find the Winner of an Array Game")</f>
        <v>Find the Winner of an Array Game</v>
      </c>
      <c r="C1536" s="23" t="str">
        <f>IFERROR(__xludf.DUMMYFUNCTION("""COMPUTED_VALUE"""),"find-the-winner-of-an-array-game")</f>
        <v>find-the-winner-of-an-array-game</v>
      </c>
      <c r="D1536" s="23" t="b">
        <f>IFERROR(__xludf.DUMMYFUNCTION("""COMPUTED_VALUE"""),FALSE)</f>
        <v>0</v>
      </c>
      <c r="E1536" s="23" t="str">
        <f>IFERROR(__xludf.DUMMYFUNCTION("""COMPUTED_VALUE"""),"Medium")</f>
        <v>Medium</v>
      </c>
      <c r="F1536" s="23">
        <f>IFERROR(__xludf.DUMMYFUNCTION("""COMPUTED_VALUE"""),452.0)</f>
        <v>452</v>
      </c>
      <c r="G1536" s="23">
        <f>IFERROR(__xludf.DUMMYFUNCTION("""COMPUTED_VALUE"""),25.0)</f>
        <v>25</v>
      </c>
      <c r="H1536" s="23" t="str">
        <f>IFERROR(__xludf.DUMMYFUNCTION("""COMPUTED_VALUE"""),"Algorithms")</f>
        <v>Algorithms</v>
      </c>
      <c r="I1536" s="23">
        <f>IFERROR(__xludf.DUMMYFUNCTION("""COMPUTED_VALUE"""),0.488)</f>
        <v>0.488</v>
      </c>
      <c r="J1536" s="23">
        <f>IFERROR(__xludf.DUMMYFUNCTION("""COMPUTED_VALUE"""),1535.0)</f>
        <v>1535</v>
      </c>
      <c r="K1536" s="23" t="b">
        <f>IFERROR(__xludf.DUMMYFUNCTION("""COMPUTED_VALUE"""),FALSE)</f>
        <v>0</v>
      </c>
      <c r="L1536" s="23" t="str">
        <f>IFERROR(__xludf.DUMMYFUNCTION("""COMPUTED_VALUE"""),"Array;Simulation;")</f>
        <v>Array;Simulation;</v>
      </c>
      <c r="M1536" s="23" t="b">
        <f>IFERROR(__xludf.DUMMYFUNCTION("""COMPUTED_VALUE"""),FALSE)</f>
        <v>0</v>
      </c>
      <c r="N1536" s="23" t="b">
        <f>IFERROR(__xludf.DUMMYFUNCTION("""COMPUTED_VALUE"""),FALSE)</f>
        <v>0</v>
      </c>
      <c r="O1536" s="23">
        <f>IFERROR(__xludf.DUMMYFUNCTION("""COMPUTED_VALUE"""),48.7995991983967)</f>
        <v>48.7995992</v>
      </c>
      <c r="P1536" s="23">
        <f>IFERROR(__xludf.DUMMYFUNCTION("""COMPUTED_VALUE"""),24351.0)</f>
        <v>24351</v>
      </c>
      <c r="Q1536" s="23">
        <f>IFERROR(__xludf.DUMMYFUNCTION("""COMPUTED_VALUE"""),49900.0)</f>
        <v>49900</v>
      </c>
    </row>
    <row r="1537">
      <c r="A1537" s="23">
        <f>IFERROR(__xludf.DUMMYFUNCTION("""COMPUTED_VALUE"""),1658.0)</f>
        <v>1658</v>
      </c>
      <c r="B1537" s="23" t="str">
        <f>IFERROR(__xludf.DUMMYFUNCTION("""COMPUTED_VALUE"""),"Minimum Swaps to Arrange a Binary Grid")</f>
        <v>Minimum Swaps to Arrange a Binary Grid</v>
      </c>
      <c r="C1537" s="23" t="str">
        <f>IFERROR(__xludf.DUMMYFUNCTION("""COMPUTED_VALUE"""),"minimum-swaps-to-arrange-a-binary-grid")</f>
        <v>minimum-swaps-to-arrange-a-binary-grid</v>
      </c>
      <c r="D1537" s="23" t="b">
        <f>IFERROR(__xludf.DUMMYFUNCTION("""COMPUTED_VALUE"""),FALSE)</f>
        <v>0</v>
      </c>
      <c r="E1537" s="23" t="str">
        <f>IFERROR(__xludf.DUMMYFUNCTION("""COMPUTED_VALUE"""),"Medium")</f>
        <v>Medium</v>
      </c>
      <c r="F1537" s="23">
        <f>IFERROR(__xludf.DUMMYFUNCTION("""COMPUTED_VALUE"""),421.0)</f>
        <v>421</v>
      </c>
      <c r="G1537" s="23">
        <f>IFERROR(__xludf.DUMMYFUNCTION("""COMPUTED_VALUE"""),59.0)</f>
        <v>59</v>
      </c>
      <c r="H1537" s="23" t="str">
        <f>IFERROR(__xludf.DUMMYFUNCTION("""COMPUTED_VALUE"""),"Algorithms")</f>
        <v>Algorithms</v>
      </c>
      <c r="I1537" s="23">
        <f>IFERROR(__xludf.DUMMYFUNCTION("""COMPUTED_VALUE"""),0.457)</f>
        <v>0.457</v>
      </c>
      <c r="J1537" s="23">
        <f>IFERROR(__xludf.DUMMYFUNCTION("""COMPUTED_VALUE"""),1536.0)</f>
        <v>1536</v>
      </c>
      <c r="K1537" s="23" t="b">
        <f>IFERROR(__xludf.DUMMYFUNCTION("""COMPUTED_VALUE"""),FALSE)</f>
        <v>0</v>
      </c>
      <c r="L1537" s="23" t="str">
        <f>IFERROR(__xludf.DUMMYFUNCTION("""COMPUTED_VALUE"""),"Array;Greedy;Matrix;")</f>
        <v>Array;Greedy;Matrix;</v>
      </c>
      <c r="M1537" s="23" t="b">
        <f>IFERROR(__xludf.DUMMYFUNCTION("""COMPUTED_VALUE"""),FALSE)</f>
        <v>0</v>
      </c>
      <c r="N1537" s="23" t="b">
        <f>IFERROR(__xludf.DUMMYFUNCTION("""COMPUTED_VALUE"""),FALSE)</f>
        <v>0</v>
      </c>
      <c r="O1537" s="23">
        <f>IFERROR(__xludf.DUMMYFUNCTION("""COMPUTED_VALUE"""),45.7449839241382)</f>
        <v>45.74498392</v>
      </c>
      <c r="P1537" s="23">
        <f>IFERROR(__xludf.DUMMYFUNCTION("""COMPUTED_VALUE"""),11240.0)</f>
        <v>11240</v>
      </c>
      <c r="Q1537" s="23">
        <f>IFERROR(__xludf.DUMMYFUNCTION("""COMPUTED_VALUE"""),24571.0)</f>
        <v>24571</v>
      </c>
    </row>
    <row r="1538">
      <c r="A1538" s="23">
        <f>IFERROR(__xludf.DUMMYFUNCTION("""COMPUTED_VALUE"""),1659.0)</f>
        <v>1659</v>
      </c>
      <c r="B1538" s="23" t="str">
        <f>IFERROR(__xludf.DUMMYFUNCTION("""COMPUTED_VALUE"""),"Get the Maximum Score")</f>
        <v>Get the Maximum Score</v>
      </c>
      <c r="C1538" s="23" t="str">
        <f>IFERROR(__xludf.DUMMYFUNCTION("""COMPUTED_VALUE"""),"get-the-maximum-score")</f>
        <v>get-the-maximum-score</v>
      </c>
      <c r="D1538" s="23" t="b">
        <f>IFERROR(__xludf.DUMMYFUNCTION("""COMPUTED_VALUE"""),FALSE)</f>
        <v>0</v>
      </c>
      <c r="E1538" s="23" t="str">
        <f>IFERROR(__xludf.DUMMYFUNCTION("""COMPUTED_VALUE"""),"Hard")</f>
        <v>Hard</v>
      </c>
      <c r="F1538" s="23">
        <f>IFERROR(__xludf.DUMMYFUNCTION("""COMPUTED_VALUE"""),588.0)</f>
        <v>588</v>
      </c>
      <c r="G1538" s="23">
        <f>IFERROR(__xludf.DUMMYFUNCTION("""COMPUTED_VALUE"""),34.0)</f>
        <v>34</v>
      </c>
      <c r="H1538" s="23" t="str">
        <f>IFERROR(__xludf.DUMMYFUNCTION("""COMPUTED_VALUE"""),"Algorithms")</f>
        <v>Algorithms</v>
      </c>
      <c r="I1538" s="23">
        <f>IFERROR(__xludf.DUMMYFUNCTION("""COMPUTED_VALUE"""),0.391)</f>
        <v>0.391</v>
      </c>
      <c r="J1538" s="23">
        <f>IFERROR(__xludf.DUMMYFUNCTION("""COMPUTED_VALUE"""),1537.0)</f>
        <v>1537</v>
      </c>
      <c r="K1538" s="23" t="b">
        <f>IFERROR(__xludf.DUMMYFUNCTION("""COMPUTED_VALUE"""),FALSE)</f>
        <v>0</v>
      </c>
      <c r="L1538" s="23" t="str">
        <f>IFERROR(__xludf.DUMMYFUNCTION("""COMPUTED_VALUE"""),"Array;Two Pointers;Dynamic Programming;Greedy;")</f>
        <v>Array;Two Pointers;Dynamic Programming;Greedy;</v>
      </c>
      <c r="M1538" s="23" t="b">
        <f>IFERROR(__xludf.DUMMYFUNCTION("""COMPUTED_VALUE"""),FALSE)</f>
        <v>0</v>
      </c>
      <c r="N1538" s="23" t="b">
        <f>IFERROR(__xludf.DUMMYFUNCTION("""COMPUTED_VALUE"""),FALSE)</f>
        <v>0</v>
      </c>
      <c r="O1538" s="23">
        <f>IFERROR(__xludf.DUMMYFUNCTION("""COMPUTED_VALUE"""),39.1386475255005)</f>
        <v>39.13864753</v>
      </c>
      <c r="P1538" s="23">
        <f>IFERROR(__xludf.DUMMYFUNCTION("""COMPUTED_VALUE"""),16576.0)</f>
        <v>16576</v>
      </c>
      <c r="Q1538" s="23">
        <f>IFERROR(__xludf.DUMMYFUNCTION("""COMPUTED_VALUE"""),42352.0)</f>
        <v>42352</v>
      </c>
    </row>
    <row r="1539">
      <c r="A1539" s="23">
        <f>IFERROR(__xludf.DUMMYFUNCTION("""COMPUTED_VALUE"""),1681.0)</f>
        <v>1681</v>
      </c>
      <c r="B1539" s="23" t="str">
        <f>IFERROR(__xludf.DUMMYFUNCTION("""COMPUTED_VALUE"""),"Guess the Majority in a Hidden Array")</f>
        <v>Guess the Majority in a Hidden Array</v>
      </c>
      <c r="C1539" s="23" t="str">
        <f>IFERROR(__xludf.DUMMYFUNCTION("""COMPUTED_VALUE"""),"guess-the-majority-in-a-hidden-array")</f>
        <v>guess-the-majority-in-a-hidden-array</v>
      </c>
      <c r="D1539" s="23" t="b">
        <f>IFERROR(__xludf.DUMMYFUNCTION("""COMPUTED_VALUE"""),TRUE)</f>
        <v>1</v>
      </c>
      <c r="E1539" s="23" t="str">
        <f>IFERROR(__xludf.DUMMYFUNCTION("""COMPUTED_VALUE"""),"Medium")</f>
        <v>Medium</v>
      </c>
      <c r="F1539" s="23">
        <f>IFERROR(__xludf.DUMMYFUNCTION("""COMPUTED_VALUE"""),63.0)</f>
        <v>63</v>
      </c>
      <c r="G1539" s="23">
        <f>IFERROR(__xludf.DUMMYFUNCTION("""COMPUTED_VALUE"""),36.0)</f>
        <v>36</v>
      </c>
      <c r="H1539" s="23" t="str">
        <f>IFERROR(__xludf.DUMMYFUNCTION("""COMPUTED_VALUE"""),"Algorithms")</f>
        <v>Algorithms</v>
      </c>
      <c r="I1539" s="23">
        <f>IFERROR(__xludf.DUMMYFUNCTION("""COMPUTED_VALUE"""),0.622)</f>
        <v>0.622</v>
      </c>
      <c r="J1539" s="23">
        <f>IFERROR(__xludf.DUMMYFUNCTION("""COMPUTED_VALUE"""),1538.0)</f>
        <v>1538</v>
      </c>
      <c r="K1539" s="23" t="b">
        <f>IFERROR(__xludf.DUMMYFUNCTION("""COMPUTED_VALUE"""),TRUE)</f>
        <v>1</v>
      </c>
      <c r="L1539" s="23" t="str">
        <f>IFERROR(__xludf.DUMMYFUNCTION("""COMPUTED_VALUE"""),"Array;Math;Interactive;")</f>
        <v>Array;Math;Interactive;</v>
      </c>
      <c r="M1539" s="23" t="b">
        <f>IFERROR(__xludf.DUMMYFUNCTION("""COMPUTED_VALUE"""),FALSE)</f>
        <v>0</v>
      </c>
      <c r="N1539" s="23" t="b">
        <f>IFERROR(__xludf.DUMMYFUNCTION("""COMPUTED_VALUE"""),FALSE)</f>
        <v>0</v>
      </c>
      <c r="O1539" s="23">
        <f>IFERROR(__xludf.DUMMYFUNCTION("""COMPUTED_VALUE"""),62.2262773722627)</f>
        <v>62.22627737</v>
      </c>
      <c r="P1539" s="23">
        <f>IFERROR(__xludf.DUMMYFUNCTION("""COMPUTED_VALUE"""),1364.0)</f>
        <v>1364</v>
      </c>
      <c r="Q1539" s="23">
        <f>IFERROR(__xludf.DUMMYFUNCTION("""COMPUTED_VALUE"""),2192.0)</f>
        <v>2192</v>
      </c>
    </row>
    <row r="1540">
      <c r="A1540" s="23">
        <f>IFERROR(__xludf.DUMMYFUNCTION("""COMPUTED_VALUE"""),1646.0)</f>
        <v>1646</v>
      </c>
      <c r="B1540" s="23" t="str">
        <f>IFERROR(__xludf.DUMMYFUNCTION("""COMPUTED_VALUE"""),"Kth Missing Positive Number")</f>
        <v>Kth Missing Positive Number</v>
      </c>
      <c r="C1540" s="23" t="str">
        <f>IFERROR(__xludf.DUMMYFUNCTION("""COMPUTED_VALUE"""),"kth-missing-positive-number")</f>
        <v>kth-missing-positive-number</v>
      </c>
      <c r="D1540" s="23" t="b">
        <f>IFERROR(__xludf.DUMMYFUNCTION("""COMPUTED_VALUE"""),FALSE)</f>
        <v>0</v>
      </c>
      <c r="E1540" s="23" t="str">
        <f>IFERROR(__xludf.DUMMYFUNCTION("""COMPUTED_VALUE"""),"Easy")</f>
        <v>Easy</v>
      </c>
      <c r="F1540" s="23">
        <f>IFERROR(__xludf.DUMMYFUNCTION("""COMPUTED_VALUE"""),2430.0)</f>
        <v>2430</v>
      </c>
      <c r="G1540" s="23">
        <f>IFERROR(__xludf.DUMMYFUNCTION("""COMPUTED_VALUE"""),175.0)</f>
        <v>175</v>
      </c>
      <c r="H1540" s="23" t="str">
        <f>IFERROR(__xludf.DUMMYFUNCTION("""COMPUTED_VALUE"""),"Algorithms")</f>
        <v>Algorithms</v>
      </c>
      <c r="I1540" s="23">
        <f>IFERROR(__xludf.DUMMYFUNCTION("""COMPUTED_VALUE"""),0.555)</f>
        <v>0.555</v>
      </c>
      <c r="J1540" s="23">
        <f>IFERROR(__xludf.DUMMYFUNCTION("""COMPUTED_VALUE"""),1539.0)</f>
        <v>1539</v>
      </c>
      <c r="K1540" s="23" t="b">
        <f>IFERROR(__xludf.DUMMYFUNCTION("""COMPUTED_VALUE"""),FALSE)</f>
        <v>0</v>
      </c>
      <c r="L1540" s="23" t="str">
        <f>IFERROR(__xludf.DUMMYFUNCTION("""COMPUTED_VALUE"""),"Array;Binary Search;")</f>
        <v>Array;Binary Search;</v>
      </c>
      <c r="M1540" s="23" t="b">
        <f>IFERROR(__xludf.DUMMYFUNCTION("""COMPUTED_VALUE"""),TRUE)</f>
        <v>1</v>
      </c>
      <c r="N1540" s="23" t="b">
        <f>IFERROR(__xludf.DUMMYFUNCTION("""COMPUTED_VALUE"""),FALSE)</f>
        <v>0</v>
      </c>
      <c r="O1540" s="23">
        <f>IFERROR(__xludf.DUMMYFUNCTION("""COMPUTED_VALUE"""),55.5027823443228)</f>
        <v>55.50278234</v>
      </c>
      <c r="P1540" s="23">
        <f>IFERROR(__xludf.DUMMYFUNCTION("""COMPUTED_VALUE"""),161377.0)</f>
        <v>161377</v>
      </c>
      <c r="Q1540" s="23">
        <f>IFERROR(__xludf.DUMMYFUNCTION("""COMPUTED_VALUE"""),290757.0)</f>
        <v>290757</v>
      </c>
    </row>
    <row r="1541">
      <c r="A1541" s="23">
        <f>IFERROR(__xludf.DUMMYFUNCTION("""COMPUTED_VALUE"""),1647.0)</f>
        <v>1647</v>
      </c>
      <c r="B1541" s="23" t="str">
        <f>IFERROR(__xludf.DUMMYFUNCTION("""COMPUTED_VALUE"""),"Can Convert String in K Moves")</f>
        <v>Can Convert String in K Moves</v>
      </c>
      <c r="C1541" s="23" t="str">
        <f>IFERROR(__xludf.DUMMYFUNCTION("""COMPUTED_VALUE"""),"can-convert-string-in-k-moves")</f>
        <v>can-convert-string-in-k-moves</v>
      </c>
      <c r="D1541" s="23" t="b">
        <f>IFERROR(__xludf.DUMMYFUNCTION("""COMPUTED_VALUE"""),FALSE)</f>
        <v>0</v>
      </c>
      <c r="E1541" s="23" t="str">
        <f>IFERROR(__xludf.DUMMYFUNCTION("""COMPUTED_VALUE"""),"Medium")</f>
        <v>Medium</v>
      </c>
      <c r="F1541" s="23">
        <f>IFERROR(__xludf.DUMMYFUNCTION("""COMPUTED_VALUE"""),277.0)</f>
        <v>277</v>
      </c>
      <c r="G1541" s="23">
        <f>IFERROR(__xludf.DUMMYFUNCTION("""COMPUTED_VALUE"""),228.0)</f>
        <v>228</v>
      </c>
      <c r="H1541" s="23" t="str">
        <f>IFERROR(__xludf.DUMMYFUNCTION("""COMPUTED_VALUE"""),"Algorithms")</f>
        <v>Algorithms</v>
      </c>
      <c r="I1541" s="23">
        <f>IFERROR(__xludf.DUMMYFUNCTION("""COMPUTED_VALUE"""),0.325)</f>
        <v>0.325</v>
      </c>
      <c r="J1541" s="23">
        <f>IFERROR(__xludf.DUMMYFUNCTION("""COMPUTED_VALUE"""),1540.0)</f>
        <v>1540</v>
      </c>
      <c r="K1541" s="23" t="b">
        <f>IFERROR(__xludf.DUMMYFUNCTION("""COMPUTED_VALUE"""),FALSE)</f>
        <v>0</v>
      </c>
      <c r="L1541" s="23" t="str">
        <f>IFERROR(__xludf.DUMMYFUNCTION("""COMPUTED_VALUE"""),"Hash Table;String;")</f>
        <v>Hash Table;String;</v>
      </c>
      <c r="M1541" s="23" t="b">
        <f>IFERROR(__xludf.DUMMYFUNCTION("""COMPUTED_VALUE"""),FALSE)</f>
        <v>0</v>
      </c>
      <c r="N1541" s="23" t="b">
        <f>IFERROR(__xludf.DUMMYFUNCTION("""COMPUTED_VALUE"""),FALSE)</f>
        <v>0</v>
      </c>
      <c r="O1541" s="23">
        <f>IFERROR(__xludf.DUMMYFUNCTION("""COMPUTED_VALUE"""),32.475860900709)</f>
        <v>32.4758609</v>
      </c>
      <c r="P1541" s="23">
        <f>IFERROR(__xludf.DUMMYFUNCTION("""COMPUTED_VALUE"""),13420.0)</f>
        <v>13420</v>
      </c>
      <c r="Q1541" s="23">
        <f>IFERROR(__xludf.DUMMYFUNCTION("""COMPUTED_VALUE"""),41323.0)</f>
        <v>41323</v>
      </c>
    </row>
    <row r="1542">
      <c r="A1542" s="23">
        <f>IFERROR(__xludf.DUMMYFUNCTION("""COMPUTED_VALUE"""),1648.0)</f>
        <v>1648</v>
      </c>
      <c r="B1542" s="23" t="str">
        <f>IFERROR(__xludf.DUMMYFUNCTION("""COMPUTED_VALUE"""),"Minimum Insertions to Balance a Parentheses String")</f>
        <v>Minimum Insertions to Balance a Parentheses String</v>
      </c>
      <c r="C1542" s="23" t="str">
        <f>IFERROR(__xludf.DUMMYFUNCTION("""COMPUTED_VALUE"""),"minimum-insertions-to-balance-a-parentheses-string")</f>
        <v>minimum-insertions-to-balance-a-parentheses-string</v>
      </c>
      <c r="D1542" s="23" t="b">
        <f>IFERROR(__xludf.DUMMYFUNCTION("""COMPUTED_VALUE"""),FALSE)</f>
        <v>0</v>
      </c>
      <c r="E1542" s="23" t="str">
        <f>IFERROR(__xludf.DUMMYFUNCTION("""COMPUTED_VALUE"""),"Medium")</f>
        <v>Medium</v>
      </c>
      <c r="F1542" s="23">
        <f>IFERROR(__xludf.DUMMYFUNCTION("""COMPUTED_VALUE"""),637.0)</f>
        <v>637</v>
      </c>
      <c r="G1542" s="23">
        <f>IFERROR(__xludf.DUMMYFUNCTION("""COMPUTED_VALUE"""),136.0)</f>
        <v>136</v>
      </c>
      <c r="H1542" s="23" t="str">
        <f>IFERROR(__xludf.DUMMYFUNCTION("""COMPUTED_VALUE"""),"Algorithms")</f>
        <v>Algorithms</v>
      </c>
      <c r="I1542" s="23">
        <f>IFERROR(__xludf.DUMMYFUNCTION("""COMPUTED_VALUE"""),0.492)</f>
        <v>0.492</v>
      </c>
      <c r="J1542" s="23">
        <f>IFERROR(__xludf.DUMMYFUNCTION("""COMPUTED_VALUE"""),1541.0)</f>
        <v>1541</v>
      </c>
      <c r="K1542" s="23" t="b">
        <f>IFERROR(__xludf.DUMMYFUNCTION("""COMPUTED_VALUE"""),FALSE)</f>
        <v>0</v>
      </c>
      <c r="L1542" s="23" t="str">
        <f>IFERROR(__xludf.DUMMYFUNCTION("""COMPUTED_VALUE"""),"String;Stack;Greedy;")</f>
        <v>String;Stack;Greedy;</v>
      </c>
      <c r="M1542" s="23" t="b">
        <f>IFERROR(__xludf.DUMMYFUNCTION("""COMPUTED_VALUE"""),FALSE)</f>
        <v>0</v>
      </c>
      <c r="N1542" s="23" t="b">
        <f>IFERROR(__xludf.DUMMYFUNCTION("""COMPUTED_VALUE"""),FALSE)</f>
        <v>0</v>
      </c>
      <c r="O1542" s="23">
        <f>IFERROR(__xludf.DUMMYFUNCTION("""COMPUTED_VALUE"""),49.2138068211046)</f>
        <v>49.21380682</v>
      </c>
      <c r="P1542" s="23">
        <f>IFERROR(__xludf.DUMMYFUNCTION("""COMPUTED_VALUE"""),28701.0)</f>
        <v>28701</v>
      </c>
      <c r="Q1542" s="23">
        <f>IFERROR(__xludf.DUMMYFUNCTION("""COMPUTED_VALUE"""),58318.0)</f>
        <v>58318</v>
      </c>
    </row>
    <row r="1543">
      <c r="A1543" s="23">
        <f>IFERROR(__xludf.DUMMYFUNCTION("""COMPUTED_VALUE"""),1668.0)</f>
        <v>1668</v>
      </c>
      <c r="B1543" s="23" t="str">
        <f>IFERROR(__xludf.DUMMYFUNCTION("""COMPUTED_VALUE"""),"Find Longest Awesome Substring")</f>
        <v>Find Longest Awesome Substring</v>
      </c>
      <c r="C1543" s="23" t="str">
        <f>IFERROR(__xludf.DUMMYFUNCTION("""COMPUTED_VALUE"""),"find-longest-awesome-substring")</f>
        <v>find-longest-awesome-substring</v>
      </c>
      <c r="D1543" s="23" t="b">
        <f>IFERROR(__xludf.DUMMYFUNCTION("""COMPUTED_VALUE"""),FALSE)</f>
        <v>0</v>
      </c>
      <c r="E1543" s="23" t="str">
        <f>IFERROR(__xludf.DUMMYFUNCTION("""COMPUTED_VALUE"""),"Hard")</f>
        <v>Hard</v>
      </c>
      <c r="F1543" s="23">
        <f>IFERROR(__xludf.DUMMYFUNCTION("""COMPUTED_VALUE"""),508.0)</f>
        <v>508</v>
      </c>
      <c r="G1543" s="23">
        <f>IFERROR(__xludf.DUMMYFUNCTION("""COMPUTED_VALUE"""),11.0)</f>
        <v>11</v>
      </c>
      <c r="H1543" s="23" t="str">
        <f>IFERROR(__xludf.DUMMYFUNCTION("""COMPUTED_VALUE"""),"Algorithms")</f>
        <v>Algorithms</v>
      </c>
      <c r="I1543" s="23">
        <f>IFERROR(__xludf.DUMMYFUNCTION("""COMPUTED_VALUE"""),0.406)</f>
        <v>0.406</v>
      </c>
      <c r="J1543" s="23">
        <f>IFERROR(__xludf.DUMMYFUNCTION("""COMPUTED_VALUE"""),1542.0)</f>
        <v>1542</v>
      </c>
      <c r="K1543" s="23" t="b">
        <f>IFERROR(__xludf.DUMMYFUNCTION("""COMPUTED_VALUE"""),FALSE)</f>
        <v>0</v>
      </c>
      <c r="L1543" s="23" t="str">
        <f>IFERROR(__xludf.DUMMYFUNCTION("""COMPUTED_VALUE"""),"Hash Table;String;Bit Manipulation;")</f>
        <v>Hash Table;String;Bit Manipulation;</v>
      </c>
      <c r="M1543" s="23" t="b">
        <f>IFERROR(__xludf.DUMMYFUNCTION("""COMPUTED_VALUE"""),FALSE)</f>
        <v>0</v>
      </c>
      <c r="N1543" s="23" t="b">
        <f>IFERROR(__xludf.DUMMYFUNCTION("""COMPUTED_VALUE"""),FALSE)</f>
        <v>0</v>
      </c>
      <c r="O1543" s="23">
        <f>IFERROR(__xludf.DUMMYFUNCTION("""COMPUTED_VALUE"""),40.6367729486354)</f>
        <v>40.63677295</v>
      </c>
      <c r="P1543" s="23">
        <f>IFERROR(__xludf.DUMMYFUNCTION("""COMPUTED_VALUE"""),8845.0)</f>
        <v>8845</v>
      </c>
      <c r="Q1543" s="23">
        <f>IFERROR(__xludf.DUMMYFUNCTION("""COMPUTED_VALUE"""),21766.0)</f>
        <v>21766</v>
      </c>
    </row>
    <row r="1544">
      <c r="A1544" s="23">
        <f>IFERROR(__xludf.DUMMYFUNCTION("""COMPUTED_VALUE"""),1686.0)</f>
        <v>1686</v>
      </c>
      <c r="B1544" s="23" t="str">
        <f>IFERROR(__xludf.DUMMYFUNCTION("""COMPUTED_VALUE"""),"Fix Product Name Format")</f>
        <v>Fix Product Name Format</v>
      </c>
      <c r="C1544" s="23" t="str">
        <f>IFERROR(__xludf.DUMMYFUNCTION("""COMPUTED_VALUE"""),"fix-product-name-format")</f>
        <v>fix-product-name-format</v>
      </c>
      <c r="D1544" s="23" t="b">
        <f>IFERROR(__xludf.DUMMYFUNCTION("""COMPUTED_VALUE"""),TRUE)</f>
        <v>1</v>
      </c>
      <c r="E1544" s="23" t="str">
        <f>IFERROR(__xludf.DUMMYFUNCTION("""COMPUTED_VALUE"""),"Easy")</f>
        <v>Easy</v>
      </c>
      <c r="F1544" s="23">
        <f>IFERROR(__xludf.DUMMYFUNCTION("""COMPUTED_VALUE"""),56.0)</f>
        <v>56</v>
      </c>
      <c r="G1544" s="23">
        <f>IFERROR(__xludf.DUMMYFUNCTION("""COMPUTED_VALUE"""),35.0)</f>
        <v>35</v>
      </c>
      <c r="H1544" s="23" t="str">
        <f>IFERROR(__xludf.DUMMYFUNCTION("""COMPUTED_VALUE"""),"Database")</f>
        <v>Database</v>
      </c>
      <c r="I1544" s="23">
        <f>IFERROR(__xludf.DUMMYFUNCTION("""COMPUTED_VALUE"""),0.631)</f>
        <v>0.631</v>
      </c>
      <c r="J1544" s="23">
        <f>IFERROR(__xludf.DUMMYFUNCTION("""COMPUTED_VALUE"""),1543.0)</f>
        <v>1543</v>
      </c>
      <c r="K1544" s="23" t="b">
        <f>IFERROR(__xludf.DUMMYFUNCTION("""COMPUTED_VALUE"""),TRUE)</f>
        <v>1</v>
      </c>
      <c r="L1544" s="23" t="str">
        <f>IFERROR(__xludf.DUMMYFUNCTION("""COMPUTED_VALUE"""),"Database;")</f>
        <v>Database;</v>
      </c>
      <c r="M1544" s="23" t="b">
        <f>IFERROR(__xludf.DUMMYFUNCTION("""COMPUTED_VALUE"""),FALSE)</f>
        <v>0</v>
      </c>
      <c r="N1544" s="23" t="b">
        <f>IFERROR(__xludf.DUMMYFUNCTION("""COMPUTED_VALUE"""),FALSE)</f>
        <v>0</v>
      </c>
      <c r="O1544" s="23">
        <f>IFERROR(__xludf.DUMMYFUNCTION("""COMPUTED_VALUE"""),63.1243103200115)</f>
        <v>63.12431032</v>
      </c>
      <c r="P1544" s="23">
        <f>IFERROR(__xludf.DUMMYFUNCTION("""COMPUTED_VALUE"""),13157.0)</f>
        <v>13157</v>
      </c>
      <c r="Q1544" s="23">
        <f>IFERROR(__xludf.DUMMYFUNCTION("""COMPUTED_VALUE"""),20843.0)</f>
        <v>20843</v>
      </c>
    </row>
    <row r="1545">
      <c r="A1545" s="23">
        <f>IFERROR(__xludf.DUMMYFUNCTION("""COMPUTED_VALUE"""),1666.0)</f>
        <v>1666</v>
      </c>
      <c r="B1545" s="23" t="str">
        <f>IFERROR(__xludf.DUMMYFUNCTION("""COMPUTED_VALUE"""),"Make The String Great")</f>
        <v>Make The String Great</v>
      </c>
      <c r="C1545" s="23" t="str">
        <f>IFERROR(__xludf.DUMMYFUNCTION("""COMPUTED_VALUE"""),"make-the-string-great")</f>
        <v>make-the-string-great</v>
      </c>
      <c r="D1545" s="23" t="b">
        <f>IFERROR(__xludf.DUMMYFUNCTION("""COMPUTED_VALUE"""),FALSE)</f>
        <v>0</v>
      </c>
      <c r="E1545" s="23" t="str">
        <f>IFERROR(__xludf.DUMMYFUNCTION("""COMPUTED_VALUE"""),"Easy")</f>
        <v>Easy</v>
      </c>
      <c r="F1545" s="23">
        <f>IFERROR(__xludf.DUMMYFUNCTION("""COMPUTED_VALUE"""),697.0)</f>
        <v>697</v>
      </c>
      <c r="G1545" s="23">
        <f>IFERROR(__xludf.DUMMYFUNCTION("""COMPUTED_VALUE"""),51.0)</f>
        <v>51</v>
      </c>
      <c r="H1545" s="23" t="str">
        <f>IFERROR(__xludf.DUMMYFUNCTION("""COMPUTED_VALUE"""),"Algorithms")</f>
        <v>Algorithms</v>
      </c>
      <c r="I1545" s="23">
        <f>IFERROR(__xludf.DUMMYFUNCTION("""COMPUTED_VALUE"""),0.564)</f>
        <v>0.564</v>
      </c>
      <c r="J1545" s="23">
        <f>IFERROR(__xludf.DUMMYFUNCTION("""COMPUTED_VALUE"""),1544.0)</f>
        <v>1544</v>
      </c>
      <c r="K1545" s="23" t="b">
        <f>IFERROR(__xludf.DUMMYFUNCTION("""COMPUTED_VALUE"""),FALSE)</f>
        <v>0</v>
      </c>
      <c r="L1545" s="23" t="str">
        <f>IFERROR(__xludf.DUMMYFUNCTION("""COMPUTED_VALUE"""),"String;Stack;")</f>
        <v>String;Stack;</v>
      </c>
      <c r="M1545" s="23" t="b">
        <f>IFERROR(__xludf.DUMMYFUNCTION("""COMPUTED_VALUE"""),FALSE)</f>
        <v>0</v>
      </c>
      <c r="N1545" s="23" t="b">
        <f>IFERROR(__xludf.DUMMYFUNCTION("""COMPUTED_VALUE"""),FALSE)</f>
        <v>0</v>
      </c>
      <c r="O1545" s="23">
        <f>IFERROR(__xludf.DUMMYFUNCTION("""COMPUTED_VALUE"""),56.4439799429289)</f>
        <v>56.44397994</v>
      </c>
      <c r="P1545" s="23">
        <f>IFERROR(__xludf.DUMMYFUNCTION("""COMPUTED_VALUE"""),48066.0)</f>
        <v>48066</v>
      </c>
      <c r="Q1545" s="23">
        <f>IFERROR(__xludf.DUMMYFUNCTION("""COMPUTED_VALUE"""),85157.0)</f>
        <v>85157</v>
      </c>
    </row>
    <row r="1546">
      <c r="A1546" s="23">
        <f>IFERROR(__xludf.DUMMYFUNCTION("""COMPUTED_VALUE"""),1667.0)</f>
        <v>1667</v>
      </c>
      <c r="B1546" s="23" t="str">
        <f>IFERROR(__xludf.DUMMYFUNCTION("""COMPUTED_VALUE"""),"Find Kth Bit in Nth Binary String")</f>
        <v>Find Kth Bit in Nth Binary String</v>
      </c>
      <c r="C1546" s="23" t="str">
        <f>IFERROR(__xludf.DUMMYFUNCTION("""COMPUTED_VALUE"""),"find-kth-bit-in-nth-binary-string")</f>
        <v>find-kth-bit-in-nth-binary-string</v>
      </c>
      <c r="D1546" s="23" t="b">
        <f>IFERROR(__xludf.DUMMYFUNCTION("""COMPUTED_VALUE"""),FALSE)</f>
        <v>0</v>
      </c>
      <c r="E1546" s="23" t="str">
        <f>IFERROR(__xludf.DUMMYFUNCTION("""COMPUTED_VALUE"""),"Medium")</f>
        <v>Medium</v>
      </c>
      <c r="F1546" s="23">
        <f>IFERROR(__xludf.DUMMYFUNCTION("""COMPUTED_VALUE"""),473.0)</f>
        <v>473</v>
      </c>
      <c r="G1546" s="23">
        <f>IFERROR(__xludf.DUMMYFUNCTION("""COMPUTED_VALUE"""),39.0)</f>
        <v>39</v>
      </c>
      <c r="H1546" s="23" t="str">
        <f>IFERROR(__xludf.DUMMYFUNCTION("""COMPUTED_VALUE"""),"Algorithms")</f>
        <v>Algorithms</v>
      </c>
      <c r="I1546" s="23">
        <f>IFERROR(__xludf.DUMMYFUNCTION("""COMPUTED_VALUE"""),0.581)</f>
        <v>0.581</v>
      </c>
      <c r="J1546" s="23">
        <f>IFERROR(__xludf.DUMMYFUNCTION("""COMPUTED_VALUE"""),1545.0)</f>
        <v>1545</v>
      </c>
      <c r="K1546" s="23" t="b">
        <f>IFERROR(__xludf.DUMMYFUNCTION("""COMPUTED_VALUE"""),FALSE)</f>
        <v>0</v>
      </c>
      <c r="L1546" s="23" t="str">
        <f>IFERROR(__xludf.DUMMYFUNCTION("""COMPUTED_VALUE"""),"String;Recursion;")</f>
        <v>String;Recursion;</v>
      </c>
      <c r="M1546" s="23" t="b">
        <f>IFERROR(__xludf.DUMMYFUNCTION("""COMPUTED_VALUE"""),FALSE)</f>
        <v>0</v>
      </c>
      <c r="N1546" s="23" t="b">
        <f>IFERROR(__xludf.DUMMYFUNCTION("""COMPUTED_VALUE"""),FALSE)</f>
        <v>0</v>
      </c>
      <c r="O1546" s="23">
        <f>IFERROR(__xludf.DUMMYFUNCTION("""COMPUTED_VALUE"""),58.1064886149631)</f>
        <v>58.10648861</v>
      </c>
      <c r="P1546" s="23">
        <f>IFERROR(__xludf.DUMMYFUNCTION("""COMPUTED_VALUE"""),23758.0)</f>
        <v>23758</v>
      </c>
      <c r="Q1546" s="23">
        <f>IFERROR(__xludf.DUMMYFUNCTION("""COMPUTED_VALUE"""),40887.0)</f>
        <v>40887</v>
      </c>
    </row>
    <row r="1547">
      <c r="A1547" s="23">
        <f>IFERROR(__xludf.DUMMYFUNCTION("""COMPUTED_VALUE"""),1649.0)</f>
        <v>1649</v>
      </c>
      <c r="B1547" s="23" t="str">
        <f>IFERROR(__xludf.DUMMYFUNCTION("""COMPUTED_VALUE"""),"Maximum Number of Non-Overlapping Subarrays With Sum Equals Target")</f>
        <v>Maximum Number of Non-Overlapping Subarrays With Sum Equals Target</v>
      </c>
      <c r="C1547" s="23" t="str">
        <f>IFERROR(__xludf.DUMMYFUNCTION("""COMPUTED_VALUE"""),"maximum-number-of-non-overlapping-subarrays-with-sum-equals-target")</f>
        <v>maximum-number-of-non-overlapping-subarrays-with-sum-equals-target</v>
      </c>
      <c r="D1547" s="23" t="b">
        <f>IFERROR(__xludf.DUMMYFUNCTION("""COMPUTED_VALUE"""),FALSE)</f>
        <v>0</v>
      </c>
      <c r="E1547" s="23" t="str">
        <f>IFERROR(__xludf.DUMMYFUNCTION("""COMPUTED_VALUE"""),"Medium")</f>
        <v>Medium</v>
      </c>
      <c r="F1547" s="23">
        <f>IFERROR(__xludf.DUMMYFUNCTION("""COMPUTED_VALUE"""),741.0)</f>
        <v>741</v>
      </c>
      <c r="G1547" s="23">
        <f>IFERROR(__xludf.DUMMYFUNCTION("""COMPUTED_VALUE"""),15.0)</f>
        <v>15</v>
      </c>
      <c r="H1547" s="23" t="str">
        <f>IFERROR(__xludf.DUMMYFUNCTION("""COMPUTED_VALUE"""),"Algorithms")</f>
        <v>Algorithms</v>
      </c>
      <c r="I1547" s="23">
        <f>IFERROR(__xludf.DUMMYFUNCTION("""COMPUTED_VALUE"""),0.464)</f>
        <v>0.464</v>
      </c>
      <c r="J1547" s="23">
        <f>IFERROR(__xludf.DUMMYFUNCTION("""COMPUTED_VALUE"""),1546.0)</f>
        <v>1546</v>
      </c>
      <c r="K1547" s="23" t="b">
        <f>IFERROR(__xludf.DUMMYFUNCTION("""COMPUTED_VALUE"""),FALSE)</f>
        <v>0</v>
      </c>
      <c r="L1547" s="23" t="str">
        <f>IFERROR(__xludf.DUMMYFUNCTION("""COMPUTED_VALUE"""),"Array;Hash Table;Greedy;Prefix Sum;")</f>
        <v>Array;Hash Table;Greedy;Prefix Sum;</v>
      </c>
      <c r="M1547" s="23" t="b">
        <f>IFERROR(__xludf.DUMMYFUNCTION("""COMPUTED_VALUE"""),FALSE)</f>
        <v>0</v>
      </c>
      <c r="N1547" s="23" t="b">
        <f>IFERROR(__xludf.DUMMYFUNCTION("""COMPUTED_VALUE"""),FALSE)</f>
        <v>0</v>
      </c>
      <c r="O1547" s="23">
        <f>IFERROR(__xludf.DUMMYFUNCTION("""COMPUTED_VALUE"""),46.4268550557477)</f>
        <v>46.42685506</v>
      </c>
      <c r="P1547" s="23">
        <f>IFERROR(__xludf.DUMMYFUNCTION("""COMPUTED_VALUE"""),19321.0)</f>
        <v>19321</v>
      </c>
      <c r="Q1547" s="23">
        <f>IFERROR(__xludf.DUMMYFUNCTION("""COMPUTED_VALUE"""),41616.0)</f>
        <v>41616</v>
      </c>
    </row>
    <row r="1548">
      <c r="A1548" s="23">
        <f>IFERROR(__xludf.DUMMYFUNCTION("""COMPUTED_VALUE"""),1669.0)</f>
        <v>1669</v>
      </c>
      <c r="B1548" s="23" t="str">
        <f>IFERROR(__xludf.DUMMYFUNCTION("""COMPUTED_VALUE"""),"Minimum Cost to Cut a Stick")</f>
        <v>Minimum Cost to Cut a Stick</v>
      </c>
      <c r="C1548" s="23" t="str">
        <f>IFERROR(__xludf.DUMMYFUNCTION("""COMPUTED_VALUE"""),"minimum-cost-to-cut-a-stick")</f>
        <v>minimum-cost-to-cut-a-stick</v>
      </c>
      <c r="D1548" s="23" t="b">
        <f>IFERROR(__xludf.DUMMYFUNCTION("""COMPUTED_VALUE"""),FALSE)</f>
        <v>0</v>
      </c>
      <c r="E1548" s="23" t="str">
        <f>IFERROR(__xludf.DUMMYFUNCTION("""COMPUTED_VALUE"""),"Hard")</f>
        <v>Hard</v>
      </c>
      <c r="F1548" s="23">
        <f>IFERROR(__xludf.DUMMYFUNCTION("""COMPUTED_VALUE"""),1168.0)</f>
        <v>1168</v>
      </c>
      <c r="G1548" s="23">
        <f>IFERROR(__xludf.DUMMYFUNCTION("""COMPUTED_VALUE"""),23.0)</f>
        <v>23</v>
      </c>
      <c r="H1548" s="23" t="str">
        <f>IFERROR(__xludf.DUMMYFUNCTION("""COMPUTED_VALUE"""),"Algorithms")</f>
        <v>Algorithms</v>
      </c>
      <c r="I1548" s="23">
        <f>IFERROR(__xludf.DUMMYFUNCTION("""COMPUTED_VALUE"""),0.551)</f>
        <v>0.551</v>
      </c>
      <c r="J1548" s="23">
        <f>IFERROR(__xludf.DUMMYFUNCTION("""COMPUTED_VALUE"""),1547.0)</f>
        <v>1547</v>
      </c>
      <c r="K1548" s="23" t="b">
        <f>IFERROR(__xludf.DUMMYFUNCTION("""COMPUTED_VALUE"""),FALSE)</f>
        <v>0</v>
      </c>
      <c r="L1548" s="23" t="str">
        <f>IFERROR(__xludf.DUMMYFUNCTION("""COMPUTED_VALUE"""),"Array;Dynamic Programming;")</f>
        <v>Array;Dynamic Programming;</v>
      </c>
      <c r="M1548" s="23" t="b">
        <f>IFERROR(__xludf.DUMMYFUNCTION("""COMPUTED_VALUE"""),FALSE)</f>
        <v>0</v>
      </c>
      <c r="N1548" s="23" t="b">
        <f>IFERROR(__xludf.DUMMYFUNCTION("""COMPUTED_VALUE"""),FALSE)</f>
        <v>0</v>
      </c>
      <c r="O1548" s="23">
        <f>IFERROR(__xludf.DUMMYFUNCTION("""COMPUTED_VALUE"""),55.0615895982011)</f>
        <v>55.0615896</v>
      </c>
      <c r="P1548" s="23">
        <f>IFERROR(__xludf.DUMMYFUNCTION("""COMPUTED_VALUE"""),22529.0)</f>
        <v>22529</v>
      </c>
      <c r="Q1548" s="23">
        <f>IFERROR(__xludf.DUMMYFUNCTION("""COMPUTED_VALUE"""),40916.0)</f>
        <v>40916</v>
      </c>
    </row>
    <row r="1549">
      <c r="A1549" s="23">
        <f>IFERROR(__xludf.DUMMYFUNCTION("""COMPUTED_VALUE"""),1687.0)</f>
        <v>1687</v>
      </c>
      <c r="B1549" s="23" t="str">
        <f>IFERROR(__xludf.DUMMYFUNCTION("""COMPUTED_VALUE"""),"The Most Similar Path in a Graph")</f>
        <v>The Most Similar Path in a Graph</v>
      </c>
      <c r="C1549" s="23" t="str">
        <f>IFERROR(__xludf.DUMMYFUNCTION("""COMPUTED_VALUE"""),"the-most-similar-path-in-a-graph")</f>
        <v>the-most-similar-path-in-a-graph</v>
      </c>
      <c r="D1549" s="23" t="b">
        <f>IFERROR(__xludf.DUMMYFUNCTION("""COMPUTED_VALUE"""),TRUE)</f>
        <v>1</v>
      </c>
      <c r="E1549" s="23" t="str">
        <f>IFERROR(__xludf.DUMMYFUNCTION("""COMPUTED_VALUE"""),"Hard")</f>
        <v>Hard</v>
      </c>
      <c r="F1549" s="23">
        <f>IFERROR(__xludf.DUMMYFUNCTION("""COMPUTED_VALUE"""),285.0)</f>
        <v>285</v>
      </c>
      <c r="G1549" s="23">
        <f>IFERROR(__xludf.DUMMYFUNCTION("""COMPUTED_VALUE"""),137.0)</f>
        <v>137</v>
      </c>
      <c r="H1549" s="23" t="str">
        <f>IFERROR(__xludf.DUMMYFUNCTION("""COMPUTED_VALUE"""),"Algorithms")</f>
        <v>Algorithms</v>
      </c>
      <c r="I1549" s="23">
        <f>IFERROR(__xludf.DUMMYFUNCTION("""COMPUTED_VALUE"""),0.569)</f>
        <v>0.569</v>
      </c>
      <c r="J1549" s="23">
        <f>IFERROR(__xludf.DUMMYFUNCTION("""COMPUTED_VALUE"""),1548.0)</f>
        <v>1548</v>
      </c>
      <c r="K1549" s="23" t="b">
        <f>IFERROR(__xludf.DUMMYFUNCTION("""COMPUTED_VALUE"""),TRUE)</f>
        <v>1</v>
      </c>
      <c r="L1549" s="23" t="str">
        <f>IFERROR(__xludf.DUMMYFUNCTION("""COMPUTED_VALUE"""),"Dynamic Programming;Graph;")</f>
        <v>Dynamic Programming;Graph;</v>
      </c>
      <c r="M1549" s="23" t="b">
        <f>IFERROR(__xludf.DUMMYFUNCTION("""COMPUTED_VALUE"""),FALSE)</f>
        <v>0</v>
      </c>
      <c r="N1549" s="23" t="b">
        <f>IFERROR(__xludf.DUMMYFUNCTION("""COMPUTED_VALUE"""),FALSE)</f>
        <v>0</v>
      </c>
      <c r="O1549" s="23">
        <f>IFERROR(__xludf.DUMMYFUNCTION("""COMPUTED_VALUE"""),56.8996188055908)</f>
        <v>56.89961881</v>
      </c>
      <c r="P1549" s="23">
        <f>IFERROR(__xludf.DUMMYFUNCTION("""COMPUTED_VALUE"""),13434.0)</f>
        <v>13434</v>
      </c>
      <c r="Q1549" s="23">
        <f>IFERROR(__xludf.DUMMYFUNCTION("""COMPUTED_VALUE"""),23610.0)</f>
        <v>23610</v>
      </c>
    </row>
    <row r="1550">
      <c r="A1550" s="23">
        <f>IFERROR(__xludf.DUMMYFUNCTION("""COMPUTED_VALUE"""),1688.0)</f>
        <v>1688</v>
      </c>
      <c r="B1550" s="23" t="str">
        <f>IFERROR(__xludf.DUMMYFUNCTION("""COMPUTED_VALUE"""),"The Most Recent Orders for Each Product")</f>
        <v>The Most Recent Orders for Each Product</v>
      </c>
      <c r="C1550" s="23" t="str">
        <f>IFERROR(__xludf.DUMMYFUNCTION("""COMPUTED_VALUE"""),"the-most-recent-orders-for-each-product")</f>
        <v>the-most-recent-orders-for-each-product</v>
      </c>
      <c r="D1550" s="23" t="b">
        <f>IFERROR(__xludf.DUMMYFUNCTION("""COMPUTED_VALUE"""),TRUE)</f>
        <v>1</v>
      </c>
      <c r="E1550" s="23" t="str">
        <f>IFERROR(__xludf.DUMMYFUNCTION("""COMPUTED_VALUE"""),"Medium")</f>
        <v>Medium</v>
      </c>
      <c r="F1550" s="23">
        <f>IFERROR(__xludf.DUMMYFUNCTION("""COMPUTED_VALUE"""),65.0)</f>
        <v>65</v>
      </c>
      <c r="G1550" s="23">
        <f>IFERROR(__xludf.DUMMYFUNCTION("""COMPUTED_VALUE"""),5.0)</f>
        <v>5</v>
      </c>
      <c r="H1550" s="23" t="str">
        <f>IFERROR(__xludf.DUMMYFUNCTION("""COMPUTED_VALUE"""),"Database")</f>
        <v>Database</v>
      </c>
      <c r="I1550" s="23">
        <f>IFERROR(__xludf.DUMMYFUNCTION("""COMPUTED_VALUE"""),0.676)</f>
        <v>0.676</v>
      </c>
      <c r="J1550" s="23">
        <f>IFERROR(__xludf.DUMMYFUNCTION("""COMPUTED_VALUE"""),1549.0)</f>
        <v>1549</v>
      </c>
      <c r="K1550" s="23" t="b">
        <f>IFERROR(__xludf.DUMMYFUNCTION("""COMPUTED_VALUE"""),TRUE)</f>
        <v>1</v>
      </c>
      <c r="L1550" s="23" t="str">
        <f>IFERROR(__xludf.DUMMYFUNCTION("""COMPUTED_VALUE"""),"Database;")</f>
        <v>Database;</v>
      </c>
      <c r="M1550" s="23" t="b">
        <f>IFERROR(__xludf.DUMMYFUNCTION("""COMPUTED_VALUE"""),FALSE)</f>
        <v>0</v>
      </c>
      <c r="N1550" s="23" t="b">
        <f>IFERROR(__xludf.DUMMYFUNCTION("""COMPUTED_VALUE"""),FALSE)</f>
        <v>0</v>
      </c>
      <c r="O1550" s="23">
        <f>IFERROR(__xludf.DUMMYFUNCTION("""COMPUTED_VALUE"""),67.6188457257936)</f>
        <v>67.61884573</v>
      </c>
      <c r="P1550" s="23">
        <f>IFERROR(__xludf.DUMMYFUNCTION("""COMPUTED_VALUE"""),12759.0)</f>
        <v>12759</v>
      </c>
      <c r="Q1550" s="23">
        <f>IFERROR(__xludf.DUMMYFUNCTION("""COMPUTED_VALUE"""),18869.0)</f>
        <v>18869</v>
      </c>
    </row>
    <row r="1551">
      <c r="A1551" s="23">
        <f>IFERROR(__xludf.DUMMYFUNCTION("""COMPUTED_VALUE"""),1293.0)</f>
        <v>1293</v>
      </c>
      <c r="B1551" s="23" t="str">
        <f>IFERROR(__xludf.DUMMYFUNCTION("""COMPUTED_VALUE"""),"Three Consecutive Odds")</f>
        <v>Three Consecutive Odds</v>
      </c>
      <c r="C1551" s="23" t="str">
        <f>IFERROR(__xludf.DUMMYFUNCTION("""COMPUTED_VALUE"""),"three-consecutive-odds")</f>
        <v>three-consecutive-odds</v>
      </c>
      <c r="D1551" s="23" t="b">
        <f>IFERROR(__xludf.DUMMYFUNCTION("""COMPUTED_VALUE"""),FALSE)</f>
        <v>0</v>
      </c>
      <c r="E1551" s="23" t="str">
        <f>IFERROR(__xludf.DUMMYFUNCTION("""COMPUTED_VALUE"""),"Easy")</f>
        <v>Easy</v>
      </c>
      <c r="F1551" s="23">
        <f>IFERROR(__xludf.DUMMYFUNCTION("""COMPUTED_VALUE"""),354.0)</f>
        <v>354</v>
      </c>
      <c r="G1551" s="23">
        <f>IFERROR(__xludf.DUMMYFUNCTION("""COMPUTED_VALUE"""),46.0)</f>
        <v>46</v>
      </c>
      <c r="H1551" s="23" t="str">
        <f>IFERROR(__xludf.DUMMYFUNCTION("""COMPUTED_VALUE"""),"Algorithms")</f>
        <v>Algorithms</v>
      </c>
      <c r="I1551" s="23">
        <f>IFERROR(__xludf.DUMMYFUNCTION("""COMPUTED_VALUE"""),0.641)</f>
        <v>0.641</v>
      </c>
      <c r="J1551" s="23">
        <f>IFERROR(__xludf.DUMMYFUNCTION("""COMPUTED_VALUE"""),1550.0)</f>
        <v>1550</v>
      </c>
      <c r="K1551" s="23" t="b">
        <f>IFERROR(__xludf.DUMMYFUNCTION("""COMPUTED_VALUE"""),FALSE)</f>
        <v>0</v>
      </c>
      <c r="L1551" s="23" t="str">
        <f>IFERROR(__xludf.DUMMYFUNCTION("""COMPUTED_VALUE"""),"Array;")</f>
        <v>Array;</v>
      </c>
      <c r="M1551" s="23" t="b">
        <f>IFERROR(__xludf.DUMMYFUNCTION("""COMPUTED_VALUE"""),FALSE)</f>
        <v>0</v>
      </c>
      <c r="N1551" s="23" t="b">
        <f>IFERROR(__xludf.DUMMYFUNCTION("""COMPUTED_VALUE"""),FALSE)</f>
        <v>0</v>
      </c>
      <c r="O1551" s="23">
        <f>IFERROR(__xludf.DUMMYFUNCTION("""COMPUTED_VALUE"""),64.094123698084)</f>
        <v>64.0941237</v>
      </c>
      <c r="P1551" s="23">
        <f>IFERROR(__xludf.DUMMYFUNCTION("""COMPUTED_VALUE"""),49845.0)</f>
        <v>49845</v>
      </c>
      <c r="Q1551" s="23">
        <f>IFERROR(__xludf.DUMMYFUNCTION("""COMPUTED_VALUE"""),77769.0)</f>
        <v>77769</v>
      </c>
    </row>
    <row r="1552">
      <c r="A1552" s="23">
        <f>IFERROR(__xludf.DUMMYFUNCTION("""COMPUTED_VALUE"""),1674.0)</f>
        <v>1674</v>
      </c>
      <c r="B1552" s="23" t="str">
        <f>IFERROR(__xludf.DUMMYFUNCTION("""COMPUTED_VALUE"""),"Minimum Operations to Make Array Equal")</f>
        <v>Minimum Operations to Make Array Equal</v>
      </c>
      <c r="C1552" s="23" t="str">
        <f>IFERROR(__xludf.DUMMYFUNCTION("""COMPUTED_VALUE"""),"minimum-operations-to-make-array-equal")</f>
        <v>minimum-operations-to-make-array-equal</v>
      </c>
      <c r="D1552" s="23" t="b">
        <f>IFERROR(__xludf.DUMMYFUNCTION("""COMPUTED_VALUE"""),FALSE)</f>
        <v>0</v>
      </c>
      <c r="E1552" s="23" t="str">
        <f>IFERROR(__xludf.DUMMYFUNCTION("""COMPUTED_VALUE"""),"Medium")</f>
        <v>Medium</v>
      </c>
      <c r="F1552" s="23">
        <f>IFERROR(__xludf.DUMMYFUNCTION("""COMPUTED_VALUE"""),794.0)</f>
        <v>794</v>
      </c>
      <c r="G1552" s="23">
        <f>IFERROR(__xludf.DUMMYFUNCTION("""COMPUTED_VALUE"""),135.0)</f>
        <v>135</v>
      </c>
      <c r="H1552" s="23" t="str">
        <f>IFERROR(__xludf.DUMMYFUNCTION("""COMPUTED_VALUE"""),"Algorithms")</f>
        <v>Algorithms</v>
      </c>
      <c r="I1552" s="23">
        <f>IFERROR(__xludf.DUMMYFUNCTION("""COMPUTED_VALUE"""),0.809)</f>
        <v>0.809</v>
      </c>
      <c r="J1552" s="23">
        <f>IFERROR(__xludf.DUMMYFUNCTION("""COMPUTED_VALUE"""),1551.0)</f>
        <v>1551</v>
      </c>
      <c r="K1552" s="23" t="b">
        <f>IFERROR(__xludf.DUMMYFUNCTION("""COMPUTED_VALUE"""),FALSE)</f>
        <v>0</v>
      </c>
      <c r="L1552" s="23" t="str">
        <f>IFERROR(__xludf.DUMMYFUNCTION("""COMPUTED_VALUE"""),"Math;")</f>
        <v>Math;</v>
      </c>
      <c r="M1552" s="23" t="b">
        <f>IFERROR(__xludf.DUMMYFUNCTION("""COMPUTED_VALUE"""),TRUE)</f>
        <v>1</v>
      </c>
      <c r="N1552" s="23" t="b">
        <f>IFERROR(__xludf.DUMMYFUNCTION("""COMPUTED_VALUE"""),FALSE)</f>
        <v>0</v>
      </c>
      <c r="O1552" s="23">
        <f>IFERROR(__xludf.DUMMYFUNCTION("""COMPUTED_VALUE"""),80.8506944444444)</f>
        <v>80.85069444</v>
      </c>
      <c r="P1552" s="23">
        <f>IFERROR(__xludf.DUMMYFUNCTION("""COMPUTED_VALUE"""),65196.0)</f>
        <v>65196</v>
      </c>
      <c r="Q1552" s="23">
        <f>IFERROR(__xludf.DUMMYFUNCTION("""COMPUTED_VALUE"""),80638.0)</f>
        <v>80638</v>
      </c>
    </row>
    <row r="1553">
      <c r="A1553" s="23">
        <f>IFERROR(__xludf.DUMMYFUNCTION("""COMPUTED_VALUE"""),1675.0)</f>
        <v>1675</v>
      </c>
      <c r="B1553" s="23" t="str">
        <f>IFERROR(__xludf.DUMMYFUNCTION("""COMPUTED_VALUE"""),"Magnetic Force Between Two Balls")</f>
        <v>Magnetic Force Between Two Balls</v>
      </c>
      <c r="C1553" s="23" t="str">
        <f>IFERROR(__xludf.DUMMYFUNCTION("""COMPUTED_VALUE"""),"magnetic-force-between-two-balls")</f>
        <v>magnetic-force-between-two-balls</v>
      </c>
      <c r="D1553" s="23" t="b">
        <f>IFERROR(__xludf.DUMMYFUNCTION("""COMPUTED_VALUE"""),FALSE)</f>
        <v>0</v>
      </c>
      <c r="E1553" s="23" t="str">
        <f>IFERROR(__xludf.DUMMYFUNCTION("""COMPUTED_VALUE"""),"Medium")</f>
        <v>Medium</v>
      </c>
      <c r="F1553" s="23">
        <f>IFERROR(__xludf.DUMMYFUNCTION("""COMPUTED_VALUE"""),1130.0)</f>
        <v>1130</v>
      </c>
      <c r="G1553" s="23">
        <f>IFERROR(__xludf.DUMMYFUNCTION("""COMPUTED_VALUE"""),78.0)</f>
        <v>78</v>
      </c>
      <c r="H1553" s="23" t="str">
        <f>IFERROR(__xludf.DUMMYFUNCTION("""COMPUTED_VALUE"""),"Algorithms")</f>
        <v>Algorithms</v>
      </c>
      <c r="I1553" s="23">
        <f>IFERROR(__xludf.DUMMYFUNCTION("""COMPUTED_VALUE"""),0.548)</f>
        <v>0.548</v>
      </c>
      <c r="J1553" s="23">
        <f>IFERROR(__xludf.DUMMYFUNCTION("""COMPUTED_VALUE"""),1552.0)</f>
        <v>1552</v>
      </c>
      <c r="K1553" s="23" t="b">
        <f>IFERROR(__xludf.DUMMYFUNCTION("""COMPUTED_VALUE"""),FALSE)</f>
        <v>0</v>
      </c>
      <c r="L1553" s="23" t="str">
        <f>IFERROR(__xludf.DUMMYFUNCTION("""COMPUTED_VALUE"""),"Array;Binary Search;Sorting;")</f>
        <v>Array;Binary Search;Sorting;</v>
      </c>
      <c r="M1553" s="23" t="b">
        <f>IFERROR(__xludf.DUMMYFUNCTION("""COMPUTED_VALUE"""),FALSE)</f>
        <v>0</v>
      </c>
      <c r="N1553" s="23" t="b">
        <f>IFERROR(__xludf.DUMMYFUNCTION("""COMPUTED_VALUE"""),FALSE)</f>
        <v>0</v>
      </c>
      <c r="O1553" s="23">
        <f>IFERROR(__xludf.DUMMYFUNCTION("""COMPUTED_VALUE"""),54.7972833916443)</f>
        <v>54.79728339</v>
      </c>
      <c r="P1553" s="23">
        <f>IFERROR(__xludf.DUMMYFUNCTION("""COMPUTED_VALUE"""),26624.0)</f>
        <v>26624</v>
      </c>
      <c r="Q1553" s="23">
        <f>IFERROR(__xludf.DUMMYFUNCTION("""COMPUTED_VALUE"""),48582.0)</f>
        <v>48582</v>
      </c>
    </row>
    <row r="1554">
      <c r="A1554" s="23">
        <f>IFERROR(__xludf.DUMMYFUNCTION("""COMPUTED_VALUE"""),1676.0)</f>
        <v>1676</v>
      </c>
      <c r="B1554" s="23" t="str">
        <f>IFERROR(__xludf.DUMMYFUNCTION("""COMPUTED_VALUE"""),"Minimum Number of Days to Eat N Oranges")</f>
        <v>Minimum Number of Days to Eat N Oranges</v>
      </c>
      <c r="C1554" s="23" t="str">
        <f>IFERROR(__xludf.DUMMYFUNCTION("""COMPUTED_VALUE"""),"minimum-number-of-days-to-eat-n-oranges")</f>
        <v>minimum-number-of-days-to-eat-n-oranges</v>
      </c>
      <c r="D1554" s="23" t="b">
        <f>IFERROR(__xludf.DUMMYFUNCTION("""COMPUTED_VALUE"""),FALSE)</f>
        <v>0</v>
      </c>
      <c r="E1554" s="23" t="str">
        <f>IFERROR(__xludf.DUMMYFUNCTION("""COMPUTED_VALUE"""),"Hard")</f>
        <v>Hard</v>
      </c>
      <c r="F1554" s="23">
        <f>IFERROR(__xludf.DUMMYFUNCTION("""COMPUTED_VALUE"""),650.0)</f>
        <v>650</v>
      </c>
      <c r="G1554" s="23">
        <f>IFERROR(__xludf.DUMMYFUNCTION("""COMPUTED_VALUE"""),41.0)</f>
        <v>41</v>
      </c>
      <c r="H1554" s="23" t="str">
        <f>IFERROR(__xludf.DUMMYFUNCTION("""COMPUTED_VALUE"""),"Algorithms")</f>
        <v>Algorithms</v>
      </c>
      <c r="I1554" s="23">
        <f>IFERROR(__xludf.DUMMYFUNCTION("""COMPUTED_VALUE"""),0.329)</f>
        <v>0.329</v>
      </c>
      <c r="J1554" s="23">
        <f>IFERROR(__xludf.DUMMYFUNCTION("""COMPUTED_VALUE"""),1553.0)</f>
        <v>1553</v>
      </c>
      <c r="K1554" s="23" t="b">
        <f>IFERROR(__xludf.DUMMYFUNCTION("""COMPUTED_VALUE"""),FALSE)</f>
        <v>0</v>
      </c>
      <c r="L1554" s="23" t="str">
        <f>IFERROR(__xludf.DUMMYFUNCTION("""COMPUTED_VALUE"""),"Dynamic Programming;Memoization;")</f>
        <v>Dynamic Programming;Memoization;</v>
      </c>
      <c r="M1554" s="23" t="b">
        <f>IFERROR(__xludf.DUMMYFUNCTION("""COMPUTED_VALUE"""),FALSE)</f>
        <v>0</v>
      </c>
      <c r="N1554" s="23" t="b">
        <f>IFERROR(__xludf.DUMMYFUNCTION("""COMPUTED_VALUE"""),FALSE)</f>
        <v>0</v>
      </c>
      <c r="O1554" s="23">
        <f>IFERROR(__xludf.DUMMYFUNCTION("""COMPUTED_VALUE"""),32.8599405019957)</f>
        <v>32.8599405</v>
      </c>
      <c r="P1554" s="23">
        <f>IFERROR(__xludf.DUMMYFUNCTION("""COMPUTED_VALUE"""),21981.0)</f>
        <v>21981</v>
      </c>
      <c r="Q1554" s="23">
        <f>IFERROR(__xludf.DUMMYFUNCTION("""COMPUTED_VALUE"""),66893.0)</f>
        <v>66893</v>
      </c>
    </row>
    <row r="1555">
      <c r="A1555" s="23">
        <f>IFERROR(__xludf.DUMMYFUNCTION("""COMPUTED_VALUE"""),1697.0)</f>
        <v>1697</v>
      </c>
      <c r="B1555" s="23" t="str">
        <f>IFERROR(__xludf.DUMMYFUNCTION("""COMPUTED_VALUE"""),"Strings Differ by One Character")</f>
        <v>Strings Differ by One Character</v>
      </c>
      <c r="C1555" s="23" t="str">
        <f>IFERROR(__xludf.DUMMYFUNCTION("""COMPUTED_VALUE"""),"strings-differ-by-one-character")</f>
        <v>strings-differ-by-one-character</v>
      </c>
      <c r="D1555" s="23" t="b">
        <f>IFERROR(__xludf.DUMMYFUNCTION("""COMPUTED_VALUE"""),TRUE)</f>
        <v>1</v>
      </c>
      <c r="E1555" s="23" t="str">
        <f>IFERROR(__xludf.DUMMYFUNCTION("""COMPUTED_VALUE"""),"Medium")</f>
        <v>Medium</v>
      </c>
      <c r="F1555" s="23">
        <f>IFERROR(__xludf.DUMMYFUNCTION("""COMPUTED_VALUE"""),233.0)</f>
        <v>233</v>
      </c>
      <c r="G1555" s="23">
        <f>IFERROR(__xludf.DUMMYFUNCTION("""COMPUTED_VALUE"""),17.0)</f>
        <v>17</v>
      </c>
      <c r="H1555" s="23" t="str">
        <f>IFERROR(__xludf.DUMMYFUNCTION("""COMPUTED_VALUE"""),"Algorithms")</f>
        <v>Algorithms</v>
      </c>
      <c r="I1555" s="23">
        <f>IFERROR(__xludf.DUMMYFUNCTION("""COMPUTED_VALUE"""),0.564)</f>
        <v>0.564</v>
      </c>
      <c r="J1555" s="23">
        <f>IFERROR(__xludf.DUMMYFUNCTION("""COMPUTED_VALUE"""),1554.0)</f>
        <v>1554</v>
      </c>
      <c r="K1555" s="23" t="b">
        <f>IFERROR(__xludf.DUMMYFUNCTION("""COMPUTED_VALUE"""),TRUE)</f>
        <v>1</v>
      </c>
      <c r="L1555" s="23" t="str">
        <f>IFERROR(__xludf.DUMMYFUNCTION("""COMPUTED_VALUE"""),"Hash Table;String;Rolling Hash;Hash Function;")</f>
        <v>Hash Table;String;Rolling Hash;Hash Function;</v>
      </c>
      <c r="M1555" s="23" t="b">
        <f>IFERROR(__xludf.DUMMYFUNCTION("""COMPUTED_VALUE"""),FALSE)</f>
        <v>0</v>
      </c>
      <c r="N1555" s="23" t="b">
        <f>IFERROR(__xludf.DUMMYFUNCTION("""COMPUTED_VALUE"""),FALSE)</f>
        <v>0</v>
      </c>
      <c r="O1555" s="23">
        <f>IFERROR(__xludf.DUMMYFUNCTION("""COMPUTED_VALUE"""),56.3745186673363)</f>
        <v>56.37451867</v>
      </c>
      <c r="P1555" s="23">
        <f>IFERROR(__xludf.DUMMYFUNCTION("""COMPUTED_VALUE"""),13469.0)</f>
        <v>13469</v>
      </c>
      <c r="Q1555" s="23">
        <f>IFERROR(__xludf.DUMMYFUNCTION("""COMPUTED_VALUE"""),23885.0)</f>
        <v>23885</v>
      </c>
    </row>
    <row r="1556">
      <c r="A1556" s="23">
        <f>IFERROR(__xludf.DUMMYFUNCTION("""COMPUTED_VALUE"""),1702.0)</f>
        <v>1702</v>
      </c>
      <c r="B1556" s="23" t="str">
        <f>IFERROR(__xludf.DUMMYFUNCTION("""COMPUTED_VALUE"""),"Bank Account Summary")</f>
        <v>Bank Account Summary</v>
      </c>
      <c r="C1556" s="23" t="str">
        <f>IFERROR(__xludf.DUMMYFUNCTION("""COMPUTED_VALUE"""),"bank-account-summary")</f>
        <v>bank-account-summary</v>
      </c>
      <c r="D1556" s="23" t="b">
        <f>IFERROR(__xludf.DUMMYFUNCTION("""COMPUTED_VALUE"""),TRUE)</f>
        <v>1</v>
      </c>
      <c r="E1556" s="23" t="str">
        <f>IFERROR(__xludf.DUMMYFUNCTION("""COMPUTED_VALUE"""),"Medium")</f>
        <v>Medium</v>
      </c>
      <c r="F1556" s="23">
        <f>IFERROR(__xludf.DUMMYFUNCTION("""COMPUTED_VALUE"""),90.0)</f>
        <v>90</v>
      </c>
      <c r="G1556" s="23">
        <f>IFERROR(__xludf.DUMMYFUNCTION("""COMPUTED_VALUE"""),21.0)</f>
        <v>21</v>
      </c>
      <c r="H1556" s="23" t="str">
        <f>IFERROR(__xludf.DUMMYFUNCTION("""COMPUTED_VALUE"""),"Database")</f>
        <v>Database</v>
      </c>
      <c r="I1556" s="23">
        <f>IFERROR(__xludf.DUMMYFUNCTION("""COMPUTED_VALUE"""),0.534)</f>
        <v>0.534</v>
      </c>
      <c r="J1556" s="23">
        <f>IFERROR(__xludf.DUMMYFUNCTION("""COMPUTED_VALUE"""),1555.0)</f>
        <v>1555</v>
      </c>
      <c r="K1556" s="23" t="b">
        <f>IFERROR(__xludf.DUMMYFUNCTION("""COMPUTED_VALUE"""),TRUE)</f>
        <v>1</v>
      </c>
      <c r="L1556" s="23" t="str">
        <f>IFERROR(__xludf.DUMMYFUNCTION("""COMPUTED_VALUE"""),"Database;")</f>
        <v>Database;</v>
      </c>
      <c r="M1556" s="23" t="b">
        <f>IFERROR(__xludf.DUMMYFUNCTION("""COMPUTED_VALUE"""),FALSE)</f>
        <v>0</v>
      </c>
      <c r="N1556" s="23" t="b">
        <f>IFERROR(__xludf.DUMMYFUNCTION("""COMPUTED_VALUE"""),FALSE)</f>
        <v>0</v>
      </c>
      <c r="O1556" s="23">
        <f>IFERROR(__xludf.DUMMYFUNCTION("""COMPUTED_VALUE"""),53.351814516129)</f>
        <v>53.35181452</v>
      </c>
      <c r="P1556" s="23">
        <f>IFERROR(__xludf.DUMMYFUNCTION("""COMPUTED_VALUE"""),10585.0)</f>
        <v>10585</v>
      </c>
      <c r="Q1556" s="23">
        <f>IFERROR(__xludf.DUMMYFUNCTION("""COMPUTED_VALUE"""),19840.0)</f>
        <v>19840</v>
      </c>
    </row>
    <row r="1557">
      <c r="A1557" s="23">
        <f>IFERROR(__xludf.DUMMYFUNCTION("""COMPUTED_VALUE"""),1660.0)</f>
        <v>1660</v>
      </c>
      <c r="B1557" s="23" t="str">
        <f>IFERROR(__xludf.DUMMYFUNCTION("""COMPUTED_VALUE"""),"Thousand Separator")</f>
        <v>Thousand Separator</v>
      </c>
      <c r="C1557" s="23" t="str">
        <f>IFERROR(__xludf.DUMMYFUNCTION("""COMPUTED_VALUE"""),"thousand-separator")</f>
        <v>thousand-separator</v>
      </c>
      <c r="D1557" s="23" t="b">
        <f>IFERROR(__xludf.DUMMYFUNCTION("""COMPUTED_VALUE"""),FALSE)</f>
        <v>0</v>
      </c>
      <c r="E1557" s="23" t="str">
        <f>IFERROR(__xludf.DUMMYFUNCTION("""COMPUTED_VALUE"""),"Easy")</f>
        <v>Easy</v>
      </c>
      <c r="F1557" s="23">
        <f>IFERROR(__xludf.DUMMYFUNCTION("""COMPUTED_VALUE"""),331.0)</f>
        <v>331</v>
      </c>
      <c r="G1557" s="23">
        <f>IFERROR(__xludf.DUMMYFUNCTION("""COMPUTED_VALUE"""),15.0)</f>
        <v>15</v>
      </c>
      <c r="H1557" s="23" t="str">
        <f>IFERROR(__xludf.DUMMYFUNCTION("""COMPUTED_VALUE"""),"Algorithms")</f>
        <v>Algorithms</v>
      </c>
      <c r="I1557" s="23">
        <f>IFERROR(__xludf.DUMMYFUNCTION("""COMPUTED_VALUE"""),0.559)</f>
        <v>0.559</v>
      </c>
      <c r="J1557" s="23">
        <f>IFERROR(__xludf.DUMMYFUNCTION("""COMPUTED_VALUE"""),1556.0)</f>
        <v>1556</v>
      </c>
      <c r="K1557" s="23" t="b">
        <f>IFERROR(__xludf.DUMMYFUNCTION("""COMPUTED_VALUE"""),FALSE)</f>
        <v>0</v>
      </c>
      <c r="L1557" s="23" t="str">
        <f>IFERROR(__xludf.DUMMYFUNCTION("""COMPUTED_VALUE"""),"String;")</f>
        <v>String;</v>
      </c>
      <c r="M1557" s="23" t="b">
        <f>IFERROR(__xludf.DUMMYFUNCTION("""COMPUTED_VALUE"""),FALSE)</f>
        <v>0</v>
      </c>
      <c r="N1557" s="23" t="b">
        <f>IFERROR(__xludf.DUMMYFUNCTION("""COMPUTED_VALUE"""),FALSE)</f>
        <v>0</v>
      </c>
      <c r="O1557" s="23">
        <f>IFERROR(__xludf.DUMMYFUNCTION("""COMPUTED_VALUE"""),55.8856256533027)</f>
        <v>55.88562565</v>
      </c>
      <c r="P1557" s="23">
        <f>IFERROR(__xludf.DUMMYFUNCTION("""COMPUTED_VALUE"""),33148.0)</f>
        <v>33148</v>
      </c>
      <c r="Q1557" s="23">
        <f>IFERROR(__xludf.DUMMYFUNCTION("""COMPUTED_VALUE"""),59314.0)</f>
        <v>59314</v>
      </c>
    </row>
    <row r="1558">
      <c r="A1558" s="23">
        <f>IFERROR(__xludf.DUMMYFUNCTION("""COMPUTED_VALUE"""),1661.0)</f>
        <v>1661</v>
      </c>
      <c r="B1558" s="23" t="str">
        <f>IFERROR(__xludf.DUMMYFUNCTION("""COMPUTED_VALUE"""),"Minimum Number of Vertices to Reach All Nodes")</f>
        <v>Minimum Number of Vertices to Reach All Nodes</v>
      </c>
      <c r="C1558" s="23" t="str">
        <f>IFERROR(__xludf.DUMMYFUNCTION("""COMPUTED_VALUE"""),"minimum-number-of-vertices-to-reach-all-nodes")</f>
        <v>minimum-number-of-vertices-to-reach-all-nodes</v>
      </c>
      <c r="D1558" s="23" t="b">
        <f>IFERROR(__xludf.DUMMYFUNCTION("""COMPUTED_VALUE"""),FALSE)</f>
        <v>0</v>
      </c>
      <c r="E1558" s="23" t="str">
        <f>IFERROR(__xludf.DUMMYFUNCTION("""COMPUTED_VALUE"""),"Medium")</f>
        <v>Medium</v>
      </c>
      <c r="F1558" s="23">
        <f>IFERROR(__xludf.DUMMYFUNCTION("""COMPUTED_VALUE"""),1386.0)</f>
        <v>1386</v>
      </c>
      <c r="G1558" s="23">
        <f>IFERROR(__xludf.DUMMYFUNCTION("""COMPUTED_VALUE"""),60.0)</f>
        <v>60</v>
      </c>
      <c r="H1558" s="23" t="str">
        <f>IFERROR(__xludf.DUMMYFUNCTION("""COMPUTED_VALUE"""),"Algorithms")</f>
        <v>Algorithms</v>
      </c>
      <c r="I1558" s="23">
        <f>IFERROR(__xludf.DUMMYFUNCTION("""COMPUTED_VALUE"""),0.786)</f>
        <v>0.786</v>
      </c>
      <c r="J1558" s="23">
        <f>IFERROR(__xludf.DUMMYFUNCTION("""COMPUTED_VALUE"""),1557.0)</f>
        <v>1557</v>
      </c>
      <c r="K1558" s="23" t="b">
        <f>IFERROR(__xludf.DUMMYFUNCTION("""COMPUTED_VALUE"""),FALSE)</f>
        <v>0</v>
      </c>
      <c r="L1558" s="23" t="str">
        <f>IFERROR(__xludf.DUMMYFUNCTION("""COMPUTED_VALUE"""),"Graph;")</f>
        <v>Graph;</v>
      </c>
      <c r="M1558" s="23" t="b">
        <f>IFERROR(__xludf.DUMMYFUNCTION("""COMPUTED_VALUE"""),FALSE)</f>
        <v>0</v>
      </c>
      <c r="N1558" s="23" t="b">
        <f>IFERROR(__xludf.DUMMYFUNCTION("""COMPUTED_VALUE"""),FALSE)</f>
        <v>0</v>
      </c>
      <c r="O1558" s="23">
        <f>IFERROR(__xludf.DUMMYFUNCTION("""COMPUTED_VALUE"""),78.6347781413081)</f>
        <v>78.63477814</v>
      </c>
      <c r="P1558" s="23">
        <f>IFERROR(__xludf.DUMMYFUNCTION("""COMPUTED_VALUE"""),58163.0)</f>
        <v>58163</v>
      </c>
      <c r="Q1558" s="23">
        <f>IFERROR(__xludf.DUMMYFUNCTION("""COMPUTED_VALUE"""),73966.0)</f>
        <v>73966</v>
      </c>
    </row>
    <row r="1559">
      <c r="A1559" s="23">
        <f>IFERROR(__xludf.DUMMYFUNCTION("""COMPUTED_VALUE"""),1662.0)</f>
        <v>1662</v>
      </c>
      <c r="B1559" s="23" t="str">
        <f>IFERROR(__xludf.DUMMYFUNCTION("""COMPUTED_VALUE"""),"Minimum Numbers of Function Calls to Make Target Array")</f>
        <v>Minimum Numbers of Function Calls to Make Target Array</v>
      </c>
      <c r="C1559" s="23" t="str">
        <f>IFERROR(__xludf.DUMMYFUNCTION("""COMPUTED_VALUE"""),"minimum-numbers-of-function-calls-to-make-target-array")</f>
        <v>minimum-numbers-of-function-calls-to-make-target-array</v>
      </c>
      <c r="D1559" s="23" t="b">
        <f>IFERROR(__xludf.DUMMYFUNCTION("""COMPUTED_VALUE"""),FALSE)</f>
        <v>0</v>
      </c>
      <c r="E1559" s="23" t="str">
        <f>IFERROR(__xludf.DUMMYFUNCTION("""COMPUTED_VALUE"""),"Medium")</f>
        <v>Medium</v>
      </c>
      <c r="F1559" s="23">
        <f>IFERROR(__xludf.DUMMYFUNCTION("""COMPUTED_VALUE"""),417.0)</f>
        <v>417</v>
      </c>
      <c r="G1559" s="23">
        <f>IFERROR(__xludf.DUMMYFUNCTION("""COMPUTED_VALUE"""),22.0)</f>
        <v>22</v>
      </c>
      <c r="H1559" s="23" t="str">
        <f>IFERROR(__xludf.DUMMYFUNCTION("""COMPUTED_VALUE"""),"Algorithms")</f>
        <v>Algorithms</v>
      </c>
      <c r="I1559" s="23">
        <f>IFERROR(__xludf.DUMMYFUNCTION("""COMPUTED_VALUE"""),0.64)</f>
        <v>0.64</v>
      </c>
      <c r="J1559" s="23">
        <f>IFERROR(__xludf.DUMMYFUNCTION("""COMPUTED_VALUE"""),1558.0)</f>
        <v>1558</v>
      </c>
      <c r="K1559" s="23" t="b">
        <f>IFERROR(__xludf.DUMMYFUNCTION("""COMPUTED_VALUE"""),FALSE)</f>
        <v>0</v>
      </c>
      <c r="L1559" s="23" t="str">
        <f>IFERROR(__xludf.DUMMYFUNCTION("""COMPUTED_VALUE"""),"Array;Greedy;")</f>
        <v>Array;Greedy;</v>
      </c>
      <c r="M1559" s="23" t="b">
        <f>IFERROR(__xludf.DUMMYFUNCTION("""COMPUTED_VALUE"""),FALSE)</f>
        <v>0</v>
      </c>
      <c r="N1559" s="23" t="b">
        <f>IFERROR(__xludf.DUMMYFUNCTION("""COMPUTED_VALUE"""),FALSE)</f>
        <v>0</v>
      </c>
      <c r="O1559" s="23">
        <f>IFERROR(__xludf.DUMMYFUNCTION("""COMPUTED_VALUE"""),64.0085663895187)</f>
        <v>64.00856639</v>
      </c>
      <c r="P1559" s="23">
        <f>IFERROR(__xludf.DUMMYFUNCTION("""COMPUTED_VALUE"""),15243.0)</f>
        <v>15243</v>
      </c>
      <c r="Q1559" s="23">
        <f>IFERROR(__xludf.DUMMYFUNCTION("""COMPUTED_VALUE"""),23814.0)</f>
        <v>23814</v>
      </c>
    </row>
    <row r="1560">
      <c r="A1560" s="23">
        <f>IFERROR(__xludf.DUMMYFUNCTION("""COMPUTED_VALUE"""),1663.0)</f>
        <v>1663</v>
      </c>
      <c r="B1560" s="23" t="str">
        <f>IFERROR(__xludf.DUMMYFUNCTION("""COMPUTED_VALUE"""),"Detect Cycles in 2D Grid")</f>
        <v>Detect Cycles in 2D Grid</v>
      </c>
      <c r="C1560" s="23" t="str">
        <f>IFERROR(__xludf.DUMMYFUNCTION("""COMPUTED_VALUE"""),"detect-cycles-in-2d-grid")</f>
        <v>detect-cycles-in-2d-grid</v>
      </c>
      <c r="D1560" s="23" t="b">
        <f>IFERROR(__xludf.DUMMYFUNCTION("""COMPUTED_VALUE"""),FALSE)</f>
        <v>0</v>
      </c>
      <c r="E1560" s="23" t="str">
        <f>IFERROR(__xludf.DUMMYFUNCTION("""COMPUTED_VALUE"""),"Medium")</f>
        <v>Medium</v>
      </c>
      <c r="F1560" s="23">
        <f>IFERROR(__xludf.DUMMYFUNCTION("""COMPUTED_VALUE"""),618.0)</f>
        <v>618</v>
      </c>
      <c r="G1560" s="23">
        <f>IFERROR(__xludf.DUMMYFUNCTION("""COMPUTED_VALUE"""),21.0)</f>
        <v>21</v>
      </c>
      <c r="H1560" s="23" t="str">
        <f>IFERROR(__xludf.DUMMYFUNCTION("""COMPUTED_VALUE"""),"Algorithms")</f>
        <v>Algorithms</v>
      </c>
      <c r="I1560" s="23">
        <f>IFERROR(__xludf.DUMMYFUNCTION("""COMPUTED_VALUE"""),0.48)</f>
        <v>0.48</v>
      </c>
      <c r="J1560" s="23">
        <f>IFERROR(__xludf.DUMMYFUNCTION("""COMPUTED_VALUE"""),1559.0)</f>
        <v>1559</v>
      </c>
      <c r="K1560" s="23" t="b">
        <f>IFERROR(__xludf.DUMMYFUNCTION("""COMPUTED_VALUE"""),FALSE)</f>
        <v>0</v>
      </c>
      <c r="L1560" s="23" t="str">
        <f>IFERROR(__xludf.DUMMYFUNCTION("""COMPUTED_VALUE"""),"Array;Depth-First Search;Breadth-First Search;Union Find;Matrix;")</f>
        <v>Array;Depth-First Search;Breadth-First Search;Union Find;Matrix;</v>
      </c>
      <c r="M1560" s="23" t="b">
        <f>IFERROR(__xludf.DUMMYFUNCTION("""COMPUTED_VALUE"""),FALSE)</f>
        <v>0</v>
      </c>
      <c r="N1560" s="23" t="b">
        <f>IFERROR(__xludf.DUMMYFUNCTION("""COMPUTED_VALUE"""),FALSE)</f>
        <v>0</v>
      </c>
      <c r="O1560" s="23">
        <f>IFERROR(__xludf.DUMMYFUNCTION("""COMPUTED_VALUE"""),47.9872515783276)</f>
        <v>47.98725158</v>
      </c>
      <c r="P1560" s="23">
        <f>IFERROR(__xludf.DUMMYFUNCTION("""COMPUTED_VALUE"""),23639.0)</f>
        <v>23639</v>
      </c>
      <c r="Q1560" s="23">
        <f>IFERROR(__xludf.DUMMYFUNCTION("""COMPUTED_VALUE"""),49261.0)</f>
        <v>49261</v>
      </c>
    </row>
    <row r="1561">
      <c r="A1561" s="23">
        <f>IFERROR(__xludf.DUMMYFUNCTION("""COMPUTED_VALUE"""),1682.0)</f>
        <v>1682</v>
      </c>
      <c r="B1561" s="23" t="str">
        <f>IFERROR(__xludf.DUMMYFUNCTION("""COMPUTED_VALUE"""),"Most Visited Sector in  a Circular Track")</f>
        <v>Most Visited Sector in  a Circular Track</v>
      </c>
      <c r="C1561" s="23" t="str">
        <f>IFERROR(__xludf.DUMMYFUNCTION("""COMPUTED_VALUE"""),"most-visited-sector-in-a-circular-track")</f>
        <v>most-visited-sector-in-a-circular-track</v>
      </c>
      <c r="D1561" s="23" t="b">
        <f>IFERROR(__xludf.DUMMYFUNCTION("""COMPUTED_VALUE"""),FALSE)</f>
        <v>0</v>
      </c>
      <c r="E1561" s="23" t="str">
        <f>IFERROR(__xludf.DUMMYFUNCTION("""COMPUTED_VALUE"""),"Easy")</f>
        <v>Easy</v>
      </c>
      <c r="F1561" s="23">
        <f>IFERROR(__xludf.DUMMYFUNCTION("""COMPUTED_VALUE"""),203.0)</f>
        <v>203</v>
      </c>
      <c r="G1561" s="23">
        <f>IFERROR(__xludf.DUMMYFUNCTION("""COMPUTED_VALUE"""),431.0)</f>
        <v>431</v>
      </c>
      <c r="H1561" s="23" t="str">
        <f>IFERROR(__xludf.DUMMYFUNCTION("""COMPUTED_VALUE"""),"Algorithms")</f>
        <v>Algorithms</v>
      </c>
      <c r="I1561" s="23">
        <f>IFERROR(__xludf.DUMMYFUNCTION("""COMPUTED_VALUE"""),0.581)</f>
        <v>0.581</v>
      </c>
      <c r="J1561" s="23">
        <f>IFERROR(__xludf.DUMMYFUNCTION("""COMPUTED_VALUE"""),1560.0)</f>
        <v>1560</v>
      </c>
      <c r="K1561" s="23" t="b">
        <f>IFERROR(__xludf.DUMMYFUNCTION("""COMPUTED_VALUE"""),FALSE)</f>
        <v>0</v>
      </c>
      <c r="L1561" s="23" t="str">
        <f>IFERROR(__xludf.DUMMYFUNCTION("""COMPUTED_VALUE"""),"Array;Simulation;")</f>
        <v>Array;Simulation;</v>
      </c>
      <c r="M1561" s="23" t="b">
        <f>IFERROR(__xludf.DUMMYFUNCTION("""COMPUTED_VALUE"""),FALSE)</f>
        <v>0</v>
      </c>
      <c r="N1561" s="23" t="b">
        <f>IFERROR(__xludf.DUMMYFUNCTION("""COMPUTED_VALUE"""),FALSE)</f>
        <v>0</v>
      </c>
      <c r="O1561" s="23">
        <f>IFERROR(__xludf.DUMMYFUNCTION("""COMPUTED_VALUE"""),58.1254454739843)</f>
        <v>58.12544547</v>
      </c>
      <c r="P1561" s="23">
        <f>IFERROR(__xludf.DUMMYFUNCTION("""COMPUTED_VALUE"""),21203.0)</f>
        <v>21203</v>
      </c>
      <c r="Q1561" s="23">
        <f>IFERROR(__xludf.DUMMYFUNCTION("""COMPUTED_VALUE"""),36478.0)</f>
        <v>36478</v>
      </c>
    </row>
    <row r="1562">
      <c r="A1562" s="23">
        <f>IFERROR(__xludf.DUMMYFUNCTION("""COMPUTED_VALUE"""),1683.0)</f>
        <v>1683</v>
      </c>
      <c r="B1562" s="23" t="str">
        <f>IFERROR(__xludf.DUMMYFUNCTION("""COMPUTED_VALUE"""),"Maximum Number of Coins You Can Get")</f>
        <v>Maximum Number of Coins You Can Get</v>
      </c>
      <c r="C1562" s="23" t="str">
        <f>IFERROR(__xludf.DUMMYFUNCTION("""COMPUTED_VALUE"""),"maximum-number-of-coins-you-can-get")</f>
        <v>maximum-number-of-coins-you-can-get</v>
      </c>
      <c r="D1562" s="23" t="b">
        <f>IFERROR(__xludf.DUMMYFUNCTION("""COMPUTED_VALUE"""),FALSE)</f>
        <v>0</v>
      </c>
      <c r="E1562" s="23" t="str">
        <f>IFERROR(__xludf.DUMMYFUNCTION("""COMPUTED_VALUE"""),"Medium")</f>
        <v>Medium</v>
      </c>
      <c r="F1562" s="23">
        <f>IFERROR(__xludf.DUMMYFUNCTION("""COMPUTED_VALUE"""),630.0)</f>
        <v>630</v>
      </c>
      <c r="G1562" s="23">
        <f>IFERROR(__xludf.DUMMYFUNCTION("""COMPUTED_VALUE"""),90.0)</f>
        <v>90</v>
      </c>
      <c r="H1562" s="23" t="str">
        <f>IFERROR(__xludf.DUMMYFUNCTION("""COMPUTED_VALUE"""),"Algorithms")</f>
        <v>Algorithms</v>
      </c>
      <c r="I1562" s="23">
        <f>IFERROR(__xludf.DUMMYFUNCTION("""COMPUTED_VALUE"""),0.782)</f>
        <v>0.782</v>
      </c>
      <c r="J1562" s="23">
        <f>IFERROR(__xludf.DUMMYFUNCTION("""COMPUTED_VALUE"""),1561.0)</f>
        <v>1561</v>
      </c>
      <c r="K1562" s="23" t="b">
        <f>IFERROR(__xludf.DUMMYFUNCTION("""COMPUTED_VALUE"""),FALSE)</f>
        <v>0</v>
      </c>
      <c r="L1562" s="23" t="str">
        <f>IFERROR(__xludf.DUMMYFUNCTION("""COMPUTED_VALUE"""),"Array;Math;Greedy;Sorting;Game Theory;")</f>
        <v>Array;Math;Greedy;Sorting;Game Theory;</v>
      </c>
      <c r="M1562" s="23" t="b">
        <f>IFERROR(__xludf.DUMMYFUNCTION("""COMPUTED_VALUE"""),FALSE)</f>
        <v>0</v>
      </c>
      <c r="N1562" s="23" t="b">
        <f>IFERROR(__xludf.DUMMYFUNCTION("""COMPUTED_VALUE"""),FALSE)</f>
        <v>0</v>
      </c>
      <c r="O1562" s="23">
        <f>IFERROR(__xludf.DUMMYFUNCTION("""COMPUTED_VALUE"""),78.2384396531039)</f>
        <v>78.23843965</v>
      </c>
      <c r="P1562" s="23">
        <f>IFERROR(__xludf.DUMMYFUNCTION("""COMPUTED_VALUE"""),45648.0)</f>
        <v>45648</v>
      </c>
      <c r="Q1562" s="23">
        <f>IFERROR(__xludf.DUMMYFUNCTION("""COMPUTED_VALUE"""),58345.0)</f>
        <v>58345</v>
      </c>
    </row>
    <row r="1563">
      <c r="A1563" s="23">
        <f>IFERROR(__xludf.DUMMYFUNCTION("""COMPUTED_VALUE"""),1684.0)</f>
        <v>1684</v>
      </c>
      <c r="B1563" s="23" t="str">
        <f>IFERROR(__xludf.DUMMYFUNCTION("""COMPUTED_VALUE"""),"Find Latest Group of Size M")</f>
        <v>Find Latest Group of Size M</v>
      </c>
      <c r="C1563" s="23" t="str">
        <f>IFERROR(__xludf.DUMMYFUNCTION("""COMPUTED_VALUE"""),"find-latest-group-of-size-m")</f>
        <v>find-latest-group-of-size-m</v>
      </c>
      <c r="D1563" s="23" t="b">
        <f>IFERROR(__xludf.DUMMYFUNCTION("""COMPUTED_VALUE"""),FALSE)</f>
        <v>0</v>
      </c>
      <c r="E1563" s="23" t="str">
        <f>IFERROR(__xludf.DUMMYFUNCTION("""COMPUTED_VALUE"""),"Medium")</f>
        <v>Medium</v>
      </c>
      <c r="F1563" s="23">
        <f>IFERROR(__xludf.DUMMYFUNCTION("""COMPUTED_VALUE"""),451.0)</f>
        <v>451</v>
      </c>
      <c r="G1563" s="23">
        <f>IFERROR(__xludf.DUMMYFUNCTION("""COMPUTED_VALUE"""),94.0)</f>
        <v>94</v>
      </c>
      <c r="H1563" s="23" t="str">
        <f>IFERROR(__xludf.DUMMYFUNCTION("""COMPUTED_VALUE"""),"Algorithms")</f>
        <v>Algorithms</v>
      </c>
      <c r="I1563" s="23">
        <f>IFERROR(__xludf.DUMMYFUNCTION("""COMPUTED_VALUE"""),0.407)</f>
        <v>0.407</v>
      </c>
      <c r="J1563" s="23">
        <f>IFERROR(__xludf.DUMMYFUNCTION("""COMPUTED_VALUE"""),1562.0)</f>
        <v>1562</v>
      </c>
      <c r="K1563" s="23" t="b">
        <f>IFERROR(__xludf.DUMMYFUNCTION("""COMPUTED_VALUE"""),FALSE)</f>
        <v>0</v>
      </c>
      <c r="L1563" s="23" t="str">
        <f>IFERROR(__xludf.DUMMYFUNCTION("""COMPUTED_VALUE"""),"Array;Binary Search;Simulation;")</f>
        <v>Array;Binary Search;Simulation;</v>
      </c>
      <c r="M1563" s="23" t="b">
        <f>IFERROR(__xludf.DUMMYFUNCTION("""COMPUTED_VALUE"""),FALSE)</f>
        <v>0</v>
      </c>
      <c r="N1563" s="23" t="b">
        <f>IFERROR(__xludf.DUMMYFUNCTION("""COMPUTED_VALUE"""),FALSE)</f>
        <v>0</v>
      </c>
      <c r="O1563" s="23">
        <f>IFERROR(__xludf.DUMMYFUNCTION("""COMPUTED_VALUE"""),40.6950489217579)</f>
        <v>40.69504892</v>
      </c>
      <c r="P1563" s="23">
        <f>IFERROR(__xludf.DUMMYFUNCTION("""COMPUTED_VALUE"""),12436.0)</f>
        <v>12436</v>
      </c>
      <c r="Q1563" s="23">
        <f>IFERROR(__xludf.DUMMYFUNCTION("""COMPUTED_VALUE"""),30558.0)</f>
        <v>30558</v>
      </c>
    </row>
    <row r="1564">
      <c r="A1564" s="23">
        <f>IFERROR(__xludf.DUMMYFUNCTION("""COMPUTED_VALUE"""),1685.0)</f>
        <v>1685</v>
      </c>
      <c r="B1564" s="23" t="str">
        <f>IFERROR(__xludf.DUMMYFUNCTION("""COMPUTED_VALUE"""),"Stone Game V")</f>
        <v>Stone Game V</v>
      </c>
      <c r="C1564" s="23" t="str">
        <f>IFERROR(__xludf.DUMMYFUNCTION("""COMPUTED_VALUE"""),"stone-game-v")</f>
        <v>stone-game-v</v>
      </c>
      <c r="D1564" s="23" t="b">
        <f>IFERROR(__xludf.DUMMYFUNCTION("""COMPUTED_VALUE"""),FALSE)</f>
        <v>0</v>
      </c>
      <c r="E1564" s="23" t="str">
        <f>IFERROR(__xludf.DUMMYFUNCTION("""COMPUTED_VALUE"""),"Hard")</f>
        <v>Hard</v>
      </c>
      <c r="F1564" s="23">
        <f>IFERROR(__xludf.DUMMYFUNCTION("""COMPUTED_VALUE"""),362.0)</f>
        <v>362</v>
      </c>
      <c r="G1564" s="23">
        <f>IFERROR(__xludf.DUMMYFUNCTION("""COMPUTED_VALUE"""),59.0)</f>
        <v>59</v>
      </c>
      <c r="H1564" s="23" t="str">
        <f>IFERROR(__xludf.DUMMYFUNCTION("""COMPUTED_VALUE"""),"Algorithms")</f>
        <v>Algorithms</v>
      </c>
      <c r="I1564" s="23">
        <f>IFERROR(__xludf.DUMMYFUNCTION("""COMPUTED_VALUE"""),0.409)</f>
        <v>0.409</v>
      </c>
      <c r="J1564" s="23">
        <f>IFERROR(__xludf.DUMMYFUNCTION("""COMPUTED_VALUE"""),1563.0)</f>
        <v>1563</v>
      </c>
      <c r="K1564" s="23" t="b">
        <f>IFERROR(__xludf.DUMMYFUNCTION("""COMPUTED_VALUE"""),FALSE)</f>
        <v>0</v>
      </c>
      <c r="L1564" s="23" t="str">
        <f>IFERROR(__xludf.DUMMYFUNCTION("""COMPUTED_VALUE"""),"Array;Math;Dynamic Programming;Game Theory;")</f>
        <v>Array;Math;Dynamic Programming;Game Theory;</v>
      </c>
      <c r="M1564" s="23" t="b">
        <f>IFERROR(__xludf.DUMMYFUNCTION("""COMPUTED_VALUE"""),FALSE)</f>
        <v>0</v>
      </c>
      <c r="N1564" s="23" t="b">
        <f>IFERROR(__xludf.DUMMYFUNCTION("""COMPUTED_VALUE"""),FALSE)</f>
        <v>0</v>
      </c>
      <c r="O1564" s="23">
        <f>IFERROR(__xludf.DUMMYFUNCTION("""COMPUTED_VALUE"""),40.883835950798)</f>
        <v>40.88383595</v>
      </c>
      <c r="P1564" s="23">
        <f>IFERROR(__xludf.DUMMYFUNCTION("""COMPUTED_VALUE"""),12730.0)</f>
        <v>12730</v>
      </c>
      <c r="Q1564" s="23">
        <f>IFERROR(__xludf.DUMMYFUNCTION("""COMPUTED_VALUE"""),31137.0)</f>
        <v>31137</v>
      </c>
    </row>
    <row r="1565">
      <c r="A1565" s="23">
        <f>IFERROR(__xludf.DUMMYFUNCTION("""COMPUTED_VALUE"""),1703.0)</f>
        <v>1703</v>
      </c>
      <c r="B1565" s="23" t="str">
        <f>IFERROR(__xludf.DUMMYFUNCTION("""COMPUTED_VALUE"""),"Put Boxes Into the Warehouse I")</f>
        <v>Put Boxes Into the Warehouse I</v>
      </c>
      <c r="C1565" s="23" t="str">
        <f>IFERROR(__xludf.DUMMYFUNCTION("""COMPUTED_VALUE"""),"put-boxes-into-the-warehouse-i")</f>
        <v>put-boxes-into-the-warehouse-i</v>
      </c>
      <c r="D1565" s="23" t="b">
        <f>IFERROR(__xludf.DUMMYFUNCTION("""COMPUTED_VALUE"""),TRUE)</f>
        <v>1</v>
      </c>
      <c r="E1565" s="23" t="str">
        <f>IFERROR(__xludf.DUMMYFUNCTION("""COMPUTED_VALUE"""),"Medium")</f>
        <v>Medium</v>
      </c>
      <c r="F1565" s="23">
        <f>IFERROR(__xludf.DUMMYFUNCTION("""COMPUTED_VALUE"""),228.0)</f>
        <v>228</v>
      </c>
      <c r="G1565" s="23">
        <f>IFERROR(__xludf.DUMMYFUNCTION("""COMPUTED_VALUE"""),19.0)</f>
        <v>19</v>
      </c>
      <c r="H1565" s="23" t="str">
        <f>IFERROR(__xludf.DUMMYFUNCTION("""COMPUTED_VALUE"""),"Algorithms")</f>
        <v>Algorithms</v>
      </c>
      <c r="I1565" s="23">
        <f>IFERROR(__xludf.DUMMYFUNCTION("""COMPUTED_VALUE"""),0.645)</f>
        <v>0.645</v>
      </c>
      <c r="J1565" s="23">
        <f>IFERROR(__xludf.DUMMYFUNCTION("""COMPUTED_VALUE"""),1564.0)</f>
        <v>1564</v>
      </c>
      <c r="K1565" s="23" t="b">
        <f>IFERROR(__xludf.DUMMYFUNCTION("""COMPUTED_VALUE"""),TRUE)</f>
        <v>1</v>
      </c>
      <c r="L1565" s="23" t="str">
        <f>IFERROR(__xludf.DUMMYFUNCTION("""COMPUTED_VALUE"""),"Array;Greedy;Sorting;")</f>
        <v>Array;Greedy;Sorting;</v>
      </c>
      <c r="M1565" s="23" t="b">
        <f>IFERROR(__xludf.DUMMYFUNCTION("""COMPUTED_VALUE"""),TRUE)</f>
        <v>1</v>
      </c>
      <c r="N1565" s="23" t="b">
        <f>IFERROR(__xludf.DUMMYFUNCTION("""COMPUTED_VALUE"""),FALSE)</f>
        <v>0</v>
      </c>
      <c r="O1565" s="23">
        <f>IFERROR(__xludf.DUMMYFUNCTION("""COMPUTED_VALUE"""),64.5319269165568)</f>
        <v>64.53192692</v>
      </c>
      <c r="P1565" s="23">
        <f>IFERROR(__xludf.DUMMYFUNCTION("""COMPUTED_VALUE"""),10278.0)</f>
        <v>10278</v>
      </c>
      <c r="Q1565" s="23">
        <f>IFERROR(__xludf.DUMMYFUNCTION("""COMPUTED_VALUE"""),15927.0)</f>
        <v>15927</v>
      </c>
    </row>
    <row r="1566">
      <c r="A1566" s="23">
        <f>IFERROR(__xludf.DUMMYFUNCTION("""COMPUTED_VALUE"""),1712.0)</f>
        <v>1712</v>
      </c>
      <c r="B1566" s="23" t="str">
        <f>IFERROR(__xludf.DUMMYFUNCTION("""COMPUTED_VALUE"""),"Unique Orders and Customers Per Month")</f>
        <v>Unique Orders and Customers Per Month</v>
      </c>
      <c r="C1566" s="23" t="str">
        <f>IFERROR(__xludf.DUMMYFUNCTION("""COMPUTED_VALUE"""),"unique-orders-and-customers-per-month")</f>
        <v>unique-orders-and-customers-per-month</v>
      </c>
      <c r="D1566" s="23" t="b">
        <f>IFERROR(__xludf.DUMMYFUNCTION("""COMPUTED_VALUE"""),TRUE)</f>
        <v>1</v>
      </c>
      <c r="E1566" s="23" t="str">
        <f>IFERROR(__xludf.DUMMYFUNCTION("""COMPUTED_VALUE"""),"Easy")</f>
        <v>Easy</v>
      </c>
      <c r="F1566" s="23">
        <f>IFERROR(__xludf.DUMMYFUNCTION("""COMPUTED_VALUE"""),53.0)</f>
        <v>53</v>
      </c>
      <c r="G1566" s="23">
        <f>IFERROR(__xludf.DUMMYFUNCTION("""COMPUTED_VALUE"""),32.0)</f>
        <v>32</v>
      </c>
      <c r="H1566" s="23" t="str">
        <f>IFERROR(__xludf.DUMMYFUNCTION("""COMPUTED_VALUE"""),"Database")</f>
        <v>Database</v>
      </c>
      <c r="I1566" s="23">
        <f>IFERROR(__xludf.DUMMYFUNCTION("""COMPUTED_VALUE"""),0.832)</f>
        <v>0.832</v>
      </c>
      <c r="J1566" s="23">
        <f>IFERROR(__xludf.DUMMYFUNCTION("""COMPUTED_VALUE"""),1565.0)</f>
        <v>1565</v>
      </c>
      <c r="K1566" s="23" t="b">
        <f>IFERROR(__xludf.DUMMYFUNCTION("""COMPUTED_VALUE"""),TRUE)</f>
        <v>1</v>
      </c>
      <c r="L1566" s="23" t="str">
        <f>IFERROR(__xludf.DUMMYFUNCTION("""COMPUTED_VALUE"""),"Database;")</f>
        <v>Database;</v>
      </c>
      <c r="M1566" s="23" t="b">
        <f>IFERROR(__xludf.DUMMYFUNCTION("""COMPUTED_VALUE"""),FALSE)</f>
        <v>0</v>
      </c>
      <c r="N1566" s="23" t="b">
        <f>IFERROR(__xludf.DUMMYFUNCTION("""COMPUTED_VALUE"""),FALSE)</f>
        <v>0</v>
      </c>
      <c r="O1566" s="23">
        <f>IFERROR(__xludf.DUMMYFUNCTION("""COMPUTED_VALUE"""),83.2355162996106)</f>
        <v>83.2355163</v>
      </c>
      <c r="P1566" s="23">
        <f>IFERROR(__xludf.DUMMYFUNCTION("""COMPUTED_VALUE"""),14324.0)</f>
        <v>14324</v>
      </c>
      <c r="Q1566" s="23">
        <f>IFERROR(__xludf.DUMMYFUNCTION("""COMPUTED_VALUE"""),17209.0)</f>
        <v>17209</v>
      </c>
    </row>
    <row r="1567">
      <c r="A1567" s="23">
        <f>IFERROR(__xludf.DUMMYFUNCTION("""COMPUTED_VALUE"""),1689.0)</f>
        <v>1689</v>
      </c>
      <c r="B1567" s="23" t="str">
        <f>IFERROR(__xludf.DUMMYFUNCTION("""COMPUTED_VALUE"""),"Detect Pattern of Length M Repeated K or More Times")</f>
        <v>Detect Pattern of Length M Repeated K or More Times</v>
      </c>
      <c r="C1567" s="23" t="str">
        <f>IFERROR(__xludf.DUMMYFUNCTION("""COMPUTED_VALUE"""),"detect-pattern-of-length-m-repeated-k-or-more-times")</f>
        <v>detect-pattern-of-length-m-repeated-k-or-more-times</v>
      </c>
      <c r="D1567" s="23" t="b">
        <f>IFERROR(__xludf.DUMMYFUNCTION("""COMPUTED_VALUE"""),FALSE)</f>
        <v>0</v>
      </c>
      <c r="E1567" s="23" t="str">
        <f>IFERROR(__xludf.DUMMYFUNCTION("""COMPUTED_VALUE"""),"Easy")</f>
        <v>Easy</v>
      </c>
      <c r="F1567" s="23">
        <f>IFERROR(__xludf.DUMMYFUNCTION("""COMPUTED_VALUE"""),466.0)</f>
        <v>466</v>
      </c>
      <c r="G1567" s="23">
        <f>IFERROR(__xludf.DUMMYFUNCTION("""COMPUTED_VALUE"""),83.0)</f>
        <v>83</v>
      </c>
      <c r="H1567" s="23" t="str">
        <f>IFERROR(__xludf.DUMMYFUNCTION("""COMPUTED_VALUE"""),"Algorithms")</f>
        <v>Algorithms</v>
      </c>
      <c r="I1567" s="23">
        <f>IFERROR(__xludf.DUMMYFUNCTION("""COMPUTED_VALUE"""),0.435)</f>
        <v>0.435</v>
      </c>
      <c r="J1567" s="23">
        <f>IFERROR(__xludf.DUMMYFUNCTION("""COMPUTED_VALUE"""),1566.0)</f>
        <v>1566</v>
      </c>
      <c r="K1567" s="23" t="b">
        <f>IFERROR(__xludf.DUMMYFUNCTION("""COMPUTED_VALUE"""),FALSE)</f>
        <v>0</v>
      </c>
      <c r="L1567" s="23" t="str">
        <f>IFERROR(__xludf.DUMMYFUNCTION("""COMPUTED_VALUE"""),"Array;Enumeration;")</f>
        <v>Array;Enumeration;</v>
      </c>
      <c r="M1567" s="23" t="b">
        <f>IFERROR(__xludf.DUMMYFUNCTION("""COMPUTED_VALUE"""),FALSE)</f>
        <v>0</v>
      </c>
      <c r="N1567" s="23" t="b">
        <f>IFERROR(__xludf.DUMMYFUNCTION("""COMPUTED_VALUE"""),FALSE)</f>
        <v>0</v>
      </c>
      <c r="O1567" s="23">
        <f>IFERROR(__xludf.DUMMYFUNCTION("""COMPUTED_VALUE"""),43.5240936624175)</f>
        <v>43.52409366</v>
      </c>
      <c r="P1567" s="23">
        <f>IFERROR(__xludf.DUMMYFUNCTION("""COMPUTED_VALUE"""),24071.0)</f>
        <v>24071</v>
      </c>
      <c r="Q1567" s="23">
        <f>IFERROR(__xludf.DUMMYFUNCTION("""COMPUTED_VALUE"""),55305.0)</f>
        <v>55305</v>
      </c>
    </row>
    <row r="1568">
      <c r="A1568" s="23">
        <f>IFERROR(__xludf.DUMMYFUNCTION("""COMPUTED_VALUE"""),1690.0)</f>
        <v>1690</v>
      </c>
      <c r="B1568" s="23" t="str">
        <f>IFERROR(__xludf.DUMMYFUNCTION("""COMPUTED_VALUE"""),"Maximum Length of Subarray With Positive Product")</f>
        <v>Maximum Length of Subarray With Positive Product</v>
      </c>
      <c r="C1568" s="23" t="str">
        <f>IFERROR(__xludf.DUMMYFUNCTION("""COMPUTED_VALUE"""),"maximum-length-of-subarray-with-positive-product")</f>
        <v>maximum-length-of-subarray-with-positive-product</v>
      </c>
      <c r="D1568" s="23" t="b">
        <f>IFERROR(__xludf.DUMMYFUNCTION("""COMPUTED_VALUE"""),FALSE)</f>
        <v>0</v>
      </c>
      <c r="E1568" s="23" t="str">
        <f>IFERROR(__xludf.DUMMYFUNCTION("""COMPUTED_VALUE"""),"Medium")</f>
        <v>Medium</v>
      </c>
      <c r="F1568" s="23">
        <f>IFERROR(__xludf.DUMMYFUNCTION("""COMPUTED_VALUE"""),1339.0)</f>
        <v>1339</v>
      </c>
      <c r="G1568" s="23">
        <f>IFERROR(__xludf.DUMMYFUNCTION("""COMPUTED_VALUE"""),23.0)</f>
        <v>23</v>
      </c>
      <c r="H1568" s="23" t="str">
        <f>IFERROR(__xludf.DUMMYFUNCTION("""COMPUTED_VALUE"""),"Algorithms")</f>
        <v>Algorithms</v>
      </c>
      <c r="I1568" s="23">
        <f>IFERROR(__xludf.DUMMYFUNCTION("""COMPUTED_VALUE"""),0.429)</f>
        <v>0.429</v>
      </c>
      <c r="J1568" s="23">
        <f>IFERROR(__xludf.DUMMYFUNCTION("""COMPUTED_VALUE"""),1567.0)</f>
        <v>1567</v>
      </c>
      <c r="K1568" s="23" t="b">
        <f>IFERROR(__xludf.DUMMYFUNCTION("""COMPUTED_VALUE"""),FALSE)</f>
        <v>0</v>
      </c>
      <c r="L1568" s="23" t="str">
        <f>IFERROR(__xludf.DUMMYFUNCTION("""COMPUTED_VALUE"""),"Array;Dynamic Programming;Greedy;")</f>
        <v>Array;Dynamic Programming;Greedy;</v>
      </c>
      <c r="M1568" s="23" t="b">
        <f>IFERROR(__xludf.DUMMYFUNCTION("""COMPUTED_VALUE"""),FALSE)</f>
        <v>0</v>
      </c>
      <c r="N1568" s="23" t="b">
        <f>IFERROR(__xludf.DUMMYFUNCTION("""COMPUTED_VALUE"""),FALSE)</f>
        <v>0</v>
      </c>
      <c r="O1568" s="23">
        <f>IFERROR(__xludf.DUMMYFUNCTION("""COMPUTED_VALUE"""),42.947746273237)</f>
        <v>42.94774627</v>
      </c>
      <c r="P1568" s="23">
        <f>IFERROR(__xludf.DUMMYFUNCTION("""COMPUTED_VALUE"""),46183.0)</f>
        <v>46183</v>
      </c>
      <c r="Q1568" s="23">
        <f>IFERROR(__xludf.DUMMYFUNCTION("""COMPUTED_VALUE"""),107533.0)</f>
        <v>107533</v>
      </c>
    </row>
    <row r="1569">
      <c r="A1569" s="23">
        <f>IFERROR(__xludf.DUMMYFUNCTION("""COMPUTED_VALUE"""),1691.0)</f>
        <v>1691</v>
      </c>
      <c r="B1569" s="23" t="str">
        <f>IFERROR(__xludf.DUMMYFUNCTION("""COMPUTED_VALUE"""),"Minimum Number of Days to Disconnect Island")</f>
        <v>Minimum Number of Days to Disconnect Island</v>
      </c>
      <c r="C1569" s="23" t="str">
        <f>IFERROR(__xludf.DUMMYFUNCTION("""COMPUTED_VALUE"""),"minimum-number-of-days-to-disconnect-island")</f>
        <v>minimum-number-of-days-to-disconnect-island</v>
      </c>
      <c r="D1569" s="23" t="b">
        <f>IFERROR(__xludf.DUMMYFUNCTION("""COMPUTED_VALUE"""),FALSE)</f>
        <v>0</v>
      </c>
      <c r="E1569" s="23" t="str">
        <f>IFERROR(__xludf.DUMMYFUNCTION("""COMPUTED_VALUE"""),"Hard")</f>
        <v>Hard</v>
      </c>
      <c r="F1569" s="23">
        <f>IFERROR(__xludf.DUMMYFUNCTION("""COMPUTED_VALUE"""),385.0)</f>
        <v>385</v>
      </c>
      <c r="G1569" s="23">
        <f>IFERROR(__xludf.DUMMYFUNCTION("""COMPUTED_VALUE"""),121.0)</f>
        <v>121</v>
      </c>
      <c r="H1569" s="23" t="str">
        <f>IFERROR(__xludf.DUMMYFUNCTION("""COMPUTED_VALUE"""),"Algorithms")</f>
        <v>Algorithms</v>
      </c>
      <c r="I1569" s="23">
        <f>IFERROR(__xludf.DUMMYFUNCTION("""COMPUTED_VALUE"""),0.486)</f>
        <v>0.486</v>
      </c>
      <c r="J1569" s="23">
        <f>IFERROR(__xludf.DUMMYFUNCTION("""COMPUTED_VALUE"""),1568.0)</f>
        <v>1568</v>
      </c>
      <c r="K1569" s="23" t="b">
        <f>IFERROR(__xludf.DUMMYFUNCTION("""COMPUTED_VALUE"""),FALSE)</f>
        <v>0</v>
      </c>
      <c r="L1569" s="23" t="str">
        <f>IFERROR(__xludf.DUMMYFUNCTION("""COMPUTED_VALUE"""),"Array;Depth-First Search;Breadth-First Search;Matrix;Strongly Connected Component;")</f>
        <v>Array;Depth-First Search;Breadth-First Search;Matrix;Strongly Connected Component;</v>
      </c>
      <c r="M1569" s="23" t="b">
        <f>IFERROR(__xludf.DUMMYFUNCTION("""COMPUTED_VALUE"""),FALSE)</f>
        <v>0</v>
      </c>
      <c r="N1569" s="23" t="b">
        <f>IFERROR(__xludf.DUMMYFUNCTION("""COMPUTED_VALUE"""),FALSE)</f>
        <v>0</v>
      </c>
      <c r="O1569" s="23">
        <f>IFERROR(__xludf.DUMMYFUNCTION("""COMPUTED_VALUE"""),48.5856515373352)</f>
        <v>48.58565154</v>
      </c>
      <c r="P1569" s="23">
        <f>IFERROR(__xludf.DUMMYFUNCTION("""COMPUTED_VALUE"""),8296.0)</f>
        <v>8296</v>
      </c>
      <c r="Q1569" s="23">
        <f>IFERROR(__xludf.DUMMYFUNCTION("""COMPUTED_VALUE"""),17075.0)</f>
        <v>17075</v>
      </c>
    </row>
    <row r="1570">
      <c r="A1570" s="23">
        <f>IFERROR(__xludf.DUMMYFUNCTION("""COMPUTED_VALUE"""),1692.0)</f>
        <v>1692</v>
      </c>
      <c r="B1570" s="23" t="str">
        <f>IFERROR(__xludf.DUMMYFUNCTION("""COMPUTED_VALUE"""),"Number of Ways to Reorder Array to Get Same BST")</f>
        <v>Number of Ways to Reorder Array to Get Same BST</v>
      </c>
      <c r="C1570" s="23" t="str">
        <f>IFERROR(__xludf.DUMMYFUNCTION("""COMPUTED_VALUE"""),"number-of-ways-to-reorder-array-to-get-same-bst")</f>
        <v>number-of-ways-to-reorder-array-to-get-same-bst</v>
      </c>
      <c r="D1570" s="23" t="b">
        <f>IFERROR(__xludf.DUMMYFUNCTION("""COMPUTED_VALUE"""),FALSE)</f>
        <v>0</v>
      </c>
      <c r="E1570" s="23" t="str">
        <f>IFERROR(__xludf.DUMMYFUNCTION("""COMPUTED_VALUE"""),"Hard")</f>
        <v>Hard</v>
      </c>
      <c r="F1570" s="23">
        <f>IFERROR(__xludf.DUMMYFUNCTION("""COMPUTED_VALUE"""),405.0)</f>
        <v>405</v>
      </c>
      <c r="G1570" s="23">
        <f>IFERROR(__xludf.DUMMYFUNCTION("""COMPUTED_VALUE"""),43.0)</f>
        <v>43</v>
      </c>
      <c r="H1570" s="23" t="str">
        <f>IFERROR(__xludf.DUMMYFUNCTION("""COMPUTED_VALUE"""),"Algorithms")</f>
        <v>Algorithms</v>
      </c>
      <c r="I1570" s="23">
        <f>IFERROR(__xludf.DUMMYFUNCTION("""COMPUTED_VALUE"""),0.492)</f>
        <v>0.492</v>
      </c>
      <c r="J1570" s="23">
        <f>IFERROR(__xludf.DUMMYFUNCTION("""COMPUTED_VALUE"""),1569.0)</f>
        <v>1569</v>
      </c>
      <c r="K1570" s="23" t="b">
        <f>IFERROR(__xludf.DUMMYFUNCTION("""COMPUTED_VALUE"""),FALSE)</f>
        <v>0</v>
      </c>
      <c r="L1570" s="23" t="str">
        <f>IFERROR(__xludf.DUMMYFUNCTION("""COMPUTED_VALUE"""),"Array;Math;Divide and Conquer;Dynamic Programming;Tree;Union Find;Binary Search Tree;Memoization;Combinatorics;Binary Tree;")</f>
        <v>Array;Math;Divide and Conquer;Dynamic Programming;Tree;Union Find;Binary Search Tree;Memoization;Combinatorics;Binary Tree;</v>
      </c>
      <c r="M1570" s="23" t="b">
        <f>IFERROR(__xludf.DUMMYFUNCTION("""COMPUTED_VALUE"""),FALSE)</f>
        <v>0</v>
      </c>
      <c r="N1570" s="23" t="b">
        <f>IFERROR(__xludf.DUMMYFUNCTION("""COMPUTED_VALUE"""),FALSE)</f>
        <v>0</v>
      </c>
      <c r="O1570" s="23">
        <f>IFERROR(__xludf.DUMMYFUNCTION("""COMPUTED_VALUE"""),49.155273691324)</f>
        <v>49.15527369</v>
      </c>
      <c r="P1570" s="23">
        <f>IFERROR(__xludf.DUMMYFUNCTION("""COMPUTED_VALUE"""),9456.0)</f>
        <v>9456</v>
      </c>
      <c r="Q1570" s="23">
        <f>IFERROR(__xludf.DUMMYFUNCTION("""COMPUTED_VALUE"""),19237.0)</f>
        <v>19237</v>
      </c>
    </row>
    <row r="1571">
      <c r="A1571" s="23">
        <f>IFERROR(__xludf.DUMMYFUNCTION("""COMPUTED_VALUE"""),1713.0)</f>
        <v>1713</v>
      </c>
      <c r="B1571" s="23" t="str">
        <f>IFERROR(__xludf.DUMMYFUNCTION("""COMPUTED_VALUE"""),"Dot Product of Two Sparse Vectors")</f>
        <v>Dot Product of Two Sparse Vectors</v>
      </c>
      <c r="C1571" s="23" t="str">
        <f>IFERROR(__xludf.DUMMYFUNCTION("""COMPUTED_VALUE"""),"dot-product-of-two-sparse-vectors")</f>
        <v>dot-product-of-two-sparse-vectors</v>
      </c>
      <c r="D1571" s="23" t="b">
        <f>IFERROR(__xludf.DUMMYFUNCTION("""COMPUTED_VALUE"""),TRUE)</f>
        <v>1</v>
      </c>
      <c r="E1571" s="23" t="str">
        <f>IFERROR(__xludf.DUMMYFUNCTION("""COMPUTED_VALUE"""),"Medium")</f>
        <v>Medium</v>
      </c>
      <c r="F1571" s="23">
        <f>IFERROR(__xludf.DUMMYFUNCTION("""COMPUTED_VALUE"""),817.0)</f>
        <v>817</v>
      </c>
      <c r="G1571" s="23">
        <f>IFERROR(__xludf.DUMMYFUNCTION("""COMPUTED_VALUE"""),99.0)</f>
        <v>99</v>
      </c>
      <c r="H1571" s="23" t="str">
        <f>IFERROR(__xludf.DUMMYFUNCTION("""COMPUTED_VALUE"""),"Algorithms")</f>
        <v>Algorithms</v>
      </c>
      <c r="I1571" s="23">
        <f>IFERROR(__xludf.DUMMYFUNCTION("""COMPUTED_VALUE"""),0.903)</f>
        <v>0.903</v>
      </c>
      <c r="J1571" s="23">
        <f>IFERROR(__xludf.DUMMYFUNCTION("""COMPUTED_VALUE"""),1570.0)</f>
        <v>1570</v>
      </c>
      <c r="K1571" s="23" t="b">
        <f>IFERROR(__xludf.DUMMYFUNCTION("""COMPUTED_VALUE"""),TRUE)</f>
        <v>1</v>
      </c>
      <c r="L1571" s="23" t="str">
        <f>IFERROR(__xludf.DUMMYFUNCTION("""COMPUTED_VALUE"""),"Array;Hash Table;Two Pointers;Design;")</f>
        <v>Array;Hash Table;Two Pointers;Design;</v>
      </c>
      <c r="M1571" s="23" t="b">
        <f>IFERROR(__xludf.DUMMYFUNCTION("""COMPUTED_VALUE"""),TRUE)</f>
        <v>1</v>
      </c>
      <c r="N1571" s="23" t="b">
        <f>IFERROR(__xludf.DUMMYFUNCTION("""COMPUTED_VALUE"""),FALSE)</f>
        <v>0</v>
      </c>
      <c r="O1571" s="23">
        <f>IFERROR(__xludf.DUMMYFUNCTION("""COMPUTED_VALUE"""),90.3121481296134)</f>
        <v>90.31214813</v>
      </c>
      <c r="P1571" s="23">
        <f>IFERROR(__xludf.DUMMYFUNCTION("""COMPUTED_VALUE"""),144372.0)</f>
        <v>144372</v>
      </c>
      <c r="Q1571" s="23">
        <f>IFERROR(__xludf.DUMMYFUNCTION("""COMPUTED_VALUE"""),159858.0)</f>
        <v>159858</v>
      </c>
    </row>
    <row r="1572">
      <c r="A1572" s="23">
        <f>IFERROR(__xludf.DUMMYFUNCTION("""COMPUTED_VALUE"""),1718.0)</f>
        <v>1718</v>
      </c>
      <c r="B1572" s="23" t="str">
        <f>IFERROR(__xludf.DUMMYFUNCTION("""COMPUTED_VALUE"""),"Warehouse Manager")</f>
        <v>Warehouse Manager</v>
      </c>
      <c r="C1572" s="23" t="str">
        <f>IFERROR(__xludf.DUMMYFUNCTION("""COMPUTED_VALUE"""),"warehouse-manager")</f>
        <v>warehouse-manager</v>
      </c>
      <c r="D1572" s="23" t="b">
        <f>IFERROR(__xludf.DUMMYFUNCTION("""COMPUTED_VALUE"""),TRUE)</f>
        <v>1</v>
      </c>
      <c r="E1572" s="23" t="str">
        <f>IFERROR(__xludf.DUMMYFUNCTION("""COMPUTED_VALUE"""),"Easy")</f>
        <v>Easy</v>
      </c>
      <c r="F1572" s="23">
        <f>IFERROR(__xludf.DUMMYFUNCTION("""COMPUTED_VALUE"""),86.0)</f>
        <v>86</v>
      </c>
      <c r="G1572" s="23">
        <f>IFERROR(__xludf.DUMMYFUNCTION("""COMPUTED_VALUE"""),8.0)</f>
        <v>8</v>
      </c>
      <c r="H1572" s="23" t="str">
        <f>IFERROR(__xludf.DUMMYFUNCTION("""COMPUTED_VALUE"""),"Database")</f>
        <v>Database</v>
      </c>
      <c r="I1572" s="23">
        <f>IFERROR(__xludf.DUMMYFUNCTION("""COMPUTED_VALUE"""),0.898)</f>
        <v>0.898</v>
      </c>
      <c r="J1572" s="23">
        <f>IFERROR(__xludf.DUMMYFUNCTION("""COMPUTED_VALUE"""),1571.0)</f>
        <v>1571</v>
      </c>
      <c r="K1572" s="23" t="b">
        <f>IFERROR(__xludf.DUMMYFUNCTION("""COMPUTED_VALUE"""),TRUE)</f>
        <v>1</v>
      </c>
      <c r="L1572" s="23" t="str">
        <f>IFERROR(__xludf.DUMMYFUNCTION("""COMPUTED_VALUE"""),"Database;")</f>
        <v>Database;</v>
      </c>
      <c r="M1572" s="23" t="b">
        <f>IFERROR(__xludf.DUMMYFUNCTION("""COMPUTED_VALUE"""),FALSE)</f>
        <v>0</v>
      </c>
      <c r="N1572" s="23" t="b">
        <f>IFERROR(__xludf.DUMMYFUNCTION("""COMPUTED_VALUE"""),FALSE)</f>
        <v>0</v>
      </c>
      <c r="O1572" s="23">
        <f>IFERROR(__xludf.DUMMYFUNCTION("""COMPUTED_VALUE"""),89.8226918599444)</f>
        <v>89.82269186</v>
      </c>
      <c r="P1572" s="23">
        <f>IFERROR(__xludf.DUMMYFUNCTION("""COMPUTED_VALUE"""),20061.0)</f>
        <v>20061</v>
      </c>
      <c r="Q1572" s="23">
        <f>IFERROR(__xludf.DUMMYFUNCTION("""COMPUTED_VALUE"""),22334.0)</f>
        <v>22334</v>
      </c>
    </row>
    <row r="1573">
      <c r="A1573" s="23">
        <f>IFERROR(__xludf.DUMMYFUNCTION("""COMPUTED_VALUE"""),1677.0)</f>
        <v>1677</v>
      </c>
      <c r="B1573" s="23" t="str">
        <f>IFERROR(__xludf.DUMMYFUNCTION("""COMPUTED_VALUE"""),"Matrix Diagonal Sum")</f>
        <v>Matrix Diagonal Sum</v>
      </c>
      <c r="C1573" s="23" t="str">
        <f>IFERROR(__xludf.DUMMYFUNCTION("""COMPUTED_VALUE"""),"matrix-diagonal-sum")</f>
        <v>matrix-diagonal-sum</v>
      </c>
      <c r="D1573" s="23" t="b">
        <f>IFERROR(__xludf.DUMMYFUNCTION("""COMPUTED_VALUE"""),FALSE)</f>
        <v>0</v>
      </c>
      <c r="E1573" s="23" t="str">
        <f>IFERROR(__xludf.DUMMYFUNCTION("""COMPUTED_VALUE"""),"Easy")</f>
        <v>Easy</v>
      </c>
      <c r="F1573" s="23">
        <f>IFERROR(__xludf.DUMMYFUNCTION("""COMPUTED_VALUE"""),1077.0)</f>
        <v>1077</v>
      </c>
      <c r="G1573" s="23">
        <f>IFERROR(__xludf.DUMMYFUNCTION("""COMPUTED_VALUE"""),20.0)</f>
        <v>20</v>
      </c>
      <c r="H1573" s="23" t="str">
        <f>IFERROR(__xludf.DUMMYFUNCTION("""COMPUTED_VALUE"""),"Algorithms")</f>
        <v>Algorithms</v>
      </c>
      <c r="I1573" s="23">
        <f>IFERROR(__xludf.DUMMYFUNCTION("""COMPUTED_VALUE"""),0.791)</f>
        <v>0.791</v>
      </c>
      <c r="J1573" s="23">
        <f>IFERROR(__xludf.DUMMYFUNCTION("""COMPUTED_VALUE"""),1572.0)</f>
        <v>1572</v>
      </c>
      <c r="K1573" s="23" t="b">
        <f>IFERROR(__xludf.DUMMYFUNCTION("""COMPUTED_VALUE"""),FALSE)</f>
        <v>0</v>
      </c>
      <c r="L1573" s="23" t="str">
        <f>IFERROR(__xludf.DUMMYFUNCTION("""COMPUTED_VALUE"""),"Array;Matrix;")</f>
        <v>Array;Matrix;</v>
      </c>
      <c r="M1573" s="23" t="b">
        <f>IFERROR(__xludf.DUMMYFUNCTION("""COMPUTED_VALUE"""),FALSE)</f>
        <v>0</v>
      </c>
      <c r="N1573" s="23" t="b">
        <f>IFERROR(__xludf.DUMMYFUNCTION("""COMPUTED_VALUE"""),FALSE)</f>
        <v>0</v>
      </c>
      <c r="O1573" s="23">
        <f>IFERROR(__xludf.DUMMYFUNCTION("""COMPUTED_VALUE"""),79.1048114073308)</f>
        <v>79.10481141</v>
      </c>
      <c r="P1573" s="23">
        <f>IFERROR(__xludf.DUMMYFUNCTION("""COMPUTED_VALUE"""),102576.0)</f>
        <v>102576</v>
      </c>
      <c r="Q1573" s="23">
        <f>IFERROR(__xludf.DUMMYFUNCTION("""COMPUTED_VALUE"""),129671.0)</f>
        <v>129671</v>
      </c>
    </row>
    <row r="1574">
      <c r="A1574" s="23">
        <f>IFERROR(__xludf.DUMMYFUNCTION("""COMPUTED_VALUE"""),1678.0)</f>
        <v>1678</v>
      </c>
      <c r="B1574" s="23" t="str">
        <f>IFERROR(__xludf.DUMMYFUNCTION("""COMPUTED_VALUE"""),"Number of Ways to Split a String")</f>
        <v>Number of Ways to Split a String</v>
      </c>
      <c r="C1574" s="23" t="str">
        <f>IFERROR(__xludf.DUMMYFUNCTION("""COMPUTED_VALUE"""),"number-of-ways-to-split-a-string")</f>
        <v>number-of-ways-to-split-a-string</v>
      </c>
      <c r="D1574" s="23" t="b">
        <f>IFERROR(__xludf.DUMMYFUNCTION("""COMPUTED_VALUE"""),FALSE)</f>
        <v>0</v>
      </c>
      <c r="E1574" s="23" t="str">
        <f>IFERROR(__xludf.DUMMYFUNCTION("""COMPUTED_VALUE"""),"Medium")</f>
        <v>Medium</v>
      </c>
      <c r="F1574" s="23">
        <f>IFERROR(__xludf.DUMMYFUNCTION("""COMPUTED_VALUE"""),449.0)</f>
        <v>449</v>
      </c>
      <c r="G1574" s="23">
        <f>IFERROR(__xludf.DUMMYFUNCTION("""COMPUTED_VALUE"""),56.0)</f>
        <v>56</v>
      </c>
      <c r="H1574" s="23" t="str">
        <f>IFERROR(__xludf.DUMMYFUNCTION("""COMPUTED_VALUE"""),"Algorithms")</f>
        <v>Algorithms</v>
      </c>
      <c r="I1574" s="23">
        <f>IFERROR(__xludf.DUMMYFUNCTION("""COMPUTED_VALUE"""),0.32)</f>
        <v>0.32</v>
      </c>
      <c r="J1574" s="23">
        <f>IFERROR(__xludf.DUMMYFUNCTION("""COMPUTED_VALUE"""),1573.0)</f>
        <v>1573</v>
      </c>
      <c r="K1574" s="23" t="b">
        <f>IFERROR(__xludf.DUMMYFUNCTION("""COMPUTED_VALUE"""),FALSE)</f>
        <v>0</v>
      </c>
      <c r="L1574" s="23" t="str">
        <f>IFERROR(__xludf.DUMMYFUNCTION("""COMPUTED_VALUE"""),"Math;String;")</f>
        <v>Math;String;</v>
      </c>
      <c r="M1574" s="23" t="b">
        <f>IFERROR(__xludf.DUMMYFUNCTION("""COMPUTED_VALUE"""),FALSE)</f>
        <v>0</v>
      </c>
      <c r="N1574" s="23" t="b">
        <f>IFERROR(__xludf.DUMMYFUNCTION("""COMPUTED_VALUE"""),FALSE)</f>
        <v>0</v>
      </c>
      <c r="O1574" s="23">
        <f>IFERROR(__xludf.DUMMYFUNCTION("""COMPUTED_VALUE"""),32.0454281302405)</f>
        <v>32.04542813</v>
      </c>
      <c r="P1574" s="23">
        <f>IFERROR(__xludf.DUMMYFUNCTION("""COMPUTED_VALUE"""),19300.0)</f>
        <v>19300</v>
      </c>
      <c r="Q1574" s="23">
        <f>IFERROR(__xludf.DUMMYFUNCTION("""COMPUTED_VALUE"""),60227.0)</f>
        <v>60227</v>
      </c>
    </row>
    <row r="1575">
      <c r="A1575" s="23">
        <f>IFERROR(__xludf.DUMMYFUNCTION("""COMPUTED_VALUE"""),1679.0)</f>
        <v>1679</v>
      </c>
      <c r="B1575" s="23" t="str">
        <f>IFERROR(__xludf.DUMMYFUNCTION("""COMPUTED_VALUE"""),"Shortest Subarray to be Removed to Make Array Sorted")</f>
        <v>Shortest Subarray to be Removed to Make Array Sorted</v>
      </c>
      <c r="C1575" s="23" t="str">
        <f>IFERROR(__xludf.DUMMYFUNCTION("""COMPUTED_VALUE"""),"shortest-subarray-to-be-removed-to-make-array-sorted")</f>
        <v>shortest-subarray-to-be-removed-to-make-array-sorted</v>
      </c>
      <c r="D1575" s="23" t="b">
        <f>IFERROR(__xludf.DUMMYFUNCTION("""COMPUTED_VALUE"""),FALSE)</f>
        <v>0</v>
      </c>
      <c r="E1575" s="23" t="str">
        <f>IFERROR(__xludf.DUMMYFUNCTION("""COMPUTED_VALUE"""),"Medium")</f>
        <v>Medium</v>
      </c>
      <c r="F1575" s="23">
        <f>IFERROR(__xludf.DUMMYFUNCTION("""COMPUTED_VALUE"""),986.0)</f>
        <v>986</v>
      </c>
      <c r="G1575" s="23">
        <f>IFERROR(__xludf.DUMMYFUNCTION("""COMPUTED_VALUE"""),30.0)</f>
        <v>30</v>
      </c>
      <c r="H1575" s="23" t="str">
        <f>IFERROR(__xludf.DUMMYFUNCTION("""COMPUTED_VALUE"""),"Algorithms")</f>
        <v>Algorithms</v>
      </c>
      <c r="I1575" s="23">
        <f>IFERROR(__xludf.DUMMYFUNCTION("""COMPUTED_VALUE"""),0.355)</f>
        <v>0.355</v>
      </c>
      <c r="J1575" s="23">
        <f>IFERROR(__xludf.DUMMYFUNCTION("""COMPUTED_VALUE"""),1574.0)</f>
        <v>1574</v>
      </c>
      <c r="K1575" s="23" t="b">
        <f>IFERROR(__xludf.DUMMYFUNCTION("""COMPUTED_VALUE"""),FALSE)</f>
        <v>0</v>
      </c>
      <c r="L1575" s="23" t="str">
        <f>IFERROR(__xludf.DUMMYFUNCTION("""COMPUTED_VALUE"""),"Array;Two Pointers;Binary Search;Stack;Monotonic Stack;")</f>
        <v>Array;Two Pointers;Binary Search;Stack;Monotonic Stack;</v>
      </c>
      <c r="M1575" s="23" t="b">
        <f>IFERROR(__xludf.DUMMYFUNCTION("""COMPUTED_VALUE"""),FALSE)</f>
        <v>0</v>
      </c>
      <c r="N1575" s="23" t="b">
        <f>IFERROR(__xludf.DUMMYFUNCTION("""COMPUTED_VALUE"""),FALSE)</f>
        <v>0</v>
      </c>
      <c r="O1575" s="23">
        <f>IFERROR(__xludf.DUMMYFUNCTION("""COMPUTED_VALUE"""),35.5380290488833)</f>
        <v>35.53802905</v>
      </c>
      <c r="P1575" s="23">
        <f>IFERROR(__xludf.DUMMYFUNCTION("""COMPUTED_VALUE"""),18204.0)</f>
        <v>18204</v>
      </c>
      <c r="Q1575" s="23">
        <f>IFERROR(__xludf.DUMMYFUNCTION("""COMPUTED_VALUE"""),51224.0)</f>
        <v>51224</v>
      </c>
    </row>
    <row r="1576">
      <c r="A1576" s="23">
        <f>IFERROR(__xludf.DUMMYFUNCTION("""COMPUTED_VALUE"""),1680.0)</f>
        <v>1680</v>
      </c>
      <c r="B1576" s="23" t="str">
        <f>IFERROR(__xludf.DUMMYFUNCTION("""COMPUTED_VALUE"""),"Count All Possible Routes")</f>
        <v>Count All Possible Routes</v>
      </c>
      <c r="C1576" s="23" t="str">
        <f>IFERROR(__xludf.DUMMYFUNCTION("""COMPUTED_VALUE"""),"count-all-possible-routes")</f>
        <v>count-all-possible-routes</v>
      </c>
      <c r="D1576" s="23" t="b">
        <f>IFERROR(__xludf.DUMMYFUNCTION("""COMPUTED_VALUE"""),FALSE)</f>
        <v>0</v>
      </c>
      <c r="E1576" s="23" t="str">
        <f>IFERROR(__xludf.DUMMYFUNCTION("""COMPUTED_VALUE"""),"Hard")</f>
        <v>Hard</v>
      </c>
      <c r="F1576" s="23">
        <f>IFERROR(__xludf.DUMMYFUNCTION("""COMPUTED_VALUE"""),359.0)</f>
        <v>359</v>
      </c>
      <c r="G1576" s="23">
        <f>IFERROR(__xludf.DUMMYFUNCTION("""COMPUTED_VALUE"""),19.0)</f>
        <v>19</v>
      </c>
      <c r="H1576" s="23" t="str">
        <f>IFERROR(__xludf.DUMMYFUNCTION("""COMPUTED_VALUE"""),"Algorithms")</f>
        <v>Algorithms</v>
      </c>
      <c r="I1576" s="23">
        <f>IFERROR(__xludf.DUMMYFUNCTION("""COMPUTED_VALUE"""),0.576)</f>
        <v>0.576</v>
      </c>
      <c r="J1576" s="23">
        <f>IFERROR(__xludf.DUMMYFUNCTION("""COMPUTED_VALUE"""),1575.0)</f>
        <v>1575</v>
      </c>
      <c r="K1576" s="23" t="b">
        <f>IFERROR(__xludf.DUMMYFUNCTION("""COMPUTED_VALUE"""),FALSE)</f>
        <v>0</v>
      </c>
      <c r="L1576" s="23" t="str">
        <f>IFERROR(__xludf.DUMMYFUNCTION("""COMPUTED_VALUE"""),"Array;Dynamic Programming;Memoization;")</f>
        <v>Array;Dynamic Programming;Memoization;</v>
      </c>
      <c r="M1576" s="23" t="b">
        <f>IFERROR(__xludf.DUMMYFUNCTION("""COMPUTED_VALUE"""),FALSE)</f>
        <v>0</v>
      </c>
      <c r="N1576" s="23" t="b">
        <f>IFERROR(__xludf.DUMMYFUNCTION("""COMPUTED_VALUE"""),FALSE)</f>
        <v>0</v>
      </c>
      <c r="O1576" s="23">
        <f>IFERROR(__xludf.DUMMYFUNCTION("""COMPUTED_VALUE"""),57.5658279695728)</f>
        <v>57.56582797</v>
      </c>
      <c r="P1576" s="23">
        <f>IFERROR(__xludf.DUMMYFUNCTION("""COMPUTED_VALUE"""),9838.0)</f>
        <v>9838</v>
      </c>
      <c r="Q1576" s="23">
        <f>IFERROR(__xludf.DUMMYFUNCTION("""COMPUTED_VALUE"""),17088.0)</f>
        <v>17088</v>
      </c>
    </row>
    <row r="1577">
      <c r="A1577" s="23">
        <f>IFERROR(__xludf.DUMMYFUNCTION("""COMPUTED_VALUE"""),1698.0)</f>
        <v>1698</v>
      </c>
      <c r="B1577" s="23" t="str">
        <f>IFERROR(__xludf.DUMMYFUNCTION("""COMPUTED_VALUE"""),"Replace All ?'s to Avoid Consecutive Repeating Characters")</f>
        <v>Replace All ?'s to Avoid Consecutive Repeating Characters</v>
      </c>
      <c r="C1577" s="23" t="str">
        <f>IFERROR(__xludf.DUMMYFUNCTION("""COMPUTED_VALUE"""),"replace-all-s-to-avoid-consecutive-repeating-characters")</f>
        <v>replace-all-s-to-avoid-consecutive-repeating-characters</v>
      </c>
      <c r="D1577" s="23" t="b">
        <f>IFERROR(__xludf.DUMMYFUNCTION("""COMPUTED_VALUE"""),FALSE)</f>
        <v>0</v>
      </c>
      <c r="E1577" s="23" t="str">
        <f>IFERROR(__xludf.DUMMYFUNCTION("""COMPUTED_VALUE"""),"Easy")</f>
        <v>Easy</v>
      </c>
      <c r="F1577" s="23">
        <f>IFERROR(__xludf.DUMMYFUNCTION("""COMPUTED_VALUE"""),383.0)</f>
        <v>383</v>
      </c>
      <c r="G1577" s="23">
        <f>IFERROR(__xludf.DUMMYFUNCTION("""COMPUTED_VALUE"""),144.0)</f>
        <v>144</v>
      </c>
      <c r="H1577" s="23" t="str">
        <f>IFERROR(__xludf.DUMMYFUNCTION("""COMPUTED_VALUE"""),"Algorithms")</f>
        <v>Algorithms</v>
      </c>
      <c r="I1577" s="23">
        <f>IFERROR(__xludf.DUMMYFUNCTION("""COMPUTED_VALUE"""),0.498)</f>
        <v>0.498</v>
      </c>
      <c r="J1577" s="23">
        <f>IFERROR(__xludf.DUMMYFUNCTION("""COMPUTED_VALUE"""),1576.0)</f>
        <v>1576</v>
      </c>
      <c r="K1577" s="23" t="b">
        <f>IFERROR(__xludf.DUMMYFUNCTION("""COMPUTED_VALUE"""),FALSE)</f>
        <v>0</v>
      </c>
      <c r="L1577" s="23" t="str">
        <f>IFERROR(__xludf.DUMMYFUNCTION("""COMPUTED_VALUE"""),"String;")</f>
        <v>String;</v>
      </c>
      <c r="M1577" s="23" t="b">
        <f>IFERROR(__xludf.DUMMYFUNCTION("""COMPUTED_VALUE"""),FALSE)</f>
        <v>0</v>
      </c>
      <c r="N1577" s="23" t="b">
        <f>IFERROR(__xludf.DUMMYFUNCTION("""COMPUTED_VALUE"""),FALSE)</f>
        <v>0</v>
      </c>
      <c r="O1577" s="23">
        <f>IFERROR(__xludf.DUMMYFUNCTION("""COMPUTED_VALUE"""),49.7670305751113)</f>
        <v>49.76703058</v>
      </c>
      <c r="P1577" s="23">
        <f>IFERROR(__xludf.DUMMYFUNCTION("""COMPUTED_VALUE"""),43899.0)</f>
        <v>43899</v>
      </c>
      <c r="Q1577" s="23">
        <f>IFERROR(__xludf.DUMMYFUNCTION("""COMPUTED_VALUE"""),88209.0)</f>
        <v>88209</v>
      </c>
    </row>
    <row r="1578">
      <c r="A1578" s="23">
        <f>IFERROR(__xludf.DUMMYFUNCTION("""COMPUTED_VALUE"""),1699.0)</f>
        <v>1699</v>
      </c>
      <c r="B1578" s="23" t="str">
        <f>IFERROR(__xludf.DUMMYFUNCTION("""COMPUTED_VALUE"""),"Number of Ways Where Square of Number Is Equal to Product of Two Numbers")</f>
        <v>Number of Ways Where Square of Number Is Equal to Product of Two Numbers</v>
      </c>
      <c r="C1578" s="23" t="str">
        <f>IFERROR(__xludf.DUMMYFUNCTION("""COMPUTED_VALUE"""),"number-of-ways-where-square-of-number-is-equal-to-product-of-two-numbers")</f>
        <v>number-of-ways-where-square-of-number-is-equal-to-product-of-two-numbers</v>
      </c>
      <c r="D1578" s="23" t="b">
        <f>IFERROR(__xludf.DUMMYFUNCTION("""COMPUTED_VALUE"""),FALSE)</f>
        <v>0</v>
      </c>
      <c r="E1578" s="23" t="str">
        <f>IFERROR(__xludf.DUMMYFUNCTION("""COMPUTED_VALUE"""),"Medium")</f>
        <v>Medium</v>
      </c>
      <c r="F1578" s="23">
        <f>IFERROR(__xludf.DUMMYFUNCTION("""COMPUTED_VALUE"""),236.0)</f>
        <v>236</v>
      </c>
      <c r="G1578" s="23">
        <f>IFERROR(__xludf.DUMMYFUNCTION("""COMPUTED_VALUE"""),45.0)</f>
        <v>45</v>
      </c>
      <c r="H1578" s="23" t="str">
        <f>IFERROR(__xludf.DUMMYFUNCTION("""COMPUTED_VALUE"""),"Algorithms")</f>
        <v>Algorithms</v>
      </c>
      <c r="I1578" s="23">
        <f>IFERROR(__xludf.DUMMYFUNCTION("""COMPUTED_VALUE"""),0.393)</f>
        <v>0.393</v>
      </c>
      <c r="J1578" s="23">
        <f>IFERROR(__xludf.DUMMYFUNCTION("""COMPUTED_VALUE"""),1577.0)</f>
        <v>1577</v>
      </c>
      <c r="K1578" s="23" t="b">
        <f>IFERROR(__xludf.DUMMYFUNCTION("""COMPUTED_VALUE"""),FALSE)</f>
        <v>0</v>
      </c>
      <c r="L1578" s="23" t="str">
        <f>IFERROR(__xludf.DUMMYFUNCTION("""COMPUTED_VALUE"""),"Array;Hash Table;Math;Two Pointers;")</f>
        <v>Array;Hash Table;Math;Two Pointers;</v>
      </c>
      <c r="M1578" s="23" t="b">
        <f>IFERROR(__xludf.DUMMYFUNCTION("""COMPUTED_VALUE"""),FALSE)</f>
        <v>0</v>
      </c>
      <c r="N1578" s="23" t="b">
        <f>IFERROR(__xludf.DUMMYFUNCTION("""COMPUTED_VALUE"""),FALSE)</f>
        <v>0</v>
      </c>
      <c r="O1578" s="23">
        <f>IFERROR(__xludf.DUMMYFUNCTION("""COMPUTED_VALUE"""),39.2745289315603)</f>
        <v>39.27452893</v>
      </c>
      <c r="P1578" s="23">
        <f>IFERROR(__xludf.DUMMYFUNCTION("""COMPUTED_VALUE"""),15299.0)</f>
        <v>15299</v>
      </c>
      <c r="Q1578" s="23">
        <f>IFERROR(__xludf.DUMMYFUNCTION("""COMPUTED_VALUE"""),38954.0)</f>
        <v>38954</v>
      </c>
    </row>
    <row r="1579">
      <c r="A1579" s="23">
        <f>IFERROR(__xludf.DUMMYFUNCTION("""COMPUTED_VALUE"""),1700.0)</f>
        <v>1700</v>
      </c>
      <c r="B1579" s="23" t="str">
        <f>IFERROR(__xludf.DUMMYFUNCTION("""COMPUTED_VALUE"""),"Minimum Time to Make Rope Colorful")</f>
        <v>Minimum Time to Make Rope Colorful</v>
      </c>
      <c r="C1579" s="23" t="str">
        <f>IFERROR(__xludf.DUMMYFUNCTION("""COMPUTED_VALUE"""),"minimum-time-to-make-rope-colorful")</f>
        <v>minimum-time-to-make-rope-colorful</v>
      </c>
      <c r="D1579" s="23" t="b">
        <f>IFERROR(__xludf.DUMMYFUNCTION("""COMPUTED_VALUE"""),FALSE)</f>
        <v>0</v>
      </c>
      <c r="E1579" s="23" t="str">
        <f>IFERROR(__xludf.DUMMYFUNCTION("""COMPUTED_VALUE"""),"Medium")</f>
        <v>Medium</v>
      </c>
      <c r="F1579" s="23">
        <f>IFERROR(__xludf.DUMMYFUNCTION("""COMPUTED_VALUE"""),986.0)</f>
        <v>986</v>
      </c>
      <c r="G1579" s="23">
        <f>IFERROR(__xludf.DUMMYFUNCTION("""COMPUTED_VALUE"""),41.0)</f>
        <v>41</v>
      </c>
      <c r="H1579" s="23" t="str">
        <f>IFERROR(__xludf.DUMMYFUNCTION("""COMPUTED_VALUE"""),"Algorithms")</f>
        <v>Algorithms</v>
      </c>
      <c r="I1579" s="23">
        <f>IFERROR(__xludf.DUMMYFUNCTION("""COMPUTED_VALUE"""),0.612)</f>
        <v>0.612</v>
      </c>
      <c r="J1579" s="23">
        <f>IFERROR(__xludf.DUMMYFUNCTION("""COMPUTED_VALUE"""),1578.0)</f>
        <v>1578</v>
      </c>
      <c r="K1579" s="23" t="b">
        <f>IFERROR(__xludf.DUMMYFUNCTION("""COMPUTED_VALUE"""),FALSE)</f>
        <v>0</v>
      </c>
      <c r="L1579" s="23" t="str">
        <f>IFERROR(__xludf.DUMMYFUNCTION("""COMPUTED_VALUE"""),"Array;String;Dynamic Programming;Greedy;")</f>
        <v>Array;String;Dynamic Programming;Greedy;</v>
      </c>
      <c r="M1579" s="23" t="b">
        <f>IFERROR(__xludf.DUMMYFUNCTION("""COMPUTED_VALUE"""),FALSE)</f>
        <v>0</v>
      </c>
      <c r="N1579" s="23" t="b">
        <f>IFERROR(__xludf.DUMMYFUNCTION("""COMPUTED_VALUE"""),FALSE)</f>
        <v>0</v>
      </c>
      <c r="O1579" s="23">
        <f>IFERROR(__xludf.DUMMYFUNCTION("""COMPUTED_VALUE"""),61.1750423886107)</f>
        <v>61.17504239</v>
      </c>
      <c r="P1579" s="23">
        <f>IFERROR(__xludf.DUMMYFUNCTION("""COMPUTED_VALUE"""),60975.0)</f>
        <v>60975</v>
      </c>
      <c r="Q1579" s="23">
        <f>IFERROR(__xludf.DUMMYFUNCTION("""COMPUTED_VALUE"""),99673.0)</f>
        <v>99673</v>
      </c>
    </row>
    <row r="1580">
      <c r="A1580" s="23">
        <f>IFERROR(__xludf.DUMMYFUNCTION("""COMPUTED_VALUE"""),1701.0)</f>
        <v>1701</v>
      </c>
      <c r="B1580" s="23" t="str">
        <f>IFERROR(__xludf.DUMMYFUNCTION("""COMPUTED_VALUE"""),"Remove Max Number of Edges to Keep Graph Fully Traversable")</f>
        <v>Remove Max Number of Edges to Keep Graph Fully Traversable</v>
      </c>
      <c r="C1580" s="23" t="str">
        <f>IFERROR(__xludf.DUMMYFUNCTION("""COMPUTED_VALUE"""),"remove-max-number-of-edges-to-keep-graph-fully-traversable")</f>
        <v>remove-max-number-of-edges-to-keep-graph-fully-traversable</v>
      </c>
      <c r="D1580" s="23" t="b">
        <f>IFERROR(__xludf.DUMMYFUNCTION("""COMPUTED_VALUE"""),FALSE)</f>
        <v>0</v>
      </c>
      <c r="E1580" s="23" t="str">
        <f>IFERROR(__xludf.DUMMYFUNCTION("""COMPUTED_VALUE"""),"Hard")</f>
        <v>Hard</v>
      </c>
      <c r="F1580" s="23">
        <f>IFERROR(__xludf.DUMMYFUNCTION("""COMPUTED_VALUE"""),630.0)</f>
        <v>630</v>
      </c>
      <c r="G1580" s="23">
        <f>IFERROR(__xludf.DUMMYFUNCTION("""COMPUTED_VALUE"""),5.0)</f>
        <v>5</v>
      </c>
      <c r="H1580" s="23" t="str">
        <f>IFERROR(__xludf.DUMMYFUNCTION("""COMPUTED_VALUE"""),"Algorithms")</f>
        <v>Algorithms</v>
      </c>
      <c r="I1580" s="23">
        <f>IFERROR(__xludf.DUMMYFUNCTION("""COMPUTED_VALUE"""),0.51)</f>
        <v>0.51</v>
      </c>
      <c r="J1580" s="23">
        <f>IFERROR(__xludf.DUMMYFUNCTION("""COMPUTED_VALUE"""),1579.0)</f>
        <v>1579</v>
      </c>
      <c r="K1580" s="23" t="b">
        <f>IFERROR(__xludf.DUMMYFUNCTION("""COMPUTED_VALUE"""),FALSE)</f>
        <v>0</v>
      </c>
      <c r="L1580" s="23" t="str">
        <f>IFERROR(__xludf.DUMMYFUNCTION("""COMPUTED_VALUE"""),"Union Find;Graph;")</f>
        <v>Union Find;Graph;</v>
      </c>
      <c r="M1580" s="23" t="b">
        <f>IFERROR(__xludf.DUMMYFUNCTION("""COMPUTED_VALUE"""),FALSE)</f>
        <v>0</v>
      </c>
      <c r="N1580" s="23" t="b">
        <f>IFERROR(__xludf.DUMMYFUNCTION("""COMPUTED_VALUE"""),FALSE)</f>
        <v>0</v>
      </c>
      <c r="O1580" s="23">
        <f>IFERROR(__xludf.DUMMYFUNCTION("""COMPUTED_VALUE"""),51.0306084514023)</f>
        <v>51.03060845</v>
      </c>
      <c r="P1580" s="23">
        <f>IFERROR(__xludf.DUMMYFUNCTION("""COMPUTED_VALUE"""),12354.0)</f>
        <v>12354</v>
      </c>
      <c r="Q1580" s="23">
        <f>IFERROR(__xludf.DUMMYFUNCTION("""COMPUTED_VALUE"""),24209.0)</f>
        <v>24209</v>
      </c>
    </row>
    <row r="1581">
      <c r="A1581" s="23">
        <f>IFERROR(__xludf.DUMMYFUNCTION("""COMPUTED_VALUE"""),1719.0)</f>
        <v>1719</v>
      </c>
      <c r="B1581" s="23" t="str">
        <f>IFERROR(__xludf.DUMMYFUNCTION("""COMPUTED_VALUE"""),"Put Boxes Into the Warehouse II")</f>
        <v>Put Boxes Into the Warehouse II</v>
      </c>
      <c r="C1581" s="23" t="str">
        <f>IFERROR(__xludf.DUMMYFUNCTION("""COMPUTED_VALUE"""),"put-boxes-into-the-warehouse-ii")</f>
        <v>put-boxes-into-the-warehouse-ii</v>
      </c>
      <c r="D1581" s="23" t="b">
        <f>IFERROR(__xludf.DUMMYFUNCTION("""COMPUTED_VALUE"""),TRUE)</f>
        <v>1</v>
      </c>
      <c r="E1581" s="23" t="str">
        <f>IFERROR(__xludf.DUMMYFUNCTION("""COMPUTED_VALUE"""),"Medium")</f>
        <v>Medium</v>
      </c>
      <c r="F1581" s="23">
        <f>IFERROR(__xludf.DUMMYFUNCTION("""COMPUTED_VALUE"""),133.0)</f>
        <v>133</v>
      </c>
      <c r="G1581" s="23">
        <f>IFERROR(__xludf.DUMMYFUNCTION("""COMPUTED_VALUE"""),2.0)</f>
        <v>2</v>
      </c>
      <c r="H1581" s="23" t="str">
        <f>IFERROR(__xludf.DUMMYFUNCTION("""COMPUTED_VALUE"""),"Algorithms")</f>
        <v>Algorithms</v>
      </c>
      <c r="I1581" s="23">
        <f>IFERROR(__xludf.DUMMYFUNCTION("""COMPUTED_VALUE"""),0.637)</f>
        <v>0.637</v>
      </c>
      <c r="J1581" s="23">
        <f>IFERROR(__xludf.DUMMYFUNCTION("""COMPUTED_VALUE"""),1580.0)</f>
        <v>1580</v>
      </c>
      <c r="K1581" s="23" t="b">
        <f>IFERROR(__xludf.DUMMYFUNCTION("""COMPUTED_VALUE"""),TRUE)</f>
        <v>1</v>
      </c>
      <c r="L1581" s="23" t="str">
        <f>IFERROR(__xludf.DUMMYFUNCTION("""COMPUTED_VALUE"""),"Array;Greedy;Sorting;")</f>
        <v>Array;Greedy;Sorting;</v>
      </c>
      <c r="M1581" s="23" t="b">
        <f>IFERROR(__xludf.DUMMYFUNCTION("""COMPUTED_VALUE"""),FALSE)</f>
        <v>0</v>
      </c>
      <c r="N1581" s="23" t="b">
        <f>IFERROR(__xludf.DUMMYFUNCTION("""COMPUTED_VALUE"""),FALSE)</f>
        <v>0</v>
      </c>
      <c r="O1581" s="23">
        <f>IFERROR(__xludf.DUMMYFUNCTION("""COMPUTED_VALUE"""),63.6844245628304)</f>
        <v>63.68442456</v>
      </c>
      <c r="P1581" s="23">
        <f>IFERROR(__xludf.DUMMYFUNCTION("""COMPUTED_VALUE"""),3132.0)</f>
        <v>3132</v>
      </c>
      <c r="Q1581" s="23">
        <f>IFERROR(__xludf.DUMMYFUNCTION("""COMPUTED_VALUE"""),4918.0)</f>
        <v>4918</v>
      </c>
    </row>
    <row r="1582">
      <c r="A1582" s="23">
        <f>IFERROR(__xludf.DUMMYFUNCTION("""COMPUTED_VALUE"""),1724.0)</f>
        <v>1724</v>
      </c>
      <c r="B1582" s="23" t="str">
        <f>IFERROR(__xludf.DUMMYFUNCTION("""COMPUTED_VALUE"""),"Customer Who Visited but Did Not Make Any Transactions")</f>
        <v>Customer Who Visited but Did Not Make Any Transactions</v>
      </c>
      <c r="C1582" s="23" t="str">
        <f>IFERROR(__xludf.DUMMYFUNCTION("""COMPUTED_VALUE"""),"customer-who-visited-but-did-not-make-any-transactions")</f>
        <v>customer-who-visited-but-did-not-make-any-transactions</v>
      </c>
      <c r="D1582" s="23" t="b">
        <f>IFERROR(__xludf.DUMMYFUNCTION("""COMPUTED_VALUE"""),FALSE)</f>
        <v>0</v>
      </c>
      <c r="E1582" s="23" t="str">
        <f>IFERROR(__xludf.DUMMYFUNCTION("""COMPUTED_VALUE"""),"Easy")</f>
        <v>Easy</v>
      </c>
      <c r="F1582" s="23">
        <f>IFERROR(__xludf.DUMMYFUNCTION("""COMPUTED_VALUE"""),115.0)</f>
        <v>115</v>
      </c>
      <c r="G1582" s="23">
        <f>IFERROR(__xludf.DUMMYFUNCTION("""COMPUTED_VALUE"""),34.0)</f>
        <v>34</v>
      </c>
      <c r="H1582" s="23" t="str">
        <f>IFERROR(__xludf.DUMMYFUNCTION("""COMPUTED_VALUE"""),"Database")</f>
        <v>Database</v>
      </c>
      <c r="I1582" s="23">
        <f>IFERROR(__xludf.DUMMYFUNCTION("""COMPUTED_VALUE"""),0.898)</f>
        <v>0.898</v>
      </c>
      <c r="J1582" s="23">
        <f>IFERROR(__xludf.DUMMYFUNCTION("""COMPUTED_VALUE"""),1581.0)</f>
        <v>1581</v>
      </c>
      <c r="K1582" s="23" t="b">
        <f>IFERROR(__xludf.DUMMYFUNCTION("""COMPUTED_VALUE"""),FALSE)</f>
        <v>0</v>
      </c>
      <c r="L1582" s="23" t="str">
        <f>IFERROR(__xludf.DUMMYFUNCTION("""COMPUTED_VALUE"""),"Database;")</f>
        <v>Database;</v>
      </c>
      <c r="M1582" s="23" t="b">
        <f>IFERROR(__xludf.DUMMYFUNCTION("""COMPUTED_VALUE"""),FALSE)</f>
        <v>0</v>
      </c>
      <c r="N1582" s="23" t="b">
        <f>IFERROR(__xludf.DUMMYFUNCTION("""COMPUTED_VALUE"""),FALSE)</f>
        <v>0</v>
      </c>
      <c r="O1582" s="23">
        <f>IFERROR(__xludf.DUMMYFUNCTION("""COMPUTED_VALUE"""),89.818958912947)</f>
        <v>89.81895891</v>
      </c>
      <c r="P1582" s="23">
        <f>IFERROR(__xludf.DUMMYFUNCTION("""COMPUTED_VALUE"""),22274.0)</f>
        <v>22274</v>
      </c>
      <c r="Q1582" s="23">
        <f>IFERROR(__xludf.DUMMYFUNCTION("""COMPUTED_VALUE"""),24799.0)</f>
        <v>24799</v>
      </c>
    </row>
    <row r="1583">
      <c r="A1583" s="23">
        <f>IFERROR(__xludf.DUMMYFUNCTION("""COMPUTED_VALUE"""),1704.0)</f>
        <v>1704</v>
      </c>
      <c r="B1583" s="23" t="str">
        <f>IFERROR(__xludf.DUMMYFUNCTION("""COMPUTED_VALUE"""),"Special Positions in a Binary Matrix")</f>
        <v>Special Positions in a Binary Matrix</v>
      </c>
      <c r="C1583" s="23" t="str">
        <f>IFERROR(__xludf.DUMMYFUNCTION("""COMPUTED_VALUE"""),"special-positions-in-a-binary-matrix")</f>
        <v>special-positions-in-a-binary-matrix</v>
      </c>
      <c r="D1583" s="23" t="b">
        <f>IFERROR(__xludf.DUMMYFUNCTION("""COMPUTED_VALUE"""),FALSE)</f>
        <v>0</v>
      </c>
      <c r="E1583" s="23" t="str">
        <f>IFERROR(__xludf.DUMMYFUNCTION("""COMPUTED_VALUE"""),"Easy")</f>
        <v>Easy</v>
      </c>
      <c r="F1583" s="23">
        <f>IFERROR(__xludf.DUMMYFUNCTION("""COMPUTED_VALUE"""),432.0)</f>
        <v>432</v>
      </c>
      <c r="G1583" s="23">
        <f>IFERROR(__xludf.DUMMYFUNCTION("""COMPUTED_VALUE"""),18.0)</f>
        <v>18</v>
      </c>
      <c r="H1583" s="23" t="str">
        <f>IFERROR(__xludf.DUMMYFUNCTION("""COMPUTED_VALUE"""),"Algorithms")</f>
        <v>Algorithms</v>
      </c>
      <c r="I1583" s="23">
        <f>IFERROR(__xludf.DUMMYFUNCTION("""COMPUTED_VALUE"""),0.65)</f>
        <v>0.65</v>
      </c>
      <c r="J1583" s="23">
        <f>IFERROR(__xludf.DUMMYFUNCTION("""COMPUTED_VALUE"""),1582.0)</f>
        <v>1582</v>
      </c>
      <c r="K1583" s="23" t="b">
        <f>IFERROR(__xludf.DUMMYFUNCTION("""COMPUTED_VALUE"""),FALSE)</f>
        <v>0</v>
      </c>
      <c r="L1583" s="23" t="str">
        <f>IFERROR(__xludf.DUMMYFUNCTION("""COMPUTED_VALUE"""),"Array;Matrix;")</f>
        <v>Array;Matrix;</v>
      </c>
      <c r="M1583" s="23" t="b">
        <f>IFERROR(__xludf.DUMMYFUNCTION("""COMPUTED_VALUE"""),FALSE)</f>
        <v>0</v>
      </c>
      <c r="N1583" s="23" t="b">
        <f>IFERROR(__xludf.DUMMYFUNCTION("""COMPUTED_VALUE"""),FALSE)</f>
        <v>0</v>
      </c>
      <c r="O1583" s="23">
        <f>IFERROR(__xludf.DUMMYFUNCTION("""COMPUTED_VALUE"""),65.0325633991581)</f>
        <v>65.0325634</v>
      </c>
      <c r="P1583" s="23">
        <f>IFERROR(__xludf.DUMMYFUNCTION("""COMPUTED_VALUE"""),31055.0)</f>
        <v>31055</v>
      </c>
      <c r="Q1583" s="23">
        <f>IFERROR(__xludf.DUMMYFUNCTION("""COMPUTED_VALUE"""),47753.0)</f>
        <v>47753</v>
      </c>
    </row>
    <row r="1584">
      <c r="A1584" s="23">
        <f>IFERROR(__xludf.DUMMYFUNCTION("""COMPUTED_VALUE"""),1705.0)</f>
        <v>1705</v>
      </c>
      <c r="B1584" s="23" t="str">
        <f>IFERROR(__xludf.DUMMYFUNCTION("""COMPUTED_VALUE"""),"Count Unhappy Friends")</f>
        <v>Count Unhappy Friends</v>
      </c>
      <c r="C1584" s="23" t="str">
        <f>IFERROR(__xludf.DUMMYFUNCTION("""COMPUTED_VALUE"""),"count-unhappy-friends")</f>
        <v>count-unhappy-friends</v>
      </c>
      <c r="D1584" s="23" t="b">
        <f>IFERROR(__xludf.DUMMYFUNCTION("""COMPUTED_VALUE"""),FALSE)</f>
        <v>0</v>
      </c>
      <c r="E1584" s="23" t="str">
        <f>IFERROR(__xludf.DUMMYFUNCTION("""COMPUTED_VALUE"""),"Medium")</f>
        <v>Medium</v>
      </c>
      <c r="F1584" s="23">
        <f>IFERROR(__xludf.DUMMYFUNCTION("""COMPUTED_VALUE"""),154.0)</f>
        <v>154</v>
      </c>
      <c r="G1584" s="23">
        <f>IFERROR(__xludf.DUMMYFUNCTION("""COMPUTED_VALUE"""),561.0)</f>
        <v>561</v>
      </c>
      <c r="H1584" s="23" t="str">
        <f>IFERROR(__xludf.DUMMYFUNCTION("""COMPUTED_VALUE"""),"Algorithms")</f>
        <v>Algorithms</v>
      </c>
      <c r="I1584" s="23">
        <f>IFERROR(__xludf.DUMMYFUNCTION("""COMPUTED_VALUE"""),0.579)</f>
        <v>0.579</v>
      </c>
      <c r="J1584" s="23">
        <f>IFERROR(__xludf.DUMMYFUNCTION("""COMPUTED_VALUE"""),1583.0)</f>
        <v>1583</v>
      </c>
      <c r="K1584" s="23" t="b">
        <f>IFERROR(__xludf.DUMMYFUNCTION("""COMPUTED_VALUE"""),FALSE)</f>
        <v>0</v>
      </c>
      <c r="L1584" s="23" t="str">
        <f>IFERROR(__xludf.DUMMYFUNCTION("""COMPUTED_VALUE"""),"Array;Simulation;")</f>
        <v>Array;Simulation;</v>
      </c>
      <c r="M1584" s="23" t="b">
        <f>IFERROR(__xludf.DUMMYFUNCTION("""COMPUTED_VALUE"""),FALSE)</f>
        <v>0</v>
      </c>
      <c r="N1584" s="23" t="b">
        <f>IFERROR(__xludf.DUMMYFUNCTION("""COMPUTED_VALUE"""),FALSE)</f>
        <v>0</v>
      </c>
      <c r="O1584" s="23">
        <f>IFERROR(__xludf.DUMMYFUNCTION("""COMPUTED_VALUE"""),57.8533749596296)</f>
        <v>57.85337496</v>
      </c>
      <c r="P1584" s="23">
        <f>IFERROR(__xludf.DUMMYFUNCTION("""COMPUTED_VALUE"""),16122.0)</f>
        <v>16122</v>
      </c>
      <c r="Q1584" s="23">
        <f>IFERROR(__xludf.DUMMYFUNCTION("""COMPUTED_VALUE"""),27867.0)</f>
        <v>27867</v>
      </c>
    </row>
    <row r="1585">
      <c r="A1585" s="23">
        <f>IFERROR(__xludf.DUMMYFUNCTION("""COMPUTED_VALUE"""),1706.0)</f>
        <v>1706</v>
      </c>
      <c r="B1585" s="23" t="str">
        <f>IFERROR(__xludf.DUMMYFUNCTION("""COMPUTED_VALUE"""),"Min Cost to Connect All Points")</f>
        <v>Min Cost to Connect All Points</v>
      </c>
      <c r="C1585" s="23" t="str">
        <f>IFERROR(__xludf.DUMMYFUNCTION("""COMPUTED_VALUE"""),"min-cost-to-connect-all-points")</f>
        <v>min-cost-to-connect-all-points</v>
      </c>
      <c r="D1585" s="23" t="b">
        <f>IFERROR(__xludf.DUMMYFUNCTION("""COMPUTED_VALUE"""),FALSE)</f>
        <v>0</v>
      </c>
      <c r="E1585" s="23" t="str">
        <f>IFERROR(__xludf.DUMMYFUNCTION("""COMPUTED_VALUE"""),"Medium")</f>
        <v>Medium</v>
      </c>
      <c r="F1585" s="23">
        <f>IFERROR(__xludf.DUMMYFUNCTION("""COMPUTED_VALUE"""),2319.0)</f>
        <v>2319</v>
      </c>
      <c r="G1585" s="23">
        <f>IFERROR(__xludf.DUMMYFUNCTION("""COMPUTED_VALUE"""),70.0)</f>
        <v>70</v>
      </c>
      <c r="H1585" s="23" t="str">
        <f>IFERROR(__xludf.DUMMYFUNCTION("""COMPUTED_VALUE"""),"Algorithms")</f>
        <v>Algorithms</v>
      </c>
      <c r="I1585" s="23">
        <f>IFERROR(__xludf.DUMMYFUNCTION("""COMPUTED_VALUE"""),0.642)</f>
        <v>0.642</v>
      </c>
      <c r="J1585" s="23">
        <f>IFERROR(__xludf.DUMMYFUNCTION("""COMPUTED_VALUE"""),1584.0)</f>
        <v>1584</v>
      </c>
      <c r="K1585" s="23" t="b">
        <f>IFERROR(__xludf.DUMMYFUNCTION("""COMPUTED_VALUE"""),FALSE)</f>
        <v>0</v>
      </c>
      <c r="L1585" s="23" t="str">
        <f>IFERROR(__xludf.DUMMYFUNCTION("""COMPUTED_VALUE"""),"Array;Union Find;Minimum Spanning Tree;")</f>
        <v>Array;Union Find;Minimum Spanning Tree;</v>
      </c>
      <c r="M1585" s="23" t="b">
        <f>IFERROR(__xludf.DUMMYFUNCTION("""COMPUTED_VALUE"""),TRUE)</f>
        <v>1</v>
      </c>
      <c r="N1585" s="23" t="b">
        <f>IFERROR(__xludf.DUMMYFUNCTION("""COMPUTED_VALUE"""),FALSE)</f>
        <v>0</v>
      </c>
      <c r="O1585" s="23">
        <f>IFERROR(__xludf.DUMMYFUNCTION("""COMPUTED_VALUE"""),64.2315490234276)</f>
        <v>64.23154902</v>
      </c>
      <c r="P1585" s="23">
        <f>IFERROR(__xludf.DUMMYFUNCTION("""COMPUTED_VALUE"""),89011.0)</f>
        <v>89011</v>
      </c>
      <c r="Q1585" s="23">
        <f>IFERROR(__xludf.DUMMYFUNCTION("""COMPUTED_VALUE"""),138584.0)</f>
        <v>138584</v>
      </c>
    </row>
    <row r="1586">
      <c r="A1586" s="23">
        <f>IFERROR(__xludf.DUMMYFUNCTION("""COMPUTED_VALUE"""),1707.0)</f>
        <v>1707</v>
      </c>
      <c r="B1586" s="23" t="str">
        <f>IFERROR(__xludf.DUMMYFUNCTION("""COMPUTED_VALUE"""),"Check If String Is Transformable With Substring Sort Operations")</f>
        <v>Check If String Is Transformable With Substring Sort Operations</v>
      </c>
      <c r="C1586" s="23" t="str">
        <f>IFERROR(__xludf.DUMMYFUNCTION("""COMPUTED_VALUE"""),"check-if-string-is-transformable-with-substring-sort-operations")</f>
        <v>check-if-string-is-transformable-with-substring-sort-operations</v>
      </c>
      <c r="D1586" s="23" t="b">
        <f>IFERROR(__xludf.DUMMYFUNCTION("""COMPUTED_VALUE"""),FALSE)</f>
        <v>0</v>
      </c>
      <c r="E1586" s="23" t="str">
        <f>IFERROR(__xludf.DUMMYFUNCTION("""COMPUTED_VALUE"""),"Hard")</f>
        <v>Hard</v>
      </c>
      <c r="F1586" s="23">
        <f>IFERROR(__xludf.DUMMYFUNCTION("""COMPUTED_VALUE"""),324.0)</f>
        <v>324</v>
      </c>
      <c r="G1586" s="23">
        <f>IFERROR(__xludf.DUMMYFUNCTION("""COMPUTED_VALUE"""),5.0)</f>
        <v>5</v>
      </c>
      <c r="H1586" s="23" t="str">
        <f>IFERROR(__xludf.DUMMYFUNCTION("""COMPUTED_VALUE"""),"Algorithms")</f>
        <v>Algorithms</v>
      </c>
      <c r="I1586" s="23">
        <f>IFERROR(__xludf.DUMMYFUNCTION("""COMPUTED_VALUE"""),0.483)</f>
        <v>0.483</v>
      </c>
      <c r="J1586" s="23">
        <f>IFERROR(__xludf.DUMMYFUNCTION("""COMPUTED_VALUE"""),1585.0)</f>
        <v>1585</v>
      </c>
      <c r="K1586" s="23" t="b">
        <f>IFERROR(__xludf.DUMMYFUNCTION("""COMPUTED_VALUE"""),FALSE)</f>
        <v>0</v>
      </c>
      <c r="L1586" s="23" t="str">
        <f>IFERROR(__xludf.DUMMYFUNCTION("""COMPUTED_VALUE"""),"String;Greedy;Sorting;")</f>
        <v>String;Greedy;Sorting;</v>
      </c>
      <c r="M1586" s="23" t="b">
        <f>IFERROR(__xludf.DUMMYFUNCTION("""COMPUTED_VALUE"""),FALSE)</f>
        <v>0</v>
      </c>
      <c r="N1586" s="23" t="b">
        <f>IFERROR(__xludf.DUMMYFUNCTION("""COMPUTED_VALUE"""),FALSE)</f>
        <v>0</v>
      </c>
      <c r="O1586" s="23">
        <f>IFERROR(__xludf.DUMMYFUNCTION("""COMPUTED_VALUE"""),48.2834542934029)</f>
        <v>48.28345429</v>
      </c>
      <c r="P1586" s="23">
        <f>IFERROR(__xludf.DUMMYFUNCTION("""COMPUTED_VALUE"""),5921.0)</f>
        <v>5921</v>
      </c>
      <c r="Q1586" s="23">
        <f>IFERROR(__xludf.DUMMYFUNCTION("""COMPUTED_VALUE"""),12263.0)</f>
        <v>12263</v>
      </c>
    </row>
    <row r="1587">
      <c r="A1587" s="23">
        <f>IFERROR(__xludf.DUMMYFUNCTION("""COMPUTED_VALUE"""),1729.0)</f>
        <v>1729</v>
      </c>
      <c r="B1587" s="23" t="str">
        <f>IFERROR(__xludf.DUMMYFUNCTION("""COMPUTED_VALUE"""),"Binary Search Tree Iterator II")</f>
        <v>Binary Search Tree Iterator II</v>
      </c>
      <c r="C1587" s="23" t="str">
        <f>IFERROR(__xludf.DUMMYFUNCTION("""COMPUTED_VALUE"""),"binary-search-tree-iterator-ii")</f>
        <v>binary-search-tree-iterator-ii</v>
      </c>
      <c r="D1587" s="23" t="b">
        <f>IFERROR(__xludf.DUMMYFUNCTION("""COMPUTED_VALUE"""),TRUE)</f>
        <v>1</v>
      </c>
      <c r="E1587" s="23" t="str">
        <f>IFERROR(__xludf.DUMMYFUNCTION("""COMPUTED_VALUE"""),"Medium")</f>
        <v>Medium</v>
      </c>
      <c r="F1587" s="23">
        <f>IFERROR(__xludf.DUMMYFUNCTION("""COMPUTED_VALUE"""),219.0)</f>
        <v>219</v>
      </c>
      <c r="G1587" s="23">
        <f>IFERROR(__xludf.DUMMYFUNCTION("""COMPUTED_VALUE"""),26.0)</f>
        <v>26</v>
      </c>
      <c r="H1587" s="23" t="str">
        <f>IFERROR(__xludf.DUMMYFUNCTION("""COMPUTED_VALUE"""),"Algorithms")</f>
        <v>Algorithms</v>
      </c>
      <c r="I1587" s="23">
        <f>IFERROR(__xludf.DUMMYFUNCTION("""COMPUTED_VALUE"""),0.701)</f>
        <v>0.701</v>
      </c>
      <c r="J1587" s="23">
        <f>IFERROR(__xludf.DUMMYFUNCTION("""COMPUTED_VALUE"""),1586.0)</f>
        <v>1586</v>
      </c>
      <c r="K1587" s="23" t="b">
        <f>IFERROR(__xludf.DUMMYFUNCTION("""COMPUTED_VALUE"""),TRUE)</f>
        <v>1</v>
      </c>
      <c r="L1587" s="23" t="str">
        <f>IFERROR(__xludf.DUMMYFUNCTION("""COMPUTED_VALUE"""),"Stack;Tree;Design;Binary Search Tree;Binary Tree;Iterator;")</f>
        <v>Stack;Tree;Design;Binary Search Tree;Binary Tree;Iterator;</v>
      </c>
      <c r="M1587" s="23" t="b">
        <f>IFERROR(__xludf.DUMMYFUNCTION("""COMPUTED_VALUE"""),TRUE)</f>
        <v>1</v>
      </c>
      <c r="N1587" s="23" t="b">
        <f>IFERROR(__xludf.DUMMYFUNCTION("""COMPUTED_VALUE"""),FALSE)</f>
        <v>0</v>
      </c>
      <c r="O1587" s="23">
        <f>IFERROR(__xludf.DUMMYFUNCTION("""COMPUTED_VALUE"""),70.0600846647548)</f>
        <v>70.06008466</v>
      </c>
      <c r="P1587" s="23">
        <f>IFERROR(__xludf.DUMMYFUNCTION("""COMPUTED_VALUE"""),10261.0)</f>
        <v>10261</v>
      </c>
      <c r="Q1587" s="23">
        <f>IFERROR(__xludf.DUMMYFUNCTION("""COMPUTED_VALUE"""),14646.0)</f>
        <v>14646</v>
      </c>
    </row>
    <row r="1588">
      <c r="A1588" s="23">
        <f>IFERROR(__xludf.DUMMYFUNCTION("""COMPUTED_VALUE"""),1734.0)</f>
        <v>1734</v>
      </c>
      <c r="B1588" s="23" t="str">
        <f>IFERROR(__xludf.DUMMYFUNCTION("""COMPUTED_VALUE"""),"Bank Account Summary II")</f>
        <v>Bank Account Summary II</v>
      </c>
      <c r="C1588" s="23" t="str">
        <f>IFERROR(__xludf.DUMMYFUNCTION("""COMPUTED_VALUE"""),"bank-account-summary-ii")</f>
        <v>bank-account-summary-ii</v>
      </c>
      <c r="D1588" s="23" t="b">
        <f>IFERROR(__xludf.DUMMYFUNCTION("""COMPUTED_VALUE"""),FALSE)</f>
        <v>0</v>
      </c>
      <c r="E1588" s="23" t="str">
        <f>IFERROR(__xludf.DUMMYFUNCTION("""COMPUTED_VALUE"""),"Easy")</f>
        <v>Easy</v>
      </c>
      <c r="F1588" s="23">
        <f>IFERROR(__xludf.DUMMYFUNCTION("""COMPUTED_VALUE"""),89.0)</f>
        <v>89</v>
      </c>
      <c r="G1588" s="23">
        <f>IFERROR(__xludf.DUMMYFUNCTION("""COMPUTED_VALUE"""),3.0)</f>
        <v>3</v>
      </c>
      <c r="H1588" s="23" t="str">
        <f>IFERROR(__xludf.DUMMYFUNCTION("""COMPUTED_VALUE"""),"Database")</f>
        <v>Database</v>
      </c>
      <c r="I1588" s="23">
        <f>IFERROR(__xludf.DUMMYFUNCTION("""COMPUTED_VALUE"""),0.901)</f>
        <v>0.901</v>
      </c>
      <c r="J1588" s="23">
        <f>IFERROR(__xludf.DUMMYFUNCTION("""COMPUTED_VALUE"""),1587.0)</f>
        <v>1587</v>
      </c>
      <c r="K1588" s="23" t="b">
        <f>IFERROR(__xludf.DUMMYFUNCTION("""COMPUTED_VALUE"""),FALSE)</f>
        <v>0</v>
      </c>
      <c r="L1588" s="23" t="str">
        <f>IFERROR(__xludf.DUMMYFUNCTION("""COMPUTED_VALUE"""),"Database;")</f>
        <v>Database;</v>
      </c>
      <c r="M1588" s="23" t="b">
        <f>IFERROR(__xludf.DUMMYFUNCTION("""COMPUTED_VALUE"""),FALSE)</f>
        <v>0</v>
      </c>
      <c r="N1588" s="23" t="b">
        <f>IFERROR(__xludf.DUMMYFUNCTION("""COMPUTED_VALUE"""),FALSE)</f>
        <v>0</v>
      </c>
      <c r="O1588" s="23">
        <f>IFERROR(__xludf.DUMMYFUNCTION("""COMPUTED_VALUE"""),90.0702880591557)</f>
        <v>90.07028806</v>
      </c>
      <c r="P1588" s="23">
        <f>IFERROR(__xludf.DUMMYFUNCTION("""COMPUTED_VALUE"""),22168.0)</f>
        <v>22168</v>
      </c>
      <c r="Q1588" s="23">
        <f>IFERROR(__xludf.DUMMYFUNCTION("""COMPUTED_VALUE"""),24612.0)</f>
        <v>24612</v>
      </c>
    </row>
    <row r="1589">
      <c r="A1589" s="23">
        <f>IFERROR(__xludf.DUMMYFUNCTION("""COMPUTED_VALUE"""),1693.0)</f>
        <v>1693</v>
      </c>
      <c r="B1589" s="23" t="str">
        <f>IFERROR(__xludf.DUMMYFUNCTION("""COMPUTED_VALUE"""),"Sum of All Odd Length Subarrays")</f>
        <v>Sum of All Odd Length Subarrays</v>
      </c>
      <c r="C1589" s="23" t="str">
        <f>IFERROR(__xludf.DUMMYFUNCTION("""COMPUTED_VALUE"""),"sum-of-all-odd-length-subarrays")</f>
        <v>sum-of-all-odd-length-subarrays</v>
      </c>
      <c r="D1589" s="23" t="b">
        <f>IFERROR(__xludf.DUMMYFUNCTION("""COMPUTED_VALUE"""),FALSE)</f>
        <v>0</v>
      </c>
      <c r="E1589" s="23" t="str">
        <f>IFERROR(__xludf.DUMMYFUNCTION("""COMPUTED_VALUE"""),"Easy")</f>
        <v>Easy</v>
      </c>
      <c r="F1589" s="23">
        <f>IFERROR(__xludf.DUMMYFUNCTION("""COMPUTED_VALUE"""),1933.0)</f>
        <v>1933</v>
      </c>
      <c r="G1589" s="23">
        <f>IFERROR(__xludf.DUMMYFUNCTION("""COMPUTED_VALUE"""),157.0)</f>
        <v>157</v>
      </c>
      <c r="H1589" s="23" t="str">
        <f>IFERROR(__xludf.DUMMYFUNCTION("""COMPUTED_VALUE"""),"Algorithms")</f>
        <v>Algorithms</v>
      </c>
      <c r="I1589" s="23">
        <f>IFERROR(__xludf.DUMMYFUNCTION("""COMPUTED_VALUE"""),0.834)</f>
        <v>0.834</v>
      </c>
      <c r="J1589" s="23">
        <f>IFERROR(__xludf.DUMMYFUNCTION("""COMPUTED_VALUE"""),1588.0)</f>
        <v>1588</v>
      </c>
      <c r="K1589" s="23" t="b">
        <f>IFERROR(__xludf.DUMMYFUNCTION("""COMPUTED_VALUE"""),FALSE)</f>
        <v>0</v>
      </c>
      <c r="L1589" s="23" t="str">
        <f>IFERROR(__xludf.DUMMYFUNCTION("""COMPUTED_VALUE"""),"Array;Math;Prefix Sum;")</f>
        <v>Array;Math;Prefix Sum;</v>
      </c>
      <c r="M1589" s="23" t="b">
        <f>IFERROR(__xludf.DUMMYFUNCTION("""COMPUTED_VALUE"""),FALSE)</f>
        <v>0</v>
      </c>
      <c r="N1589" s="23" t="b">
        <f>IFERROR(__xludf.DUMMYFUNCTION("""COMPUTED_VALUE"""),FALSE)</f>
        <v>0</v>
      </c>
      <c r="O1589" s="23">
        <f>IFERROR(__xludf.DUMMYFUNCTION("""COMPUTED_VALUE"""),83.371104815864)</f>
        <v>83.37110482</v>
      </c>
      <c r="P1589" s="23">
        <f>IFERROR(__xludf.DUMMYFUNCTION("""COMPUTED_VALUE"""),94175.0)</f>
        <v>94175</v>
      </c>
      <c r="Q1589" s="23">
        <f>IFERROR(__xludf.DUMMYFUNCTION("""COMPUTED_VALUE"""),112959.0)</f>
        <v>112959</v>
      </c>
    </row>
    <row r="1590">
      <c r="A1590" s="23">
        <f>IFERROR(__xludf.DUMMYFUNCTION("""COMPUTED_VALUE"""),1695.0)</f>
        <v>1695</v>
      </c>
      <c r="B1590" s="23" t="str">
        <f>IFERROR(__xludf.DUMMYFUNCTION("""COMPUTED_VALUE"""),"Maximum Sum Obtained of Any Permutation")</f>
        <v>Maximum Sum Obtained of Any Permutation</v>
      </c>
      <c r="C1590" s="23" t="str">
        <f>IFERROR(__xludf.DUMMYFUNCTION("""COMPUTED_VALUE"""),"maximum-sum-obtained-of-any-permutation")</f>
        <v>maximum-sum-obtained-of-any-permutation</v>
      </c>
      <c r="D1590" s="23" t="b">
        <f>IFERROR(__xludf.DUMMYFUNCTION("""COMPUTED_VALUE"""),FALSE)</f>
        <v>0</v>
      </c>
      <c r="E1590" s="23" t="str">
        <f>IFERROR(__xludf.DUMMYFUNCTION("""COMPUTED_VALUE"""),"Medium")</f>
        <v>Medium</v>
      </c>
      <c r="F1590" s="23">
        <f>IFERROR(__xludf.DUMMYFUNCTION("""COMPUTED_VALUE"""),493.0)</f>
        <v>493</v>
      </c>
      <c r="G1590" s="23">
        <f>IFERROR(__xludf.DUMMYFUNCTION("""COMPUTED_VALUE"""),26.0)</f>
        <v>26</v>
      </c>
      <c r="H1590" s="23" t="str">
        <f>IFERROR(__xludf.DUMMYFUNCTION("""COMPUTED_VALUE"""),"Algorithms")</f>
        <v>Algorithms</v>
      </c>
      <c r="I1590" s="23">
        <f>IFERROR(__xludf.DUMMYFUNCTION("""COMPUTED_VALUE"""),0.363)</f>
        <v>0.363</v>
      </c>
      <c r="J1590" s="23">
        <f>IFERROR(__xludf.DUMMYFUNCTION("""COMPUTED_VALUE"""),1589.0)</f>
        <v>1589</v>
      </c>
      <c r="K1590" s="23" t="b">
        <f>IFERROR(__xludf.DUMMYFUNCTION("""COMPUTED_VALUE"""),FALSE)</f>
        <v>0</v>
      </c>
      <c r="L1590" s="23" t="str">
        <f>IFERROR(__xludf.DUMMYFUNCTION("""COMPUTED_VALUE"""),"Array;Greedy;Sorting;Prefix Sum;")</f>
        <v>Array;Greedy;Sorting;Prefix Sum;</v>
      </c>
      <c r="M1590" s="23" t="b">
        <f>IFERROR(__xludf.DUMMYFUNCTION("""COMPUTED_VALUE"""),FALSE)</f>
        <v>0</v>
      </c>
      <c r="N1590" s="23" t="b">
        <f>IFERROR(__xludf.DUMMYFUNCTION("""COMPUTED_VALUE"""),FALSE)</f>
        <v>0</v>
      </c>
      <c r="O1590" s="23">
        <f>IFERROR(__xludf.DUMMYFUNCTION("""COMPUTED_VALUE"""),36.285850575398)</f>
        <v>36.28585058</v>
      </c>
      <c r="P1590" s="23">
        <f>IFERROR(__xludf.DUMMYFUNCTION("""COMPUTED_VALUE"""),12171.0)</f>
        <v>12171</v>
      </c>
      <c r="Q1590" s="23">
        <f>IFERROR(__xludf.DUMMYFUNCTION("""COMPUTED_VALUE"""),33542.0)</f>
        <v>33542</v>
      </c>
    </row>
    <row r="1591">
      <c r="A1591" s="23">
        <f>IFERROR(__xludf.DUMMYFUNCTION("""COMPUTED_VALUE"""),1694.0)</f>
        <v>1694</v>
      </c>
      <c r="B1591" s="23" t="str">
        <f>IFERROR(__xludf.DUMMYFUNCTION("""COMPUTED_VALUE"""),"Make Sum Divisible by P")</f>
        <v>Make Sum Divisible by P</v>
      </c>
      <c r="C1591" s="23" t="str">
        <f>IFERROR(__xludf.DUMMYFUNCTION("""COMPUTED_VALUE"""),"make-sum-divisible-by-p")</f>
        <v>make-sum-divisible-by-p</v>
      </c>
      <c r="D1591" s="23" t="b">
        <f>IFERROR(__xludf.DUMMYFUNCTION("""COMPUTED_VALUE"""),FALSE)</f>
        <v>0</v>
      </c>
      <c r="E1591" s="23" t="str">
        <f>IFERROR(__xludf.DUMMYFUNCTION("""COMPUTED_VALUE"""),"Medium")</f>
        <v>Medium</v>
      </c>
      <c r="F1591" s="23">
        <f>IFERROR(__xludf.DUMMYFUNCTION("""COMPUTED_VALUE"""),885.0)</f>
        <v>885</v>
      </c>
      <c r="G1591" s="23">
        <f>IFERROR(__xludf.DUMMYFUNCTION("""COMPUTED_VALUE"""),38.0)</f>
        <v>38</v>
      </c>
      <c r="H1591" s="23" t="str">
        <f>IFERROR(__xludf.DUMMYFUNCTION("""COMPUTED_VALUE"""),"Algorithms")</f>
        <v>Algorithms</v>
      </c>
      <c r="I1591" s="23">
        <f>IFERROR(__xludf.DUMMYFUNCTION("""COMPUTED_VALUE"""),0.282)</f>
        <v>0.282</v>
      </c>
      <c r="J1591" s="23">
        <f>IFERROR(__xludf.DUMMYFUNCTION("""COMPUTED_VALUE"""),1590.0)</f>
        <v>1590</v>
      </c>
      <c r="K1591" s="23" t="b">
        <f>IFERROR(__xludf.DUMMYFUNCTION("""COMPUTED_VALUE"""),FALSE)</f>
        <v>0</v>
      </c>
      <c r="L1591" s="23" t="str">
        <f>IFERROR(__xludf.DUMMYFUNCTION("""COMPUTED_VALUE"""),"Array;Hash Table;Prefix Sum;")</f>
        <v>Array;Hash Table;Prefix Sum;</v>
      </c>
      <c r="M1591" s="23" t="b">
        <f>IFERROR(__xludf.DUMMYFUNCTION("""COMPUTED_VALUE"""),FALSE)</f>
        <v>0</v>
      </c>
      <c r="N1591" s="23" t="b">
        <f>IFERROR(__xludf.DUMMYFUNCTION("""COMPUTED_VALUE"""),FALSE)</f>
        <v>0</v>
      </c>
      <c r="O1591" s="23">
        <f>IFERROR(__xludf.DUMMYFUNCTION("""COMPUTED_VALUE"""),28.1531012220428)</f>
        <v>28.15310122</v>
      </c>
      <c r="P1591" s="23">
        <f>IFERROR(__xludf.DUMMYFUNCTION("""COMPUTED_VALUE"""),15873.0)</f>
        <v>15873</v>
      </c>
      <c r="Q1591" s="23">
        <f>IFERROR(__xludf.DUMMYFUNCTION("""COMPUTED_VALUE"""),56381.0)</f>
        <v>56381</v>
      </c>
    </row>
    <row r="1592">
      <c r="A1592" s="23">
        <f>IFERROR(__xludf.DUMMYFUNCTION("""COMPUTED_VALUE"""),1696.0)</f>
        <v>1696</v>
      </c>
      <c r="B1592" s="23" t="str">
        <f>IFERROR(__xludf.DUMMYFUNCTION("""COMPUTED_VALUE"""),"Strange Printer II")</f>
        <v>Strange Printer II</v>
      </c>
      <c r="C1592" s="23" t="str">
        <f>IFERROR(__xludf.DUMMYFUNCTION("""COMPUTED_VALUE"""),"strange-printer-ii")</f>
        <v>strange-printer-ii</v>
      </c>
      <c r="D1592" s="23" t="b">
        <f>IFERROR(__xludf.DUMMYFUNCTION("""COMPUTED_VALUE"""),FALSE)</f>
        <v>0</v>
      </c>
      <c r="E1592" s="23" t="str">
        <f>IFERROR(__xludf.DUMMYFUNCTION("""COMPUTED_VALUE"""),"Hard")</f>
        <v>Hard</v>
      </c>
      <c r="F1592" s="23">
        <f>IFERROR(__xludf.DUMMYFUNCTION("""COMPUTED_VALUE"""),332.0)</f>
        <v>332</v>
      </c>
      <c r="G1592" s="23">
        <f>IFERROR(__xludf.DUMMYFUNCTION("""COMPUTED_VALUE"""),11.0)</f>
        <v>11</v>
      </c>
      <c r="H1592" s="23" t="str">
        <f>IFERROR(__xludf.DUMMYFUNCTION("""COMPUTED_VALUE"""),"Algorithms")</f>
        <v>Algorithms</v>
      </c>
      <c r="I1592" s="23">
        <f>IFERROR(__xludf.DUMMYFUNCTION("""COMPUTED_VALUE"""),0.568)</f>
        <v>0.568</v>
      </c>
      <c r="J1592" s="23">
        <f>IFERROR(__xludf.DUMMYFUNCTION("""COMPUTED_VALUE"""),1591.0)</f>
        <v>1591</v>
      </c>
      <c r="K1592" s="23" t="b">
        <f>IFERROR(__xludf.DUMMYFUNCTION("""COMPUTED_VALUE"""),FALSE)</f>
        <v>0</v>
      </c>
      <c r="L1592" s="23" t="str">
        <f>IFERROR(__xludf.DUMMYFUNCTION("""COMPUTED_VALUE"""),"Array;Graph;Topological Sort;Matrix;")</f>
        <v>Array;Graph;Topological Sort;Matrix;</v>
      </c>
      <c r="M1592" s="23" t="b">
        <f>IFERROR(__xludf.DUMMYFUNCTION("""COMPUTED_VALUE"""),FALSE)</f>
        <v>0</v>
      </c>
      <c r="N1592" s="23" t="b">
        <f>IFERROR(__xludf.DUMMYFUNCTION("""COMPUTED_VALUE"""),FALSE)</f>
        <v>0</v>
      </c>
      <c r="O1592" s="23">
        <f>IFERROR(__xludf.DUMMYFUNCTION("""COMPUTED_VALUE"""),56.8296155671571)</f>
        <v>56.82961557</v>
      </c>
      <c r="P1592" s="23">
        <f>IFERROR(__xludf.DUMMYFUNCTION("""COMPUTED_VALUE"""),5987.0)</f>
        <v>5987</v>
      </c>
      <c r="Q1592" s="23">
        <f>IFERROR(__xludf.DUMMYFUNCTION("""COMPUTED_VALUE"""),10535.0)</f>
        <v>10535</v>
      </c>
    </row>
    <row r="1593">
      <c r="A1593" s="23">
        <f>IFERROR(__xludf.DUMMYFUNCTION("""COMPUTED_VALUE"""),1714.0)</f>
        <v>1714</v>
      </c>
      <c r="B1593" s="23" t="str">
        <f>IFERROR(__xludf.DUMMYFUNCTION("""COMPUTED_VALUE"""),"Rearrange Spaces Between Words")</f>
        <v>Rearrange Spaces Between Words</v>
      </c>
      <c r="C1593" s="23" t="str">
        <f>IFERROR(__xludf.DUMMYFUNCTION("""COMPUTED_VALUE"""),"rearrange-spaces-between-words")</f>
        <v>rearrange-spaces-between-words</v>
      </c>
      <c r="D1593" s="23" t="b">
        <f>IFERROR(__xludf.DUMMYFUNCTION("""COMPUTED_VALUE"""),FALSE)</f>
        <v>0</v>
      </c>
      <c r="E1593" s="23" t="str">
        <f>IFERROR(__xludf.DUMMYFUNCTION("""COMPUTED_VALUE"""),"Easy")</f>
        <v>Easy</v>
      </c>
      <c r="F1593" s="23">
        <f>IFERROR(__xludf.DUMMYFUNCTION("""COMPUTED_VALUE"""),264.0)</f>
        <v>264</v>
      </c>
      <c r="G1593" s="23">
        <f>IFERROR(__xludf.DUMMYFUNCTION("""COMPUTED_VALUE"""),234.0)</f>
        <v>234</v>
      </c>
      <c r="H1593" s="23" t="str">
        <f>IFERROR(__xludf.DUMMYFUNCTION("""COMPUTED_VALUE"""),"Algorithms")</f>
        <v>Algorithms</v>
      </c>
      <c r="I1593" s="23">
        <f>IFERROR(__xludf.DUMMYFUNCTION("""COMPUTED_VALUE"""),0.44)</f>
        <v>0.44</v>
      </c>
      <c r="J1593" s="23">
        <f>IFERROR(__xludf.DUMMYFUNCTION("""COMPUTED_VALUE"""),1592.0)</f>
        <v>1592</v>
      </c>
      <c r="K1593" s="23" t="b">
        <f>IFERROR(__xludf.DUMMYFUNCTION("""COMPUTED_VALUE"""),FALSE)</f>
        <v>0</v>
      </c>
      <c r="L1593" s="23" t="str">
        <f>IFERROR(__xludf.DUMMYFUNCTION("""COMPUTED_VALUE"""),"String;")</f>
        <v>String;</v>
      </c>
      <c r="M1593" s="23" t="b">
        <f>IFERROR(__xludf.DUMMYFUNCTION("""COMPUTED_VALUE"""),FALSE)</f>
        <v>0</v>
      </c>
      <c r="N1593" s="23" t="b">
        <f>IFERROR(__xludf.DUMMYFUNCTION("""COMPUTED_VALUE"""),FALSE)</f>
        <v>0</v>
      </c>
      <c r="O1593" s="23">
        <f>IFERROR(__xludf.DUMMYFUNCTION("""COMPUTED_VALUE"""),44.0030996900309)</f>
        <v>44.00309969</v>
      </c>
      <c r="P1593" s="23">
        <f>IFERROR(__xludf.DUMMYFUNCTION("""COMPUTED_VALUE"""),35204.0)</f>
        <v>35204</v>
      </c>
      <c r="Q1593" s="23">
        <f>IFERROR(__xludf.DUMMYFUNCTION("""COMPUTED_VALUE"""),80003.0)</f>
        <v>80003</v>
      </c>
    </row>
    <row r="1594">
      <c r="A1594" s="23">
        <f>IFERROR(__xludf.DUMMYFUNCTION("""COMPUTED_VALUE"""),1715.0)</f>
        <v>1715</v>
      </c>
      <c r="B1594" s="23" t="str">
        <f>IFERROR(__xludf.DUMMYFUNCTION("""COMPUTED_VALUE"""),"Split a String Into the Max Number of Unique Substrings")</f>
        <v>Split a String Into the Max Number of Unique Substrings</v>
      </c>
      <c r="C1594" s="23" t="str">
        <f>IFERROR(__xludf.DUMMYFUNCTION("""COMPUTED_VALUE"""),"split-a-string-into-the-max-number-of-unique-substrings")</f>
        <v>split-a-string-into-the-max-number-of-unique-substrings</v>
      </c>
      <c r="D1594" s="23" t="b">
        <f>IFERROR(__xludf.DUMMYFUNCTION("""COMPUTED_VALUE"""),FALSE)</f>
        <v>0</v>
      </c>
      <c r="E1594" s="23" t="str">
        <f>IFERROR(__xludf.DUMMYFUNCTION("""COMPUTED_VALUE"""),"Medium")</f>
        <v>Medium</v>
      </c>
      <c r="F1594" s="23">
        <f>IFERROR(__xludf.DUMMYFUNCTION("""COMPUTED_VALUE"""),552.0)</f>
        <v>552</v>
      </c>
      <c r="G1594" s="23">
        <f>IFERROR(__xludf.DUMMYFUNCTION("""COMPUTED_VALUE"""),24.0)</f>
        <v>24</v>
      </c>
      <c r="H1594" s="23" t="str">
        <f>IFERROR(__xludf.DUMMYFUNCTION("""COMPUTED_VALUE"""),"Algorithms")</f>
        <v>Algorithms</v>
      </c>
      <c r="I1594" s="23">
        <f>IFERROR(__xludf.DUMMYFUNCTION("""COMPUTED_VALUE"""),0.543)</f>
        <v>0.543</v>
      </c>
      <c r="J1594" s="23">
        <f>IFERROR(__xludf.DUMMYFUNCTION("""COMPUTED_VALUE"""),1593.0)</f>
        <v>1593</v>
      </c>
      <c r="K1594" s="23" t="b">
        <f>IFERROR(__xludf.DUMMYFUNCTION("""COMPUTED_VALUE"""),FALSE)</f>
        <v>0</v>
      </c>
      <c r="L1594" s="23" t="str">
        <f>IFERROR(__xludf.DUMMYFUNCTION("""COMPUTED_VALUE"""),"Hash Table;String;Backtracking;")</f>
        <v>Hash Table;String;Backtracking;</v>
      </c>
      <c r="M1594" s="23" t="b">
        <f>IFERROR(__xludf.DUMMYFUNCTION("""COMPUTED_VALUE"""),FALSE)</f>
        <v>0</v>
      </c>
      <c r="N1594" s="23" t="b">
        <f>IFERROR(__xludf.DUMMYFUNCTION("""COMPUTED_VALUE"""),FALSE)</f>
        <v>0</v>
      </c>
      <c r="O1594" s="23">
        <f>IFERROR(__xludf.DUMMYFUNCTION("""COMPUTED_VALUE"""),54.2660477028973)</f>
        <v>54.2660477</v>
      </c>
      <c r="P1594" s="23">
        <f>IFERROR(__xludf.DUMMYFUNCTION("""COMPUTED_VALUE"""),20339.0)</f>
        <v>20339</v>
      </c>
      <c r="Q1594" s="23">
        <f>IFERROR(__xludf.DUMMYFUNCTION("""COMPUTED_VALUE"""),37481.0)</f>
        <v>37481</v>
      </c>
    </row>
    <row r="1595">
      <c r="A1595" s="23">
        <f>IFERROR(__xludf.DUMMYFUNCTION("""COMPUTED_VALUE"""),1716.0)</f>
        <v>1716</v>
      </c>
      <c r="B1595" s="23" t="str">
        <f>IFERROR(__xludf.DUMMYFUNCTION("""COMPUTED_VALUE"""),"Maximum Non Negative Product in a Matrix")</f>
        <v>Maximum Non Negative Product in a Matrix</v>
      </c>
      <c r="C1595" s="23" t="str">
        <f>IFERROR(__xludf.DUMMYFUNCTION("""COMPUTED_VALUE"""),"maximum-non-negative-product-in-a-matrix")</f>
        <v>maximum-non-negative-product-in-a-matrix</v>
      </c>
      <c r="D1595" s="23" t="b">
        <f>IFERROR(__xludf.DUMMYFUNCTION("""COMPUTED_VALUE"""),FALSE)</f>
        <v>0</v>
      </c>
      <c r="E1595" s="23" t="str">
        <f>IFERROR(__xludf.DUMMYFUNCTION("""COMPUTED_VALUE"""),"Medium")</f>
        <v>Medium</v>
      </c>
      <c r="F1595" s="23">
        <f>IFERROR(__xludf.DUMMYFUNCTION("""COMPUTED_VALUE"""),533.0)</f>
        <v>533</v>
      </c>
      <c r="G1595" s="23">
        <f>IFERROR(__xludf.DUMMYFUNCTION("""COMPUTED_VALUE"""),23.0)</f>
        <v>23</v>
      </c>
      <c r="H1595" s="23" t="str">
        <f>IFERROR(__xludf.DUMMYFUNCTION("""COMPUTED_VALUE"""),"Algorithms")</f>
        <v>Algorithms</v>
      </c>
      <c r="I1595" s="23">
        <f>IFERROR(__xludf.DUMMYFUNCTION("""COMPUTED_VALUE"""),0.331)</f>
        <v>0.331</v>
      </c>
      <c r="J1595" s="23">
        <f>IFERROR(__xludf.DUMMYFUNCTION("""COMPUTED_VALUE"""),1594.0)</f>
        <v>1594</v>
      </c>
      <c r="K1595" s="23" t="b">
        <f>IFERROR(__xludf.DUMMYFUNCTION("""COMPUTED_VALUE"""),FALSE)</f>
        <v>0</v>
      </c>
      <c r="L1595" s="23" t="str">
        <f>IFERROR(__xludf.DUMMYFUNCTION("""COMPUTED_VALUE"""),"Array;Dynamic Programming;Matrix;")</f>
        <v>Array;Dynamic Programming;Matrix;</v>
      </c>
      <c r="M1595" s="23" t="b">
        <f>IFERROR(__xludf.DUMMYFUNCTION("""COMPUTED_VALUE"""),FALSE)</f>
        <v>0</v>
      </c>
      <c r="N1595" s="23" t="b">
        <f>IFERROR(__xludf.DUMMYFUNCTION("""COMPUTED_VALUE"""),FALSE)</f>
        <v>0</v>
      </c>
      <c r="O1595" s="23">
        <f>IFERROR(__xludf.DUMMYFUNCTION("""COMPUTED_VALUE"""),33.0860443903922)</f>
        <v>33.08604439</v>
      </c>
      <c r="P1595" s="23">
        <f>IFERROR(__xludf.DUMMYFUNCTION("""COMPUTED_VALUE"""),16323.0)</f>
        <v>16323</v>
      </c>
      <c r="Q1595" s="23">
        <f>IFERROR(__xludf.DUMMYFUNCTION("""COMPUTED_VALUE"""),49335.0)</f>
        <v>49335</v>
      </c>
    </row>
    <row r="1596">
      <c r="A1596" s="23">
        <f>IFERROR(__xludf.DUMMYFUNCTION("""COMPUTED_VALUE"""),1717.0)</f>
        <v>1717</v>
      </c>
      <c r="B1596" s="23" t="str">
        <f>IFERROR(__xludf.DUMMYFUNCTION("""COMPUTED_VALUE"""),"Minimum Cost to Connect Two Groups of Points")</f>
        <v>Minimum Cost to Connect Two Groups of Points</v>
      </c>
      <c r="C1596" s="23" t="str">
        <f>IFERROR(__xludf.DUMMYFUNCTION("""COMPUTED_VALUE"""),"minimum-cost-to-connect-two-groups-of-points")</f>
        <v>minimum-cost-to-connect-two-groups-of-points</v>
      </c>
      <c r="D1596" s="23" t="b">
        <f>IFERROR(__xludf.DUMMYFUNCTION("""COMPUTED_VALUE"""),FALSE)</f>
        <v>0</v>
      </c>
      <c r="E1596" s="23" t="str">
        <f>IFERROR(__xludf.DUMMYFUNCTION("""COMPUTED_VALUE"""),"Hard")</f>
        <v>Hard</v>
      </c>
      <c r="F1596" s="23">
        <f>IFERROR(__xludf.DUMMYFUNCTION("""COMPUTED_VALUE"""),326.0)</f>
        <v>326</v>
      </c>
      <c r="G1596" s="23">
        <f>IFERROR(__xludf.DUMMYFUNCTION("""COMPUTED_VALUE"""),12.0)</f>
        <v>12</v>
      </c>
      <c r="H1596" s="23" t="str">
        <f>IFERROR(__xludf.DUMMYFUNCTION("""COMPUTED_VALUE"""),"Algorithms")</f>
        <v>Algorithms</v>
      </c>
      <c r="I1596" s="23">
        <f>IFERROR(__xludf.DUMMYFUNCTION("""COMPUTED_VALUE"""),0.458)</f>
        <v>0.458</v>
      </c>
      <c r="J1596" s="23">
        <f>IFERROR(__xludf.DUMMYFUNCTION("""COMPUTED_VALUE"""),1595.0)</f>
        <v>1595</v>
      </c>
      <c r="K1596" s="23" t="b">
        <f>IFERROR(__xludf.DUMMYFUNCTION("""COMPUTED_VALUE"""),FALSE)</f>
        <v>0</v>
      </c>
      <c r="L1596" s="23" t="str">
        <f>IFERROR(__xludf.DUMMYFUNCTION("""COMPUTED_VALUE"""),"Array;Dynamic Programming;Bit Manipulation;Matrix;Bitmask;")</f>
        <v>Array;Dynamic Programming;Bit Manipulation;Matrix;Bitmask;</v>
      </c>
      <c r="M1596" s="23" t="b">
        <f>IFERROR(__xludf.DUMMYFUNCTION("""COMPUTED_VALUE"""),FALSE)</f>
        <v>0</v>
      </c>
      <c r="N1596" s="23" t="b">
        <f>IFERROR(__xludf.DUMMYFUNCTION("""COMPUTED_VALUE"""),FALSE)</f>
        <v>0</v>
      </c>
      <c r="O1596" s="23">
        <f>IFERROR(__xludf.DUMMYFUNCTION("""COMPUTED_VALUE"""),45.840681951793)</f>
        <v>45.84068195</v>
      </c>
      <c r="P1596" s="23">
        <f>IFERROR(__xludf.DUMMYFUNCTION("""COMPUTED_VALUE"""),6238.0)</f>
        <v>6238</v>
      </c>
      <c r="Q1596" s="23">
        <f>IFERROR(__xludf.DUMMYFUNCTION("""COMPUTED_VALUE"""),13608.0)</f>
        <v>13608</v>
      </c>
    </row>
    <row r="1597">
      <c r="A1597" s="23">
        <f>IFERROR(__xludf.DUMMYFUNCTION("""COMPUTED_VALUE"""),1735.0)</f>
        <v>1735</v>
      </c>
      <c r="B1597" s="23" t="str">
        <f>IFERROR(__xludf.DUMMYFUNCTION("""COMPUTED_VALUE"""),"The Most Frequently Ordered Products for Each Customer")</f>
        <v>The Most Frequently Ordered Products for Each Customer</v>
      </c>
      <c r="C1597" s="23" t="str">
        <f>IFERROR(__xludf.DUMMYFUNCTION("""COMPUTED_VALUE"""),"the-most-frequently-ordered-products-for-each-customer")</f>
        <v>the-most-frequently-ordered-products-for-each-customer</v>
      </c>
      <c r="D1597" s="23" t="b">
        <f>IFERROR(__xludf.DUMMYFUNCTION("""COMPUTED_VALUE"""),TRUE)</f>
        <v>1</v>
      </c>
      <c r="E1597" s="23" t="str">
        <f>IFERROR(__xludf.DUMMYFUNCTION("""COMPUTED_VALUE"""),"Medium")</f>
        <v>Medium</v>
      </c>
      <c r="F1597" s="23">
        <f>IFERROR(__xludf.DUMMYFUNCTION("""COMPUTED_VALUE"""),156.0)</f>
        <v>156</v>
      </c>
      <c r="G1597" s="23">
        <f>IFERROR(__xludf.DUMMYFUNCTION("""COMPUTED_VALUE"""),13.0)</f>
        <v>13</v>
      </c>
      <c r="H1597" s="23" t="str">
        <f>IFERROR(__xludf.DUMMYFUNCTION("""COMPUTED_VALUE"""),"Database")</f>
        <v>Database</v>
      </c>
      <c r="I1597" s="23">
        <f>IFERROR(__xludf.DUMMYFUNCTION("""COMPUTED_VALUE"""),0.849)</f>
        <v>0.849</v>
      </c>
      <c r="J1597" s="23">
        <f>IFERROR(__xludf.DUMMYFUNCTION("""COMPUTED_VALUE"""),1596.0)</f>
        <v>1596</v>
      </c>
      <c r="K1597" s="23" t="b">
        <f>IFERROR(__xludf.DUMMYFUNCTION("""COMPUTED_VALUE"""),TRUE)</f>
        <v>1</v>
      </c>
      <c r="L1597" s="23" t="str">
        <f>IFERROR(__xludf.DUMMYFUNCTION("""COMPUTED_VALUE"""),"Database;")</f>
        <v>Database;</v>
      </c>
      <c r="M1597" s="23" t="b">
        <f>IFERROR(__xludf.DUMMYFUNCTION("""COMPUTED_VALUE"""),FALSE)</f>
        <v>0</v>
      </c>
      <c r="N1597" s="23" t="b">
        <f>IFERROR(__xludf.DUMMYFUNCTION("""COMPUTED_VALUE"""),FALSE)</f>
        <v>0</v>
      </c>
      <c r="O1597" s="23">
        <f>IFERROR(__xludf.DUMMYFUNCTION("""COMPUTED_VALUE"""),84.9138522005392)</f>
        <v>84.9138522</v>
      </c>
      <c r="P1597" s="23">
        <f>IFERROR(__xludf.DUMMYFUNCTION("""COMPUTED_VALUE"""),18580.0)</f>
        <v>18580</v>
      </c>
      <c r="Q1597" s="23">
        <f>IFERROR(__xludf.DUMMYFUNCTION("""COMPUTED_VALUE"""),21881.0)</f>
        <v>21881</v>
      </c>
    </row>
    <row r="1598">
      <c r="A1598" s="23">
        <f>IFERROR(__xludf.DUMMYFUNCTION("""COMPUTED_VALUE"""),1736.0)</f>
        <v>1736</v>
      </c>
      <c r="B1598" s="23" t="str">
        <f>IFERROR(__xludf.DUMMYFUNCTION("""COMPUTED_VALUE"""),"Build Binary Expression Tree From Infix Expression")</f>
        <v>Build Binary Expression Tree From Infix Expression</v>
      </c>
      <c r="C1598" s="23" t="str">
        <f>IFERROR(__xludf.DUMMYFUNCTION("""COMPUTED_VALUE"""),"build-binary-expression-tree-from-infix-expression")</f>
        <v>build-binary-expression-tree-from-infix-expression</v>
      </c>
      <c r="D1598" s="23" t="b">
        <f>IFERROR(__xludf.DUMMYFUNCTION("""COMPUTED_VALUE"""),TRUE)</f>
        <v>1</v>
      </c>
      <c r="E1598" s="23" t="str">
        <f>IFERROR(__xludf.DUMMYFUNCTION("""COMPUTED_VALUE"""),"Hard")</f>
        <v>Hard</v>
      </c>
      <c r="F1598" s="23">
        <f>IFERROR(__xludf.DUMMYFUNCTION("""COMPUTED_VALUE"""),155.0)</f>
        <v>155</v>
      </c>
      <c r="G1598" s="23">
        <f>IFERROR(__xludf.DUMMYFUNCTION("""COMPUTED_VALUE"""),29.0)</f>
        <v>29</v>
      </c>
      <c r="H1598" s="23" t="str">
        <f>IFERROR(__xludf.DUMMYFUNCTION("""COMPUTED_VALUE"""),"Algorithms")</f>
        <v>Algorithms</v>
      </c>
      <c r="I1598" s="23">
        <f>IFERROR(__xludf.DUMMYFUNCTION("""COMPUTED_VALUE"""),0.603)</f>
        <v>0.603</v>
      </c>
      <c r="J1598" s="23">
        <f>IFERROR(__xludf.DUMMYFUNCTION("""COMPUTED_VALUE"""),1597.0)</f>
        <v>1597</v>
      </c>
      <c r="K1598" s="23" t="b">
        <f>IFERROR(__xludf.DUMMYFUNCTION("""COMPUTED_VALUE"""),TRUE)</f>
        <v>1</v>
      </c>
      <c r="L1598" s="23" t="str">
        <f>IFERROR(__xludf.DUMMYFUNCTION("""COMPUTED_VALUE"""),"String;Stack;Tree;Binary Tree;")</f>
        <v>String;Stack;Tree;Binary Tree;</v>
      </c>
      <c r="M1598" s="23" t="b">
        <f>IFERROR(__xludf.DUMMYFUNCTION("""COMPUTED_VALUE"""),FALSE)</f>
        <v>0</v>
      </c>
      <c r="N1598" s="23" t="b">
        <f>IFERROR(__xludf.DUMMYFUNCTION("""COMPUTED_VALUE"""),FALSE)</f>
        <v>0</v>
      </c>
      <c r="O1598" s="23">
        <f>IFERROR(__xludf.DUMMYFUNCTION("""COMPUTED_VALUE"""),60.3274774006481)</f>
        <v>60.3274774</v>
      </c>
      <c r="P1598" s="23">
        <f>IFERROR(__xludf.DUMMYFUNCTION("""COMPUTED_VALUE"""),7074.0)</f>
        <v>7074</v>
      </c>
      <c r="Q1598" s="23">
        <f>IFERROR(__xludf.DUMMYFUNCTION("""COMPUTED_VALUE"""),11726.0)</f>
        <v>11726</v>
      </c>
    </row>
    <row r="1599">
      <c r="A1599" s="23">
        <f>IFERROR(__xludf.DUMMYFUNCTION("""COMPUTED_VALUE"""),1720.0)</f>
        <v>1720</v>
      </c>
      <c r="B1599" s="23" t="str">
        <f>IFERROR(__xludf.DUMMYFUNCTION("""COMPUTED_VALUE"""),"Crawler Log Folder")</f>
        <v>Crawler Log Folder</v>
      </c>
      <c r="C1599" s="23" t="str">
        <f>IFERROR(__xludf.DUMMYFUNCTION("""COMPUTED_VALUE"""),"crawler-log-folder")</f>
        <v>crawler-log-folder</v>
      </c>
      <c r="D1599" s="23" t="b">
        <f>IFERROR(__xludf.DUMMYFUNCTION("""COMPUTED_VALUE"""),FALSE)</f>
        <v>0</v>
      </c>
      <c r="E1599" s="23" t="str">
        <f>IFERROR(__xludf.DUMMYFUNCTION("""COMPUTED_VALUE"""),"Easy")</f>
        <v>Easy</v>
      </c>
      <c r="F1599" s="23">
        <f>IFERROR(__xludf.DUMMYFUNCTION("""COMPUTED_VALUE"""),500.0)</f>
        <v>500</v>
      </c>
      <c r="G1599" s="23">
        <f>IFERROR(__xludf.DUMMYFUNCTION("""COMPUTED_VALUE"""),37.0)</f>
        <v>37</v>
      </c>
      <c r="H1599" s="23" t="str">
        <f>IFERROR(__xludf.DUMMYFUNCTION("""COMPUTED_VALUE"""),"Algorithms")</f>
        <v>Algorithms</v>
      </c>
      <c r="I1599" s="23">
        <f>IFERROR(__xludf.DUMMYFUNCTION("""COMPUTED_VALUE"""),0.643)</f>
        <v>0.643</v>
      </c>
      <c r="J1599" s="23">
        <f>IFERROR(__xludf.DUMMYFUNCTION("""COMPUTED_VALUE"""),1598.0)</f>
        <v>1598</v>
      </c>
      <c r="K1599" s="23" t="b">
        <f>IFERROR(__xludf.DUMMYFUNCTION("""COMPUTED_VALUE"""),FALSE)</f>
        <v>0</v>
      </c>
      <c r="L1599" s="23" t="str">
        <f>IFERROR(__xludf.DUMMYFUNCTION("""COMPUTED_VALUE"""),"Array;String;Stack;")</f>
        <v>Array;String;Stack;</v>
      </c>
      <c r="M1599" s="23" t="b">
        <f>IFERROR(__xludf.DUMMYFUNCTION("""COMPUTED_VALUE"""),FALSE)</f>
        <v>0</v>
      </c>
      <c r="N1599" s="23" t="b">
        <f>IFERROR(__xludf.DUMMYFUNCTION("""COMPUTED_VALUE"""),FALSE)</f>
        <v>0</v>
      </c>
      <c r="O1599" s="23">
        <f>IFERROR(__xludf.DUMMYFUNCTION("""COMPUTED_VALUE"""),64.3009384444091)</f>
        <v>64.30093844</v>
      </c>
      <c r="P1599" s="23">
        <f>IFERROR(__xludf.DUMMYFUNCTION("""COMPUTED_VALUE"""),40426.0)</f>
        <v>40426</v>
      </c>
      <c r="Q1599" s="23">
        <f>IFERROR(__xludf.DUMMYFUNCTION("""COMPUTED_VALUE"""),62870.0)</f>
        <v>62870</v>
      </c>
    </row>
    <row r="1600">
      <c r="A1600" s="23">
        <f>IFERROR(__xludf.DUMMYFUNCTION("""COMPUTED_VALUE"""),1721.0)</f>
        <v>1721</v>
      </c>
      <c r="B1600" s="23" t="str">
        <f>IFERROR(__xludf.DUMMYFUNCTION("""COMPUTED_VALUE"""),"Maximum Profit of Operating a Centennial Wheel")</f>
        <v>Maximum Profit of Operating a Centennial Wheel</v>
      </c>
      <c r="C1600" s="23" t="str">
        <f>IFERROR(__xludf.DUMMYFUNCTION("""COMPUTED_VALUE"""),"maximum-profit-of-operating-a-centennial-wheel")</f>
        <v>maximum-profit-of-operating-a-centennial-wheel</v>
      </c>
      <c r="D1600" s="23" t="b">
        <f>IFERROR(__xludf.DUMMYFUNCTION("""COMPUTED_VALUE"""),FALSE)</f>
        <v>0</v>
      </c>
      <c r="E1600" s="23" t="str">
        <f>IFERROR(__xludf.DUMMYFUNCTION("""COMPUTED_VALUE"""),"Medium")</f>
        <v>Medium</v>
      </c>
      <c r="F1600" s="23">
        <f>IFERROR(__xludf.DUMMYFUNCTION("""COMPUTED_VALUE"""),68.0)</f>
        <v>68</v>
      </c>
      <c r="G1600" s="23">
        <f>IFERROR(__xludf.DUMMYFUNCTION("""COMPUTED_VALUE"""),210.0)</f>
        <v>210</v>
      </c>
      <c r="H1600" s="23" t="str">
        <f>IFERROR(__xludf.DUMMYFUNCTION("""COMPUTED_VALUE"""),"Algorithms")</f>
        <v>Algorithms</v>
      </c>
      <c r="I1600" s="23">
        <f>IFERROR(__xludf.DUMMYFUNCTION("""COMPUTED_VALUE"""),0.439)</f>
        <v>0.439</v>
      </c>
      <c r="J1600" s="23">
        <f>IFERROR(__xludf.DUMMYFUNCTION("""COMPUTED_VALUE"""),1599.0)</f>
        <v>1599</v>
      </c>
      <c r="K1600" s="23" t="b">
        <f>IFERROR(__xludf.DUMMYFUNCTION("""COMPUTED_VALUE"""),FALSE)</f>
        <v>0</v>
      </c>
      <c r="L1600" s="23" t="str">
        <f>IFERROR(__xludf.DUMMYFUNCTION("""COMPUTED_VALUE"""),"Array;Simulation;")</f>
        <v>Array;Simulation;</v>
      </c>
      <c r="M1600" s="23" t="b">
        <f>IFERROR(__xludf.DUMMYFUNCTION("""COMPUTED_VALUE"""),FALSE)</f>
        <v>0</v>
      </c>
      <c r="N1600" s="23" t="b">
        <f>IFERROR(__xludf.DUMMYFUNCTION("""COMPUTED_VALUE"""),FALSE)</f>
        <v>0</v>
      </c>
      <c r="O1600" s="23">
        <f>IFERROR(__xludf.DUMMYFUNCTION("""COMPUTED_VALUE"""),43.9261242455869)</f>
        <v>43.92612425</v>
      </c>
      <c r="P1600" s="23">
        <f>IFERROR(__xludf.DUMMYFUNCTION("""COMPUTED_VALUE"""),9680.0)</f>
        <v>9680</v>
      </c>
      <c r="Q1600" s="23">
        <f>IFERROR(__xludf.DUMMYFUNCTION("""COMPUTED_VALUE"""),22037.0)</f>
        <v>22037</v>
      </c>
    </row>
    <row r="1601">
      <c r="A1601" s="23">
        <f>IFERROR(__xludf.DUMMYFUNCTION("""COMPUTED_VALUE"""),1722.0)</f>
        <v>1722</v>
      </c>
      <c r="B1601" s="23" t="str">
        <f>IFERROR(__xludf.DUMMYFUNCTION("""COMPUTED_VALUE"""),"Throne Inheritance")</f>
        <v>Throne Inheritance</v>
      </c>
      <c r="C1601" s="23" t="str">
        <f>IFERROR(__xludf.DUMMYFUNCTION("""COMPUTED_VALUE"""),"throne-inheritance")</f>
        <v>throne-inheritance</v>
      </c>
      <c r="D1601" s="23" t="b">
        <f>IFERROR(__xludf.DUMMYFUNCTION("""COMPUTED_VALUE"""),FALSE)</f>
        <v>0</v>
      </c>
      <c r="E1601" s="23" t="str">
        <f>IFERROR(__xludf.DUMMYFUNCTION("""COMPUTED_VALUE"""),"Medium")</f>
        <v>Medium</v>
      </c>
      <c r="F1601" s="23">
        <f>IFERROR(__xludf.DUMMYFUNCTION("""COMPUTED_VALUE"""),184.0)</f>
        <v>184</v>
      </c>
      <c r="G1601" s="23">
        <f>IFERROR(__xludf.DUMMYFUNCTION("""COMPUTED_VALUE"""),234.0)</f>
        <v>234</v>
      </c>
      <c r="H1601" s="23" t="str">
        <f>IFERROR(__xludf.DUMMYFUNCTION("""COMPUTED_VALUE"""),"Algorithms")</f>
        <v>Algorithms</v>
      </c>
      <c r="I1601" s="23">
        <f>IFERROR(__xludf.DUMMYFUNCTION("""COMPUTED_VALUE"""),0.631)</f>
        <v>0.631</v>
      </c>
      <c r="J1601" s="23">
        <f>IFERROR(__xludf.DUMMYFUNCTION("""COMPUTED_VALUE"""),1600.0)</f>
        <v>1600</v>
      </c>
      <c r="K1601" s="23" t="b">
        <f>IFERROR(__xludf.DUMMYFUNCTION("""COMPUTED_VALUE"""),FALSE)</f>
        <v>0</v>
      </c>
      <c r="L1601" s="23" t="str">
        <f>IFERROR(__xludf.DUMMYFUNCTION("""COMPUTED_VALUE"""),"Hash Table;Tree;Depth-First Search;Design;")</f>
        <v>Hash Table;Tree;Depth-First Search;Design;</v>
      </c>
      <c r="M1601" s="23" t="b">
        <f>IFERROR(__xludf.DUMMYFUNCTION("""COMPUTED_VALUE"""),FALSE)</f>
        <v>0</v>
      </c>
      <c r="N1601" s="23" t="b">
        <f>IFERROR(__xludf.DUMMYFUNCTION("""COMPUTED_VALUE"""),FALSE)</f>
        <v>0</v>
      </c>
      <c r="O1601" s="23">
        <f>IFERROR(__xludf.DUMMYFUNCTION("""COMPUTED_VALUE"""),63.133413593083)</f>
        <v>63.13341359</v>
      </c>
      <c r="P1601" s="23">
        <f>IFERROR(__xludf.DUMMYFUNCTION("""COMPUTED_VALUE"""),11537.0)</f>
        <v>11537</v>
      </c>
      <c r="Q1601" s="23">
        <f>IFERROR(__xludf.DUMMYFUNCTION("""COMPUTED_VALUE"""),18274.0)</f>
        <v>18274</v>
      </c>
    </row>
    <row r="1602">
      <c r="A1602" s="23">
        <f>IFERROR(__xludf.DUMMYFUNCTION("""COMPUTED_VALUE"""),1723.0)</f>
        <v>1723</v>
      </c>
      <c r="B1602" s="23" t="str">
        <f>IFERROR(__xludf.DUMMYFUNCTION("""COMPUTED_VALUE"""),"Maximum Number of Achievable Transfer Requests")</f>
        <v>Maximum Number of Achievable Transfer Requests</v>
      </c>
      <c r="C1602" s="23" t="str">
        <f>IFERROR(__xludf.DUMMYFUNCTION("""COMPUTED_VALUE"""),"maximum-number-of-achievable-transfer-requests")</f>
        <v>maximum-number-of-achievable-transfer-requests</v>
      </c>
      <c r="D1602" s="23" t="b">
        <f>IFERROR(__xludf.DUMMYFUNCTION("""COMPUTED_VALUE"""),FALSE)</f>
        <v>0</v>
      </c>
      <c r="E1602" s="23" t="str">
        <f>IFERROR(__xludf.DUMMYFUNCTION("""COMPUTED_VALUE"""),"Hard")</f>
        <v>Hard</v>
      </c>
      <c r="F1602" s="23">
        <f>IFERROR(__xludf.DUMMYFUNCTION("""COMPUTED_VALUE"""),217.0)</f>
        <v>217</v>
      </c>
      <c r="G1602" s="23">
        <f>IFERROR(__xludf.DUMMYFUNCTION("""COMPUTED_VALUE"""),26.0)</f>
        <v>26</v>
      </c>
      <c r="H1602" s="23" t="str">
        <f>IFERROR(__xludf.DUMMYFUNCTION("""COMPUTED_VALUE"""),"Algorithms")</f>
        <v>Algorithms</v>
      </c>
      <c r="I1602" s="23">
        <f>IFERROR(__xludf.DUMMYFUNCTION("""COMPUTED_VALUE"""),0.507)</f>
        <v>0.507</v>
      </c>
      <c r="J1602" s="23">
        <f>IFERROR(__xludf.DUMMYFUNCTION("""COMPUTED_VALUE"""),1601.0)</f>
        <v>1601</v>
      </c>
      <c r="K1602" s="23" t="b">
        <f>IFERROR(__xludf.DUMMYFUNCTION("""COMPUTED_VALUE"""),FALSE)</f>
        <v>0</v>
      </c>
      <c r="L1602" s="23" t="str">
        <f>IFERROR(__xludf.DUMMYFUNCTION("""COMPUTED_VALUE"""),"Array;Backtracking;Bit Manipulation;Enumeration;")</f>
        <v>Array;Backtracking;Bit Manipulation;Enumeration;</v>
      </c>
      <c r="M1602" s="23" t="b">
        <f>IFERROR(__xludf.DUMMYFUNCTION("""COMPUTED_VALUE"""),FALSE)</f>
        <v>0</v>
      </c>
      <c r="N1602" s="23" t="b">
        <f>IFERROR(__xludf.DUMMYFUNCTION("""COMPUTED_VALUE"""),FALSE)</f>
        <v>0</v>
      </c>
      <c r="O1602" s="23">
        <f>IFERROR(__xludf.DUMMYFUNCTION("""COMPUTED_VALUE"""),50.7412659533324)</f>
        <v>50.74126595</v>
      </c>
      <c r="P1602" s="23">
        <f>IFERROR(__xludf.DUMMYFUNCTION("""COMPUTED_VALUE"""),7872.0)</f>
        <v>7872</v>
      </c>
      <c r="Q1602" s="23">
        <f>IFERROR(__xludf.DUMMYFUNCTION("""COMPUTED_VALUE"""),15514.0)</f>
        <v>15514</v>
      </c>
    </row>
    <row r="1603">
      <c r="A1603" s="23">
        <f>IFERROR(__xludf.DUMMYFUNCTION("""COMPUTED_VALUE"""),1745.0)</f>
        <v>1745</v>
      </c>
      <c r="B1603" s="23" t="str">
        <f>IFERROR(__xludf.DUMMYFUNCTION("""COMPUTED_VALUE"""),"Find Nearest Right Node in Binary Tree")</f>
        <v>Find Nearest Right Node in Binary Tree</v>
      </c>
      <c r="C1603" s="23" t="str">
        <f>IFERROR(__xludf.DUMMYFUNCTION("""COMPUTED_VALUE"""),"find-nearest-right-node-in-binary-tree")</f>
        <v>find-nearest-right-node-in-binary-tree</v>
      </c>
      <c r="D1603" s="23" t="b">
        <f>IFERROR(__xludf.DUMMYFUNCTION("""COMPUTED_VALUE"""),TRUE)</f>
        <v>1</v>
      </c>
      <c r="E1603" s="23" t="str">
        <f>IFERROR(__xludf.DUMMYFUNCTION("""COMPUTED_VALUE"""),"Medium")</f>
        <v>Medium</v>
      </c>
      <c r="F1603" s="23">
        <f>IFERROR(__xludf.DUMMYFUNCTION("""COMPUTED_VALUE"""),258.0)</f>
        <v>258</v>
      </c>
      <c r="G1603" s="23">
        <f>IFERROR(__xludf.DUMMYFUNCTION("""COMPUTED_VALUE"""),9.0)</f>
        <v>9</v>
      </c>
      <c r="H1603" s="23" t="str">
        <f>IFERROR(__xludf.DUMMYFUNCTION("""COMPUTED_VALUE"""),"Algorithms")</f>
        <v>Algorithms</v>
      </c>
      <c r="I1603" s="23">
        <f>IFERROR(__xludf.DUMMYFUNCTION("""COMPUTED_VALUE"""),0.753)</f>
        <v>0.753</v>
      </c>
      <c r="J1603" s="23">
        <f>IFERROR(__xludf.DUMMYFUNCTION("""COMPUTED_VALUE"""),1602.0)</f>
        <v>1602</v>
      </c>
      <c r="K1603" s="23" t="b">
        <f>IFERROR(__xludf.DUMMYFUNCTION("""COMPUTED_VALUE"""),TRUE)</f>
        <v>1</v>
      </c>
      <c r="L1603" s="23" t="str">
        <f>IFERROR(__xludf.DUMMYFUNCTION("""COMPUTED_VALUE"""),"Tree;Breadth-First Search;Binary Tree;")</f>
        <v>Tree;Breadth-First Search;Binary Tree;</v>
      </c>
      <c r="M1603" s="23" t="b">
        <f>IFERROR(__xludf.DUMMYFUNCTION("""COMPUTED_VALUE"""),TRUE)</f>
        <v>1</v>
      </c>
      <c r="N1603" s="23" t="b">
        <f>IFERROR(__xludf.DUMMYFUNCTION("""COMPUTED_VALUE"""),TRUE)</f>
        <v>1</v>
      </c>
      <c r="O1603" s="23">
        <f>IFERROR(__xludf.DUMMYFUNCTION("""COMPUTED_VALUE"""),75.3081313590867)</f>
        <v>75.30813136</v>
      </c>
      <c r="P1603" s="23">
        <f>IFERROR(__xludf.DUMMYFUNCTION("""COMPUTED_VALUE"""),18208.0)</f>
        <v>18208</v>
      </c>
      <c r="Q1603" s="23">
        <f>IFERROR(__xludf.DUMMYFUNCTION("""COMPUTED_VALUE"""),24178.0)</f>
        <v>24178</v>
      </c>
    </row>
    <row r="1604">
      <c r="A1604" s="23">
        <f>IFERROR(__xludf.DUMMYFUNCTION("""COMPUTED_VALUE"""),1708.0)</f>
        <v>1708</v>
      </c>
      <c r="B1604" s="23" t="str">
        <f>IFERROR(__xludf.DUMMYFUNCTION("""COMPUTED_VALUE"""),"Design Parking System")</f>
        <v>Design Parking System</v>
      </c>
      <c r="C1604" s="23" t="str">
        <f>IFERROR(__xludf.DUMMYFUNCTION("""COMPUTED_VALUE"""),"design-parking-system")</f>
        <v>design-parking-system</v>
      </c>
      <c r="D1604" s="23" t="b">
        <f>IFERROR(__xludf.DUMMYFUNCTION("""COMPUTED_VALUE"""),FALSE)</f>
        <v>0</v>
      </c>
      <c r="E1604" s="23" t="str">
        <f>IFERROR(__xludf.DUMMYFUNCTION("""COMPUTED_VALUE"""),"Easy")</f>
        <v>Easy</v>
      </c>
      <c r="F1604" s="23">
        <f>IFERROR(__xludf.DUMMYFUNCTION("""COMPUTED_VALUE"""),648.0)</f>
        <v>648</v>
      </c>
      <c r="G1604" s="23">
        <f>IFERROR(__xludf.DUMMYFUNCTION("""COMPUTED_VALUE"""),276.0)</f>
        <v>276</v>
      </c>
      <c r="H1604" s="23" t="str">
        <f>IFERROR(__xludf.DUMMYFUNCTION("""COMPUTED_VALUE"""),"Algorithms")</f>
        <v>Algorithms</v>
      </c>
      <c r="I1604" s="23">
        <f>IFERROR(__xludf.DUMMYFUNCTION("""COMPUTED_VALUE"""),0.875)</f>
        <v>0.875</v>
      </c>
      <c r="J1604" s="23">
        <f>IFERROR(__xludf.DUMMYFUNCTION("""COMPUTED_VALUE"""),1603.0)</f>
        <v>1603</v>
      </c>
      <c r="K1604" s="23" t="b">
        <f>IFERROR(__xludf.DUMMYFUNCTION("""COMPUTED_VALUE"""),FALSE)</f>
        <v>0</v>
      </c>
      <c r="L1604" s="23" t="str">
        <f>IFERROR(__xludf.DUMMYFUNCTION("""COMPUTED_VALUE"""),"Design;Simulation;Counting;")</f>
        <v>Design;Simulation;Counting;</v>
      </c>
      <c r="M1604" s="23" t="b">
        <f>IFERROR(__xludf.DUMMYFUNCTION("""COMPUTED_VALUE"""),FALSE)</f>
        <v>0</v>
      </c>
      <c r="N1604" s="23" t="b">
        <f>IFERROR(__xludf.DUMMYFUNCTION("""COMPUTED_VALUE"""),FALSE)</f>
        <v>0</v>
      </c>
      <c r="O1604" s="23">
        <f>IFERROR(__xludf.DUMMYFUNCTION("""COMPUTED_VALUE"""),87.5497609209641)</f>
        <v>87.54976092</v>
      </c>
      <c r="P1604" s="23">
        <f>IFERROR(__xludf.DUMMYFUNCTION("""COMPUTED_VALUE"""),115900.0)</f>
        <v>115900</v>
      </c>
      <c r="Q1604" s="23">
        <f>IFERROR(__xludf.DUMMYFUNCTION("""COMPUTED_VALUE"""),132382.0)</f>
        <v>132382</v>
      </c>
    </row>
    <row r="1605">
      <c r="A1605" s="23">
        <f>IFERROR(__xludf.DUMMYFUNCTION("""COMPUTED_VALUE"""),1709.0)</f>
        <v>1709</v>
      </c>
      <c r="B1605" s="23" t="str">
        <f>IFERROR(__xludf.DUMMYFUNCTION("""COMPUTED_VALUE"""),"Alert Using Same Key-Card Three or More Times in a One Hour Period")</f>
        <v>Alert Using Same Key-Card Three or More Times in a One Hour Period</v>
      </c>
      <c r="C1605" s="23" t="str">
        <f>IFERROR(__xludf.DUMMYFUNCTION("""COMPUTED_VALUE"""),"alert-using-same-key-card-three-or-more-times-in-a-one-hour-period")</f>
        <v>alert-using-same-key-card-three-or-more-times-in-a-one-hour-period</v>
      </c>
      <c r="D1605" s="23" t="b">
        <f>IFERROR(__xludf.DUMMYFUNCTION("""COMPUTED_VALUE"""),FALSE)</f>
        <v>0</v>
      </c>
      <c r="E1605" s="23" t="str">
        <f>IFERROR(__xludf.DUMMYFUNCTION("""COMPUTED_VALUE"""),"Medium")</f>
        <v>Medium</v>
      </c>
      <c r="F1605" s="23">
        <f>IFERROR(__xludf.DUMMYFUNCTION("""COMPUTED_VALUE"""),176.0)</f>
        <v>176</v>
      </c>
      <c r="G1605" s="23">
        <f>IFERROR(__xludf.DUMMYFUNCTION("""COMPUTED_VALUE"""),277.0)</f>
        <v>277</v>
      </c>
      <c r="H1605" s="23" t="str">
        <f>IFERROR(__xludf.DUMMYFUNCTION("""COMPUTED_VALUE"""),"Algorithms")</f>
        <v>Algorithms</v>
      </c>
      <c r="I1605" s="23">
        <f>IFERROR(__xludf.DUMMYFUNCTION("""COMPUTED_VALUE"""),0.47)</f>
        <v>0.47</v>
      </c>
      <c r="J1605" s="23">
        <f>IFERROR(__xludf.DUMMYFUNCTION("""COMPUTED_VALUE"""),1604.0)</f>
        <v>1604</v>
      </c>
      <c r="K1605" s="23" t="b">
        <f>IFERROR(__xludf.DUMMYFUNCTION("""COMPUTED_VALUE"""),FALSE)</f>
        <v>0</v>
      </c>
      <c r="L1605" s="23" t="str">
        <f>IFERROR(__xludf.DUMMYFUNCTION("""COMPUTED_VALUE"""),"Array;Hash Table;String;Sorting;")</f>
        <v>Array;Hash Table;String;Sorting;</v>
      </c>
      <c r="M1605" s="23" t="b">
        <f>IFERROR(__xludf.DUMMYFUNCTION("""COMPUTED_VALUE"""),FALSE)</f>
        <v>0</v>
      </c>
      <c r="N1605" s="23" t="b">
        <f>IFERROR(__xludf.DUMMYFUNCTION("""COMPUTED_VALUE"""),FALSE)</f>
        <v>0</v>
      </c>
      <c r="O1605" s="23">
        <f>IFERROR(__xludf.DUMMYFUNCTION("""COMPUTED_VALUE"""),46.9875248086192)</f>
        <v>46.98752481</v>
      </c>
      <c r="P1605" s="23">
        <f>IFERROR(__xludf.DUMMYFUNCTION("""COMPUTED_VALUE"""),19887.0)</f>
        <v>19887</v>
      </c>
      <c r="Q1605" s="23">
        <f>IFERROR(__xludf.DUMMYFUNCTION("""COMPUTED_VALUE"""),42324.0)</f>
        <v>42324</v>
      </c>
    </row>
    <row r="1606">
      <c r="A1606" s="23">
        <f>IFERROR(__xludf.DUMMYFUNCTION("""COMPUTED_VALUE"""),1711.0)</f>
        <v>1711</v>
      </c>
      <c r="B1606" s="23" t="str">
        <f>IFERROR(__xludf.DUMMYFUNCTION("""COMPUTED_VALUE"""),"Find Valid Matrix Given Row and Column Sums")</f>
        <v>Find Valid Matrix Given Row and Column Sums</v>
      </c>
      <c r="C1606" s="23" t="str">
        <f>IFERROR(__xludf.DUMMYFUNCTION("""COMPUTED_VALUE"""),"find-valid-matrix-given-row-and-column-sums")</f>
        <v>find-valid-matrix-given-row-and-column-sums</v>
      </c>
      <c r="D1606" s="23" t="b">
        <f>IFERROR(__xludf.DUMMYFUNCTION("""COMPUTED_VALUE"""),FALSE)</f>
        <v>0</v>
      </c>
      <c r="E1606" s="23" t="str">
        <f>IFERROR(__xludf.DUMMYFUNCTION("""COMPUTED_VALUE"""),"Medium")</f>
        <v>Medium</v>
      </c>
      <c r="F1606" s="23">
        <f>IFERROR(__xludf.DUMMYFUNCTION("""COMPUTED_VALUE"""),889.0)</f>
        <v>889</v>
      </c>
      <c r="G1606" s="23">
        <f>IFERROR(__xludf.DUMMYFUNCTION("""COMPUTED_VALUE"""),26.0)</f>
        <v>26</v>
      </c>
      <c r="H1606" s="23" t="str">
        <f>IFERROR(__xludf.DUMMYFUNCTION("""COMPUTED_VALUE"""),"Algorithms")</f>
        <v>Algorithms</v>
      </c>
      <c r="I1606" s="23">
        <f>IFERROR(__xludf.DUMMYFUNCTION("""COMPUTED_VALUE"""),0.783)</f>
        <v>0.783</v>
      </c>
      <c r="J1606" s="23">
        <f>IFERROR(__xludf.DUMMYFUNCTION("""COMPUTED_VALUE"""),1605.0)</f>
        <v>1605</v>
      </c>
      <c r="K1606" s="23" t="b">
        <f>IFERROR(__xludf.DUMMYFUNCTION("""COMPUTED_VALUE"""),FALSE)</f>
        <v>0</v>
      </c>
      <c r="L1606" s="23" t="str">
        <f>IFERROR(__xludf.DUMMYFUNCTION("""COMPUTED_VALUE"""),"Array;Greedy;Matrix;")</f>
        <v>Array;Greedy;Matrix;</v>
      </c>
      <c r="M1606" s="23" t="b">
        <f>IFERROR(__xludf.DUMMYFUNCTION("""COMPUTED_VALUE"""),FALSE)</f>
        <v>0</v>
      </c>
      <c r="N1606" s="23" t="b">
        <f>IFERROR(__xludf.DUMMYFUNCTION("""COMPUTED_VALUE"""),FALSE)</f>
        <v>0</v>
      </c>
      <c r="O1606" s="23">
        <f>IFERROR(__xludf.DUMMYFUNCTION("""COMPUTED_VALUE"""),78.2635678158066)</f>
        <v>78.26356782</v>
      </c>
      <c r="P1606" s="23">
        <f>IFERROR(__xludf.DUMMYFUNCTION("""COMPUTED_VALUE"""),25215.0)</f>
        <v>25215</v>
      </c>
      <c r="Q1606" s="23">
        <f>IFERROR(__xludf.DUMMYFUNCTION("""COMPUTED_VALUE"""),32220.0)</f>
        <v>32220</v>
      </c>
    </row>
    <row r="1607">
      <c r="A1607" s="23">
        <f>IFERROR(__xludf.DUMMYFUNCTION("""COMPUTED_VALUE"""),1710.0)</f>
        <v>1710</v>
      </c>
      <c r="B1607" s="23" t="str">
        <f>IFERROR(__xludf.DUMMYFUNCTION("""COMPUTED_VALUE"""),"Find Servers That Handled Most Number of Requests")</f>
        <v>Find Servers That Handled Most Number of Requests</v>
      </c>
      <c r="C1607" s="23" t="str">
        <f>IFERROR(__xludf.DUMMYFUNCTION("""COMPUTED_VALUE"""),"find-servers-that-handled-most-number-of-requests")</f>
        <v>find-servers-that-handled-most-number-of-requests</v>
      </c>
      <c r="D1607" s="23" t="b">
        <f>IFERROR(__xludf.DUMMYFUNCTION("""COMPUTED_VALUE"""),FALSE)</f>
        <v>0</v>
      </c>
      <c r="E1607" s="23" t="str">
        <f>IFERROR(__xludf.DUMMYFUNCTION("""COMPUTED_VALUE"""),"Hard")</f>
        <v>Hard</v>
      </c>
      <c r="F1607" s="23">
        <f>IFERROR(__xludf.DUMMYFUNCTION("""COMPUTED_VALUE"""),316.0)</f>
        <v>316</v>
      </c>
      <c r="G1607" s="23">
        <f>IFERROR(__xludf.DUMMYFUNCTION("""COMPUTED_VALUE"""),14.0)</f>
        <v>14</v>
      </c>
      <c r="H1607" s="23" t="str">
        <f>IFERROR(__xludf.DUMMYFUNCTION("""COMPUTED_VALUE"""),"Algorithms")</f>
        <v>Algorithms</v>
      </c>
      <c r="I1607" s="23">
        <f>IFERROR(__xludf.DUMMYFUNCTION("""COMPUTED_VALUE"""),0.41)</f>
        <v>0.41</v>
      </c>
      <c r="J1607" s="23">
        <f>IFERROR(__xludf.DUMMYFUNCTION("""COMPUTED_VALUE"""),1606.0)</f>
        <v>1606</v>
      </c>
      <c r="K1607" s="23" t="b">
        <f>IFERROR(__xludf.DUMMYFUNCTION("""COMPUTED_VALUE"""),FALSE)</f>
        <v>0</v>
      </c>
      <c r="L1607" s="23" t="str">
        <f>IFERROR(__xludf.DUMMYFUNCTION("""COMPUTED_VALUE"""),"Array;Greedy;Heap (Priority Queue);Ordered Set;")</f>
        <v>Array;Greedy;Heap (Priority Queue);Ordered Set;</v>
      </c>
      <c r="M1607" s="23" t="b">
        <f>IFERROR(__xludf.DUMMYFUNCTION("""COMPUTED_VALUE"""),FALSE)</f>
        <v>0</v>
      </c>
      <c r="N1607" s="23" t="b">
        <f>IFERROR(__xludf.DUMMYFUNCTION("""COMPUTED_VALUE"""),FALSE)</f>
        <v>0</v>
      </c>
      <c r="O1607" s="23">
        <f>IFERROR(__xludf.DUMMYFUNCTION("""COMPUTED_VALUE"""),40.9621069604944)</f>
        <v>40.96210696</v>
      </c>
      <c r="P1607" s="23">
        <f>IFERROR(__xludf.DUMMYFUNCTION("""COMPUTED_VALUE"""),7621.0)</f>
        <v>7621</v>
      </c>
      <c r="Q1607" s="23">
        <f>IFERROR(__xludf.DUMMYFUNCTION("""COMPUTED_VALUE"""),18605.0)</f>
        <v>18605</v>
      </c>
    </row>
    <row r="1608">
      <c r="A1608" s="23">
        <f>IFERROR(__xludf.DUMMYFUNCTION("""COMPUTED_VALUE"""),1749.0)</f>
        <v>1749</v>
      </c>
      <c r="B1608" s="23" t="str">
        <f>IFERROR(__xludf.DUMMYFUNCTION("""COMPUTED_VALUE"""),"Sellers With No Sales")</f>
        <v>Sellers With No Sales</v>
      </c>
      <c r="C1608" s="23" t="str">
        <f>IFERROR(__xludf.DUMMYFUNCTION("""COMPUTED_VALUE"""),"sellers-with-no-sales")</f>
        <v>sellers-with-no-sales</v>
      </c>
      <c r="D1608" s="23" t="b">
        <f>IFERROR(__xludf.DUMMYFUNCTION("""COMPUTED_VALUE"""),TRUE)</f>
        <v>1</v>
      </c>
      <c r="E1608" s="23" t="str">
        <f>IFERROR(__xludf.DUMMYFUNCTION("""COMPUTED_VALUE"""),"Easy")</f>
        <v>Easy</v>
      </c>
      <c r="F1608" s="23">
        <f>IFERROR(__xludf.DUMMYFUNCTION("""COMPUTED_VALUE"""),55.0)</f>
        <v>55</v>
      </c>
      <c r="G1608" s="23">
        <f>IFERROR(__xludf.DUMMYFUNCTION("""COMPUTED_VALUE"""),8.0)</f>
        <v>8</v>
      </c>
      <c r="H1608" s="23" t="str">
        <f>IFERROR(__xludf.DUMMYFUNCTION("""COMPUTED_VALUE"""),"Database")</f>
        <v>Database</v>
      </c>
      <c r="I1608" s="23">
        <f>IFERROR(__xludf.DUMMYFUNCTION("""COMPUTED_VALUE"""),0.546)</f>
        <v>0.546</v>
      </c>
      <c r="J1608" s="23">
        <f>IFERROR(__xludf.DUMMYFUNCTION("""COMPUTED_VALUE"""),1607.0)</f>
        <v>1607</v>
      </c>
      <c r="K1608" s="23" t="b">
        <f>IFERROR(__xludf.DUMMYFUNCTION("""COMPUTED_VALUE"""),TRUE)</f>
        <v>1</v>
      </c>
      <c r="L1608" s="23" t="str">
        <f>IFERROR(__xludf.DUMMYFUNCTION("""COMPUTED_VALUE"""),"Database;")</f>
        <v>Database;</v>
      </c>
      <c r="M1608" s="23" t="b">
        <f>IFERROR(__xludf.DUMMYFUNCTION("""COMPUTED_VALUE"""),FALSE)</f>
        <v>0</v>
      </c>
      <c r="N1608" s="23" t="b">
        <f>IFERROR(__xludf.DUMMYFUNCTION("""COMPUTED_VALUE"""),FALSE)</f>
        <v>0</v>
      </c>
      <c r="O1608" s="23">
        <f>IFERROR(__xludf.DUMMYFUNCTION("""COMPUTED_VALUE"""),54.5631936257571)</f>
        <v>54.56319363</v>
      </c>
      <c r="P1608" s="23">
        <f>IFERROR(__xludf.DUMMYFUNCTION("""COMPUTED_VALUE"""),13422.0)</f>
        <v>13422</v>
      </c>
      <c r="Q1608" s="23">
        <f>IFERROR(__xludf.DUMMYFUNCTION("""COMPUTED_VALUE"""),24599.0)</f>
        <v>24599</v>
      </c>
    </row>
    <row r="1609">
      <c r="A1609" s="23">
        <f>IFERROR(__xludf.DUMMYFUNCTION("""COMPUTED_VALUE"""),1730.0)</f>
        <v>1730</v>
      </c>
      <c r="B1609" s="23" t="str">
        <f>IFERROR(__xludf.DUMMYFUNCTION("""COMPUTED_VALUE"""),"Special Array With X Elements Greater Than or Equal X")</f>
        <v>Special Array With X Elements Greater Than or Equal X</v>
      </c>
      <c r="C1609" s="23" t="str">
        <f>IFERROR(__xludf.DUMMYFUNCTION("""COMPUTED_VALUE"""),"special-array-with-x-elements-greater-than-or-equal-x")</f>
        <v>special-array-with-x-elements-greater-than-or-equal-x</v>
      </c>
      <c r="D1609" s="23" t="b">
        <f>IFERROR(__xludf.DUMMYFUNCTION("""COMPUTED_VALUE"""),FALSE)</f>
        <v>0</v>
      </c>
      <c r="E1609" s="23" t="str">
        <f>IFERROR(__xludf.DUMMYFUNCTION("""COMPUTED_VALUE"""),"Easy")</f>
        <v>Easy</v>
      </c>
      <c r="F1609" s="23">
        <f>IFERROR(__xludf.DUMMYFUNCTION("""COMPUTED_VALUE"""),755.0)</f>
        <v>755</v>
      </c>
      <c r="G1609" s="23">
        <f>IFERROR(__xludf.DUMMYFUNCTION("""COMPUTED_VALUE"""),119.0)</f>
        <v>119</v>
      </c>
      <c r="H1609" s="23" t="str">
        <f>IFERROR(__xludf.DUMMYFUNCTION("""COMPUTED_VALUE"""),"Algorithms")</f>
        <v>Algorithms</v>
      </c>
      <c r="I1609" s="23">
        <f>IFERROR(__xludf.DUMMYFUNCTION("""COMPUTED_VALUE"""),0.605)</f>
        <v>0.605</v>
      </c>
      <c r="J1609" s="23">
        <f>IFERROR(__xludf.DUMMYFUNCTION("""COMPUTED_VALUE"""),1608.0)</f>
        <v>1608</v>
      </c>
      <c r="K1609" s="23" t="b">
        <f>IFERROR(__xludf.DUMMYFUNCTION("""COMPUTED_VALUE"""),FALSE)</f>
        <v>0</v>
      </c>
      <c r="L1609" s="23" t="str">
        <f>IFERROR(__xludf.DUMMYFUNCTION("""COMPUTED_VALUE"""),"Array;Binary Search;Sorting;")</f>
        <v>Array;Binary Search;Sorting;</v>
      </c>
      <c r="M1609" s="23" t="b">
        <f>IFERROR(__xludf.DUMMYFUNCTION("""COMPUTED_VALUE"""),FALSE)</f>
        <v>0</v>
      </c>
      <c r="N1609" s="23" t="b">
        <f>IFERROR(__xludf.DUMMYFUNCTION("""COMPUTED_VALUE"""),FALSE)</f>
        <v>0</v>
      </c>
      <c r="O1609" s="23">
        <f>IFERROR(__xludf.DUMMYFUNCTION("""COMPUTED_VALUE"""),60.4814653573904)</f>
        <v>60.48146536</v>
      </c>
      <c r="P1609" s="23">
        <f>IFERROR(__xludf.DUMMYFUNCTION("""COMPUTED_VALUE"""),37509.0)</f>
        <v>37509</v>
      </c>
      <c r="Q1609" s="23">
        <f>IFERROR(__xludf.DUMMYFUNCTION("""COMPUTED_VALUE"""),62018.0)</f>
        <v>62018</v>
      </c>
    </row>
    <row r="1610">
      <c r="A1610" s="23">
        <f>IFERROR(__xludf.DUMMYFUNCTION("""COMPUTED_VALUE"""),1731.0)</f>
        <v>1731</v>
      </c>
      <c r="B1610" s="23" t="str">
        <f>IFERROR(__xludf.DUMMYFUNCTION("""COMPUTED_VALUE"""),"Even Odd Tree")</f>
        <v>Even Odd Tree</v>
      </c>
      <c r="C1610" s="23" t="str">
        <f>IFERROR(__xludf.DUMMYFUNCTION("""COMPUTED_VALUE"""),"even-odd-tree")</f>
        <v>even-odd-tree</v>
      </c>
      <c r="D1610" s="23" t="b">
        <f>IFERROR(__xludf.DUMMYFUNCTION("""COMPUTED_VALUE"""),FALSE)</f>
        <v>0</v>
      </c>
      <c r="E1610" s="23" t="str">
        <f>IFERROR(__xludf.DUMMYFUNCTION("""COMPUTED_VALUE"""),"Medium")</f>
        <v>Medium</v>
      </c>
      <c r="F1610" s="23">
        <f>IFERROR(__xludf.DUMMYFUNCTION("""COMPUTED_VALUE"""),642.0)</f>
        <v>642</v>
      </c>
      <c r="G1610" s="23">
        <f>IFERROR(__xludf.DUMMYFUNCTION("""COMPUTED_VALUE"""),38.0)</f>
        <v>38</v>
      </c>
      <c r="H1610" s="23" t="str">
        <f>IFERROR(__xludf.DUMMYFUNCTION("""COMPUTED_VALUE"""),"Algorithms")</f>
        <v>Algorithms</v>
      </c>
      <c r="I1610" s="23">
        <f>IFERROR(__xludf.DUMMYFUNCTION("""COMPUTED_VALUE"""),0.53)</f>
        <v>0.53</v>
      </c>
      <c r="J1610" s="23">
        <f>IFERROR(__xludf.DUMMYFUNCTION("""COMPUTED_VALUE"""),1609.0)</f>
        <v>1609</v>
      </c>
      <c r="K1610" s="23" t="b">
        <f>IFERROR(__xludf.DUMMYFUNCTION("""COMPUTED_VALUE"""),FALSE)</f>
        <v>0</v>
      </c>
      <c r="L1610" s="23" t="str">
        <f>IFERROR(__xludf.DUMMYFUNCTION("""COMPUTED_VALUE"""),"Tree;Breadth-First Search;Binary Tree;")</f>
        <v>Tree;Breadth-First Search;Binary Tree;</v>
      </c>
      <c r="M1610" s="23" t="b">
        <f>IFERROR(__xludf.DUMMYFUNCTION("""COMPUTED_VALUE"""),FALSE)</f>
        <v>0</v>
      </c>
      <c r="N1610" s="23" t="b">
        <f>IFERROR(__xludf.DUMMYFUNCTION("""COMPUTED_VALUE"""),FALSE)</f>
        <v>0</v>
      </c>
      <c r="O1610" s="23">
        <f>IFERROR(__xludf.DUMMYFUNCTION("""COMPUTED_VALUE"""),52.9949527024768)</f>
        <v>52.9949527</v>
      </c>
      <c r="P1610" s="23">
        <f>IFERROR(__xludf.DUMMYFUNCTION("""COMPUTED_VALUE"""),31708.0)</f>
        <v>31708</v>
      </c>
      <c r="Q1610" s="23">
        <f>IFERROR(__xludf.DUMMYFUNCTION("""COMPUTED_VALUE"""),59833.0)</f>
        <v>59833</v>
      </c>
    </row>
    <row r="1611">
      <c r="A1611" s="23">
        <f>IFERROR(__xludf.DUMMYFUNCTION("""COMPUTED_VALUE"""),1733.0)</f>
        <v>1733</v>
      </c>
      <c r="B1611" s="23" t="str">
        <f>IFERROR(__xludf.DUMMYFUNCTION("""COMPUTED_VALUE"""),"Maximum Number of Visible Points")</f>
        <v>Maximum Number of Visible Points</v>
      </c>
      <c r="C1611" s="23" t="str">
        <f>IFERROR(__xludf.DUMMYFUNCTION("""COMPUTED_VALUE"""),"maximum-number-of-visible-points")</f>
        <v>maximum-number-of-visible-points</v>
      </c>
      <c r="D1611" s="23" t="b">
        <f>IFERROR(__xludf.DUMMYFUNCTION("""COMPUTED_VALUE"""),FALSE)</f>
        <v>0</v>
      </c>
      <c r="E1611" s="23" t="str">
        <f>IFERROR(__xludf.DUMMYFUNCTION("""COMPUTED_VALUE"""),"Hard")</f>
        <v>Hard</v>
      </c>
      <c r="F1611" s="23">
        <f>IFERROR(__xludf.DUMMYFUNCTION("""COMPUTED_VALUE"""),382.0)</f>
        <v>382</v>
      </c>
      <c r="G1611" s="23">
        <f>IFERROR(__xludf.DUMMYFUNCTION("""COMPUTED_VALUE"""),522.0)</f>
        <v>522</v>
      </c>
      <c r="H1611" s="23" t="str">
        <f>IFERROR(__xludf.DUMMYFUNCTION("""COMPUTED_VALUE"""),"Algorithms")</f>
        <v>Algorithms</v>
      </c>
      <c r="I1611" s="23">
        <f>IFERROR(__xludf.DUMMYFUNCTION("""COMPUTED_VALUE"""),0.367)</f>
        <v>0.367</v>
      </c>
      <c r="J1611" s="23">
        <f>IFERROR(__xludf.DUMMYFUNCTION("""COMPUTED_VALUE"""),1610.0)</f>
        <v>1610</v>
      </c>
      <c r="K1611" s="23" t="b">
        <f>IFERROR(__xludf.DUMMYFUNCTION("""COMPUTED_VALUE"""),FALSE)</f>
        <v>0</v>
      </c>
      <c r="L1611" s="23" t="str">
        <f>IFERROR(__xludf.DUMMYFUNCTION("""COMPUTED_VALUE"""),"Array;Math;Geometry;Sliding Window;Sorting;")</f>
        <v>Array;Math;Geometry;Sliding Window;Sorting;</v>
      </c>
      <c r="M1611" s="23" t="b">
        <f>IFERROR(__xludf.DUMMYFUNCTION("""COMPUTED_VALUE"""),FALSE)</f>
        <v>0</v>
      </c>
      <c r="N1611" s="23" t="b">
        <f>IFERROR(__xludf.DUMMYFUNCTION("""COMPUTED_VALUE"""),FALSE)</f>
        <v>0</v>
      </c>
      <c r="O1611" s="23">
        <f>IFERROR(__xludf.DUMMYFUNCTION("""COMPUTED_VALUE"""),36.668820406214)</f>
        <v>36.66882041</v>
      </c>
      <c r="P1611" s="23">
        <f>IFERROR(__xludf.DUMMYFUNCTION("""COMPUTED_VALUE"""),26105.0)</f>
        <v>26105</v>
      </c>
      <c r="Q1611" s="23">
        <f>IFERROR(__xludf.DUMMYFUNCTION("""COMPUTED_VALUE"""),71192.0)</f>
        <v>71192</v>
      </c>
    </row>
    <row r="1612">
      <c r="A1612" s="23">
        <f>IFERROR(__xludf.DUMMYFUNCTION("""COMPUTED_VALUE"""),1732.0)</f>
        <v>1732</v>
      </c>
      <c r="B1612" s="23" t="str">
        <f>IFERROR(__xludf.DUMMYFUNCTION("""COMPUTED_VALUE"""),"Minimum One Bit Operations to Make Integers Zero")</f>
        <v>Minimum One Bit Operations to Make Integers Zero</v>
      </c>
      <c r="C1612" s="23" t="str">
        <f>IFERROR(__xludf.DUMMYFUNCTION("""COMPUTED_VALUE"""),"minimum-one-bit-operations-to-make-integers-zero")</f>
        <v>minimum-one-bit-operations-to-make-integers-zero</v>
      </c>
      <c r="D1612" s="23" t="b">
        <f>IFERROR(__xludf.DUMMYFUNCTION("""COMPUTED_VALUE"""),FALSE)</f>
        <v>0</v>
      </c>
      <c r="E1612" s="23" t="str">
        <f>IFERROR(__xludf.DUMMYFUNCTION("""COMPUTED_VALUE"""),"Hard")</f>
        <v>Hard</v>
      </c>
      <c r="F1612" s="23">
        <f>IFERROR(__xludf.DUMMYFUNCTION("""COMPUTED_VALUE"""),290.0)</f>
        <v>290</v>
      </c>
      <c r="G1612" s="23">
        <f>IFERROR(__xludf.DUMMYFUNCTION("""COMPUTED_VALUE"""),275.0)</f>
        <v>275</v>
      </c>
      <c r="H1612" s="23" t="str">
        <f>IFERROR(__xludf.DUMMYFUNCTION("""COMPUTED_VALUE"""),"Algorithms")</f>
        <v>Algorithms</v>
      </c>
      <c r="I1612" s="23">
        <f>IFERROR(__xludf.DUMMYFUNCTION("""COMPUTED_VALUE"""),0.623)</f>
        <v>0.623</v>
      </c>
      <c r="J1612" s="23">
        <f>IFERROR(__xludf.DUMMYFUNCTION("""COMPUTED_VALUE"""),1611.0)</f>
        <v>1611</v>
      </c>
      <c r="K1612" s="23" t="b">
        <f>IFERROR(__xludf.DUMMYFUNCTION("""COMPUTED_VALUE"""),FALSE)</f>
        <v>0</v>
      </c>
      <c r="L1612" s="23" t="str">
        <f>IFERROR(__xludf.DUMMYFUNCTION("""COMPUTED_VALUE"""),"Dynamic Programming;Bit Manipulation;Memoization;")</f>
        <v>Dynamic Programming;Bit Manipulation;Memoization;</v>
      </c>
      <c r="M1612" s="23" t="b">
        <f>IFERROR(__xludf.DUMMYFUNCTION("""COMPUTED_VALUE"""),FALSE)</f>
        <v>0</v>
      </c>
      <c r="N1612" s="23" t="b">
        <f>IFERROR(__xludf.DUMMYFUNCTION("""COMPUTED_VALUE"""),FALSE)</f>
        <v>0</v>
      </c>
      <c r="O1612" s="23">
        <f>IFERROR(__xludf.DUMMYFUNCTION("""COMPUTED_VALUE"""),62.3096917935388)</f>
        <v>62.30969179</v>
      </c>
      <c r="P1612" s="23">
        <f>IFERROR(__xludf.DUMMYFUNCTION("""COMPUTED_VALUE"""),10068.0)</f>
        <v>10068</v>
      </c>
      <c r="Q1612" s="23">
        <f>IFERROR(__xludf.DUMMYFUNCTION("""COMPUTED_VALUE"""),16158.0)</f>
        <v>16158</v>
      </c>
    </row>
    <row r="1613">
      <c r="A1613" s="23">
        <f>IFERROR(__xludf.DUMMYFUNCTION("""COMPUTED_VALUE"""),1750.0)</f>
        <v>1750</v>
      </c>
      <c r="B1613" s="23" t="str">
        <f>IFERROR(__xludf.DUMMYFUNCTION("""COMPUTED_VALUE"""),"Check If Two Expression Trees are Equivalent")</f>
        <v>Check If Two Expression Trees are Equivalent</v>
      </c>
      <c r="C1613" s="23" t="str">
        <f>IFERROR(__xludf.DUMMYFUNCTION("""COMPUTED_VALUE"""),"check-if-two-expression-trees-are-equivalent")</f>
        <v>check-if-two-expression-trees-are-equivalent</v>
      </c>
      <c r="D1613" s="23" t="b">
        <f>IFERROR(__xludf.DUMMYFUNCTION("""COMPUTED_VALUE"""),TRUE)</f>
        <v>1</v>
      </c>
      <c r="E1613" s="23" t="str">
        <f>IFERROR(__xludf.DUMMYFUNCTION("""COMPUTED_VALUE"""),"Medium")</f>
        <v>Medium</v>
      </c>
      <c r="F1613" s="23">
        <f>IFERROR(__xludf.DUMMYFUNCTION("""COMPUTED_VALUE"""),100.0)</f>
        <v>100</v>
      </c>
      <c r="G1613" s="23">
        <f>IFERROR(__xludf.DUMMYFUNCTION("""COMPUTED_VALUE"""),17.0)</f>
        <v>17</v>
      </c>
      <c r="H1613" s="23" t="str">
        <f>IFERROR(__xludf.DUMMYFUNCTION("""COMPUTED_VALUE"""),"Algorithms")</f>
        <v>Algorithms</v>
      </c>
      <c r="I1613" s="23">
        <f>IFERROR(__xludf.DUMMYFUNCTION("""COMPUTED_VALUE"""),0.693)</f>
        <v>0.693</v>
      </c>
      <c r="J1613" s="23">
        <f>IFERROR(__xludf.DUMMYFUNCTION("""COMPUTED_VALUE"""),1612.0)</f>
        <v>1612</v>
      </c>
      <c r="K1613" s="23" t="b">
        <f>IFERROR(__xludf.DUMMYFUNCTION("""COMPUTED_VALUE"""),TRUE)</f>
        <v>1</v>
      </c>
      <c r="L1613" s="23" t="str">
        <f>IFERROR(__xludf.DUMMYFUNCTION("""COMPUTED_VALUE"""),"Tree;Depth-First Search;Binary Tree;")</f>
        <v>Tree;Depth-First Search;Binary Tree;</v>
      </c>
      <c r="M1613" s="23" t="b">
        <f>IFERROR(__xludf.DUMMYFUNCTION("""COMPUTED_VALUE"""),FALSE)</f>
        <v>0</v>
      </c>
      <c r="N1613" s="23" t="b">
        <f>IFERROR(__xludf.DUMMYFUNCTION("""COMPUTED_VALUE"""),FALSE)</f>
        <v>0</v>
      </c>
      <c r="O1613" s="23">
        <f>IFERROR(__xludf.DUMMYFUNCTION("""COMPUTED_VALUE"""),69.2946058091286)</f>
        <v>69.29460581</v>
      </c>
      <c r="P1613" s="23">
        <f>IFERROR(__xludf.DUMMYFUNCTION("""COMPUTED_VALUE"""),4843.0)</f>
        <v>4843</v>
      </c>
      <c r="Q1613" s="23">
        <f>IFERROR(__xludf.DUMMYFUNCTION("""COMPUTED_VALUE"""),6989.0)</f>
        <v>6989</v>
      </c>
    </row>
    <row r="1614">
      <c r="A1614" s="23">
        <f>IFERROR(__xludf.DUMMYFUNCTION("""COMPUTED_VALUE"""),1759.0)</f>
        <v>1759</v>
      </c>
      <c r="B1614" s="23" t="str">
        <f>IFERROR(__xludf.DUMMYFUNCTION("""COMPUTED_VALUE"""),"Find the Missing IDs")</f>
        <v>Find the Missing IDs</v>
      </c>
      <c r="C1614" s="23" t="str">
        <f>IFERROR(__xludf.DUMMYFUNCTION("""COMPUTED_VALUE"""),"find-the-missing-ids")</f>
        <v>find-the-missing-ids</v>
      </c>
      <c r="D1614" s="23" t="b">
        <f>IFERROR(__xludf.DUMMYFUNCTION("""COMPUTED_VALUE"""),TRUE)</f>
        <v>1</v>
      </c>
      <c r="E1614" s="23" t="str">
        <f>IFERROR(__xludf.DUMMYFUNCTION("""COMPUTED_VALUE"""),"Medium")</f>
        <v>Medium</v>
      </c>
      <c r="F1614" s="23">
        <f>IFERROR(__xludf.DUMMYFUNCTION("""COMPUTED_VALUE"""),133.0)</f>
        <v>133</v>
      </c>
      <c r="G1614" s="23">
        <f>IFERROR(__xludf.DUMMYFUNCTION("""COMPUTED_VALUE"""),20.0)</f>
        <v>20</v>
      </c>
      <c r="H1614" s="23" t="str">
        <f>IFERROR(__xludf.DUMMYFUNCTION("""COMPUTED_VALUE"""),"Database")</f>
        <v>Database</v>
      </c>
      <c r="I1614" s="23">
        <f>IFERROR(__xludf.DUMMYFUNCTION("""COMPUTED_VALUE"""),0.758)</f>
        <v>0.758</v>
      </c>
      <c r="J1614" s="23">
        <f>IFERROR(__xludf.DUMMYFUNCTION("""COMPUTED_VALUE"""),1613.0)</f>
        <v>1613</v>
      </c>
      <c r="K1614" s="23" t="b">
        <f>IFERROR(__xludf.DUMMYFUNCTION("""COMPUTED_VALUE"""),TRUE)</f>
        <v>1</v>
      </c>
      <c r="L1614" s="23" t="str">
        <f>IFERROR(__xludf.DUMMYFUNCTION("""COMPUTED_VALUE"""),"Database;")</f>
        <v>Database;</v>
      </c>
      <c r="M1614" s="23" t="b">
        <f>IFERROR(__xludf.DUMMYFUNCTION("""COMPUTED_VALUE"""),FALSE)</f>
        <v>0</v>
      </c>
      <c r="N1614" s="23" t="b">
        <f>IFERROR(__xludf.DUMMYFUNCTION("""COMPUTED_VALUE"""),FALSE)</f>
        <v>0</v>
      </c>
      <c r="O1614" s="23">
        <f>IFERROR(__xludf.DUMMYFUNCTION("""COMPUTED_VALUE"""),75.8096790928629)</f>
        <v>75.80967909</v>
      </c>
      <c r="P1614" s="23">
        <f>IFERROR(__xludf.DUMMYFUNCTION("""COMPUTED_VALUE"""),10229.0)</f>
        <v>10229</v>
      </c>
      <c r="Q1614" s="23">
        <f>IFERROR(__xludf.DUMMYFUNCTION("""COMPUTED_VALUE"""),13493.0)</f>
        <v>13493</v>
      </c>
    </row>
    <row r="1615">
      <c r="A1615" s="23">
        <f>IFERROR(__xludf.DUMMYFUNCTION("""COMPUTED_VALUE"""),1737.0)</f>
        <v>1737</v>
      </c>
      <c r="B1615" s="23" t="str">
        <f>IFERROR(__xludf.DUMMYFUNCTION("""COMPUTED_VALUE"""),"Maximum Nesting Depth of the Parentheses")</f>
        <v>Maximum Nesting Depth of the Parentheses</v>
      </c>
      <c r="C1615" s="23" t="str">
        <f>IFERROR(__xludf.DUMMYFUNCTION("""COMPUTED_VALUE"""),"maximum-nesting-depth-of-the-parentheses")</f>
        <v>maximum-nesting-depth-of-the-parentheses</v>
      </c>
      <c r="D1615" s="23" t="b">
        <f>IFERROR(__xludf.DUMMYFUNCTION("""COMPUTED_VALUE"""),FALSE)</f>
        <v>0</v>
      </c>
      <c r="E1615" s="23" t="str">
        <f>IFERROR(__xludf.DUMMYFUNCTION("""COMPUTED_VALUE"""),"Easy")</f>
        <v>Easy</v>
      </c>
      <c r="F1615" s="23">
        <f>IFERROR(__xludf.DUMMYFUNCTION("""COMPUTED_VALUE"""),820.0)</f>
        <v>820</v>
      </c>
      <c r="G1615" s="23">
        <f>IFERROR(__xludf.DUMMYFUNCTION("""COMPUTED_VALUE"""),171.0)</f>
        <v>171</v>
      </c>
      <c r="H1615" s="23" t="str">
        <f>IFERROR(__xludf.DUMMYFUNCTION("""COMPUTED_VALUE"""),"Algorithms")</f>
        <v>Algorithms</v>
      </c>
      <c r="I1615" s="23">
        <f>IFERROR(__xludf.DUMMYFUNCTION("""COMPUTED_VALUE"""),0.829)</f>
        <v>0.829</v>
      </c>
      <c r="J1615" s="23">
        <f>IFERROR(__xludf.DUMMYFUNCTION("""COMPUTED_VALUE"""),1614.0)</f>
        <v>1614</v>
      </c>
      <c r="K1615" s="23" t="b">
        <f>IFERROR(__xludf.DUMMYFUNCTION("""COMPUTED_VALUE"""),FALSE)</f>
        <v>0</v>
      </c>
      <c r="L1615" s="23" t="str">
        <f>IFERROR(__xludf.DUMMYFUNCTION("""COMPUTED_VALUE"""),"String;Stack;")</f>
        <v>String;Stack;</v>
      </c>
      <c r="M1615" s="23" t="b">
        <f>IFERROR(__xludf.DUMMYFUNCTION("""COMPUTED_VALUE"""),FALSE)</f>
        <v>0</v>
      </c>
      <c r="N1615" s="23" t="b">
        <f>IFERROR(__xludf.DUMMYFUNCTION("""COMPUTED_VALUE"""),FALSE)</f>
        <v>0</v>
      </c>
      <c r="O1615" s="23">
        <f>IFERROR(__xludf.DUMMYFUNCTION("""COMPUTED_VALUE"""),82.9197109079973)</f>
        <v>82.91971091</v>
      </c>
      <c r="P1615" s="23">
        <f>IFERROR(__xludf.DUMMYFUNCTION("""COMPUTED_VALUE"""),84097.0)</f>
        <v>84097</v>
      </c>
      <c r="Q1615" s="23">
        <f>IFERROR(__xludf.DUMMYFUNCTION("""COMPUTED_VALUE"""),101420.0)</f>
        <v>101420</v>
      </c>
    </row>
    <row r="1616">
      <c r="A1616" s="23">
        <f>IFERROR(__xludf.DUMMYFUNCTION("""COMPUTED_VALUE"""),1738.0)</f>
        <v>1738</v>
      </c>
      <c r="B1616" s="23" t="str">
        <f>IFERROR(__xludf.DUMMYFUNCTION("""COMPUTED_VALUE"""),"Maximal Network Rank")</f>
        <v>Maximal Network Rank</v>
      </c>
      <c r="C1616" s="23" t="str">
        <f>IFERROR(__xludf.DUMMYFUNCTION("""COMPUTED_VALUE"""),"maximal-network-rank")</f>
        <v>maximal-network-rank</v>
      </c>
      <c r="D1616" s="23" t="b">
        <f>IFERROR(__xludf.DUMMYFUNCTION("""COMPUTED_VALUE"""),FALSE)</f>
        <v>0</v>
      </c>
      <c r="E1616" s="23" t="str">
        <f>IFERROR(__xludf.DUMMYFUNCTION("""COMPUTED_VALUE"""),"Medium")</f>
        <v>Medium</v>
      </c>
      <c r="F1616" s="23">
        <f>IFERROR(__xludf.DUMMYFUNCTION("""COMPUTED_VALUE"""),655.0)</f>
        <v>655</v>
      </c>
      <c r="G1616" s="23">
        <f>IFERROR(__xludf.DUMMYFUNCTION("""COMPUTED_VALUE"""),124.0)</f>
        <v>124</v>
      </c>
      <c r="H1616" s="23" t="str">
        <f>IFERROR(__xludf.DUMMYFUNCTION("""COMPUTED_VALUE"""),"Algorithms")</f>
        <v>Algorithms</v>
      </c>
      <c r="I1616" s="23">
        <f>IFERROR(__xludf.DUMMYFUNCTION("""COMPUTED_VALUE"""),0.568)</f>
        <v>0.568</v>
      </c>
      <c r="J1616" s="23">
        <f>IFERROR(__xludf.DUMMYFUNCTION("""COMPUTED_VALUE"""),1615.0)</f>
        <v>1615</v>
      </c>
      <c r="K1616" s="23" t="b">
        <f>IFERROR(__xludf.DUMMYFUNCTION("""COMPUTED_VALUE"""),FALSE)</f>
        <v>0</v>
      </c>
      <c r="L1616" s="23" t="str">
        <f>IFERROR(__xludf.DUMMYFUNCTION("""COMPUTED_VALUE"""),"Graph;")</f>
        <v>Graph;</v>
      </c>
      <c r="M1616" s="23" t="b">
        <f>IFERROR(__xludf.DUMMYFUNCTION("""COMPUTED_VALUE"""),FALSE)</f>
        <v>0</v>
      </c>
      <c r="N1616" s="23" t="b">
        <f>IFERROR(__xludf.DUMMYFUNCTION("""COMPUTED_VALUE"""),FALSE)</f>
        <v>0</v>
      </c>
      <c r="O1616" s="23">
        <f>IFERROR(__xludf.DUMMYFUNCTION("""COMPUTED_VALUE"""),56.8191934478767)</f>
        <v>56.81919345</v>
      </c>
      <c r="P1616" s="23">
        <f>IFERROR(__xludf.DUMMYFUNCTION("""COMPUTED_VALUE"""),38295.0)</f>
        <v>38295</v>
      </c>
      <c r="Q1616" s="23">
        <f>IFERROR(__xludf.DUMMYFUNCTION("""COMPUTED_VALUE"""),67398.0)</f>
        <v>67398</v>
      </c>
    </row>
    <row r="1617">
      <c r="A1617" s="23">
        <f>IFERROR(__xludf.DUMMYFUNCTION("""COMPUTED_VALUE"""),1739.0)</f>
        <v>1739</v>
      </c>
      <c r="B1617" s="23" t="str">
        <f>IFERROR(__xludf.DUMMYFUNCTION("""COMPUTED_VALUE"""),"Split Two Strings to Make Palindrome")</f>
        <v>Split Two Strings to Make Palindrome</v>
      </c>
      <c r="C1617" s="23" t="str">
        <f>IFERROR(__xludf.DUMMYFUNCTION("""COMPUTED_VALUE"""),"split-two-strings-to-make-palindrome")</f>
        <v>split-two-strings-to-make-palindrome</v>
      </c>
      <c r="D1617" s="23" t="b">
        <f>IFERROR(__xludf.DUMMYFUNCTION("""COMPUTED_VALUE"""),FALSE)</f>
        <v>0</v>
      </c>
      <c r="E1617" s="23" t="str">
        <f>IFERROR(__xludf.DUMMYFUNCTION("""COMPUTED_VALUE"""),"Medium")</f>
        <v>Medium</v>
      </c>
      <c r="F1617" s="23">
        <f>IFERROR(__xludf.DUMMYFUNCTION("""COMPUTED_VALUE"""),492.0)</f>
        <v>492</v>
      </c>
      <c r="G1617" s="23">
        <f>IFERROR(__xludf.DUMMYFUNCTION("""COMPUTED_VALUE"""),198.0)</f>
        <v>198</v>
      </c>
      <c r="H1617" s="23" t="str">
        <f>IFERROR(__xludf.DUMMYFUNCTION("""COMPUTED_VALUE"""),"Algorithms")</f>
        <v>Algorithms</v>
      </c>
      <c r="I1617" s="23">
        <f>IFERROR(__xludf.DUMMYFUNCTION("""COMPUTED_VALUE"""),0.313)</f>
        <v>0.313</v>
      </c>
      <c r="J1617" s="23">
        <f>IFERROR(__xludf.DUMMYFUNCTION("""COMPUTED_VALUE"""),1616.0)</f>
        <v>1616</v>
      </c>
      <c r="K1617" s="23" t="b">
        <f>IFERROR(__xludf.DUMMYFUNCTION("""COMPUTED_VALUE"""),FALSE)</f>
        <v>0</v>
      </c>
      <c r="L1617" s="23" t="str">
        <f>IFERROR(__xludf.DUMMYFUNCTION("""COMPUTED_VALUE"""),"Two Pointers;String;Greedy;")</f>
        <v>Two Pointers;String;Greedy;</v>
      </c>
      <c r="M1617" s="23" t="b">
        <f>IFERROR(__xludf.DUMMYFUNCTION("""COMPUTED_VALUE"""),FALSE)</f>
        <v>0</v>
      </c>
      <c r="N1617" s="23" t="b">
        <f>IFERROR(__xludf.DUMMYFUNCTION("""COMPUTED_VALUE"""),FALSE)</f>
        <v>0</v>
      </c>
      <c r="O1617" s="23">
        <f>IFERROR(__xludf.DUMMYFUNCTION("""COMPUTED_VALUE"""),31.3157695510636)</f>
        <v>31.31576955</v>
      </c>
      <c r="P1617" s="23">
        <f>IFERROR(__xludf.DUMMYFUNCTION("""COMPUTED_VALUE"""),16546.0)</f>
        <v>16546</v>
      </c>
      <c r="Q1617" s="23">
        <f>IFERROR(__xludf.DUMMYFUNCTION("""COMPUTED_VALUE"""),52836.0)</f>
        <v>52836</v>
      </c>
    </row>
    <row r="1618">
      <c r="A1618" s="23">
        <f>IFERROR(__xludf.DUMMYFUNCTION("""COMPUTED_VALUE"""),1740.0)</f>
        <v>1740</v>
      </c>
      <c r="B1618" s="23" t="str">
        <f>IFERROR(__xludf.DUMMYFUNCTION("""COMPUTED_VALUE"""),"Count Subtrees With Max Distance Between Cities")</f>
        <v>Count Subtrees With Max Distance Between Cities</v>
      </c>
      <c r="C1618" s="23" t="str">
        <f>IFERROR(__xludf.DUMMYFUNCTION("""COMPUTED_VALUE"""),"count-subtrees-with-max-distance-between-cities")</f>
        <v>count-subtrees-with-max-distance-between-cities</v>
      </c>
      <c r="D1618" s="23" t="b">
        <f>IFERROR(__xludf.DUMMYFUNCTION("""COMPUTED_VALUE"""),FALSE)</f>
        <v>0</v>
      </c>
      <c r="E1618" s="23" t="str">
        <f>IFERROR(__xludf.DUMMYFUNCTION("""COMPUTED_VALUE"""),"Hard")</f>
        <v>Hard</v>
      </c>
      <c r="F1618" s="23">
        <f>IFERROR(__xludf.DUMMYFUNCTION("""COMPUTED_VALUE"""),300.0)</f>
        <v>300</v>
      </c>
      <c r="G1618" s="23">
        <f>IFERROR(__xludf.DUMMYFUNCTION("""COMPUTED_VALUE"""),29.0)</f>
        <v>29</v>
      </c>
      <c r="H1618" s="23" t="str">
        <f>IFERROR(__xludf.DUMMYFUNCTION("""COMPUTED_VALUE"""),"Algorithms")</f>
        <v>Algorithms</v>
      </c>
      <c r="I1618" s="23">
        <f>IFERROR(__xludf.DUMMYFUNCTION("""COMPUTED_VALUE"""),0.654)</f>
        <v>0.654</v>
      </c>
      <c r="J1618" s="23">
        <f>IFERROR(__xludf.DUMMYFUNCTION("""COMPUTED_VALUE"""),1617.0)</f>
        <v>1617</v>
      </c>
      <c r="K1618" s="23" t="b">
        <f>IFERROR(__xludf.DUMMYFUNCTION("""COMPUTED_VALUE"""),FALSE)</f>
        <v>0</v>
      </c>
      <c r="L1618" s="23" t="str">
        <f>IFERROR(__xludf.DUMMYFUNCTION("""COMPUTED_VALUE"""),"Dynamic Programming;Bit Manipulation;Tree;Enumeration;Bitmask;")</f>
        <v>Dynamic Programming;Bit Manipulation;Tree;Enumeration;Bitmask;</v>
      </c>
      <c r="M1618" s="23" t="b">
        <f>IFERROR(__xludf.DUMMYFUNCTION("""COMPUTED_VALUE"""),FALSE)</f>
        <v>0</v>
      </c>
      <c r="N1618" s="23" t="b">
        <f>IFERROR(__xludf.DUMMYFUNCTION("""COMPUTED_VALUE"""),FALSE)</f>
        <v>0</v>
      </c>
      <c r="O1618" s="23">
        <f>IFERROR(__xludf.DUMMYFUNCTION("""COMPUTED_VALUE"""),65.3821520068317)</f>
        <v>65.38215201</v>
      </c>
      <c r="P1618" s="23">
        <f>IFERROR(__xludf.DUMMYFUNCTION("""COMPUTED_VALUE"""),6125.0)</f>
        <v>6125</v>
      </c>
      <c r="Q1618" s="23">
        <f>IFERROR(__xludf.DUMMYFUNCTION("""COMPUTED_VALUE"""),9368.0)</f>
        <v>9368</v>
      </c>
    </row>
    <row r="1619">
      <c r="A1619" s="23">
        <f>IFERROR(__xludf.DUMMYFUNCTION("""COMPUTED_VALUE"""),1384.0)</f>
        <v>1384</v>
      </c>
      <c r="B1619" s="23" t="str">
        <f>IFERROR(__xludf.DUMMYFUNCTION("""COMPUTED_VALUE"""),"Maximum Font to Fit a Sentence in a Screen")</f>
        <v>Maximum Font to Fit a Sentence in a Screen</v>
      </c>
      <c r="C1619" s="23" t="str">
        <f>IFERROR(__xludf.DUMMYFUNCTION("""COMPUTED_VALUE"""),"maximum-font-to-fit-a-sentence-in-a-screen")</f>
        <v>maximum-font-to-fit-a-sentence-in-a-screen</v>
      </c>
      <c r="D1619" s="23" t="b">
        <f>IFERROR(__xludf.DUMMYFUNCTION("""COMPUTED_VALUE"""),TRUE)</f>
        <v>1</v>
      </c>
      <c r="E1619" s="23" t="str">
        <f>IFERROR(__xludf.DUMMYFUNCTION("""COMPUTED_VALUE"""),"Medium")</f>
        <v>Medium</v>
      </c>
      <c r="F1619" s="23">
        <f>IFERROR(__xludf.DUMMYFUNCTION("""COMPUTED_VALUE"""),84.0)</f>
        <v>84</v>
      </c>
      <c r="G1619" s="23">
        <f>IFERROR(__xludf.DUMMYFUNCTION("""COMPUTED_VALUE"""),18.0)</f>
        <v>18</v>
      </c>
      <c r="H1619" s="23" t="str">
        <f>IFERROR(__xludf.DUMMYFUNCTION("""COMPUTED_VALUE"""),"Algorithms")</f>
        <v>Algorithms</v>
      </c>
      <c r="I1619" s="23">
        <f>IFERROR(__xludf.DUMMYFUNCTION("""COMPUTED_VALUE"""),0.581)</f>
        <v>0.581</v>
      </c>
      <c r="J1619" s="23">
        <f>IFERROR(__xludf.DUMMYFUNCTION("""COMPUTED_VALUE"""),1618.0)</f>
        <v>1618</v>
      </c>
      <c r="K1619" s="23" t="b">
        <f>IFERROR(__xludf.DUMMYFUNCTION("""COMPUTED_VALUE"""),TRUE)</f>
        <v>1</v>
      </c>
      <c r="L1619" s="23" t="str">
        <f>IFERROR(__xludf.DUMMYFUNCTION("""COMPUTED_VALUE"""),"Array;String;Binary Search;Interactive;")</f>
        <v>Array;String;Binary Search;Interactive;</v>
      </c>
      <c r="M1619" s="23" t="b">
        <f>IFERROR(__xludf.DUMMYFUNCTION("""COMPUTED_VALUE"""),FALSE)</f>
        <v>0</v>
      </c>
      <c r="N1619" s="23" t="b">
        <f>IFERROR(__xludf.DUMMYFUNCTION("""COMPUTED_VALUE"""),FALSE)</f>
        <v>0</v>
      </c>
      <c r="O1619" s="23">
        <f>IFERROR(__xludf.DUMMYFUNCTION("""COMPUTED_VALUE"""),58.0633761338202)</f>
        <v>58.06337613</v>
      </c>
      <c r="P1619" s="23">
        <f>IFERROR(__xludf.DUMMYFUNCTION("""COMPUTED_VALUE"""),4929.0)</f>
        <v>4929</v>
      </c>
      <c r="Q1619" s="23">
        <f>IFERROR(__xludf.DUMMYFUNCTION("""COMPUTED_VALUE"""),8489.0)</f>
        <v>8489</v>
      </c>
    </row>
    <row r="1620">
      <c r="A1620" s="23">
        <f>IFERROR(__xludf.DUMMYFUNCTION("""COMPUTED_VALUE"""),1210.0)</f>
        <v>1210</v>
      </c>
      <c r="B1620" s="23" t="str">
        <f>IFERROR(__xludf.DUMMYFUNCTION("""COMPUTED_VALUE"""),"Mean of Array After Removing Some Elements")</f>
        <v>Mean of Array After Removing Some Elements</v>
      </c>
      <c r="C1620" s="23" t="str">
        <f>IFERROR(__xludf.DUMMYFUNCTION("""COMPUTED_VALUE"""),"mean-of-array-after-removing-some-elements")</f>
        <v>mean-of-array-after-removing-some-elements</v>
      </c>
      <c r="D1620" s="23" t="b">
        <f>IFERROR(__xludf.DUMMYFUNCTION("""COMPUTED_VALUE"""),FALSE)</f>
        <v>0</v>
      </c>
      <c r="E1620" s="23" t="str">
        <f>IFERROR(__xludf.DUMMYFUNCTION("""COMPUTED_VALUE"""),"Easy")</f>
        <v>Easy</v>
      </c>
      <c r="F1620" s="23">
        <f>IFERROR(__xludf.DUMMYFUNCTION("""COMPUTED_VALUE"""),267.0)</f>
        <v>267</v>
      </c>
      <c r="G1620" s="23">
        <f>IFERROR(__xludf.DUMMYFUNCTION("""COMPUTED_VALUE"""),78.0)</f>
        <v>78</v>
      </c>
      <c r="H1620" s="23" t="str">
        <f>IFERROR(__xludf.DUMMYFUNCTION("""COMPUTED_VALUE"""),"Algorithms")</f>
        <v>Algorithms</v>
      </c>
      <c r="I1620" s="23">
        <f>IFERROR(__xludf.DUMMYFUNCTION("""COMPUTED_VALUE"""),0.645)</f>
        <v>0.645</v>
      </c>
      <c r="J1620" s="23">
        <f>IFERROR(__xludf.DUMMYFUNCTION("""COMPUTED_VALUE"""),1619.0)</f>
        <v>1619</v>
      </c>
      <c r="K1620" s="23" t="b">
        <f>IFERROR(__xludf.DUMMYFUNCTION("""COMPUTED_VALUE"""),FALSE)</f>
        <v>0</v>
      </c>
      <c r="L1620" s="23" t="str">
        <f>IFERROR(__xludf.DUMMYFUNCTION("""COMPUTED_VALUE"""),"Array;Sorting;")</f>
        <v>Array;Sorting;</v>
      </c>
      <c r="M1620" s="23" t="b">
        <f>IFERROR(__xludf.DUMMYFUNCTION("""COMPUTED_VALUE"""),FALSE)</f>
        <v>0</v>
      </c>
      <c r="N1620" s="23" t="b">
        <f>IFERROR(__xludf.DUMMYFUNCTION("""COMPUTED_VALUE"""),FALSE)</f>
        <v>0</v>
      </c>
      <c r="O1620" s="23">
        <f>IFERROR(__xludf.DUMMYFUNCTION("""COMPUTED_VALUE"""),64.4813144329896)</f>
        <v>64.48131443</v>
      </c>
      <c r="P1620" s="23">
        <f>IFERROR(__xludf.DUMMYFUNCTION("""COMPUTED_VALUE"""),32023.0)</f>
        <v>32023</v>
      </c>
      <c r="Q1620" s="23">
        <f>IFERROR(__xludf.DUMMYFUNCTION("""COMPUTED_VALUE"""),49663.0)</f>
        <v>49663</v>
      </c>
    </row>
    <row r="1621">
      <c r="A1621" s="23">
        <f>IFERROR(__xludf.DUMMYFUNCTION("""COMPUTED_VALUE"""),1726.0)</f>
        <v>1726</v>
      </c>
      <c r="B1621" s="23" t="str">
        <f>IFERROR(__xludf.DUMMYFUNCTION("""COMPUTED_VALUE"""),"Coordinate With Maximum Network Quality")</f>
        <v>Coordinate With Maximum Network Quality</v>
      </c>
      <c r="C1621" s="23" t="str">
        <f>IFERROR(__xludf.DUMMYFUNCTION("""COMPUTED_VALUE"""),"coordinate-with-maximum-network-quality")</f>
        <v>coordinate-with-maximum-network-quality</v>
      </c>
      <c r="D1621" s="23" t="b">
        <f>IFERROR(__xludf.DUMMYFUNCTION("""COMPUTED_VALUE"""),FALSE)</f>
        <v>0</v>
      </c>
      <c r="E1621" s="23" t="str">
        <f>IFERROR(__xludf.DUMMYFUNCTION("""COMPUTED_VALUE"""),"Medium")</f>
        <v>Medium</v>
      </c>
      <c r="F1621" s="23">
        <f>IFERROR(__xludf.DUMMYFUNCTION("""COMPUTED_VALUE"""),60.0)</f>
        <v>60</v>
      </c>
      <c r="G1621" s="23">
        <f>IFERROR(__xludf.DUMMYFUNCTION("""COMPUTED_VALUE"""),202.0)</f>
        <v>202</v>
      </c>
      <c r="H1621" s="23" t="str">
        <f>IFERROR(__xludf.DUMMYFUNCTION("""COMPUTED_VALUE"""),"Algorithms")</f>
        <v>Algorithms</v>
      </c>
      <c r="I1621" s="23">
        <f>IFERROR(__xludf.DUMMYFUNCTION("""COMPUTED_VALUE"""),0.371)</f>
        <v>0.371</v>
      </c>
      <c r="J1621" s="23">
        <f>IFERROR(__xludf.DUMMYFUNCTION("""COMPUTED_VALUE"""),1620.0)</f>
        <v>1620</v>
      </c>
      <c r="K1621" s="23" t="b">
        <f>IFERROR(__xludf.DUMMYFUNCTION("""COMPUTED_VALUE"""),FALSE)</f>
        <v>0</v>
      </c>
      <c r="L1621" s="23" t="str">
        <f>IFERROR(__xludf.DUMMYFUNCTION("""COMPUTED_VALUE"""),"Array;Enumeration;")</f>
        <v>Array;Enumeration;</v>
      </c>
      <c r="M1621" s="23" t="b">
        <f>IFERROR(__xludf.DUMMYFUNCTION("""COMPUTED_VALUE"""),FALSE)</f>
        <v>0</v>
      </c>
      <c r="N1621" s="23" t="b">
        <f>IFERROR(__xludf.DUMMYFUNCTION("""COMPUTED_VALUE"""),FALSE)</f>
        <v>0</v>
      </c>
      <c r="O1621" s="23">
        <f>IFERROR(__xludf.DUMMYFUNCTION("""COMPUTED_VALUE"""),37.0909723833836)</f>
        <v>37.09097238</v>
      </c>
      <c r="P1621" s="23">
        <f>IFERROR(__xludf.DUMMYFUNCTION("""COMPUTED_VALUE"""),6393.0)</f>
        <v>6393</v>
      </c>
      <c r="Q1621" s="23">
        <f>IFERROR(__xludf.DUMMYFUNCTION("""COMPUTED_VALUE"""),17236.0)</f>
        <v>17236</v>
      </c>
    </row>
    <row r="1622">
      <c r="A1622" s="23">
        <f>IFERROR(__xludf.DUMMYFUNCTION("""COMPUTED_VALUE"""),1725.0)</f>
        <v>1725</v>
      </c>
      <c r="B1622" s="23" t="str">
        <f>IFERROR(__xludf.DUMMYFUNCTION("""COMPUTED_VALUE"""),"Number of Sets of K Non-Overlapping Line Segments")</f>
        <v>Number of Sets of K Non-Overlapping Line Segments</v>
      </c>
      <c r="C1622" s="23" t="str">
        <f>IFERROR(__xludf.DUMMYFUNCTION("""COMPUTED_VALUE"""),"number-of-sets-of-k-non-overlapping-line-segments")</f>
        <v>number-of-sets-of-k-non-overlapping-line-segments</v>
      </c>
      <c r="D1622" s="23" t="b">
        <f>IFERROR(__xludf.DUMMYFUNCTION("""COMPUTED_VALUE"""),FALSE)</f>
        <v>0</v>
      </c>
      <c r="E1622" s="23" t="str">
        <f>IFERROR(__xludf.DUMMYFUNCTION("""COMPUTED_VALUE"""),"Medium")</f>
        <v>Medium</v>
      </c>
      <c r="F1622" s="23">
        <f>IFERROR(__xludf.DUMMYFUNCTION("""COMPUTED_VALUE"""),319.0)</f>
        <v>319</v>
      </c>
      <c r="G1622" s="23">
        <f>IFERROR(__xludf.DUMMYFUNCTION("""COMPUTED_VALUE"""),35.0)</f>
        <v>35</v>
      </c>
      <c r="H1622" s="23" t="str">
        <f>IFERROR(__xludf.DUMMYFUNCTION("""COMPUTED_VALUE"""),"Algorithms")</f>
        <v>Algorithms</v>
      </c>
      <c r="I1622" s="23">
        <f>IFERROR(__xludf.DUMMYFUNCTION("""COMPUTED_VALUE"""),0.425)</f>
        <v>0.425</v>
      </c>
      <c r="J1622" s="23">
        <f>IFERROR(__xludf.DUMMYFUNCTION("""COMPUTED_VALUE"""),1621.0)</f>
        <v>1621</v>
      </c>
      <c r="K1622" s="23" t="b">
        <f>IFERROR(__xludf.DUMMYFUNCTION("""COMPUTED_VALUE"""),FALSE)</f>
        <v>0</v>
      </c>
      <c r="L1622" s="23" t="str">
        <f>IFERROR(__xludf.DUMMYFUNCTION("""COMPUTED_VALUE"""),"Math;Dynamic Programming;")</f>
        <v>Math;Dynamic Programming;</v>
      </c>
      <c r="M1622" s="23" t="b">
        <f>IFERROR(__xludf.DUMMYFUNCTION("""COMPUTED_VALUE"""),FALSE)</f>
        <v>0</v>
      </c>
      <c r="N1622" s="23" t="b">
        <f>IFERROR(__xludf.DUMMYFUNCTION("""COMPUTED_VALUE"""),FALSE)</f>
        <v>0</v>
      </c>
      <c r="O1622" s="23">
        <f>IFERROR(__xludf.DUMMYFUNCTION("""COMPUTED_VALUE"""),42.4628046850269)</f>
        <v>42.46280469</v>
      </c>
      <c r="P1622" s="23">
        <f>IFERROR(__xludf.DUMMYFUNCTION("""COMPUTED_VALUE"""),6707.0)</f>
        <v>6707</v>
      </c>
      <c r="Q1622" s="23">
        <f>IFERROR(__xludf.DUMMYFUNCTION("""COMPUTED_VALUE"""),15795.0)</f>
        <v>15795</v>
      </c>
    </row>
    <row r="1623">
      <c r="A1623" s="23">
        <f>IFERROR(__xludf.DUMMYFUNCTION("""COMPUTED_VALUE"""),1728.0)</f>
        <v>1728</v>
      </c>
      <c r="B1623" s="23" t="str">
        <f>IFERROR(__xludf.DUMMYFUNCTION("""COMPUTED_VALUE"""),"Fancy Sequence")</f>
        <v>Fancy Sequence</v>
      </c>
      <c r="C1623" s="23" t="str">
        <f>IFERROR(__xludf.DUMMYFUNCTION("""COMPUTED_VALUE"""),"fancy-sequence")</f>
        <v>fancy-sequence</v>
      </c>
      <c r="D1623" s="23" t="b">
        <f>IFERROR(__xludf.DUMMYFUNCTION("""COMPUTED_VALUE"""),FALSE)</f>
        <v>0</v>
      </c>
      <c r="E1623" s="23" t="str">
        <f>IFERROR(__xludf.DUMMYFUNCTION("""COMPUTED_VALUE"""),"Hard")</f>
        <v>Hard</v>
      </c>
      <c r="F1623" s="23">
        <f>IFERROR(__xludf.DUMMYFUNCTION("""COMPUTED_VALUE"""),243.0)</f>
        <v>243</v>
      </c>
      <c r="G1623" s="23">
        <f>IFERROR(__xludf.DUMMYFUNCTION("""COMPUTED_VALUE"""),90.0)</f>
        <v>90</v>
      </c>
      <c r="H1623" s="23" t="str">
        <f>IFERROR(__xludf.DUMMYFUNCTION("""COMPUTED_VALUE"""),"Algorithms")</f>
        <v>Algorithms</v>
      </c>
      <c r="I1623" s="23">
        <f>IFERROR(__xludf.DUMMYFUNCTION("""COMPUTED_VALUE"""),0.155)</f>
        <v>0.155</v>
      </c>
      <c r="J1623" s="23">
        <f>IFERROR(__xludf.DUMMYFUNCTION("""COMPUTED_VALUE"""),1622.0)</f>
        <v>1622</v>
      </c>
      <c r="K1623" s="23" t="b">
        <f>IFERROR(__xludf.DUMMYFUNCTION("""COMPUTED_VALUE"""),FALSE)</f>
        <v>0</v>
      </c>
      <c r="L1623" s="23" t="str">
        <f>IFERROR(__xludf.DUMMYFUNCTION("""COMPUTED_VALUE"""),"Math;Design;Segment Tree;")</f>
        <v>Math;Design;Segment Tree;</v>
      </c>
      <c r="M1623" s="23" t="b">
        <f>IFERROR(__xludf.DUMMYFUNCTION("""COMPUTED_VALUE"""),FALSE)</f>
        <v>0</v>
      </c>
      <c r="N1623" s="23" t="b">
        <f>IFERROR(__xludf.DUMMYFUNCTION("""COMPUTED_VALUE"""),FALSE)</f>
        <v>0</v>
      </c>
      <c r="O1623" s="23">
        <f>IFERROR(__xludf.DUMMYFUNCTION("""COMPUTED_VALUE"""),15.4523548740416)</f>
        <v>15.45235487</v>
      </c>
      <c r="P1623" s="23">
        <f>IFERROR(__xludf.DUMMYFUNCTION("""COMPUTED_VALUE"""),7054.0)</f>
        <v>7054</v>
      </c>
      <c r="Q1623" s="23">
        <f>IFERROR(__xludf.DUMMYFUNCTION("""COMPUTED_VALUE"""),45650.0)</f>
        <v>45650</v>
      </c>
    </row>
    <row r="1624">
      <c r="A1624" s="23">
        <f>IFERROR(__xludf.DUMMYFUNCTION("""COMPUTED_VALUE"""),1763.0)</f>
        <v>1763</v>
      </c>
      <c r="B1624" s="23" t="str">
        <f>IFERROR(__xludf.DUMMYFUNCTION("""COMPUTED_VALUE"""),"All Valid Triplets That Can Represent a Country")</f>
        <v>All Valid Triplets That Can Represent a Country</v>
      </c>
      <c r="C1624" s="23" t="str">
        <f>IFERROR(__xludf.DUMMYFUNCTION("""COMPUTED_VALUE"""),"all-valid-triplets-that-can-represent-a-country")</f>
        <v>all-valid-triplets-that-can-represent-a-country</v>
      </c>
      <c r="D1624" s="23" t="b">
        <f>IFERROR(__xludf.DUMMYFUNCTION("""COMPUTED_VALUE"""),TRUE)</f>
        <v>1</v>
      </c>
      <c r="E1624" s="23" t="str">
        <f>IFERROR(__xludf.DUMMYFUNCTION("""COMPUTED_VALUE"""),"Easy")</f>
        <v>Easy</v>
      </c>
      <c r="F1624" s="23">
        <f>IFERROR(__xludf.DUMMYFUNCTION("""COMPUTED_VALUE"""),50.0)</f>
        <v>50</v>
      </c>
      <c r="G1624" s="23">
        <f>IFERROR(__xludf.DUMMYFUNCTION("""COMPUTED_VALUE"""),87.0)</f>
        <v>87</v>
      </c>
      <c r="H1624" s="23" t="str">
        <f>IFERROR(__xludf.DUMMYFUNCTION("""COMPUTED_VALUE"""),"Database")</f>
        <v>Database</v>
      </c>
      <c r="I1624" s="23">
        <f>IFERROR(__xludf.DUMMYFUNCTION("""COMPUTED_VALUE"""),0.886)</f>
        <v>0.886</v>
      </c>
      <c r="J1624" s="23">
        <f>IFERROR(__xludf.DUMMYFUNCTION("""COMPUTED_VALUE"""),1623.0)</f>
        <v>1623</v>
      </c>
      <c r="K1624" s="23" t="b">
        <f>IFERROR(__xludf.DUMMYFUNCTION("""COMPUTED_VALUE"""),TRUE)</f>
        <v>1</v>
      </c>
      <c r="L1624" s="23" t="str">
        <f>IFERROR(__xludf.DUMMYFUNCTION("""COMPUTED_VALUE"""),"Database;")</f>
        <v>Database;</v>
      </c>
      <c r="M1624" s="23" t="b">
        <f>IFERROR(__xludf.DUMMYFUNCTION("""COMPUTED_VALUE"""),FALSE)</f>
        <v>0</v>
      </c>
      <c r="N1624" s="23" t="b">
        <f>IFERROR(__xludf.DUMMYFUNCTION("""COMPUTED_VALUE"""),FALSE)</f>
        <v>0</v>
      </c>
      <c r="O1624" s="23">
        <f>IFERROR(__xludf.DUMMYFUNCTION("""COMPUTED_VALUE"""),88.5644604024117)</f>
        <v>88.5644604</v>
      </c>
      <c r="P1624" s="23">
        <f>IFERROR(__xludf.DUMMYFUNCTION("""COMPUTED_VALUE"""),13073.0)</f>
        <v>13073</v>
      </c>
      <c r="Q1624" s="23">
        <f>IFERROR(__xludf.DUMMYFUNCTION("""COMPUTED_VALUE"""),14761.0)</f>
        <v>14761</v>
      </c>
    </row>
    <row r="1625">
      <c r="A1625" s="23">
        <f>IFERROR(__xludf.DUMMYFUNCTION("""COMPUTED_VALUE"""),1746.0)</f>
        <v>1746</v>
      </c>
      <c r="B1625" s="23" t="str">
        <f>IFERROR(__xludf.DUMMYFUNCTION("""COMPUTED_VALUE"""),"Largest Substring Between Two Equal Characters")</f>
        <v>Largest Substring Between Two Equal Characters</v>
      </c>
      <c r="C1625" s="23" t="str">
        <f>IFERROR(__xludf.DUMMYFUNCTION("""COMPUTED_VALUE"""),"largest-substring-between-two-equal-characters")</f>
        <v>largest-substring-between-two-equal-characters</v>
      </c>
      <c r="D1625" s="23" t="b">
        <f>IFERROR(__xludf.DUMMYFUNCTION("""COMPUTED_VALUE"""),FALSE)</f>
        <v>0</v>
      </c>
      <c r="E1625" s="23" t="str">
        <f>IFERROR(__xludf.DUMMYFUNCTION("""COMPUTED_VALUE"""),"Easy")</f>
        <v>Easy</v>
      </c>
      <c r="F1625" s="23">
        <f>IFERROR(__xludf.DUMMYFUNCTION("""COMPUTED_VALUE"""),380.0)</f>
        <v>380</v>
      </c>
      <c r="G1625" s="23">
        <f>IFERROR(__xludf.DUMMYFUNCTION("""COMPUTED_VALUE"""),24.0)</f>
        <v>24</v>
      </c>
      <c r="H1625" s="23" t="str">
        <f>IFERROR(__xludf.DUMMYFUNCTION("""COMPUTED_VALUE"""),"Algorithms")</f>
        <v>Algorithms</v>
      </c>
      <c r="I1625" s="23">
        <f>IFERROR(__xludf.DUMMYFUNCTION("""COMPUTED_VALUE"""),0.593)</f>
        <v>0.593</v>
      </c>
      <c r="J1625" s="23">
        <f>IFERROR(__xludf.DUMMYFUNCTION("""COMPUTED_VALUE"""),1624.0)</f>
        <v>1624</v>
      </c>
      <c r="K1625" s="23" t="b">
        <f>IFERROR(__xludf.DUMMYFUNCTION("""COMPUTED_VALUE"""),FALSE)</f>
        <v>0</v>
      </c>
      <c r="L1625" s="23" t="str">
        <f>IFERROR(__xludf.DUMMYFUNCTION("""COMPUTED_VALUE"""),"Hash Table;String;")</f>
        <v>Hash Table;String;</v>
      </c>
      <c r="M1625" s="23" t="b">
        <f>IFERROR(__xludf.DUMMYFUNCTION("""COMPUTED_VALUE"""),FALSE)</f>
        <v>0</v>
      </c>
      <c r="N1625" s="23" t="b">
        <f>IFERROR(__xludf.DUMMYFUNCTION("""COMPUTED_VALUE"""),FALSE)</f>
        <v>0</v>
      </c>
      <c r="O1625" s="23">
        <f>IFERROR(__xludf.DUMMYFUNCTION("""COMPUTED_VALUE"""),59.2817494318816)</f>
        <v>59.28174943</v>
      </c>
      <c r="P1625" s="23">
        <f>IFERROR(__xludf.DUMMYFUNCTION("""COMPUTED_VALUE"""),31826.0)</f>
        <v>31826</v>
      </c>
      <c r="Q1625" s="23">
        <f>IFERROR(__xludf.DUMMYFUNCTION("""COMPUTED_VALUE"""),53686.0)</f>
        <v>53686</v>
      </c>
    </row>
    <row r="1626">
      <c r="A1626" s="23">
        <f>IFERROR(__xludf.DUMMYFUNCTION("""COMPUTED_VALUE"""),1747.0)</f>
        <v>1747</v>
      </c>
      <c r="B1626" s="23" t="str">
        <f>IFERROR(__xludf.DUMMYFUNCTION("""COMPUTED_VALUE"""),"Lexicographically Smallest String After Applying Operations")</f>
        <v>Lexicographically Smallest String After Applying Operations</v>
      </c>
      <c r="C1626" s="23" t="str">
        <f>IFERROR(__xludf.DUMMYFUNCTION("""COMPUTED_VALUE"""),"lexicographically-smallest-string-after-applying-operations")</f>
        <v>lexicographically-smallest-string-after-applying-operations</v>
      </c>
      <c r="D1626" s="23" t="b">
        <f>IFERROR(__xludf.DUMMYFUNCTION("""COMPUTED_VALUE"""),FALSE)</f>
        <v>0</v>
      </c>
      <c r="E1626" s="23" t="str">
        <f>IFERROR(__xludf.DUMMYFUNCTION("""COMPUTED_VALUE"""),"Medium")</f>
        <v>Medium</v>
      </c>
      <c r="F1626" s="23">
        <f>IFERROR(__xludf.DUMMYFUNCTION("""COMPUTED_VALUE"""),228.0)</f>
        <v>228</v>
      </c>
      <c r="G1626" s="23">
        <f>IFERROR(__xludf.DUMMYFUNCTION("""COMPUTED_VALUE"""),221.0)</f>
        <v>221</v>
      </c>
      <c r="H1626" s="23" t="str">
        <f>IFERROR(__xludf.DUMMYFUNCTION("""COMPUTED_VALUE"""),"Algorithms")</f>
        <v>Algorithms</v>
      </c>
      <c r="I1626" s="23">
        <f>IFERROR(__xludf.DUMMYFUNCTION("""COMPUTED_VALUE"""),0.66)</f>
        <v>0.66</v>
      </c>
      <c r="J1626" s="23">
        <f>IFERROR(__xludf.DUMMYFUNCTION("""COMPUTED_VALUE"""),1625.0)</f>
        <v>1625</v>
      </c>
      <c r="K1626" s="23" t="b">
        <f>IFERROR(__xludf.DUMMYFUNCTION("""COMPUTED_VALUE"""),FALSE)</f>
        <v>0</v>
      </c>
      <c r="L1626" s="23" t="str">
        <f>IFERROR(__xludf.DUMMYFUNCTION("""COMPUTED_VALUE"""),"String;Breadth-First Search;")</f>
        <v>String;Breadth-First Search;</v>
      </c>
      <c r="M1626" s="23" t="b">
        <f>IFERROR(__xludf.DUMMYFUNCTION("""COMPUTED_VALUE"""),FALSE)</f>
        <v>0</v>
      </c>
      <c r="N1626" s="23" t="b">
        <f>IFERROR(__xludf.DUMMYFUNCTION("""COMPUTED_VALUE"""),FALSE)</f>
        <v>0</v>
      </c>
      <c r="O1626" s="23">
        <f>IFERROR(__xludf.DUMMYFUNCTION("""COMPUTED_VALUE"""),66.0113614603944)</f>
        <v>66.01136146</v>
      </c>
      <c r="P1626" s="23">
        <f>IFERROR(__xludf.DUMMYFUNCTION("""COMPUTED_VALUE"""),10342.0)</f>
        <v>10342</v>
      </c>
      <c r="Q1626" s="23">
        <f>IFERROR(__xludf.DUMMYFUNCTION("""COMPUTED_VALUE"""),15667.0)</f>
        <v>15667</v>
      </c>
    </row>
    <row r="1627">
      <c r="A1627" s="23">
        <f>IFERROR(__xludf.DUMMYFUNCTION("""COMPUTED_VALUE"""),1748.0)</f>
        <v>1748</v>
      </c>
      <c r="B1627" s="23" t="str">
        <f>IFERROR(__xludf.DUMMYFUNCTION("""COMPUTED_VALUE"""),"Best Team With No Conflicts")</f>
        <v>Best Team With No Conflicts</v>
      </c>
      <c r="C1627" s="23" t="str">
        <f>IFERROR(__xludf.DUMMYFUNCTION("""COMPUTED_VALUE"""),"best-team-with-no-conflicts")</f>
        <v>best-team-with-no-conflicts</v>
      </c>
      <c r="D1627" s="23" t="b">
        <f>IFERROR(__xludf.DUMMYFUNCTION("""COMPUTED_VALUE"""),FALSE)</f>
        <v>0</v>
      </c>
      <c r="E1627" s="23" t="str">
        <f>IFERROR(__xludf.DUMMYFUNCTION("""COMPUTED_VALUE"""),"Medium")</f>
        <v>Medium</v>
      </c>
      <c r="F1627" s="23">
        <f>IFERROR(__xludf.DUMMYFUNCTION("""COMPUTED_VALUE"""),799.0)</f>
        <v>799</v>
      </c>
      <c r="G1627" s="23">
        <f>IFERROR(__xludf.DUMMYFUNCTION("""COMPUTED_VALUE"""),28.0)</f>
        <v>28</v>
      </c>
      <c r="H1627" s="23" t="str">
        <f>IFERROR(__xludf.DUMMYFUNCTION("""COMPUTED_VALUE"""),"Algorithms")</f>
        <v>Algorithms</v>
      </c>
      <c r="I1627" s="23">
        <f>IFERROR(__xludf.DUMMYFUNCTION("""COMPUTED_VALUE"""),0.407)</f>
        <v>0.407</v>
      </c>
      <c r="J1627" s="23">
        <f>IFERROR(__xludf.DUMMYFUNCTION("""COMPUTED_VALUE"""),1626.0)</f>
        <v>1626</v>
      </c>
      <c r="K1627" s="23" t="b">
        <f>IFERROR(__xludf.DUMMYFUNCTION("""COMPUTED_VALUE"""),FALSE)</f>
        <v>0</v>
      </c>
      <c r="L1627" s="23" t="str">
        <f>IFERROR(__xludf.DUMMYFUNCTION("""COMPUTED_VALUE"""),"Array;Dynamic Programming;Sorting;")</f>
        <v>Array;Dynamic Programming;Sorting;</v>
      </c>
      <c r="M1627" s="23" t="b">
        <f>IFERROR(__xludf.DUMMYFUNCTION("""COMPUTED_VALUE"""),FALSE)</f>
        <v>0</v>
      </c>
      <c r="N1627" s="23" t="b">
        <f>IFERROR(__xludf.DUMMYFUNCTION("""COMPUTED_VALUE"""),FALSE)</f>
        <v>0</v>
      </c>
      <c r="O1627" s="23">
        <f>IFERROR(__xludf.DUMMYFUNCTION("""COMPUTED_VALUE"""),40.6934509882567)</f>
        <v>40.69345099</v>
      </c>
      <c r="P1627" s="23">
        <f>IFERROR(__xludf.DUMMYFUNCTION("""COMPUTED_VALUE"""),18262.0)</f>
        <v>18262</v>
      </c>
      <c r="Q1627" s="23">
        <f>IFERROR(__xludf.DUMMYFUNCTION("""COMPUTED_VALUE"""),44877.0)</f>
        <v>44877</v>
      </c>
    </row>
    <row r="1628">
      <c r="A1628" s="23">
        <f>IFERROR(__xludf.DUMMYFUNCTION("""COMPUTED_VALUE"""),1223.0)</f>
        <v>1223</v>
      </c>
      <c r="B1628" s="23" t="str">
        <f>IFERROR(__xludf.DUMMYFUNCTION("""COMPUTED_VALUE"""),"Graph Connectivity With Threshold")</f>
        <v>Graph Connectivity With Threshold</v>
      </c>
      <c r="C1628" s="23" t="str">
        <f>IFERROR(__xludf.DUMMYFUNCTION("""COMPUTED_VALUE"""),"graph-connectivity-with-threshold")</f>
        <v>graph-connectivity-with-threshold</v>
      </c>
      <c r="D1628" s="23" t="b">
        <f>IFERROR(__xludf.DUMMYFUNCTION("""COMPUTED_VALUE"""),FALSE)</f>
        <v>0</v>
      </c>
      <c r="E1628" s="23" t="str">
        <f>IFERROR(__xludf.DUMMYFUNCTION("""COMPUTED_VALUE"""),"Hard")</f>
        <v>Hard</v>
      </c>
      <c r="F1628" s="23">
        <f>IFERROR(__xludf.DUMMYFUNCTION("""COMPUTED_VALUE"""),317.0)</f>
        <v>317</v>
      </c>
      <c r="G1628" s="23">
        <f>IFERROR(__xludf.DUMMYFUNCTION("""COMPUTED_VALUE"""),23.0)</f>
        <v>23</v>
      </c>
      <c r="H1628" s="23" t="str">
        <f>IFERROR(__xludf.DUMMYFUNCTION("""COMPUTED_VALUE"""),"Algorithms")</f>
        <v>Algorithms</v>
      </c>
      <c r="I1628" s="23">
        <f>IFERROR(__xludf.DUMMYFUNCTION("""COMPUTED_VALUE"""),0.446)</f>
        <v>0.446</v>
      </c>
      <c r="J1628" s="23">
        <f>IFERROR(__xludf.DUMMYFUNCTION("""COMPUTED_VALUE"""),1627.0)</f>
        <v>1627</v>
      </c>
      <c r="K1628" s="23" t="b">
        <f>IFERROR(__xludf.DUMMYFUNCTION("""COMPUTED_VALUE"""),FALSE)</f>
        <v>0</v>
      </c>
      <c r="L1628" s="23" t="str">
        <f>IFERROR(__xludf.DUMMYFUNCTION("""COMPUTED_VALUE"""),"Array;Math;Union Find;")</f>
        <v>Array;Math;Union Find;</v>
      </c>
      <c r="M1628" s="23" t="b">
        <f>IFERROR(__xludf.DUMMYFUNCTION("""COMPUTED_VALUE"""),FALSE)</f>
        <v>0</v>
      </c>
      <c r="N1628" s="23" t="b">
        <f>IFERROR(__xludf.DUMMYFUNCTION("""COMPUTED_VALUE"""),FALSE)</f>
        <v>0</v>
      </c>
      <c r="O1628" s="23">
        <f>IFERROR(__xludf.DUMMYFUNCTION("""COMPUTED_VALUE"""),44.599077943901)</f>
        <v>44.59907794</v>
      </c>
      <c r="P1628" s="23">
        <f>IFERROR(__xludf.DUMMYFUNCTION("""COMPUTED_VALUE"""),10351.0)</f>
        <v>10351</v>
      </c>
      <c r="Q1628" s="23">
        <f>IFERROR(__xludf.DUMMYFUNCTION("""COMPUTED_VALUE"""),23209.0)</f>
        <v>23209</v>
      </c>
    </row>
    <row r="1629">
      <c r="A1629" s="23">
        <f>IFERROR(__xludf.DUMMYFUNCTION("""COMPUTED_VALUE"""),1768.0)</f>
        <v>1768</v>
      </c>
      <c r="B1629" s="23" t="str">
        <f>IFERROR(__xludf.DUMMYFUNCTION("""COMPUTED_VALUE"""),"Design an Expression Tree With Evaluate Function")</f>
        <v>Design an Expression Tree With Evaluate Function</v>
      </c>
      <c r="C1629" s="23" t="str">
        <f>IFERROR(__xludf.DUMMYFUNCTION("""COMPUTED_VALUE"""),"design-an-expression-tree-with-evaluate-function")</f>
        <v>design-an-expression-tree-with-evaluate-function</v>
      </c>
      <c r="D1629" s="23" t="b">
        <f>IFERROR(__xludf.DUMMYFUNCTION("""COMPUTED_VALUE"""),TRUE)</f>
        <v>1</v>
      </c>
      <c r="E1629" s="23" t="str">
        <f>IFERROR(__xludf.DUMMYFUNCTION("""COMPUTED_VALUE"""),"Medium")</f>
        <v>Medium</v>
      </c>
      <c r="F1629" s="23">
        <f>IFERROR(__xludf.DUMMYFUNCTION("""COMPUTED_VALUE"""),332.0)</f>
        <v>332</v>
      </c>
      <c r="G1629" s="23">
        <f>IFERROR(__xludf.DUMMYFUNCTION("""COMPUTED_VALUE"""),53.0)</f>
        <v>53</v>
      </c>
      <c r="H1629" s="23" t="str">
        <f>IFERROR(__xludf.DUMMYFUNCTION("""COMPUTED_VALUE"""),"Algorithms")</f>
        <v>Algorithms</v>
      </c>
      <c r="I1629" s="23">
        <f>IFERROR(__xludf.DUMMYFUNCTION("""COMPUTED_VALUE"""),0.817)</f>
        <v>0.817</v>
      </c>
      <c r="J1629" s="23">
        <f>IFERROR(__xludf.DUMMYFUNCTION("""COMPUTED_VALUE"""),1628.0)</f>
        <v>1628</v>
      </c>
      <c r="K1629" s="23" t="b">
        <f>IFERROR(__xludf.DUMMYFUNCTION("""COMPUTED_VALUE"""),TRUE)</f>
        <v>1</v>
      </c>
      <c r="L1629" s="23" t="str">
        <f>IFERROR(__xludf.DUMMYFUNCTION("""COMPUTED_VALUE"""),"Math;Stack;Tree;Design;Binary Tree;")</f>
        <v>Math;Stack;Tree;Design;Binary Tree;</v>
      </c>
      <c r="M1629" s="23" t="b">
        <f>IFERROR(__xludf.DUMMYFUNCTION("""COMPUTED_VALUE"""),FALSE)</f>
        <v>0</v>
      </c>
      <c r="N1629" s="23" t="b">
        <f>IFERROR(__xludf.DUMMYFUNCTION("""COMPUTED_VALUE"""),FALSE)</f>
        <v>0</v>
      </c>
      <c r="O1629" s="23">
        <f>IFERROR(__xludf.DUMMYFUNCTION("""COMPUTED_VALUE"""),81.6933402168301)</f>
        <v>81.69334022</v>
      </c>
      <c r="P1629" s="23">
        <f>IFERROR(__xludf.DUMMYFUNCTION("""COMPUTED_VALUE"""),15823.0)</f>
        <v>15823</v>
      </c>
      <c r="Q1629" s="23">
        <f>IFERROR(__xludf.DUMMYFUNCTION("""COMPUTED_VALUE"""),19369.0)</f>
        <v>19369</v>
      </c>
    </row>
    <row r="1630">
      <c r="A1630" s="23">
        <f>IFERROR(__xludf.DUMMYFUNCTION("""COMPUTED_VALUE"""),1751.0)</f>
        <v>1751</v>
      </c>
      <c r="B1630" s="23" t="str">
        <f>IFERROR(__xludf.DUMMYFUNCTION("""COMPUTED_VALUE"""),"Slowest Key")</f>
        <v>Slowest Key</v>
      </c>
      <c r="C1630" s="23" t="str">
        <f>IFERROR(__xludf.DUMMYFUNCTION("""COMPUTED_VALUE"""),"slowest-key")</f>
        <v>slowest-key</v>
      </c>
      <c r="D1630" s="23" t="b">
        <f>IFERROR(__xludf.DUMMYFUNCTION("""COMPUTED_VALUE"""),FALSE)</f>
        <v>0</v>
      </c>
      <c r="E1630" s="23" t="str">
        <f>IFERROR(__xludf.DUMMYFUNCTION("""COMPUTED_VALUE"""),"Easy")</f>
        <v>Easy</v>
      </c>
      <c r="F1630" s="23">
        <f>IFERROR(__xludf.DUMMYFUNCTION("""COMPUTED_VALUE"""),523.0)</f>
        <v>523</v>
      </c>
      <c r="G1630" s="23">
        <f>IFERROR(__xludf.DUMMYFUNCTION("""COMPUTED_VALUE"""),86.0)</f>
        <v>86</v>
      </c>
      <c r="H1630" s="23" t="str">
        <f>IFERROR(__xludf.DUMMYFUNCTION("""COMPUTED_VALUE"""),"Algorithms")</f>
        <v>Algorithms</v>
      </c>
      <c r="I1630" s="23">
        <f>IFERROR(__xludf.DUMMYFUNCTION("""COMPUTED_VALUE"""),0.596)</f>
        <v>0.596</v>
      </c>
      <c r="J1630" s="23">
        <f>IFERROR(__xludf.DUMMYFUNCTION("""COMPUTED_VALUE"""),1629.0)</f>
        <v>1629</v>
      </c>
      <c r="K1630" s="23" t="b">
        <f>IFERROR(__xludf.DUMMYFUNCTION("""COMPUTED_VALUE"""),FALSE)</f>
        <v>0</v>
      </c>
      <c r="L1630" s="23" t="str">
        <f>IFERROR(__xludf.DUMMYFUNCTION("""COMPUTED_VALUE"""),"Array;String;")</f>
        <v>Array;String;</v>
      </c>
      <c r="M1630" s="23" t="b">
        <f>IFERROR(__xludf.DUMMYFUNCTION("""COMPUTED_VALUE"""),TRUE)</f>
        <v>1</v>
      </c>
      <c r="N1630" s="23" t="b">
        <f>IFERROR(__xludf.DUMMYFUNCTION("""COMPUTED_VALUE"""),FALSE)</f>
        <v>0</v>
      </c>
      <c r="O1630" s="23">
        <f>IFERROR(__xludf.DUMMYFUNCTION("""COMPUTED_VALUE"""),59.6153241773782)</f>
        <v>59.61532418</v>
      </c>
      <c r="P1630" s="23">
        <f>IFERROR(__xludf.DUMMYFUNCTION("""COMPUTED_VALUE"""),75876.0)</f>
        <v>75876</v>
      </c>
      <c r="Q1630" s="23">
        <f>IFERROR(__xludf.DUMMYFUNCTION("""COMPUTED_VALUE"""),127276.0)</f>
        <v>127276</v>
      </c>
    </row>
    <row r="1631">
      <c r="A1631" s="23">
        <f>IFERROR(__xludf.DUMMYFUNCTION("""COMPUTED_VALUE"""),1752.0)</f>
        <v>1752</v>
      </c>
      <c r="B1631" s="23" t="str">
        <f>IFERROR(__xludf.DUMMYFUNCTION("""COMPUTED_VALUE"""),"Arithmetic Subarrays")</f>
        <v>Arithmetic Subarrays</v>
      </c>
      <c r="C1631" s="23" t="str">
        <f>IFERROR(__xludf.DUMMYFUNCTION("""COMPUTED_VALUE"""),"arithmetic-subarrays")</f>
        <v>arithmetic-subarrays</v>
      </c>
      <c r="D1631" s="23" t="b">
        <f>IFERROR(__xludf.DUMMYFUNCTION("""COMPUTED_VALUE"""),FALSE)</f>
        <v>0</v>
      </c>
      <c r="E1631" s="23" t="str">
        <f>IFERROR(__xludf.DUMMYFUNCTION("""COMPUTED_VALUE"""),"Medium")</f>
        <v>Medium</v>
      </c>
      <c r="F1631" s="23">
        <f>IFERROR(__xludf.DUMMYFUNCTION("""COMPUTED_VALUE"""),606.0)</f>
        <v>606</v>
      </c>
      <c r="G1631" s="23">
        <f>IFERROR(__xludf.DUMMYFUNCTION("""COMPUTED_VALUE"""),70.0)</f>
        <v>70</v>
      </c>
      <c r="H1631" s="23" t="str">
        <f>IFERROR(__xludf.DUMMYFUNCTION("""COMPUTED_VALUE"""),"Algorithms")</f>
        <v>Algorithms</v>
      </c>
      <c r="I1631" s="23">
        <f>IFERROR(__xludf.DUMMYFUNCTION("""COMPUTED_VALUE"""),0.788)</f>
        <v>0.788</v>
      </c>
      <c r="J1631" s="23">
        <f>IFERROR(__xludf.DUMMYFUNCTION("""COMPUTED_VALUE"""),1630.0)</f>
        <v>1630</v>
      </c>
      <c r="K1631" s="23" t="b">
        <f>IFERROR(__xludf.DUMMYFUNCTION("""COMPUTED_VALUE"""),FALSE)</f>
        <v>0</v>
      </c>
      <c r="L1631" s="23" t="str">
        <f>IFERROR(__xludf.DUMMYFUNCTION("""COMPUTED_VALUE"""),"Array;Sorting;")</f>
        <v>Array;Sorting;</v>
      </c>
      <c r="M1631" s="23" t="b">
        <f>IFERROR(__xludf.DUMMYFUNCTION("""COMPUTED_VALUE"""),FALSE)</f>
        <v>0</v>
      </c>
      <c r="N1631" s="23" t="b">
        <f>IFERROR(__xludf.DUMMYFUNCTION("""COMPUTED_VALUE"""),FALSE)</f>
        <v>0</v>
      </c>
      <c r="O1631" s="23">
        <f>IFERROR(__xludf.DUMMYFUNCTION("""COMPUTED_VALUE"""),78.7503926163956)</f>
        <v>78.75039262</v>
      </c>
      <c r="P1631" s="23">
        <f>IFERROR(__xludf.DUMMYFUNCTION("""COMPUTED_VALUE"""),32594.0)</f>
        <v>32594</v>
      </c>
      <c r="Q1631" s="23">
        <f>IFERROR(__xludf.DUMMYFUNCTION("""COMPUTED_VALUE"""),41389.0)</f>
        <v>41389</v>
      </c>
    </row>
    <row r="1632">
      <c r="A1632" s="23">
        <f>IFERROR(__xludf.DUMMYFUNCTION("""COMPUTED_VALUE"""),1753.0)</f>
        <v>1753</v>
      </c>
      <c r="B1632" s="23" t="str">
        <f>IFERROR(__xludf.DUMMYFUNCTION("""COMPUTED_VALUE"""),"Path With Minimum Effort")</f>
        <v>Path With Minimum Effort</v>
      </c>
      <c r="C1632" s="23" t="str">
        <f>IFERROR(__xludf.DUMMYFUNCTION("""COMPUTED_VALUE"""),"path-with-minimum-effort")</f>
        <v>path-with-minimum-effort</v>
      </c>
      <c r="D1632" s="23" t="b">
        <f>IFERROR(__xludf.DUMMYFUNCTION("""COMPUTED_VALUE"""),FALSE)</f>
        <v>0</v>
      </c>
      <c r="E1632" s="23" t="str">
        <f>IFERROR(__xludf.DUMMYFUNCTION("""COMPUTED_VALUE"""),"Medium")</f>
        <v>Medium</v>
      </c>
      <c r="F1632" s="23">
        <f>IFERROR(__xludf.DUMMYFUNCTION("""COMPUTED_VALUE"""),2579.0)</f>
        <v>2579</v>
      </c>
      <c r="G1632" s="23">
        <f>IFERROR(__xludf.DUMMYFUNCTION("""COMPUTED_VALUE"""),112.0)</f>
        <v>112</v>
      </c>
      <c r="H1632" s="23" t="str">
        <f>IFERROR(__xludf.DUMMYFUNCTION("""COMPUTED_VALUE"""),"Algorithms")</f>
        <v>Algorithms</v>
      </c>
      <c r="I1632" s="23">
        <f>IFERROR(__xludf.DUMMYFUNCTION("""COMPUTED_VALUE"""),0.534)</f>
        <v>0.534</v>
      </c>
      <c r="J1632" s="23">
        <f>IFERROR(__xludf.DUMMYFUNCTION("""COMPUTED_VALUE"""),1631.0)</f>
        <v>1631</v>
      </c>
      <c r="K1632" s="23" t="b">
        <f>IFERROR(__xludf.DUMMYFUNCTION("""COMPUTED_VALUE"""),FALSE)</f>
        <v>0</v>
      </c>
      <c r="L1632" s="23" t="str">
        <f>IFERROR(__xludf.DUMMYFUNCTION("""COMPUTED_VALUE"""),"Array;Binary Search;Depth-First Search;Breadth-First Search;Union Find;Heap (Priority Queue);Matrix;")</f>
        <v>Array;Binary Search;Depth-First Search;Breadth-First Search;Union Find;Heap (Priority Queue);Matrix;</v>
      </c>
      <c r="M1632" s="23" t="b">
        <f>IFERROR(__xludf.DUMMYFUNCTION("""COMPUTED_VALUE"""),TRUE)</f>
        <v>1</v>
      </c>
      <c r="N1632" s="23" t="b">
        <f>IFERROR(__xludf.DUMMYFUNCTION("""COMPUTED_VALUE"""),FALSE)</f>
        <v>0</v>
      </c>
      <c r="O1632" s="23">
        <f>IFERROR(__xludf.DUMMYFUNCTION("""COMPUTED_VALUE"""),53.4520711210566)</f>
        <v>53.45207112</v>
      </c>
      <c r="P1632" s="23">
        <f>IFERROR(__xludf.DUMMYFUNCTION("""COMPUTED_VALUE"""),87700.0)</f>
        <v>87700</v>
      </c>
      <c r="Q1632" s="23">
        <f>IFERROR(__xludf.DUMMYFUNCTION("""COMPUTED_VALUE"""),164123.0)</f>
        <v>164123</v>
      </c>
    </row>
    <row r="1633">
      <c r="A1633" s="23">
        <f>IFERROR(__xludf.DUMMYFUNCTION("""COMPUTED_VALUE"""),1257.0)</f>
        <v>1257</v>
      </c>
      <c r="B1633" s="23" t="str">
        <f>IFERROR(__xludf.DUMMYFUNCTION("""COMPUTED_VALUE"""),"Rank Transform of a Matrix")</f>
        <v>Rank Transform of a Matrix</v>
      </c>
      <c r="C1633" s="23" t="str">
        <f>IFERROR(__xludf.DUMMYFUNCTION("""COMPUTED_VALUE"""),"rank-transform-of-a-matrix")</f>
        <v>rank-transform-of-a-matrix</v>
      </c>
      <c r="D1633" s="23" t="b">
        <f>IFERROR(__xludf.DUMMYFUNCTION("""COMPUTED_VALUE"""),FALSE)</f>
        <v>0</v>
      </c>
      <c r="E1633" s="23" t="str">
        <f>IFERROR(__xludf.DUMMYFUNCTION("""COMPUTED_VALUE"""),"Hard")</f>
        <v>Hard</v>
      </c>
      <c r="F1633" s="23">
        <f>IFERROR(__xludf.DUMMYFUNCTION("""COMPUTED_VALUE"""),599.0)</f>
        <v>599</v>
      </c>
      <c r="G1633" s="23">
        <f>IFERROR(__xludf.DUMMYFUNCTION("""COMPUTED_VALUE"""),38.0)</f>
        <v>38</v>
      </c>
      <c r="H1633" s="23" t="str">
        <f>IFERROR(__xludf.DUMMYFUNCTION("""COMPUTED_VALUE"""),"Algorithms")</f>
        <v>Algorithms</v>
      </c>
      <c r="I1633" s="23">
        <f>IFERROR(__xludf.DUMMYFUNCTION("""COMPUTED_VALUE"""),0.406)</f>
        <v>0.406</v>
      </c>
      <c r="J1633" s="23">
        <f>IFERROR(__xludf.DUMMYFUNCTION("""COMPUTED_VALUE"""),1632.0)</f>
        <v>1632</v>
      </c>
      <c r="K1633" s="23" t="b">
        <f>IFERROR(__xludf.DUMMYFUNCTION("""COMPUTED_VALUE"""),FALSE)</f>
        <v>0</v>
      </c>
      <c r="L1633" s="23" t="str">
        <f>IFERROR(__xludf.DUMMYFUNCTION("""COMPUTED_VALUE"""),"Array;Greedy;Union Find;Graph;Topological Sort;Matrix;")</f>
        <v>Array;Greedy;Union Find;Graph;Topological Sort;Matrix;</v>
      </c>
      <c r="M1633" s="23" t="b">
        <f>IFERROR(__xludf.DUMMYFUNCTION("""COMPUTED_VALUE"""),TRUE)</f>
        <v>1</v>
      </c>
      <c r="N1633" s="23" t="b">
        <f>IFERROR(__xludf.DUMMYFUNCTION("""COMPUTED_VALUE"""),FALSE)</f>
        <v>0</v>
      </c>
      <c r="O1633" s="23">
        <f>IFERROR(__xludf.DUMMYFUNCTION("""COMPUTED_VALUE"""),40.6482221092634)</f>
        <v>40.64822211</v>
      </c>
      <c r="P1633" s="23">
        <f>IFERROR(__xludf.DUMMYFUNCTION("""COMPUTED_VALUE"""),16793.0)</f>
        <v>16793</v>
      </c>
      <c r="Q1633" s="23">
        <f>IFERROR(__xludf.DUMMYFUNCTION("""COMPUTED_VALUE"""),41313.0)</f>
        <v>41313</v>
      </c>
    </row>
    <row r="1634">
      <c r="A1634" s="23">
        <f>IFERROR(__xludf.DUMMYFUNCTION("""COMPUTED_VALUE"""),1773.0)</f>
        <v>1773</v>
      </c>
      <c r="B1634" s="23" t="str">
        <f>IFERROR(__xludf.DUMMYFUNCTION("""COMPUTED_VALUE"""),"Percentage of Users Attended a Contest")</f>
        <v>Percentage of Users Attended a Contest</v>
      </c>
      <c r="C1634" s="23" t="str">
        <f>IFERROR(__xludf.DUMMYFUNCTION("""COMPUTED_VALUE"""),"percentage-of-users-attended-a-contest")</f>
        <v>percentage-of-users-attended-a-contest</v>
      </c>
      <c r="D1634" s="23" t="b">
        <f>IFERROR(__xludf.DUMMYFUNCTION("""COMPUTED_VALUE"""),TRUE)</f>
        <v>1</v>
      </c>
      <c r="E1634" s="23" t="str">
        <f>IFERROR(__xludf.DUMMYFUNCTION("""COMPUTED_VALUE"""),"Easy")</f>
        <v>Easy</v>
      </c>
      <c r="F1634" s="23">
        <f>IFERROR(__xludf.DUMMYFUNCTION("""COMPUTED_VALUE"""),51.0)</f>
        <v>51</v>
      </c>
      <c r="G1634" s="23">
        <f>IFERROR(__xludf.DUMMYFUNCTION("""COMPUTED_VALUE"""),12.0)</f>
        <v>12</v>
      </c>
      <c r="H1634" s="23" t="str">
        <f>IFERROR(__xludf.DUMMYFUNCTION("""COMPUTED_VALUE"""),"Database")</f>
        <v>Database</v>
      </c>
      <c r="I1634" s="23">
        <f>IFERROR(__xludf.DUMMYFUNCTION("""COMPUTED_VALUE"""),0.694)</f>
        <v>0.694</v>
      </c>
      <c r="J1634" s="23">
        <f>IFERROR(__xludf.DUMMYFUNCTION("""COMPUTED_VALUE"""),1633.0)</f>
        <v>1633</v>
      </c>
      <c r="K1634" s="23" t="b">
        <f>IFERROR(__xludf.DUMMYFUNCTION("""COMPUTED_VALUE"""),TRUE)</f>
        <v>1</v>
      </c>
      <c r="L1634" s="23" t="str">
        <f>IFERROR(__xludf.DUMMYFUNCTION("""COMPUTED_VALUE"""),"Database;")</f>
        <v>Database;</v>
      </c>
      <c r="M1634" s="23" t="b">
        <f>IFERROR(__xludf.DUMMYFUNCTION("""COMPUTED_VALUE"""),FALSE)</f>
        <v>0</v>
      </c>
      <c r="N1634" s="23" t="b">
        <f>IFERROR(__xludf.DUMMYFUNCTION("""COMPUTED_VALUE"""),FALSE)</f>
        <v>0</v>
      </c>
      <c r="O1634" s="23">
        <f>IFERROR(__xludf.DUMMYFUNCTION("""COMPUTED_VALUE"""),69.3981561014716)</f>
        <v>69.3981561</v>
      </c>
      <c r="P1634" s="23">
        <f>IFERROR(__xludf.DUMMYFUNCTION("""COMPUTED_VALUE"""),12119.0)</f>
        <v>12119</v>
      </c>
      <c r="Q1634" s="23">
        <f>IFERROR(__xludf.DUMMYFUNCTION("""COMPUTED_VALUE"""),17463.0)</f>
        <v>17463</v>
      </c>
    </row>
    <row r="1635">
      <c r="A1635" s="23">
        <f>IFERROR(__xludf.DUMMYFUNCTION("""COMPUTED_VALUE"""),1774.0)</f>
        <v>1774</v>
      </c>
      <c r="B1635" s="23" t="str">
        <f>IFERROR(__xludf.DUMMYFUNCTION("""COMPUTED_VALUE"""),"Add Two Polynomials Represented as Linked Lists")</f>
        <v>Add Two Polynomials Represented as Linked Lists</v>
      </c>
      <c r="C1635" s="23" t="str">
        <f>IFERROR(__xludf.DUMMYFUNCTION("""COMPUTED_VALUE"""),"add-two-polynomials-represented-as-linked-lists")</f>
        <v>add-two-polynomials-represented-as-linked-lists</v>
      </c>
      <c r="D1635" s="23" t="b">
        <f>IFERROR(__xludf.DUMMYFUNCTION("""COMPUTED_VALUE"""),TRUE)</f>
        <v>1</v>
      </c>
      <c r="E1635" s="23" t="str">
        <f>IFERROR(__xludf.DUMMYFUNCTION("""COMPUTED_VALUE"""),"Medium")</f>
        <v>Medium</v>
      </c>
      <c r="F1635" s="23">
        <f>IFERROR(__xludf.DUMMYFUNCTION("""COMPUTED_VALUE"""),88.0)</f>
        <v>88</v>
      </c>
      <c r="G1635" s="23">
        <f>IFERROR(__xludf.DUMMYFUNCTION("""COMPUTED_VALUE"""),5.0)</f>
        <v>5</v>
      </c>
      <c r="H1635" s="23" t="str">
        <f>IFERROR(__xludf.DUMMYFUNCTION("""COMPUTED_VALUE"""),"Algorithms")</f>
        <v>Algorithms</v>
      </c>
      <c r="I1635" s="23">
        <f>IFERROR(__xludf.DUMMYFUNCTION("""COMPUTED_VALUE"""),0.537)</f>
        <v>0.537</v>
      </c>
      <c r="J1635" s="23">
        <f>IFERROR(__xludf.DUMMYFUNCTION("""COMPUTED_VALUE"""),1634.0)</f>
        <v>1634</v>
      </c>
      <c r="K1635" s="23" t="b">
        <f>IFERROR(__xludf.DUMMYFUNCTION("""COMPUTED_VALUE"""),TRUE)</f>
        <v>1</v>
      </c>
      <c r="L1635" s="23" t="str">
        <f>IFERROR(__xludf.DUMMYFUNCTION("""COMPUTED_VALUE"""),"Linked List;Math;Two Pointers;")</f>
        <v>Linked List;Math;Two Pointers;</v>
      </c>
      <c r="M1635" s="23" t="b">
        <f>IFERROR(__xludf.DUMMYFUNCTION("""COMPUTED_VALUE"""),FALSE)</f>
        <v>0</v>
      </c>
      <c r="N1635" s="23" t="b">
        <f>IFERROR(__xludf.DUMMYFUNCTION("""COMPUTED_VALUE"""),FALSE)</f>
        <v>0</v>
      </c>
      <c r="O1635" s="23">
        <f>IFERROR(__xludf.DUMMYFUNCTION("""COMPUTED_VALUE"""),53.7202092617709)</f>
        <v>53.72020926</v>
      </c>
      <c r="P1635" s="23">
        <f>IFERROR(__xludf.DUMMYFUNCTION("""COMPUTED_VALUE"""),5545.0)</f>
        <v>5545</v>
      </c>
      <c r="Q1635" s="23">
        <f>IFERROR(__xludf.DUMMYFUNCTION("""COMPUTED_VALUE"""),10322.0)</f>
        <v>10322</v>
      </c>
    </row>
    <row r="1636">
      <c r="A1636" s="23">
        <f>IFERROR(__xludf.DUMMYFUNCTION("""COMPUTED_VALUE"""),1779.0)</f>
        <v>1779</v>
      </c>
      <c r="B1636" s="23" t="str">
        <f>IFERROR(__xludf.DUMMYFUNCTION("""COMPUTED_VALUE"""),"Hopper Company Queries I")</f>
        <v>Hopper Company Queries I</v>
      </c>
      <c r="C1636" s="23" t="str">
        <f>IFERROR(__xludf.DUMMYFUNCTION("""COMPUTED_VALUE"""),"hopper-company-queries-i")</f>
        <v>hopper-company-queries-i</v>
      </c>
      <c r="D1636" s="23" t="b">
        <f>IFERROR(__xludf.DUMMYFUNCTION("""COMPUTED_VALUE"""),TRUE)</f>
        <v>1</v>
      </c>
      <c r="E1636" s="23" t="str">
        <f>IFERROR(__xludf.DUMMYFUNCTION("""COMPUTED_VALUE"""),"Hard")</f>
        <v>Hard</v>
      </c>
      <c r="F1636" s="23">
        <f>IFERROR(__xludf.DUMMYFUNCTION("""COMPUTED_VALUE"""),59.0)</f>
        <v>59</v>
      </c>
      <c r="G1636" s="23">
        <f>IFERROR(__xludf.DUMMYFUNCTION("""COMPUTED_VALUE"""),23.0)</f>
        <v>23</v>
      </c>
      <c r="H1636" s="23" t="str">
        <f>IFERROR(__xludf.DUMMYFUNCTION("""COMPUTED_VALUE"""),"Database")</f>
        <v>Database</v>
      </c>
      <c r="I1636" s="23">
        <f>IFERROR(__xludf.DUMMYFUNCTION("""COMPUTED_VALUE"""),0.536)</f>
        <v>0.536</v>
      </c>
      <c r="J1636" s="23">
        <f>IFERROR(__xludf.DUMMYFUNCTION("""COMPUTED_VALUE"""),1635.0)</f>
        <v>1635</v>
      </c>
      <c r="K1636" s="23" t="b">
        <f>IFERROR(__xludf.DUMMYFUNCTION("""COMPUTED_VALUE"""),TRUE)</f>
        <v>1</v>
      </c>
      <c r="L1636" s="23" t="str">
        <f>IFERROR(__xludf.DUMMYFUNCTION("""COMPUTED_VALUE"""),"Database;")</f>
        <v>Database;</v>
      </c>
      <c r="M1636" s="23" t="b">
        <f>IFERROR(__xludf.DUMMYFUNCTION("""COMPUTED_VALUE"""),FALSE)</f>
        <v>0</v>
      </c>
      <c r="N1636" s="23" t="b">
        <f>IFERROR(__xludf.DUMMYFUNCTION("""COMPUTED_VALUE"""),FALSE)</f>
        <v>0</v>
      </c>
      <c r="O1636" s="23">
        <f>IFERROR(__xludf.DUMMYFUNCTION("""COMPUTED_VALUE"""),53.5528596187175)</f>
        <v>53.55285962</v>
      </c>
      <c r="P1636" s="23">
        <f>IFERROR(__xludf.DUMMYFUNCTION("""COMPUTED_VALUE"""),5253.0)</f>
        <v>5253</v>
      </c>
      <c r="Q1636" s="23">
        <f>IFERROR(__xludf.DUMMYFUNCTION("""COMPUTED_VALUE"""),9809.0)</f>
        <v>9809</v>
      </c>
    </row>
    <row r="1637">
      <c r="A1637" s="23">
        <f>IFERROR(__xludf.DUMMYFUNCTION("""COMPUTED_VALUE"""),1741.0)</f>
        <v>1741</v>
      </c>
      <c r="B1637" s="23" t="str">
        <f>IFERROR(__xludf.DUMMYFUNCTION("""COMPUTED_VALUE"""),"Sort Array by Increasing Frequency")</f>
        <v>Sort Array by Increasing Frequency</v>
      </c>
      <c r="C1637" s="23" t="str">
        <f>IFERROR(__xludf.DUMMYFUNCTION("""COMPUTED_VALUE"""),"sort-array-by-increasing-frequency")</f>
        <v>sort-array-by-increasing-frequency</v>
      </c>
      <c r="D1637" s="23" t="b">
        <f>IFERROR(__xludf.DUMMYFUNCTION("""COMPUTED_VALUE"""),FALSE)</f>
        <v>0</v>
      </c>
      <c r="E1637" s="23" t="str">
        <f>IFERROR(__xludf.DUMMYFUNCTION("""COMPUTED_VALUE"""),"Easy")</f>
        <v>Easy</v>
      </c>
      <c r="F1637" s="23">
        <f>IFERROR(__xludf.DUMMYFUNCTION("""COMPUTED_VALUE"""),1341.0)</f>
        <v>1341</v>
      </c>
      <c r="G1637" s="23">
        <f>IFERROR(__xludf.DUMMYFUNCTION("""COMPUTED_VALUE"""),51.0)</f>
        <v>51</v>
      </c>
      <c r="H1637" s="23" t="str">
        <f>IFERROR(__xludf.DUMMYFUNCTION("""COMPUTED_VALUE"""),"Algorithms")</f>
        <v>Algorithms</v>
      </c>
      <c r="I1637" s="23">
        <f>IFERROR(__xludf.DUMMYFUNCTION("""COMPUTED_VALUE"""),0.684)</f>
        <v>0.684</v>
      </c>
      <c r="J1637" s="23">
        <f>IFERROR(__xludf.DUMMYFUNCTION("""COMPUTED_VALUE"""),1636.0)</f>
        <v>1636</v>
      </c>
      <c r="K1637" s="23" t="b">
        <f>IFERROR(__xludf.DUMMYFUNCTION("""COMPUTED_VALUE"""),FALSE)</f>
        <v>0</v>
      </c>
      <c r="L1637" s="23" t="str">
        <f>IFERROR(__xludf.DUMMYFUNCTION("""COMPUTED_VALUE"""),"Array;Hash Table;Sorting;")</f>
        <v>Array;Hash Table;Sorting;</v>
      </c>
      <c r="M1637" s="23" t="b">
        <f>IFERROR(__xludf.DUMMYFUNCTION("""COMPUTED_VALUE"""),FALSE)</f>
        <v>0</v>
      </c>
      <c r="N1637" s="23" t="b">
        <f>IFERROR(__xludf.DUMMYFUNCTION("""COMPUTED_VALUE"""),FALSE)</f>
        <v>0</v>
      </c>
      <c r="O1637" s="23">
        <f>IFERROR(__xludf.DUMMYFUNCTION("""COMPUTED_VALUE"""),68.3865447102764)</f>
        <v>68.38654471</v>
      </c>
      <c r="P1637" s="23">
        <f>IFERROR(__xludf.DUMMYFUNCTION("""COMPUTED_VALUE"""),59140.0)</f>
        <v>59140</v>
      </c>
      <c r="Q1637" s="23">
        <f>IFERROR(__xludf.DUMMYFUNCTION("""COMPUTED_VALUE"""),86479.0)</f>
        <v>86479</v>
      </c>
    </row>
    <row r="1638">
      <c r="A1638" s="23">
        <f>IFERROR(__xludf.DUMMYFUNCTION("""COMPUTED_VALUE"""),1742.0)</f>
        <v>1742</v>
      </c>
      <c r="B1638" s="23" t="str">
        <f>IFERROR(__xludf.DUMMYFUNCTION("""COMPUTED_VALUE"""),"Widest Vertical Area Between Two Points Containing No Points")</f>
        <v>Widest Vertical Area Between Two Points Containing No Points</v>
      </c>
      <c r="C1638" s="23" t="str">
        <f>IFERROR(__xludf.DUMMYFUNCTION("""COMPUTED_VALUE"""),"widest-vertical-area-between-two-points-containing-no-points")</f>
        <v>widest-vertical-area-between-two-points-containing-no-points</v>
      </c>
      <c r="D1638" s="23" t="b">
        <f>IFERROR(__xludf.DUMMYFUNCTION("""COMPUTED_VALUE"""),FALSE)</f>
        <v>0</v>
      </c>
      <c r="E1638" s="23" t="str">
        <f>IFERROR(__xludf.DUMMYFUNCTION("""COMPUTED_VALUE"""),"Medium")</f>
        <v>Medium</v>
      </c>
      <c r="F1638" s="23">
        <f>IFERROR(__xludf.DUMMYFUNCTION("""COMPUTED_VALUE"""),173.0)</f>
        <v>173</v>
      </c>
      <c r="G1638" s="23">
        <f>IFERROR(__xludf.DUMMYFUNCTION("""COMPUTED_VALUE"""),499.0)</f>
        <v>499</v>
      </c>
      <c r="H1638" s="23" t="str">
        <f>IFERROR(__xludf.DUMMYFUNCTION("""COMPUTED_VALUE"""),"Algorithms")</f>
        <v>Algorithms</v>
      </c>
      <c r="I1638" s="23">
        <f>IFERROR(__xludf.DUMMYFUNCTION("""COMPUTED_VALUE"""),0.84)</f>
        <v>0.84</v>
      </c>
      <c r="J1638" s="23">
        <f>IFERROR(__xludf.DUMMYFUNCTION("""COMPUTED_VALUE"""),1637.0)</f>
        <v>1637</v>
      </c>
      <c r="K1638" s="23" t="b">
        <f>IFERROR(__xludf.DUMMYFUNCTION("""COMPUTED_VALUE"""),FALSE)</f>
        <v>0</v>
      </c>
      <c r="L1638" s="23" t="str">
        <f>IFERROR(__xludf.DUMMYFUNCTION("""COMPUTED_VALUE"""),"Array;Sorting;")</f>
        <v>Array;Sorting;</v>
      </c>
      <c r="M1638" s="23" t="b">
        <f>IFERROR(__xludf.DUMMYFUNCTION("""COMPUTED_VALUE"""),FALSE)</f>
        <v>0</v>
      </c>
      <c r="N1638" s="23" t="b">
        <f>IFERROR(__xludf.DUMMYFUNCTION("""COMPUTED_VALUE"""),FALSE)</f>
        <v>0</v>
      </c>
      <c r="O1638" s="23">
        <f>IFERROR(__xludf.DUMMYFUNCTION("""COMPUTED_VALUE"""),83.9964736996767)</f>
        <v>83.9964737</v>
      </c>
      <c r="P1638" s="23">
        <f>IFERROR(__xludf.DUMMYFUNCTION("""COMPUTED_VALUE"""),28584.0)</f>
        <v>28584</v>
      </c>
      <c r="Q1638" s="23">
        <f>IFERROR(__xludf.DUMMYFUNCTION("""COMPUTED_VALUE"""),34030.0)</f>
        <v>34030</v>
      </c>
    </row>
    <row r="1639">
      <c r="A1639" s="23">
        <f>IFERROR(__xludf.DUMMYFUNCTION("""COMPUTED_VALUE"""),1743.0)</f>
        <v>1743</v>
      </c>
      <c r="B1639" s="23" t="str">
        <f>IFERROR(__xludf.DUMMYFUNCTION("""COMPUTED_VALUE"""),"Count Substrings That Differ by One Character")</f>
        <v>Count Substrings That Differ by One Character</v>
      </c>
      <c r="C1639" s="23" t="str">
        <f>IFERROR(__xludf.DUMMYFUNCTION("""COMPUTED_VALUE"""),"count-substrings-that-differ-by-one-character")</f>
        <v>count-substrings-that-differ-by-one-character</v>
      </c>
      <c r="D1639" s="23" t="b">
        <f>IFERROR(__xludf.DUMMYFUNCTION("""COMPUTED_VALUE"""),FALSE)</f>
        <v>0</v>
      </c>
      <c r="E1639" s="23" t="str">
        <f>IFERROR(__xludf.DUMMYFUNCTION("""COMPUTED_VALUE"""),"Medium")</f>
        <v>Medium</v>
      </c>
      <c r="F1639" s="23">
        <f>IFERROR(__xludf.DUMMYFUNCTION("""COMPUTED_VALUE"""),661.0)</f>
        <v>661</v>
      </c>
      <c r="G1639" s="23">
        <f>IFERROR(__xludf.DUMMYFUNCTION("""COMPUTED_VALUE"""),248.0)</f>
        <v>248</v>
      </c>
      <c r="H1639" s="23" t="str">
        <f>IFERROR(__xludf.DUMMYFUNCTION("""COMPUTED_VALUE"""),"Algorithms")</f>
        <v>Algorithms</v>
      </c>
      <c r="I1639" s="23">
        <f>IFERROR(__xludf.DUMMYFUNCTION("""COMPUTED_VALUE"""),0.719)</f>
        <v>0.719</v>
      </c>
      <c r="J1639" s="23">
        <f>IFERROR(__xludf.DUMMYFUNCTION("""COMPUTED_VALUE"""),1638.0)</f>
        <v>1638</v>
      </c>
      <c r="K1639" s="23" t="b">
        <f>IFERROR(__xludf.DUMMYFUNCTION("""COMPUTED_VALUE"""),FALSE)</f>
        <v>0</v>
      </c>
      <c r="L1639" s="23" t="str">
        <f>IFERROR(__xludf.DUMMYFUNCTION("""COMPUTED_VALUE"""),"Hash Table;String;Dynamic Programming;")</f>
        <v>Hash Table;String;Dynamic Programming;</v>
      </c>
      <c r="M1639" s="23" t="b">
        <f>IFERROR(__xludf.DUMMYFUNCTION("""COMPUTED_VALUE"""),FALSE)</f>
        <v>0</v>
      </c>
      <c r="N1639" s="23" t="b">
        <f>IFERROR(__xludf.DUMMYFUNCTION("""COMPUTED_VALUE"""),FALSE)</f>
        <v>0</v>
      </c>
      <c r="O1639" s="23">
        <f>IFERROR(__xludf.DUMMYFUNCTION("""COMPUTED_VALUE"""),71.9342762063228)</f>
        <v>71.93427621</v>
      </c>
      <c r="P1639" s="23">
        <f>IFERROR(__xludf.DUMMYFUNCTION("""COMPUTED_VALUE"""),17291.0)</f>
        <v>17291</v>
      </c>
      <c r="Q1639" s="23">
        <f>IFERROR(__xludf.DUMMYFUNCTION("""COMPUTED_VALUE"""),24038.0)</f>
        <v>24038</v>
      </c>
    </row>
    <row r="1640">
      <c r="A1640" s="23">
        <f>IFERROR(__xludf.DUMMYFUNCTION("""COMPUTED_VALUE"""),1744.0)</f>
        <v>1744</v>
      </c>
      <c r="B1640" s="23" t="str">
        <f>IFERROR(__xludf.DUMMYFUNCTION("""COMPUTED_VALUE"""),"Number of Ways to Form a Target String Given a Dictionary")</f>
        <v>Number of Ways to Form a Target String Given a Dictionary</v>
      </c>
      <c r="C1640" s="23" t="str">
        <f>IFERROR(__xludf.DUMMYFUNCTION("""COMPUTED_VALUE"""),"number-of-ways-to-form-a-target-string-given-a-dictionary")</f>
        <v>number-of-ways-to-form-a-target-string-given-a-dictionary</v>
      </c>
      <c r="D1640" s="23" t="b">
        <f>IFERROR(__xludf.DUMMYFUNCTION("""COMPUTED_VALUE"""),FALSE)</f>
        <v>0</v>
      </c>
      <c r="E1640" s="23" t="str">
        <f>IFERROR(__xludf.DUMMYFUNCTION("""COMPUTED_VALUE"""),"Hard")</f>
        <v>Hard</v>
      </c>
      <c r="F1640" s="23">
        <f>IFERROR(__xludf.DUMMYFUNCTION("""COMPUTED_VALUE"""),246.0)</f>
        <v>246</v>
      </c>
      <c r="G1640" s="23">
        <f>IFERROR(__xludf.DUMMYFUNCTION("""COMPUTED_VALUE"""),12.0)</f>
        <v>12</v>
      </c>
      <c r="H1640" s="23" t="str">
        <f>IFERROR(__xludf.DUMMYFUNCTION("""COMPUTED_VALUE"""),"Algorithms")</f>
        <v>Algorithms</v>
      </c>
      <c r="I1640" s="23">
        <f>IFERROR(__xludf.DUMMYFUNCTION("""COMPUTED_VALUE"""),0.423)</f>
        <v>0.423</v>
      </c>
      <c r="J1640" s="23">
        <f>IFERROR(__xludf.DUMMYFUNCTION("""COMPUTED_VALUE"""),1639.0)</f>
        <v>1639</v>
      </c>
      <c r="K1640" s="23" t="b">
        <f>IFERROR(__xludf.DUMMYFUNCTION("""COMPUTED_VALUE"""),FALSE)</f>
        <v>0</v>
      </c>
      <c r="L1640" s="23" t="str">
        <f>IFERROR(__xludf.DUMMYFUNCTION("""COMPUTED_VALUE"""),"Array;String;Dynamic Programming;")</f>
        <v>Array;String;Dynamic Programming;</v>
      </c>
      <c r="M1640" s="23" t="b">
        <f>IFERROR(__xludf.DUMMYFUNCTION("""COMPUTED_VALUE"""),FALSE)</f>
        <v>0</v>
      </c>
      <c r="N1640" s="23" t="b">
        <f>IFERROR(__xludf.DUMMYFUNCTION("""COMPUTED_VALUE"""),FALSE)</f>
        <v>0</v>
      </c>
      <c r="O1640" s="23">
        <f>IFERROR(__xludf.DUMMYFUNCTION("""COMPUTED_VALUE"""),42.3451100870455)</f>
        <v>42.34511009</v>
      </c>
      <c r="P1640" s="23">
        <f>IFERROR(__xludf.DUMMYFUNCTION("""COMPUTED_VALUE"""),6616.0)</f>
        <v>6616</v>
      </c>
      <c r="Q1640" s="23">
        <f>IFERROR(__xludf.DUMMYFUNCTION("""COMPUTED_VALUE"""),15624.0)</f>
        <v>15624</v>
      </c>
    </row>
    <row r="1641">
      <c r="A1641" s="23">
        <f>IFERROR(__xludf.DUMMYFUNCTION("""COMPUTED_VALUE"""),1760.0)</f>
        <v>1760</v>
      </c>
      <c r="B1641" s="23" t="str">
        <f>IFERROR(__xludf.DUMMYFUNCTION("""COMPUTED_VALUE"""),"Check Array Formation Through Concatenation")</f>
        <v>Check Array Formation Through Concatenation</v>
      </c>
      <c r="C1641" s="23" t="str">
        <f>IFERROR(__xludf.DUMMYFUNCTION("""COMPUTED_VALUE"""),"check-array-formation-through-concatenation")</f>
        <v>check-array-formation-through-concatenation</v>
      </c>
      <c r="D1641" s="23" t="b">
        <f>IFERROR(__xludf.DUMMYFUNCTION("""COMPUTED_VALUE"""),FALSE)</f>
        <v>0</v>
      </c>
      <c r="E1641" s="23" t="str">
        <f>IFERROR(__xludf.DUMMYFUNCTION("""COMPUTED_VALUE"""),"Easy")</f>
        <v>Easy</v>
      </c>
      <c r="F1641" s="23">
        <f>IFERROR(__xludf.DUMMYFUNCTION("""COMPUTED_VALUE"""),677.0)</f>
        <v>677</v>
      </c>
      <c r="G1641" s="23">
        <f>IFERROR(__xludf.DUMMYFUNCTION("""COMPUTED_VALUE"""),112.0)</f>
        <v>112</v>
      </c>
      <c r="H1641" s="23" t="str">
        <f>IFERROR(__xludf.DUMMYFUNCTION("""COMPUTED_VALUE"""),"Algorithms")</f>
        <v>Algorithms</v>
      </c>
      <c r="I1641" s="23">
        <f>IFERROR(__xludf.DUMMYFUNCTION("""COMPUTED_VALUE"""),0.558)</f>
        <v>0.558</v>
      </c>
      <c r="J1641" s="23">
        <f>IFERROR(__xludf.DUMMYFUNCTION("""COMPUTED_VALUE"""),1640.0)</f>
        <v>1640</v>
      </c>
      <c r="K1641" s="23" t="b">
        <f>IFERROR(__xludf.DUMMYFUNCTION("""COMPUTED_VALUE"""),FALSE)</f>
        <v>0</v>
      </c>
      <c r="L1641" s="23" t="str">
        <f>IFERROR(__xludf.DUMMYFUNCTION("""COMPUTED_VALUE"""),"Array;Hash Table;")</f>
        <v>Array;Hash Table;</v>
      </c>
      <c r="M1641" s="23" t="b">
        <f>IFERROR(__xludf.DUMMYFUNCTION("""COMPUTED_VALUE"""),TRUE)</f>
        <v>1</v>
      </c>
      <c r="N1641" s="23" t="b">
        <f>IFERROR(__xludf.DUMMYFUNCTION("""COMPUTED_VALUE"""),FALSE)</f>
        <v>0</v>
      </c>
      <c r="O1641" s="23">
        <f>IFERROR(__xludf.DUMMYFUNCTION("""COMPUTED_VALUE"""),55.8309680963518)</f>
        <v>55.8309681</v>
      </c>
      <c r="P1641" s="23">
        <f>IFERROR(__xludf.DUMMYFUNCTION("""COMPUTED_VALUE"""),67077.0)</f>
        <v>67077</v>
      </c>
      <c r="Q1641" s="23">
        <f>IFERROR(__xludf.DUMMYFUNCTION("""COMPUTED_VALUE"""),120143.0)</f>
        <v>120143</v>
      </c>
    </row>
    <row r="1642">
      <c r="A1642" s="23">
        <f>IFERROR(__xludf.DUMMYFUNCTION("""COMPUTED_VALUE"""),1761.0)</f>
        <v>1761</v>
      </c>
      <c r="B1642" s="23" t="str">
        <f>IFERROR(__xludf.DUMMYFUNCTION("""COMPUTED_VALUE"""),"Count Sorted Vowel Strings")</f>
        <v>Count Sorted Vowel Strings</v>
      </c>
      <c r="C1642" s="23" t="str">
        <f>IFERROR(__xludf.DUMMYFUNCTION("""COMPUTED_VALUE"""),"count-sorted-vowel-strings")</f>
        <v>count-sorted-vowel-strings</v>
      </c>
      <c r="D1642" s="23" t="b">
        <f>IFERROR(__xludf.DUMMYFUNCTION("""COMPUTED_VALUE"""),FALSE)</f>
        <v>0</v>
      </c>
      <c r="E1642" s="23" t="str">
        <f>IFERROR(__xludf.DUMMYFUNCTION("""COMPUTED_VALUE"""),"Medium")</f>
        <v>Medium</v>
      </c>
      <c r="F1642" s="23">
        <f>IFERROR(__xludf.DUMMYFUNCTION("""COMPUTED_VALUE"""),1776.0)</f>
        <v>1776</v>
      </c>
      <c r="G1642" s="23">
        <f>IFERROR(__xludf.DUMMYFUNCTION("""COMPUTED_VALUE"""),38.0)</f>
        <v>38</v>
      </c>
      <c r="H1642" s="23" t="str">
        <f>IFERROR(__xludf.DUMMYFUNCTION("""COMPUTED_VALUE"""),"Algorithms")</f>
        <v>Algorithms</v>
      </c>
      <c r="I1642" s="23">
        <f>IFERROR(__xludf.DUMMYFUNCTION("""COMPUTED_VALUE"""),0.749)</f>
        <v>0.749</v>
      </c>
      <c r="J1642" s="23">
        <f>IFERROR(__xludf.DUMMYFUNCTION("""COMPUTED_VALUE"""),1641.0)</f>
        <v>1641</v>
      </c>
      <c r="K1642" s="23" t="b">
        <f>IFERROR(__xludf.DUMMYFUNCTION("""COMPUTED_VALUE"""),FALSE)</f>
        <v>0</v>
      </c>
      <c r="L1642" s="23" t="str">
        <f>IFERROR(__xludf.DUMMYFUNCTION("""COMPUTED_VALUE"""),"Dynamic Programming;")</f>
        <v>Dynamic Programming;</v>
      </c>
      <c r="M1642" s="23" t="b">
        <f>IFERROR(__xludf.DUMMYFUNCTION("""COMPUTED_VALUE"""),TRUE)</f>
        <v>1</v>
      </c>
      <c r="N1642" s="23" t="b">
        <f>IFERROR(__xludf.DUMMYFUNCTION("""COMPUTED_VALUE"""),FALSE)</f>
        <v>0</v>
      </c>
      <c r="O1642" s="23">
        <f>IFERROR(__xludf.DUMMYFUNCTION("""COMPUTED_VALUE"""),74.8843517861473)</f>
        <v>74.88435179</v>
      </c>
      <c r="P1642" s="23">
        <f>IFERROR(__xludf.DUMMYFUNCTION("""COMPUTED_VALUE"""),83367.0)</f>
        <v>83367</v>
      </c>
      <c r="Q1642" s="23">
        <f>IFERROR(__xludf.DUMMYFUNCTION("""COMPUTED_VALUE"""),111328.0)</f>
        <v>111328</v>
      </c>
    </row>
    <row r="1643">
      <c r="A1643" s="23">
        <f>IFERROR(__xludf.DUMMYFUNCTION("""COMPUTED_VALUE"""),1762.0)</f>
        <v>1762</v>
      </c>
      <c r="B1643" s="23" t="str">
        <f>IFERROR(__xludf.DUMMYFUNCTION("""COMPUTED_VALUE"""),"Furthest Building You Can Reach")</f>
        <v>Furthest Building You Can Reach</v>
      </c>
      <c r="C1643" s="23" t="str">
        <f>IFERROR(__xludf.DUMMYFUNCTION("""COMPUTED_VALUE"""),"furthest-building-you-can-reach")</f>
        <v>furthest-building-you-can-reach</v>
      </c>
      <c r="D1643" s="23" t="b">
        <f>IFERROR(__xludf.DUMMYFUNCTION("""COMPUTED_VALUE"""),FALSE)</f>
        <v>0</v>
      </c>
      <c r="E1643" s="23" t="str">
        <f>IFERROR(__xludf.DUMMYFUNCTION("""COMPUTED_VALUE"""),"Medium")</f>
        <v>Medium</v>
      </c>
      <c r="F1643" s="23">
        <f>IFERROR(__xludf.DUMMYFUNCTION("""COMPUTED_VALUE"""),1652.0)</f>
        <v>1652</v>
      </c>
      <c r="G1643" s="23">
        <f>IFERROR(__xludf.DUMMYFUNCTION("""COMPUTED_VALUE"""),49.0)</f>
        <v>49</v>
      </c>
      <c r="H1643" s="23" t="str">
        <f>IFERROR(__xludf.DUMMYFUNCTION("""COMPUTED_VALUE"""),"Algorithms")</f>
        <v>Algorithms</v>
      </c>
      <c r="I1643" s="23">
        <f>IFERROR(__xludf.DUMMYFUNCTION("""COMPUTED_VALUE"""),0.451)</f>
        <v>0.451</v>
      </c>
      <c r="J1643" s="23">
        <f>IFERROR(__xludf.DUMMYFUNCTION("""COMPUTED_VALUE"""),1642.0)</f>
        <v>1642</v>
      </c>
      <c r="K1643" s="23" t="b">
        <f>IFERROR(__xludf.DUMMYFUNCTION("""COMPUTED_VALUE"""),FALSE)</f>
        <v>0</v>
      </c>
      <c r="L1643" s="23" t="str">
        <f>IFERROR(__xludf.DUMMYFUNCTION("""COMPUTED_VALUE"""),"Array;Greedy;Heap (Priority Queue);")</f>
        <v>Array;Greedy;Heap (Priority Queue);</v>
      </c>
      <c r="M1643" s="23" t="b">
        <f>IFERROR(__xludf.DUMMYFUNCTION("""COMPUTED_VALUE"""),TRUE)</f>
        <v>1</v>
      </c>
      <c r="N1643" s="23" t="b">
        <f>IFERROR(__xludf.DUMMYFUNCTION("""COMPUTED_VALUE"""),FALSE)</f>
        <v>0</v>
      </c>
      <c r="O1643" s="23">
        <f>IFERROR(__xludf.DUMMYFUNCTION("""COMPUTED_VALUE"""),45.0524730575556)</f>
        <v>45.05247306</v>
      </c>
      <c r="P1643" s="23">
        <f>IFERROR(__xludf.DUMMYFUNCTION("""COMPUTED_VALUE"""),47866.0)</f>
        <v>47866</v>
      </c>
      <c r="Q1643" s="23">
        <f>IFERROR(__xludf.DUMMYFUNCTION("""COMPUTED_VALUE"""),106245.0)</f>
        <v>106245</v>
      </c>
    </row>
    <row r="1644">
      <c r="A1644" s="23">
        <f>IFERROR(__xludf.DUMMYFUNCTION("""COMPUTED_VALUE"""),489.0)</f>
        <v>489</v>
      </c>
      <c r="B1644" s="23" t="str">
        <f>IFERROR(__xludf.DUMMYFUNCTION("""COMPUTED_VALUE"""),"Kth Smallest Instructions")</f>
        <v>Kth Smallest Instructions</v>
      </c>
      <c r="C1644" s="23" t="str">
        <f>IFERROR(__xludf.DUMMYFUNCTION("""COMPUTED_VALUE"""),"kth-smallest-instructions")</f>
        <v>kth-smallest-instructions</v>
      </c>
      <c r="D1644" s="23" t="b">
        <f>IFERROR(__xludf.DUMMYFUNCTION("""COMPUTED_VALUE"""),FALSE)</f>
        <v>0</v>
      </c>
      <c r="E1644" s="23" t="str">
        <f>IFERROR(__xludf.DUMMYFUNCTION("""COMPUTED_VALUE"""),"Hard")</f>
        <v>Hard</v>
      </c>
      <c r="F1644" s="23">
        <f>IFERROR(__xludf.DUMMYFUNCTION("""COMPUTED_VALUE"""),340.0)</f>
        <v>340</v>
      </c>
      <c r="G1644" s="23">
        <f>IFERROR(__xludf.DUMMYFUNCTION("""COMPUTED_VALUE"""),3.0)</f>
        <v>3</v>
      </c>
      <c r="H1644" s="23" t="str">
        <f>IFERROR(__xludf.DUMMYFUNCTION("""COMPUTED_VALUE"""),"Algorithms")</f>
        <v>Algorithms</v>
      </c>
      <c r="I1644" s="23">
        <f>IFERROR(__xludf.DUMMYFUNCTION("""COMPUTED_VALUE"""),0.457)</f>
        <v>0.457</v>
      </c>
      <c r="J1644" s="23">
        <f>IFERROR(__xludf.DUMMYFUNCTION("""COMPUTED_VALUE"""),1643.0)</f>
        <v>1643</v>
      </c>
      <c r="K1644" s="23" t="b">
        <f>IFERROR(__xludf.DUMMYFUNCTION("""COMPUTED_VALUE"""),FALSE)</f>
        <v>0</v>
      </c>
      <c r="L1644" s="23" t="str">
        <f>IFERROR(__xludf.DUMMYFUNCTION("""COMPUTED_VALUE"""),"Array;Math;Dynamic Programming;Combinatorics;")</f>
        <v>Array;Math;Dynamic Programming;Combinatorics;</v>
      </c>
      <c r="M1644" s="23" t="b">
        <f>IFERROR(__xludf.DUMMYFUNCTION("""COMPUTED_VALUE"""),FALSE)</f>
        <v>0</v>
      </c>
      <c r="N1644" s="23" t="b">
        <f>IFERROR(__xludf.DUMMYFUNCTION("""COMPUTED_VALUE"""),FALSE)</f>
        <v>0</v>
      </c>
      <c r="O1644" s="23">
        <f>IFERROR(__xludf.DUMMYFUNCTION("""COMPUTED_VALUE"""),45.7277905708399)</f>
        <v>45.72779057</v>
      </c>
      <c r="P1644" s="23">
        <f>IFERROR(__xludf.DUMMYFUNCTION("""COMPUTED_VALUE"""),7546.0)</f>
        <v>7546</v>
      </c>
      <c r="Q1644" s="23">
        <f>IFERROR(__xludf.DUMMYFUNCTION("""COMPUTED_VALUE"""),16502.0)</f>
        <v>16502</v>
      </c>
    </row>
    <row r="1645">
      <c r="A1645" s="23">
        <f>IFERROR(__xludf.DUMMYFUNCTION("""COMPUTED_VALUE"""),1780.0)</f>
        <v>1780</v>
      </c>
      <c r="B1645" s="23" t="str">
        <f>IFERROR(__xludf.DUMMYFUNCTION("""COMPUTED_VALUE"""),"Lowest Common Ancestor of a Binary Tree II")</f>
        <v>Lowest Common Ancestor of a Binary Tree II</v>
      </c>
      <c r="C1645" s="23" t="str">
        <f>IFERROR(__xludf.DUMMYFUNCTION("""COMPUTED_VALUE"""),"lowest-common-ancestor-of-a-binary-tree-ii")</f>
        <v>lowest-common-ancestor-of-a-binary-tree-ii</v>
      </c>
      <c r="D1645" s="23" t="b">
        <f>IFERROR(__xludf.DUMMYFUNCTION("""COMPUTED_VALUE"""),TRUE)</f>
        <v>1</v>
      </c>
      <c r="E1645" s="23" t="str">
        <f>IFERROR(__xludf.DUMMYFUNCTION("""COMPUTED_VALUE"""),"Medium")</f>
        <v>Medium</v>
      </c>
      <c r="F1645" s="23">
        <f>IFERROR(__xludf.DUMMYFUNCTION("""COMPUTED_VALUE"""),417.0)</f>
        <v>417</v>
      </c>
      <c r="G1645" s="23">
        <f>IFERROR(__xludf.DUMMYFUNCTION("""COMPUTED_VALUE"""),19.0)</f>
        <v>19</v>
      </c>
      <c r="H1645" s="23" t="str">
        <f>IFERROR(__xludf.DUMMYFUNCTION("""COMPUTED_VALUE"""),"Algorithms")</f>
        <v>Algorithms</v>
      </c>
      <c r="I1645" s="23">
        <f>IFERROR(__xludf.DUMMYFUNCTION("""COMPUTED_VALUE"""),0.588)</f>
        <v>0.588</v>
      </c>
      <c r="J1645" s="23">
        <f>IFERROR(__xludf.DUMMYFUNCTION("""COMPUTED_VALUE"""),1644.0)</f>
        <v>1644</v>
      </c>
      <c r="K1645" s="23" t="b">
        <f>IFERROR(__xludf.DUMMYFUNCTION("""COMPUTED_VALUE"""),TRUE)</f>
        <v>1</v>
      </c>
      <c r="L1645" s="23" t="str">
        <f>IFERROR(__xludf.DUMMYFUNCTION("""COMPUTED_VALUE"""),"Tree;Depth-First Search;Binary Tree;")</f>
        <v>Tree;Depth-First Search;Binary Tree;</v>
      </c>
      <c r="M1645" s="23" t="b">
        <f>IFERROR(__xludf.DUMMYFUNCTION("""COMPUTED_VALUE"""),FALSE)</f>
        <v>0</v>
      </c>
      <c r="N1645" s="23" t="b">
        <f>IFERROR(__xludf.DUMMYFUNCTION("""COMPUTED_VALUE"""),FALSE)</f>
        <v>0</v>
      </c>
      <c r="O1645" s="23">
        <f>IFERROR(__xludf.DUMMYFUNCTION("""COMPUTED_VALUE"""),58.8459625269441)</f>
        <v>58.84596253</v>
      </c>
      <c r="P1645" s="23">
        <f>IFERROR(__xludf.DUMMYFUNCTION("""COMPUTED_VALUE"""),42586.0)</f>
        <v>42586</v>
      </c>
      <c r="Q1645" s="23">
        <f>IFERROR(__xludf.DUMMYFUNCTION("""COMPUTED_VALUE"""),72370.0)</f>
        <v>72370</v>
      </c>
    </row>
    <row r="1646">
      <c r="A1646" s="23">
        <f>IFERROR(__xludf.DUMMYFUNCTION("""COMPUTED_VALUE"""),1785.0)</f>
        <v>1785</v>
      </c>
      <c r="B1646" s="23" t="str">
        <f>IFERROR(__xludf.DUMMYFUNCTION("""COMPUTED_VALUE"""),"Hopper Company Queries II")</f>
        <v>Hopper Company Queries II</v>
      </c>
      <c r="C1646" s="23" t="str">
        <f>IFERROR(__xludf.DUMMYFUNCTION("""COMPUTED_VALUE"""),"hopper-company-queries-ii")</f>
        <v>hopper-company-queries-ii</v>
      </c>
      <c r="D1646" s="23" t="b">
        <f>IFERROR(__xludf.DUMMYFUNCTION("""COMPUTED_VALUE"""),TRUE)</f>
        <v>1</v>
      </c>
      <c r="E1646" s="23" t="str">
        <f>IFERROR(__xludf.DUMMYFUNCTION("""COMPUTED_VALUE"""),"Hard")</f>
        <v>Hard</v>
      </c>
      <c r="F1646" s="23">
        <f>IFERROR(__xludf.DUMMYFUNCTION("""COMPUTED_VALUE"""),37.0)</f>
        <v>37</v>
      </c>
      <c r="G1646" s="23">
        <f>IFERROR(__xludf.DUMMYFUNCTION("""COMPUTED_VALUE"""),10.0)</f>
        <v>10</v>
      </c>
      <c r="H1646" s="23" t="str">
        <f>IFERROR(__xludf.DUMMYFUNCTION("""COMPUTED_VALUE"""),"Database")</f>
        <v>Database</v>
      </c>
      <c r="I1646" s="23">
        <f>IFERROR(__xludf.DUMMYFUNCTION("""COMPUTED_VALUE"""),0.389)</f>
        <v>0.389</v>
      </c>
      <c r="J1646" s="23">
        <f>IFERROR(__xludf.DUMMYFUNCTION("""COMPUTED_VALUE"""),1645.0)</f>
        <v>1645</v>
      </c>
      <c r="K1646" s="23" t="b">
        <f>IFERROR(__xludf.DUMMYFUNCTION("""COMPUTED_VALUE"""),TRUE)</f>
        <v>1</v>
      </c>
      <c r="L1646" s="23" t="str">
        <f>IFERROR(__xludf.DUMMYFUNCTION("""COMPUTED_VALUE"""),"Database;")</f>
        <v>Database;</v>
      </c>
      <c r="M1646" s="23" t="b">
        <f>IFERROR(__xludf.DUMMYFUNCTION("""COMPUTED_VALUE"""),FALSE)</f>
        <v>0</v>
      </c>
      <c r="N1646" s="23" t="b">
        <f>IFERROR(__xludf.DUMMYFUNCTION("""COMPUTED_VALUE"""),FALSE)</f>
        <v>0</v>
      </c>
      <c r="O1646" s="23">
        <f>IFERROR(__xludf.DUMMYFUNCTION("""COMPUTED_VALUE"""),38.9303971686983)</f>
        <v>38.93039717</v>
      </c>
      <c r="P1646" s="23">
        <f>IFERROR(__xludf.DUMMYFUNCTION("""COMPUTED_VALUE"""),3960.0)</f>
        <v>3960</v>
      </c>
      <c r="Q1646" s="23">
        <f>IFERROR(__xludf.DUMMYFUNCTION("""COMPUTED_VALUE"""),10172.0)</f>
        <v>10172</v>
      </c>
    </row>
    <row r="1647">
      <c r="A1647" s="23">
        <f>IFERROR(__xludf.DUMMYFUNCTION("""COMPUTED_VALUE"""),1769.0)</f>
        <v>1769</v>
      </c>
      <c r="B1647" s="23" t="str">
        <f>IFERROR(__xludf.DUMMYFUNCTION("""COMPUTED_VALUE"""),"Get Maximum in Generated Array")</f>
        <v>Get Maximum in Generated Array</v>
      </c>
      <c r="C1647" s="23" t="str">
        <f>IFERROR(__xludf.DUMMYFUNCTION("""COMPUTED_VALUE"""),"get-maximum-in-generated-array")</f>
        <v>get-maximum-in-generated-array</v>
      </c>
      <c r="D1647" s="23" t="b">
        <f>IFERROR(__xludf.DUMMYFUNCTION("""COMPUTED_VALUE"""),FALSE)</f>
        <v>0</v>
      </c>
      <c r="E1647" s="23" t="str">
        <f>IFERROR(__xludf.DUMMYFUNCTION("""COMPUTED_VALUE"""),"Easy")</f>
        <v>Easy</v>
      </c>
      <c r="F1647" s="23">
        <f>IFERROR(__xludf.DUMMYFUNCTION("""COMPUTED_VALUE"""),380.0)</f>
        <v>380</v>
      </c>
      <c r="G1647" s="23">
        <f>IFERROR(__xludf.DUMMYFUNCTION("""COMPUTED_VALUE"""),535.0)</f>
        <v>535</v>
      </c>
      <c r="H1647" s="23" t="str">
        <f>IFERROR(__xludf.DUMMYFUNCTION("""COMPUTED_VALUE"""),"Algorithms")</f>
        <v>Algorithms</v>
      </c>
      <c r="I1647" s="23">
        <f>IFERROR(__xludf.DUMMYFUNCTION("""COMPUTED_VALUE"""),0.508)</f>
        <v>0.508</v>
      </c>
      <c r="J1647" s="23">
        <f>IFERROR(__xludf.DUMMYFUNCTION("""COMPUTED_VALUE"""),1646.0)</f>
        <v>1646</v>
      </c>
      <c r="K1647" s="23" t="b">
        <f>IFERROR(__xludf.DUMMYFUNCTION("""COMPUTED_VALUE"""),FALSE)</f>
        <v>0</v>
      </c>
      <c r="L1647" s="23" t="str">
        <f>IFERROR(__xludf.DUMMYFUNCTION("""COMPUTED_VALUE"""),"Array;Dynamic Programming;Simulation;")</f>
        <v>Array;Dynamic Programming;Simulation;</v>
      </c>
      <c r="M1647" s="23" t="b">
        <f>IFERROR(__xludf.DUMMYFUNCTION("""COMPUTED_VALUE"""),TRUE)</f>
        <v>1</v>
      </c>
      <c r="N1647" s="23" t="b">
        <f>IFERROR(__xludf.DUMMYFUNCTION("""COMPUTED_VALUE"""),FALSE)</f>
        <v>0</v>
      </c>
      <c r="O1647" s="23">
        <f>IFERROR(__xludf.DUMMYFUNCTION("""COMPUTED_VALUE"""),50.8382788033981)</f>
        <v>50.8382788</v>
      </c>
      <c r="P1647" s="23">
        <f>IFERROR(__xludf.DUMMYFUNCTION("""COMPUTED_VALUE"""),58766.0)</f>
        <v>58766</v>
      </c>
      <c r="Q1647" s="23">
        <f>IFERROR(__xludf.DUMMYFUNCTION("""COMPUTED_VALUE"""),115594.0)</f>
        <v>115594</v>
      </c>
    </row>
    <row r="1648">
      <c r="A1648" s="23">
        <f>IFERROR(__xludf.DUMMYFUNCTION("""COMPUTED_VALUE"""),1770.0)</f>
        <v>1770</v>
      </c>
      <c r="B1648" s="23" t="str">
        <f>IFERROR(__xludf.DUMMYFUNCTION("""COMPUTED_VALUE"""),"Minimum Deletions to Make Character Frequencies Unique")</f>
        <v>Minimum Deletions to Make Character Frequencies Unique</v>
      </c>
      <c r="C1648" s="23" t="str">
        <f>IFERROR(__xludf.DUMMYFUNCTION("""COMPUTED_VALUE"""),"minimum-deletions-to-make-character-frequencies-unique")</f>
        <v>minimum-deletions-to-make-character-frequencies-unique</v>
      </c>
      <c r="D1648" s="23" t="b">
        <f>IFERROR(__xludf.DUMMYFUNCTION("""COMPUTED_VALUE"""),FALSE)</f>
        <v>0</v>
      </c>
      <c r="E1648" s="23" t="str">
        <f>IFERROR(__xludf.DUMMYFUNCTION("""COMPUTED_VALUE"""),"Medium")</f>
        <v>Medium</v>
      </c>
      <c r="F1648" s="23">
        <f>IFERROR(__xludf.DUMMYFUNCTION("""COMPUTED_VALUE"""),1292.0)</f>
        <v>1292</v>
      </c>
      <c r="G1648" s="23">
        <f>IFERROR(__xludf.DUMMYFUNCTION("""COMPUTED_VALUE"""),27.0)</f>
        <v>27</v>
      </c>
      <c r="H1648" s="23" t="str">
        <f>IFERROR(__xludf.DUMMYFUNCTION("""COMPUTED_VALUE"""),"Algorithms")</f>
        <v>Algorithms</v>
      </c>
      <c r="I1648" s="23">
        <f>IFERROR(__xludf.DUMMYFUNCTION("""COMPUTED_VALUE"""),0.564)</f>
        <v>0.564</v>
      </c>
      <c r="J1648" s="23">
        <f>IFERROR(__xludf.DUMMYFUNCTION("""COMPUTED_VALUE"""),1647.0)</f>
        <v>1647</v>
      </c>
      <c r="K1648" s="23" t="b">
        <f>IFERROR(__xludf.DUMMYFUNCTION("""COMPUTED_VALUE"""),FALSE)</f>
        <v>0</v>
      </c>
      <c r="L1648" s="23" t="str">
        <f>IFERROR(__xludf.DUMMYFUNCTION("""COMPUTED_VALUE"""),"String;Greedy;Sorting;")</f>
        <v>String;Greedy;Sorting;</v>
      </c>
      <c r="M1648" s="23" t="b">
        <f>IFERROR(__xludf.DUMMYFUNCTION("""COMPUTED_VALUE"""),TRUE)</f>
        <v>1</v>
      </c>
      <c r="N1648" s="23" t="b">
        <f>IFERROR(__xludf.DUMMYFUNCTION("""COMPUTED_VALUE"""),FALSE)</f>
        <v>0</v>
      </c>
      <c r="O1648" s="23">
        <f>IFERROR(__xludf.DUMMYFUNCTION("""COMPUTED_VALUE"""),56.4380199099959)</f>
        <v>56.43801991</v>
      </c>
      <c r="P1648" s="23">
        <f>IFERROR(__xludf.DUMMYFUNCTION("""COMPUTED_VALUE"""),82772.0)</f>
        <v>82772</v>
      </c>
      <c r="Q1648" s="23">
        <f>IFERROR(__xludf.DUMMYFUNCTION("""COMPUTED_VALUE"""),146656.0)</f>
        <v>146656</v>
      </c>
    </row>
    <row r="1649">
      <c r="A1649" s="23">
        <f>IFERROR(__xludf.DUMMYFUNCTION("""COMPUTED_VALUE"""),1771.0)</f>
        <v>1771</v>
      </c>
      <c r="B1649" s="23" t="str">
        <f>IFERROR(__xludf.DUMMYFUNCTION("""COMPUTED_VALUE"""),"Sell Diminishing-Valued Colored Balls")</f>
        <v>Sell Diminishing-Valued Colored Balls</v>
      </c>
      <c r="C1649" s="23" t="str">
        <f>IFERROR(__xludf.DUMMYFUNCTION("""COMPUTED_VALUE"""),"sell-diminishing-valued-colored-balls")</f>
        <v>sell-diminishing-valued-colored-balls</v>
      </c>
      <c r="D1649" s="23" t="b">
        <f>IFERROR(__xludf.DUMMYFUNCTION("""COMPUTED_VALUE"""),FALSE)</f>
        <v>0</v>
      </c>
      <c r="E1649" s="23" t="str">
        <f>IFERROR(__xludf.DUMMYFUNCTION("""COMPUTED_VALUE"""),"Medium")</f>
        <v>Medium</v>
      </c>
      <c r="F1649" s="23">
        <f>IFERROR(__xludf.DUMMYFUNCTION("""COMPUTED_VALUE"""),736.0)</f>
        <v>736</v>
      </c>
      <c r="G1649" s="23">
        <f>IFERROR(__xludf.DUMMYFUNCTION("""COMPUTED_VALUE"""),276.0)</f>
        <v>276</v>
      </c>
      <c r="H1649" s="23" t="str">
        <f>IFERROR(__xludf.DUMMYFUNCTION("""COMPUTED_VALUE"""),"Algorithms")</f>
        <v>Algorithms</v>
      </c>
      <c r="I1649" s="23">
        <f>IFERROR(__xludf.DUMMYFUNCTION("""COMPUTED_VALUE"""),0.307)</f>
        <v>0.307</v>
      </c>
      <c r="J1649" s="23">
        <f>IFERROR(__xludf.DUMMYFUNCTION("""COMPUTED_VALUE"""),1648.0)</f>
        <v>1648</v>
      </c>
      <c r="K1649" s="23" t="b">
        <f>IFERROR(__xludf.DUMMYFUNCTION("""COMPUTED_VALUE"""),FALSE)</f>
        <v>0</v>
      </c>
      <c r="L1649" s="23" t="str">
        <f>IFERROR(__xludf.DUMMYFUNCTION("""COMPUTED_VALUE"""),"Array;Math;Binary Search;Greedy;Sorting;Heap (Priority Queue);")</f>
        <v>Array;Math;Binary Search;Greedy;Sorting;Heap (Priority Queue);</v>
      </c>
      <c r="M1649" s="23" t="b">
        <f>IFERROR(__xludf.DUMMYFUNCTION("""COMPUTED_VALUE"""),FALSE)</f>
        <v>0</v>
      </c>
      <c r="N1649" s="23" t="b">
        <f>IFERROR(__xludf.DUMMYFUNCTION("""COMPUTED_VALUE"""),FALSE)</f>
        <v>0</v>
      </c>
      <c r="O1649" s="23">
        <f>IFERROR(__xludf.DUMMYFUNCTION("""COMPUTED_VALUE"""),30.7437340593825)</f>
        <v>30.74373406</v>
      </c>
      <c r="P1649" s="23">
        <f>IFERROR(__xludf.DUMMYFUNCTION("""COMPUTED_VALUE"""),28568.0)</f>
        <v>28568</v>
      </c>
      <c r="Q1649" s="23">
        <f>IFERROR(__xludf.DUMMYFUNCTION("""COMPUTED_VALUE"""),92922.0)</f>
        <v>92922</v>
      </c>
    </row>
    <row r="1650">
      <c r="A1650" s="23">
        <f>IFERROR(__xludf.DUMMYFUNCTION("""COMPUTED_VALUE"""),1772.0)</f>
        <v>1772</v>
      </c>
      <c r="B1650" s="23" t="str">
        <f>IFERROR(__xludf.DUMMYFUNCTION("""COMPUTED_VALUE"""),"Create Sorted Array through Instructions")</f>
        <v>Create Sorted Array through Instructions</v>
      </c>
      <c r="C1650" s="23" t="str">
        <f>IFERROR(__xludf.DUMMYFUNCTION("""COMPUTED_VALUE"""),"create-sorted-array-through-instructions")</f>
        <v>create-sorted-array-through-instructions</v>
      </c>
      <c r="D1650" s="23" t="b">
        <f>IFERROR(__xludf.DUMMYFUNCTION("""COMPUTED_VALUE"""),FALSE)</f>
        <v>0</v>
      </c>
      <c r="E1650" s="23" t="str">
        <f>IFERROR(__xludf.DUMMYFUNCTION("""COMPUTED_VALUE"""),"Hard")</f>
        <v>Hard</v>
      </c>
      <c r="F1650" s="23">
        <f>IFERROR(__xludf.DUMMYFUNCTION("""COMPUTED_VALUE"""),456.0)</f>
        <v>456</v>
      </c>
      <c r="G1650" s="23">
        <f>IFERROR(__xludf.DUMMYFUNCTION("""COMPUTED_VALUE"""),61.0)</f>
        <v>61</v>
      </c>
      <c r="H1650" s="23" t="str">
        <f>IFERROR(__xludf.DUMMYFUNCTION("""COMPUTED_VALUE"""),"Algorithms")</f>
        <v>Algorithms</v>
      </c>
      <c r="I1650" s="23">
        <f>IFERROR(__xludf.DUMMYFUNCTION("""COMPUTED_VALUE"""),0.372)</f>
        <v>0.372</v>
      </c>
      <c r="J1650" s="23">
        <f>IFERROR(__xludf.DUMMYFUNCTION("""COMPUTED_VALUE"""),1649.0)</f>
        <v>1649</v>
      </c>
      <c r="K1650" s="23" t="b">
        <f>IFERROR(__xludf.DUMMYFUNCTION("""COMPUTED_VALUE"""),FALSE)</f>
        <v>0</v>
      </c>
      <c r="L1650" s="23" t="str">
        <f>IFERROR(__xludf.DUMMYFUNCTION("""COMPUTED_VALUE"""),"Array;Binary Search;Divide and Conquer;Binary Indexed Tree;Segment Tree;Merge Sort;Ordered Set;")</f>
        <v>Array;Binary Search;Divide and Conquer;Binary Indexed Tree;Segment Tree;Merge Sort;Ordered Set;</v>
      </c>
      <c r="M1650" s="23" t="b">
        <f>IFERROR(__xludf.DUMMYFUNCTION("""COMPUTED_VALUE"""),TRUE)</f>
        <v>1</v>
      </c>
      <c r="N1650" s="23" t="b">
        <f>IFERROR(__xludf.DUMMYFUNCTION("""COMPUTED_VALUE"""),FALSE)</f>
        <v>0</v>
      </c>
      <c r="O1650" s="23">
        <f>IFERROR(__xludf.DUMMYFUNCTION("""COMPUTED_VALUE"""),37.2042970151226)</f>
        <v>37.20429702</v>
      </c>
      <c r="P1650" s="23">
        <f>IFERROR(__xludf.DUMMYFUNCTION("""COMPUTED_VALUE"""),19706.0)</f>
        <v>19706</v>
      </c>
      <c r="Q1650" s="23">
        <f>IFERROR(__xludf.DUMMYFUNCTION("""COMPUTED_VALUE"""),52967.0)</f>
        <v>52967</v>
      </c>
    </row>
    <row r="1651">
      <c r="A1651" s="23">
        <f>IFERROR(__xludf.DUMMYFUNCTION("""COMPUTED_VALUE"""),1790.0)</f>
        <v>1790</v>
      </c>
      <c r="B1651" s="23" t="str">
        <f>IFERROR(__xludf.DUMMYFUNCTION("""COMPUTED_VALUE"""),"Lowest Common Ancestor of a Binary Tree III")</f>
        <v>Lowest Common Ancestor of a Binary Tree III</v>
      </c>
      <c r="C1651" s="23" t="str">
        <f>IFERROR(__xludf.DUMMYFUNCTION("""COMPUTED_VALUE"""),"lowest-common-ancestor-of-a-binary-tree-iii")</f>
        <v>lowest-common-ancestor-of-a-binary-tree-iii</v>
      </c>
      <c r="D1651" s="23" t="b">
        <f>IFERROR(__xludf.DUMMYFUNCTION("""COMPUTED_VALUE"""),TRUE)</f>
        <v>1</v>
      </c>
      <c r="E1651" s="23" t="str">
        <f>IFERROR(__xludf.DUMMYFUNCTION("""COMPUTED_VALUE"""),"Medium")</f>
        <v>Medium</v>
      </c>
      <c r="F1651" s="23">
        <f>IFERROR(__xludf.DUMMYFUNCTION("""COMPUTED_VALUE"""),878.0)</f>
        <v>878</v>
      </c>
      <c r="G1651" s="23">
        <f>IFERROR(__xludf.DUMMYFUNCTION("""COMPUTED_VALUE"""),27.0)</f>
        <v>27</v>
      </c>
      <c r="H1651" s="23" t="str">
        <f>IFERROR(__xludf.DUMMYFUNCTION("""COMPUTED_VALUE"""),"Algorithms")</f>
        <v>Algorithms</v>
      </c>
      <c r="I1651" s="23">
        <f>IFERROR(__xludf.DUMMYFUNCTION("""COMPUTED_VALUE"""),0.774)</f>
        <v>0.774</v>
      </c>
      <c r="J1651" s="23">
        <f>IFERROR(__xludf.DUMMYFUNCTION("""COMPUTED_VALUE"""),1650.0)</f>
        <v>1650</v>
      </c>
      <c r="K1651" s="23" t="b">
        <f>IFERROR(__xludf.DUMMYFUNCTION("""COMPUTED_VALUE"""),TRUE)</f>
        <v>1</v>
      </c>
      <c r="L1651" s="23" t="str">
        <f>IFERROR(__xludf.DUMMYFUNCTION("""COMPUTED_VALUE"""),"Hash Table;Tree;Binary Tree;")</f>
        <v>Hash Table;Tree;Binary Tree;</v>
      </c>
      <c r="M1651" s="23" t="b">
        <f>IFERROR(__xludf.DUMMYFUNCTION("""COMPUTED_VALUE"""),FALSE)</f>
        <v>0</v>
      </c>
      <c r="N1651" s="23" t="b">
        <f>IFERROR(__xludf.DUMMYFUNCTION("""COMPUTED_VALUE"""),FALSE)</f>
        <v>0</v>
      </c>
      <c r="O1651" s="23">
        <f>IFERROR(__xludf.DUMMYFUNCTION("""COMPUTED_VALUE"""),77.394683238839)</f>
        <v>77.39468324</v>
      </c>
      <c r="P1651" s="23">
        <f>IFERROR(__xludf.DUMMYFUNCTION("""COMPUTED_VALUE"""),119307.0)</f>
        <v>119307</v>
      </c>
      <c r="Q1651" s="23">
        <f>IFERROR(__xludf.DUMMYFUNCTION("""COMPUTED_VALUE"""),154154.0)</f>
        <v>154154</v>
      </c>
    </row>
    <row r="1652">
      <c r="A1652" s="23">
        <f>IFERROR(__xludf.DUMMYFUNCTION("""COMPUTED_VALUE"""),1795.0)</f>
        <v>1795</v>
      </c>
      <c r="B1652" s="23" t="str">
        <f>IFERROR(__xludf.DUMMYFUNCTION("""COMPUTED_VALUE"""),"Hopper Company Queries III")</f>
        <v>Hopper Company Queries III</v>
      </c>
      <c r="C1652" s="23" t="str">
        <f>IFERROR(__xludf.DUMMYFUNCTION("""COMPUTED_VALUE"""),"hopper-company-queries-iii")</f>
        <v>hopper-company-queries-iii</v>
      </c>
      <c r="D1652" s="23" t="b">
        <f>IFERROR(__xludf.DUMMYFUNCTION("""COMPUTED_VALUE"""),TRUE)</f>
        <v>1</v>
      </c>
      <c r="E1652" s="23" t="str">
        <f>IFERROR(__xludf.DUMMYFUNCTION("""COMPUTED_VALUE"""),"Hard")</f>
        <v>Hard</v>
      </c>
      <c r="F1652" s="23">
        <f>IFERROR(__xludf.DUMMYFUNCTION("""COMPUTED_VALUE"""),16.0)</f>
        <v>16</v>
      </c>
      <c r="G1652" s="23">
        <f>IFERROR(__xludf.DUMMYFUNCTION("""COMPUTED_VALUE"""),43.0)</f>
        <v>43</v>
      </c>
      <c r="H1652" s="23" t="str">
        <f>IFERROR(__xludf.DUMMYFUNCTION("""COMPUTED_VALUE"""),"Database")</f>
        <v>Database</v>
      </c>
      <c r="I1652" s="23">
        <f>IFERROR(__xludf.DUMMYFUNCTION("""COMPUTED_VALUE"""),0.672)</f>
        <v>0.672</v>
      </c>
      <c r="J1652" s="23">
        <f>IFERROR(__xludf.DUMMYFUNCTION("""COMPUTED_VALUE"""),1651.0)</f>
        <v>1651</v>
      </c>
      <c r="K1652" s="23" t="b">
        <f>IFERROR(__xludf.DUMMYFUNCTION("""COMPUTED_VALUE"""),TRUE)</f>
        <v>1</v>
      </c>
      <c r="L1652" s="23" t="str">
        <f>IFERROR(__xludf.DUMMYFUNCTION("""COMPUTED_VALUE"""),"Database;")</f>
        <v>Database;</v>
      </c>
      <c r="M1652" s="23" t="b">
        <f>IFERROR(__xludf.DUMMYFUNCTION("""COMPUTED_VALUE"""),FALSE)</f>
        <v>0</v>
      </c>
      <c r="N1652" s="23" t="b">
        <f>IFERROR(__xludf.DUMMYFUNCTION("""COMPUTED_VALUE"""),FALSE)</f>
        <v>0</v>
      </c>
      <c r="O1652" s="23">
        <f>IFERROR(__xludf.DUMMYFUNCTION("""COMPUTED_VALUE"""),67.1534044298605)</f>
        <v>67.15340443</v>
      </c>
      <c r="P1652" s="23">
        <f>IFERROR(__xludf.DUMMYFUNCTION("""COMPUTED_VALUE"""),4093.0)</f>
        <v>4093</v>
      </c>
      <c r="Q1652" s="23">
        <f>IFERROR(__xludf.DUMMYFUNCTION("""COMPUTED_VALUE"""),6095.0)</f>
        <v>6095</v>
      </c>
    </row>
    <row r="1653">
      <c r="A1653" s="23">
        <f>IFERROR(__xludf.DUMMYFUNCTION("""COMPUTED_VALUE"""),1755.0)</f>
        <v>1755</v>
      </c>
      <c r="B1653" s="23" t="str">
        <f>IFERROR(__xludf.DUMMYFUNCTION("""COMPUTED_VALUE"""),"Defuse the Bomb")</f>
        <v>Defuse the Bomb</v>
      </c>
      <c r="C1653" s="23" t="str">
        <f>IFERROR(__xludf.DUMMYFUNCTION("""COMPUTED_VALUE"""),"defuse-the-bomb")</f>
        <v>defuse-the-bomb</v>
      </c>
      <c r="D1653" s="23" t="b">
        <f>IFERROR(__xludf.DUMMYFUNCTION("""COMPUTED_VALUE"""),FALSE)</f>
        <v>0</v>
      </c>
      <c r="E1653" s="23" t="str">
        <f>IFERROR(__xludf.DUMMYFUNCTION("""COMPUTED_VALUE"""),"Easy")</f>
        <v>Easy</v>
      </c>
      <c r="F1653" s="23">
        <f>IFERROR(__xludf.DUMMYFUNCTION("""COMPUTED_VALUE"""),416.0)</f>
        <v>416</v>
      </c>
      <c r="G1653" s="23">
        <f>IFERROR(__xludf.DUMMYFUNCTION("""COMPUTED_VALUE"""),45.0)</f>
        <v>45</v>
      </c>
      <c r="H1653" s="23" t="str">
        <f>IFERROR(__xludf.DUMMYFUNCTION("""COMPUTED_VALUE"""),"Algorithms")</f>
        <v>Algorithms</v>
      </c>
      <c r="I1653" s="23">
        <f>IFERROR(__xludf.DUMMYFUNCTION("""COMPUTED_VALUE"""),0.607)</f>
        <v>0.607</v>
      </c>
      <c r="J1653" s="23">
        <f>IFERROR(__xludf.DUMMYFUNCTION("""COMPUTED_VALUE"""),1652.0)</f>
        <v>1652</v>
      </c>
      <c r="K1653" s="23" t="b">
        <f>IFERROR(__xludf.DUMMYFUNCTION("""COMPUTED_VALUE"""),FALSE)</f>
        <v>0</v>
      </c>
      <c r="L1653" s="23" t="str">
        <f>IFERROR(__xludf.DUMMYFUNCTION("""COMPUTED_VALUE"""),"Array;")</f>
        <v>Array;</v>
      </c>
      <c r="M1653" s="23" t="b">
        <f>IFERROR(__xludf.DUMMYFUNCTION("""COMPUTED_VALUE"""),FALSE)</f>
        <v>0</v>
      </c>
      <c r="N1653" s="23" t="b">
        <f>IFERROR(__xludf.DUMMYFUNCTION("""COMPUTED_VALUE"""),FALSE)</f>
        <v>0</v>
      </c>
      <c r="O1653" s="23">
        <f>IFERROR(__xludf.DUMMYFUNCTION("""COMPUTED_VALUE"""),60.7464196347761)</f>
        <v>60.74641963</v>
      </c>
      <c r="P1653" s="23">
        <f>IFERROR(__xludf.DUMMYFUNCTION("""COMPUTED_VALUE"""),22820.0)</f>
        <v>22820</v>
      </c>
      <c r="Q1653" s="23">
        <f>IFERROR(__xludf.DUMMYFUNCTION("""COMPUTED_VALUE"""),37566.0)</f>
        <v>37566</v>
      </c>
    </row>
    <row r="1654">
      <c r="A1654" s="23">
        <f>IFERROR(__xludf.DUMMYFUNCTION("""COMPUTED_VALUE"""),1756.0)</f>
        <v>1756</v>
      </c>
      <c r="B1654" s="23" t="str">
        <f>IFERROR(__xludf.DUMMYFUNCTION("""COMPUTED_VALUE"""),"Minimum Deletions to Make String Balanced")</f>
        <v>Minimum Deletions to Make String Balanced</v>
      </c>
      <c r="C1654" s="23" t="str">
        <f>IFERROR(__xludf.DUMMYFUNCTION("""COMPUTED_VALUE"""),"minimum-deletions-to-make-string-balanced")</f>
        <v>minimum-deletions-to-make-string-balanced</v>
      </c>
      <c r="D1654" s="23" t="b">
        <f>IFERROR(__xludf.DUMMYFUNCTION("""COMPUTED_VALUE"""),FALSE)</f>
        <v>0</v>
      </c>
      <c r="E1654" s="23" t="str">
        <f>IFERROR(__xludf.DUMMYFUNCTION("""COMPUTED_VALUE"""),"Medium")</f>
        <v>Medium</v>
      </c>
      <c r="F1654" s="23">
        <f>IFERROR(__xludf.DUMMYFUNCTION("""COMPUTED_VALUE"""),697.0)</f>
        <v>697</v>
      </c>
      <c r="G1654" s="23">
        <f>IFERROR(__xludf.DUMMYFUNCTION("""COMPUTED_VALUE"""),20.0)</f>
        <v>20</v>
      </c>
      <c r="H1654" s="23" t="str">
        <f>IFERROR(__xludf.DUMMYFUNCTION("""COMPUTED_VALUE"""),"Algorithms")</f>
        <v>Algorithms</v>
      </c>
      <c r="I1654" s="23">
        <f>IFERROR(__xludf.DUMMYFUNCTION("""COMPUTED_VALUE"""),0.563)</f>
        <v>0.563</v>
      </c>
      <c r="J1654" s="23">
        <f>IFERROR(__xludf.DUMMYFUNCTION("""COMPUTED_VALUE"""),1653.0)</f>
        <v>1653</v>
      </c>
      <c r="K1654" s="23" t="b">
        <f>IFERROR(__xludf.DUMMYFUNCTION("""COMPUTED_VALUE"""),FALSE)</f>
        <v>0</v>
      </c>
      <c r="L1654" s="23" t="str">
        <f>IFERROR(__xludf.DUMMYFUNCTION("""COMPUTED_VALUE"""),"String;Dynamic Programming;Stack;")</f>
        <v>String;Dynamic Programming;Stack;</v>
      </c>
      <c r="M1654" s="23" t="b">
        <f>IFERROR(__xludf.DUMMYFUNCTION("""COMPUTED_VALUE"""),FALSE)</f>
        <v>0</v>
      </c>
      <c r="N1654" s="23" t="b">
        <f>IFERROR(__xludf.DUMMYFUNCTION("""COMPUTED_VALUE"""),FALSE)</f>
        <v>0</v>
      </c>
      <c r="O1654" s="23">
        <f>IFERROR(__xludf.DUMMYFUNCTION("""COMPUTED_VALUE"""),56.3293673492735)</f>
        <v>56.32936735</v>
      </c>
      <c r="P1654" s="23">
        <f>IFERROR(__xludf.DUMMYFUNCTION("""COMPUTED_VALUE"""),19695.0)</f>
        <v>19695</v>
      </c>
      <c r="Q1654" s="23">
        <f>IFERROR(__xludf.DUMMYFUNCTION("""COMPUTED_VALUE"""),34964.0)</f>
        <v>34964</v>
      </c>
    </row>
    <row r="1655">
      <c r="A1655" s="23">
        <f>IFERROR(__xludf.DUMMYFUNCTION("""COMPUTED_VALUE"""),1757.0)</f>
        <v>1757</v>
      </c>
      <c r="B1655" s="23" t="str">
        <f>IFERROR(__xludf.DUMMYFUNCTION("""COMPUTED_VALUE"""),"Minimum Jumps to Reach Home")</f>
        <v>Minimum Jumps to Reach Home</v>
      </c>
      <c r="C1655" s="23" t="str">
        <f>IFERROR(__xludf.DUMMYFUNCTION("""COMPUTED_VALUE"""),"minimum-jumps-to-reach-home")</f>
        <v>minimum-jumps-to-reach-home</v>
      </c>
      <c r="D1655" s="23" t="b">
        <f>IFERROR(__xludf.DUMMYFUNCTION("""COMPUTED_VALUE"""),FALSE)</f>
        <v>0</v>
      </c>
      <c r="E1655" s="23" t="str">
        <f>IFERROR(__xludf.DUMMYFUNCTION("""COMPUTED_VALUE"""),"Medium")</f>
        <v>Medium</v>
      </c>
      <c r="F1655" s="23">
        <f>IFERROR(__xludf.DUMMYFUNCTION("""COMPUTED_VALUE"""),787.0)</f>
        <v>787</v>
      </c>
      <c r="G1655" s="23">
        <f>IFERROR(__xludf.DUMMYFUNCTION("""COMPUTED_VALUE"""),163.0)</f>
        <v>163</v>
      </c>
      <c r="H1655" s="23" t="str">
        <f>IFERROR(__xludf.DUMMYFUNCTION("""COMPUTED_VALUE"""),"Algorithms")</f>
        <v>Algorithms</v>
      </c>
      <c r="I1655" s="23">
        <f>IFERROR(__xludf.DUMMYFUNCTION("""COMPUTED_VALUE"""),0.271)</f>
        <v>0.271</v>
      </c>
      <c r="J1655" s="23">
        <f>IFERROR(__xludf.DUMMYFUNCTION("""COMPUTED_VALUE"""),1654.0)</f>
        <v>1654</v>
      </c>
      <c r="K1655" s="23" t="b">
        <f>IFERROR(__xludf.DUMMYFUNCTION("""COMPUTED_VALUE"""),FALSE)</f>
        <v>0</v>
      </c>
      <c r="L1655" s="23" t="str">
        <f>IFERROR(__xludf.DUMMYFUNCTION("""COMPUTED_VALUE"""),"Array;Dynamic Programming;Breadth-First Search;")</f>
        <v>Array;Dynamic Programming;Breadth-First Search;</v>
      </c>
      <c r="M1655" s="23" t="b">
        <f>IFERROR(__xludf.DUMMYFUNCTION("""COMPUTED_VALUE"""),FALSE)</f>
        <v>0</v>
      </c>
      <c r="N1655" s="23" t="b">
        <f>IFERROR(__xludf.DUMMYFUNCTION("""COMPUTED_VALUE"""),FALSE)</f>
        <v>0</v>
      </c>
      <c r="O1655" s="23">
        <f>IFERROR(__xludf.DUMMYFUNCTION("""COMPUTED_VALUE"""),27.1200164511734)</f>
        <v>27.12001645</v>
      </c>
      <c r="P1655" s="23">
        <f>IFERROR(__xludf.DUMMYFUNCTION("""COMPUTED_VALUE"""),21101.0)</f>
        <v>21101</v>
      </c>
      <c r="Q1655" s="23">
        <f>IFERROR(__xludf.DUMMYFUNCTION("""COMPUTED_VALUE"""),77805.0)</f>
        <v>77805</v>
      </c>
    </row>
    <row r="1656">
      <c r="A1656" s="23">
        <f>IFERROR(__xludf.DUMMYFUNCTION("""COMPUTED_VALUE"""),1758.0)</f>
        <v>1758</v>
      </c>
      <c r="B1656" s="23" t="str">
        <f>IFERROR(__xludf.DUMMYFUNCTION("""COMPUTED_VALUE"""),"Distribute Repeating Integers")</f>
        <v>Distribute Repeating Integers</v>
      </c>
      <c r="C1656" s="23" t="str">
        <f>IFERROR(__xludf.DUMMYFUNCTION("""COMPUTED_VALUE"""),"distribute-repeating-integers")</f>
        <v>distribute-repeating-integers</v>
      </c>
      <c r="D1656" s="23" t="b">
        <f>IFERROR(__xludf.DUMMYFUNCTION("""COMPUTED_VALUE"""),FALSE)</f>
        <v>0</v>
      </c>
      <c r="E1656" s="23" t="str">
        <f>IFERROR(__xludf.DUMMYFUNCTION("""COMPUTED_VALUE"""),"Hard")</f>
        <v>Hard</v>
      </c>
      <c r="F1656" s="23">
        <f>IFERROR(__xludf.DUMMYFUNCTION("""COMPUTED_VALUE"""),211.0)</f>
        <v>211</v>
      </c>
      <c r="G1656" s="23">
        <f>IFERROR(__xludf.DUMMYFUNCTION("""COMPUTED_VALUE"""),15.0)</f>
        <v>15</v>
      </c>
      <c r="H1656" s="23" t="str">
        <f>IFERROR(__xludf.DUMMYFUNCTION("""COMPUTED_VALUE"""),"Algorithms")</f>
        <v>Algorithms</v>
      </c>
      <c r="I1656" s="23">
        <f>IFERROR(__xludf.DUMMYFUNCTION("""COMPUTED_VALUE"""),0.402)</f>
        <v>0.402</v>
      </c>
      <c r="J1656" s="23">
        <f>IFERROR(__xludf.DUMMYFUNCTION("""COMPUTED_VALUE"""),1655.0)</f>
        <v>1655</v>
      </c>
      <c r="K1656" s="23" t="b">
        <f>IFERROR(__xludf.DUMMYFUNCTION("""COMPUTED_VALUE"""),FALSE)</f>
        <v>0</v>
      </c>
      <c r="L1656" s="23" t="str">
        <f>IFERROR(__xludf.DUMMYFUNCTION("""COMPUTED_VALUE"""),"Array;Dynamic Programming;Backtracking;Bit Manipulation;Bitmask;")</f>
        <v>Array;Dynamic Programming;Backtracking;Bit Manipulation;Bitmask;</v>
      </c>
      <c r="M1656" s="23" t="b">
        <f>IFERROR(__xludf.DUMMYFUNCTION("""COMPUTED_VALUE"""),FALSE)</f>
        <v>0</v>
      </c>
      <c r="N1656" s="23" t="b">
        <f>IFERROR(__xludf.DUMMYFUNCTION("""COMPUTED_VALUE"""),FALSE)</f>
        <v>0</v>
      </c>
      <c r="O1656" s="23">
        <f>IFERROR(__xludf.DUMMYFUNCTION("""COMPUTED_VALUE"""),40.2344546381243)</f>
        <v>40.23445464</v>
      </c>
      <c r="P1656" s="23">
        <f>IFERROR(__xludf.DUMMYFUNCTION("""COMPUTED_VALUE"""),7894.0)</f>
        <v>7894</v>
      </c>
      <c r="Q1656" s="23">
        <f>IFERROR(__xludf.DUMMYFUNCTION("""COMPUTED_VALUE"""),19617.0)</f>
        <v>19617</v>
      </c>
    </row>
    <row r="1657">
      <c r="A1657" s="23">
        <f>IFERROR(__xludf.DUMMYFUNCTION("""COMPUTED_VALUE"""),1775.0)</f>
        <v>1775</v>
      </c>
      <c r="B1657" s="23" t="str">
        <f>IFERROR(__xludf.DUMMYFUNCTION("""COMPUTED_VALUE"""),"Design an Ordered Stream")</f>
        <v>Design an Ordered Stream</v>
      </c>
      <c r="C1657" s="23" t="str">
        <f>IFERROR(__xludf.DUMMYFUNCTION("""COMPUTED_VALUE"""),"design-an-ordered-stream")</f>
        <v>design-an-ordered-stream</v>
      </c>
      <c r="D1657" s="23" t="b">
        <f>IFERROR(__xludf.DUMMYFUNCTION("""COMPUTED_VALUE"""),FALSE)</f>
        <v>0</v>
      </c>
      <c r="E1657" s="23" t="str">
        <f>IFERROR(__xludf.DUMMYFUNCTION("""COMPUTED_VALUE"""),"Easy")</f>
        <v>Easy</v>
      </c>
      <c r="F1657" s="23">
        <f>IFERROR(__xludf.DUMMYFUNCTION("""COMPUTED_VALUE"""),206.0)</f>
        <v>206</v>
      </c>
      <c r="G1657" s="23">
        <f>IFERROR(__xludf.DUMMYFUNCTION("""COMPUTED_VALUE"""),1724.0)</f>
        <v>1724</v>
      </c>
      <c r="H1657" s="23" t="str">
        <f>IFERROR(__xludf.DUMMYFUNCTION("""COMPUTED_VALUE"""),"Algorithms")</f>
        <v>Algorithms</v>
      </c>
      <c r="I1657" s="23">
        <f>IFERROR(__xludf.DUMMYFUNCTION("""COMPUTED_VALUE"""),0.838)</f>
        <v>0.838</v>
      </c>
      <c r="J1657" s="23">
        <f>IFERROR(__xludf.DUMMYFUNCTION("""COMPUTED_VALUE"""),1656.0)</f>
        <v>1656</v>
      </c>
      <c r="K1657" s="23" t="b">
        <f>IFERROR(__xludf.DUMMYFUNCTION("""COMPUTED_VALUE"""),FALSE)</f>
        <v>0</v>
      </c>
      <c r="L1657" s="23" t="str">
        <f>IFERROR(__xludf.DUMMYFUNCTION("""COMPUTED_VALUE"""),"Array;Hash Table;Design;Data Stream;")</f>
        <v>Array;Hash Table;Design;Data Stream;</v>
      </c>
      <c r="M1657" s="23" t="b">
        <f>IFERROR(__xludf.DUMMYFUNCTION("""COMPUTED_VALUE"""),FALSE)</f>
        <v>0</v>
      </c>
      <c r="N1657" s="23" t="b">
        <f>IFERROR(__xludf.DUMMYFUNCTION("""COMPUTED_VALUE"""),FALSE)</f>
        <v>0</v>
      </c>
      <c r="O1657" s="23">
        <f>IFERROR(__xludf.DUMMYFUNCTION("""COMPUTED_VALUE"""),83.7547204568481)</f>
        <v>83.75472046</v>
      </c>
      <c r="P1657" s="23">
        <f>IFERROR(__xludf.DUMMYFUNCTION("""COMPUTED_VALUE"""),36373.0)</f>
        <v>36373</v>
      </c>
      <c r="Q1657" s="23">
        <f>IFERROR(__xludf.DUMMYFUNCTION("""COMPUTED_VALUE"""),43428.0)</f>
        <v>43428</v>
      </c>
    </row>
    <row r="1658">
      <c r="A1658" s="23">
        <f>IFERROR(__xludf.DUMMYFUNCTION("""COMPUTED_VALUE"""),1777.0)</f>
        <v>1777</v>
      </c>
      <c r="B1658" s="23" t="str">
        <f>IFERROR(__xludf.DUMMYFUNCTION("""COMPUTED_VALUE"""),"Determine if Two Strings Are Close")</f>
        <v>Determine if Two Strings Are Close</v>
      </c>
      <c r="C1658" s="23" t="str">
        <f>IFERROR(__xludf.DUMMYFUNCTION("""COMPUTED_VALUE"""),"determine-if-two-strings-are-close")</f>
        <v>determine-if-two-strings-are-close</v>
      </c>
      <c r="D1658" s="23" t="b">
        <f>IFERROR(__xludf.DUMMYFUNCTION("""COMPUTED_VALUE"""),FALSE)</f>
        <v>0</v>
      </c>
      <c r="E1658" s="23" t="str">
        <f>IFERROR(__xludf.DUMMYFUNCTION("""COMPUTED_VALUE"""),"Medium")</f>
        <v>Medium</v>
      </c>
      <c r="F1658" s="23">
        <f>IFERROR(__xludf.DUMMYFUNCTION("""COMPUTED_VALUE"""),671.0)</f>
        <v>671</v>
      </c>
      <c r="G1658" s="23">
        <f>IFERROR(__xludf.DUMMYFUNCTION("""COMPUTED_VALUE"""),36.0)</f>
        <v>36</v>
      </c>
      <c r="H1658" s="23" t="str">
        <f>IFERROR(__xludf.DUMMYFUNCTION("""COMPUTED_VALUE"""),"Algorithms")</f>
        <v>Algorithms</v>
      </c>
      <c r="I1658" s="23">
        <f>IFERROR(__xludf.DUMMYFUNCTION("""COMPUTED_VALUE"""),0.545)</f>
        <v>0.545</v>
      </c>
      <c r="J1658" s="23">
        <f>IFERROR(__xludf.DUMMYFUNCTION("""COMPUTED_VALUE"""),1657.0)</f>
        <v>1657</v>
      </c>
      <c r="K1658" s="23" t="b">
        <f>IFERROR(__xludf.DUMMYFUNCTION("""COMPUTED_VALUE"""),FALSE)</f>
        <v>0</v>
      </c>
      <c r="L1658" s="23" t="str">
        <f>IFERROR(__xludf.DUMMYFUNCTION("""COMPUTED_VALUE"""),"Hash Table;String;Sorting;")</f>
        <v>Hash Table;String;Sorting;</v>
      </c>
      <c r="M1658" s="23" t="b">
        <f>IFERROR(__xludf.DUMMYFUNCTION("""COMPUTED_VALUE"""),TRUE)</f>
        <v>1</v>
      </c>
      <c r="N1658" s="23" t="b">
        <f>IFERROR(__xludf.DUMMYFUNCTION("""COMPUTED_VALUE"""),FALSE)</f>
        <v>0</v>
      </c>
      <c r="O1658" s="23">
        <f>IFERROR(__xludf.DUMMYFUNCTION("""COMPUTED_VALUE"""),54.5061532299277)</f>
        <v>54.50615323</v>
      </c>
      <c r="P1658" s="23">
        <f>IFERROR(__xludf.DUMMYFUNCTION("""COMPUTED_VALUE"""),39463.0)</f>
        <v>39463</v>
      </c>
      <c r="Q1658" s="23">
        <f>IFERROR(__xludf.DUMMYFUNCTION("""COMPUTED_VALUE"""),72401.0)</f>
        <v>72401</v>
      </c>
    </row>
    <row r="1659">
      <c r="A1659" s="23">
        <f>IFERROR(__xludf.DUMMYFUNCTION("""COMPUTED_VALUE"""),1776.0)</f>
        <v>1776</v>
      </c>
      <c r="B1659" s="23" t="str">
        <f>IFERROR(__xludf.DUMMYFUNCTION("""COMPUTED_VALUE"""),"Minimum Operations to Reduce X to Zero")</f>
        <v>Minimum Operations to Reduce X to Zero</v>
      </c>
      <c r="C1659" s="23" t="str">
        <f>IFERROR(__xludf.DUMMYFUNCTION("""COMPUTED_VALUE"""),"minimum-operations-to-reduce-x-to-zero")</f>
        <v>minimum-operations-to-reduce-x-to-zero</v>
      </c>
      <c r="D1659" s="23" t="b">
        <f>IFERROR(__xludf.DUMMYFUNCTION("""COMPUTED_VALUE"""),FALSE)</f>
        <v>0</v>
      </c>
      <c r="E1659" s="23" t="str">
        <f>IFERROR(__xludf.DUMMYFUNCTION("""COMPUTED_VALUE"""),"Medium")</f>
        <v>Medium</v>
      </c>
      <c r="F1659" s="23">
        <f>IFERROR(__xludf.DUMMYFUNCTION("""COMPUTED_VALUE"""),1567.0)</f>
        <v>1567</v>
      </c>
      <c r="G1659" s="23">
        <f>IFERROR(__xludf.DUMMYFUNCTION("""COMPUTED_VALUE"""),30.0)</f>
        <v>30</v>
      </c>
      <c r="H1659" s="23" t="str">
        <f>IFERROR(__xludf.DUMMYFUNCTION("""COMPUTED_VALUE"""),"Algorithms")</f>
        <v>Algorithms</v>
      </c>
      <c r="I1659" s="23">
        <f>IFERROR(__xludf.DUMMYFUNCTION("""COMPUTED_VALUE"""),0.335)</f>
        <v>0.335</v>
      </c>
      <c r="J1659" s="23">
        <f>IFERROR(__xludf.DUMMYFUNCTION("""COMPUTED_VALUE"""),1658.0)</f>
        <v>1658</v>
      </c>
      <c r="K1659" s="23" t="b">
        <f>IFERROR(__xludf.DUMMYFUNCTION("""COMPUTED_VALUE"""),FALSE)</f>
        <v>0</v>
      </c>
      <c r="L1659" s="23" t="str">
        <f>IFERROR(__xludf.DUMMYFUNCTION("""COMPUTED_VALUE"""),"Array;Hash Table;Binary Search;Sliding Window;Prefix Sum;")</f>
        <v>Array;Hash Table;Binary Search;Sliding Window;Prefix Sum;</v>
      </c>
      <c r="M1659" s="23" t="b">
        <f>IFERROR(__xludf.DUMMYFUNCTION("""COMPUTED_VALUE"""),TRUE)</f>
        <v>1</v>
      </c>
      <c r="N1659" s="23" t="b">
        <f>IFERROR(__xludf.DUMMYFUNCTION("""COMPUTED_VALUE"""),FALSE)</f>
        <v>0</v>
      </c>
      <c r="O1659" s="23">
        <f>IFERROR(__xludf.DUMMYFUNCTION("""COMPUTED_VALUE"""),33.5457017268903)</f>
        <v>33.54570173</v>
      </c>
      <c r="P1659" s="23">
        <f>IFERROR(__xludf.DUMMYFUNCTION("""COMPUTED_VALUE"""),46019.0)</f>
        <v>46019</v>
      </c>
      <c r="Q1659" s="23">
        <f>IFERROR(__xludf.DUMMYFUNCTION("""COMPUTED_VALUE"""),137183.0)</f>
        <v>137183</v>
      </c>
    </row>
    <row r="1660">
      <c r="A1660" s="23">
        <f>IFERROR(__xludf.DUMMYFUNCTION("""COMPUTED_VALUE"""),1778.0)</f>
        <v>1778</v>
      </c>
      <c r="B1660" s="23" t="str">
        <f>IFERROR(__xludf.DUMMYFUNCTION("""COMPUTED_VALUE"""),"Maximize Grid Happiness")</f>
        <v>Maximize Grid Happiness</v>
      </c>
      <c r="C1660" s="23" t="str">
        <f>IFERROR(__xludf.DUMMYFUNCTION("""COMPUTED_VALUE"""),"maximize-grid-happiness")</f>
        <v>maximize-grid-happiness</v>
      </c>
      <c r="D1660" s="23" t="b">
        <f>IFERROR(__xludf.DUMMYFUNCTION("""COMPUTED_VALUE"""),FALSE)</f>
        <v>0</v>
      </c>
      <c r="E1660" s="23" t="str">
        <f>IFERROR(__xludf.DUMMYFUNCTION("""COMPUTED_VALUE"""),"Hard")</f>
        <v>Hard</v>
      </c>
      <c r="F1660" s="23">
        <f>IFERROR(__xludf.DUMMYFUNCTION("""COMPUTED_VALUE"""),221.0)</f>
        <v>221</v>
      </c>
      <c r="G1660" s="23">
        <f>IFERROR(__xludf.DUMMYFUNCTION("""COMPUTED_VALUE"""),47.0)</f>
        <v>47</v>
      </c>
      <c r="H1660" s="23" t="str">
        <f>IFERROR(__xludf.DUMMYFUNCTION("""COMPUTED_VALUE"""),"Algorithms")</f>
        <v>Algorithms</v>
      </c>
      <c r="I1660" s="23">
        <f>IFERROR(__xludf.DUMMYFUNCTION("""COMPUTED_VALUE"""),0.376)</f>
        <v>0.376</v>
      </c>
      <c r="J1660" s="23">
        <f>IFERROR(__xludf.DUMMYFUNCTION("""COMPUTED_VALUE"""),1659.0)</f>
        <v>1659</v>
      </c>
      <c r="K1660" s="23" t="b">
        <f>IFERROR(__xludf.DUMMYFUNCTION("""COMPUTED_VALUE"""),FALSE)</f>
        <v>0</v>
      </c>
      <c r="L1660" s="23" t="str">
        <f>IFERROR(__xludf.DUMMYFUNCTION("""COMPUTED_VALUE"""),"Dynamic Programming;Bit Manipulation;Memoization;Bitmask;")</f>
        <v>Dynamic Programming;Bit Manipulation;Memoization;Bitmask;</v>
      </c>
      <c r="M1660" s="23" t="b">
        <f>IFERROR(__xludf.DUMMYFUNCTION("""COMPUTED_VALUE"""),FALSE)</f>
        <v>0</v>
      </c>
      <c r="N1660" s="23" t="b">
        <f>IFERROR(__xludf.DUMMYFUNCTION("""COMPUTED_VALUE"""),FALSE)</f>
        <v>0</v>
      </c>
      <c r="O1660" s="23">
        <f>IFERROR(__xludf.DUMMYFUNCTION("""COMPUTED_VALUE"""),37.6339610862553)</f>
        <v>37.63396109</v>
      </c>
      <c r="P1660" s="23">
        <f>IFERROR(__xludf.DUMMYFUNCTION("""COMPUTED_VALUE"""),3617.0)</f>
        <v>3617</v>
      </c>
      <c r="Q1660" s="23">
        <f>IFERROR(__xludf.DUMMYFUNCTION("""COMPUTED_VALUE"""),9611.0)</f>
        <v>9611</v>
      </c>
    </row>
    <row r="1661">
      <c r="A1661" s="23">
        <f>IFERROR(__xludf.DUMMYFUNCTION("""COMPUTED_VALUE"""),1796.0)</f>
        <v>1796</v>
      </c>
      <c r="B1661" s="23" t="str">
        <f>IFERROR(__xludf.DUMMYFUNCTION("""COMPUTED_VALUE"""),"Correct a Binary Tree")</f>
        <v>Correct a Binary Tree</v>
      </c>
      <c r="C1661" s="23" t="str">
        <f>IFERROR(__xludf.DUMMYFUNCTION("""COMPUTED_VALUE"""),"correct-a-binary-tree")</f>
        <v>correct-a-binary-tree</v>
      </c>
      <c r="D1661" s="23" t="b">
        <f>IFERROR(__xludf.DUMMYFUNCTION("""COMPUTED_VALUE"""),TRUE)</f>
        <v>1</v>
      </c>
      <c r="E1661" s="23" t="str">
        <f>IFERROR(__xludf.DUMMYFUNCTION("""COMPUTED_VALUE"""),"Medium")</f>
        <v>Medium</v>
      </c>
      <c r="F1661" s="23">
        <f>IFERROR(__xludf.DUMMYFUNCTION("""COMPUTED_VALUE"""),167.0)</f>
        <v>167</v>
      </c>
      <c r="G1661" s="23">
        <f>IFERROR(__xludf.DUMMYFUNCTION("""COMPUTED_VALUE"""),23.0)</f>
        <v>23</v>
      </c>
      <c r="H1661" s="23" t="str">
        <f>IFERROR(__xludf.DUMMYFUNCTION("""COMPUTED_VALUE"""),"Algorithms")</f>
        <v>Algorithms</v>
      </c>
      <c r="I1661" s="23">
        <f>IFERROR(__xludf.DUMMYFUNCTION("""COMPUTED_VALUE"""),0.726)</f>
        <v>0.726</v>
      </c>
      <c r="J1661" s="23">
        <f>IFERROR(__xludf.DUMMYFUNCTION("""COMPUTED_VALUE"""),1660.0)</f>
        <v>1660</v>
      </c>
      <c r="K1661" s="23" t="b">
        <f>IFERROR(__xludf.DUMMYFUNCTION("""COMPUTED_VALUE"""),TRUE)</f>
        <v>1</v>
      </c>
      <c r="L1661" s="23" t="str">
        <f>IFERROR(__xludf.DUMMYFUNCTION("""COMPUTED_VALUE"""),"Hash Table;Tree;Depth-First Search;Breadth-First Search;Binary Tree;")</f>
        <v>Hash Table;Tree;Depth-First Search;Breadth-First Search;Binary Tree;</v>
      </c>
      <c r="M1661" s="23" t="b">
        <f>IFERROR(__xludf.DUMMYFUNCTION("""COMPUTED_VALUE"""),FALSE)</f>
        <v>0</v>
      </c>
      <c r="N1661" s="23" t="b">
        <f>IFERROR(__xludf.DUMMYFUNCTION("""COMPUTED_VALUE"""),FALSE)</f>
        <v>0</v>
      </c>
      <c r="O1661" s="23">
        <f>IFERROR(__xludf.DUMMYFUNCTION("""COMPUTED_VALUE"""),72.6325173146814)</f>
        <v>72.63251731</v>
      </c>
      <c r="P1661" s="23">
        <f>IFERROR(__xludf.DUMMYFUNCTION("""COMPUTED_VALUE"""),10592.0)</f>
        <v>10592</v>
      </c>
      <c r="Q1661" s="23">
        <f>IFERROR(__xludf.DUMMYFUNCTION("""COMPUTED_VALUE"""),14583.0)</f>
        <v>14583</v>
      </c>
    </row>
    <row r="1662">
      <c r="A1662" s="23">
        <f>IFERROR(__xludf.DUMMYFUNCTION("""COMPUTED_VALUE"""),1801.0)</f>
        <v>1801</v>
      </c>
      <c r="B1662" s="23" t="str">
        <f>IFERROR(__xludf.DUMMYFUNCTION("""COMPUTED_VALUE"""),"Average Time of Process per Machine")</f>
        <v>Average Time of Process per Machine</v>
      </c>
      <c r="C1662" s="23" t="str">
        <f>IFERROR(__xludf.DUMMYFUNCTION("""COMPUTED_VALUE"""),"average-time-of-process-per-machine")</f>
        <v>average-time-of-process-per-machine</v>
      </c>
      <c r="D1662" s="23" t="b">
        <f>IFERROR(__xludf.DUMMYFUNCTION("""COMPUTED_VALUE"""),TRUE)</f>
        <v>1</v>
      </c>
      <c r="E1662" s="23" t="str">
        <f>IFERROR(__xludf.DUMMYFUNCTION("""COMPUTED_VALUE"""),"Easy")</f>
        <v>Easy</v>
      </c>
      <c r="F1662" s="23">
        <f>IFERROR(__xludf.DUMMYFUNCTION("""COMPUTED_VALUE"""),89.0)</f>
        <v>89</v>
      </c>
      <c r="G1662" s="23">
        <f>IFERROR(__xludf.DUMMYFUNCTION("""COMPUTED_VALUE"""),19.0)</f>
        <v>19</v>
      </c>
      <c r="H1662" s="23" t="str">
        <f>IFERROR(__xludf.DUMMYFUNCTION("""COMPUTED_VALUE"""),"Database")</f>
        <v>Database</v>
      </c>
      <c r="I1662" s="23">
        <f>IFERROR(__xludf.DUMMYFUNCTION("""COMPUTED_VALUE"""),0.799)</f>
        <v>0.799</v>
      </c>
      <c r="J1662" s="23">
        <f>IFERROR(__xludf.DUMMYFUNCTION("""COMPUTED_VALUE"""),1661.0)</f>
        <v>1661</v>
      </c>
      <c r="K1662" s="23" t="b">
        <f>IFERROR(__xludf.DUMMYFUNCTION("""COMPUTED_VALUE"""),TRUE)</f>
        <v>1</v>
      </c>
      <c r="L1662" s="23" t="str">
        <f>IFERROR(__xludf.DUMMYFUNCTION("""COMPUTED_VALUE"""),"Database;")</f>
        <v>Database;</v>
      </c>
      <c r="M1662" s="23" t="b">
        <f>IFERROR(__xludf.DUMMYFUNCTION("""COMPUTED_VALUE"""),FALSE)</f>
        <v>0</v>
      </c>
      <c r="N1662" s="23" t="b">
        <f>IFERROR(__xludf.DUMMYFUNCTION("""COMPUTED_VALUE"""),FALSE)</f>
        <v>0</v>
      </c>
      <c r="O1662" s="23">
        <f>IFERROR(__xludf.DUMMYFUNCTION("""COMPUTED_VALUE"""),79.8921887713588)</f>
        <v>79.89218877</v>
      </c>
      <c r="P1662" s="23">
        <f>IFERROR(__xludf.DUMMYFUNCTION("""COMPUTED_VALUE"""),15710.0)</f>
        <v>15710</v>
      </c>
      <c r="Q1662" s="23">
        <f>IFERROR(__xludf.DUMMYFUNCTION("""COMPUTED_VALUE"""),19664.0)</f>
        <v>19664</v>
      </c>
    </row>
    <row r="1663">
      <c r="A1663" s="23">
        <f>IFERROR(__xludf.DUMMYFUNCTION("""COMPUTED_VALUE"""),1781.0)</f>
        <v>1781</v>
      </c>
      <c r="B1663" s="23" t="str">
        <f>IFERROR(__xludf.DUMMYFUNCTION("""COMPUTED_VALUE"""),"Check If Two String Arrays are Equivalent")</f>
        <v>Check If Two String Arrays are Equivalent</v>
      </c>
      <c r="C1663" s="23" t="str">
        <f>IFERROR(__xludf.DUMMYFUNCTION("""COMPUTED_VALUE"""),"check-if-two-string-arrays-are-equivalent")</f>
        <v>check-if-two-string-arrays-are-equivalent</v>
      </c>
      <c r="D1663" s="23" t="b">
        <f>IFERROR(__xludf.DUMMYFUNCTION("""COMPUTED_VALUE"""),FALSE)</f>
        <v>0</v>
      </c>
      <c r="E1663" s="23" t="str">
        <f>IFERROR(__xludf.DUMMYFUNCTION("""COMPUTED_VALUE"""),"Easy")</f>
        <v>Easy</v>
      </c>
      <c r="F1663" s="23">
        <f>IFERROR(__xludf.DUMMYFUNCTION("""COMPUTED_VALUE"""),783.0)</f>
        <v>783</v>
      </c>
      <c r="G1663" s="23">
        <f>IFERROR(__xludf.DUMMYFUNCTION("""COMPUTED_VALUE"""),111.0)</f>
        <v>111</v>
      </c>
      <c r="H1663" s="23" t="str">
        <f>IFERROR(__xludf.DUMMYFUNCTION("""COMPUTED_VALUE"""),"Algorithms")</f>
        <v>Algorithms</v>
      </c>
      <c r="I1663" s="23">
        <f>IFERROR(__xludf.DUMMYFUNCTION("""COMPUTED_VALUE"""),0.82)</f>
        <v>0.82</v>
      </c>
      <c r="J1663" s="23">
        <f>IFERROR(__xludf.DUMMYFUNCTION("""COMPUTED_VALUE"""),1662.0)</f>
        <v>1662</v>
      </c>
      <c r="K1663" s="23" t="b">
        <f>IFERROR(__xludf.DUMMYFUNCTION("""COMPUTED_VALUE"""),FALSE)</f>
        <v>0</v>
      </c>
      <c r="L1663" s="23" t="str">
        <f>IFERROR(__xludf.DUMMYFUNCTION("""COMPUTED_VALUE"""),"Array;String;")</f>
        <v>Array;String;</v>
      </c>
      <c r="M1663" s="23" t="b">
        <f>IFERROR(__xludf.DUMMYFUNCTION("""COMPUTED_VALUE"""),FALSE)</f>
        <v>0</v>
      </c>
      <c r="N1663" s="23" t="b">
        <f>IFERROR(__xludf.DUMMYFUNCTION("""COMPUTED_VALUE"""),FALSE)</f>
        <v>0</v>
      </c>
      <c r="O1663" s="23">
        <f>IFERROR(__xludf.DUMMYFUNCTION("""COMPUTED_VALUE"""),81.9667167429456)</f>
        <v>81.96671674</v>
      </c>
      <c r="P1663" s="23">
        <f>IFERROR(__xludf.DUMMYFUNCTION("""COMPUTED_VALUE"""),140768.0)</f>
        <v>140768</v>
      </c>
      <c r="Q1663" s="23">
        <f>IFERROR(__xludf.DUMMYFUNCTION("""COMPUTED_VALUE"""),171738.0)</f>
        <v>171738</v>
      </c>
    </row>
    <row r="1664">
      <c r="A1664" s="23">
        <f>IFERROR(__xludf.DUMMYFUNCTION("""COMPUTED_VALUE"""),1782.0)</f>
        <v>1782</v>
      </c>
      <c r="B1664" s="23" t="str">
        <f>IFERROR(__xludf.DUMMYFUNCTION("""COMPUTED_VALUE"""),"Smallest String With A Given Numeric Value")</f>
        <v>Smallest String With A Given Numeric Value</v>
      </c>
      <c r="C1664" s="23" t="str">
        <f>IFERROR(__xludf.DUMMYFUNCTION("""COMPUTED_VALUE"""),"smallest-string-with-a-given-numeric-value")</f>
        <v>smallest-string-with-a-given-numeric-value</v>
      </c>
      <c r="D1664" s="23" t="b">
        <f>IFERROR(__xludf.DUMMYFUNCTION("""COMPUTED_VALUE"""),FALSE)</f>
        <v>0</v>
      </c>
      <c r="E1664" s="23" t="str">
        <f>IFERROR(__xludf.DUMMYFUNCTION("""COMPUTED_VALUE"""),"Medium")</f>
        <v>Medium</v>
      </c>
      <c r="F1664" s="23">
        <f>IFERROR(__xludf.DUMMYFUNCTION("""COMPUTED_VALUE"""),1529.0)</f>
        <v>1529</v>
      </c>
      <c r="G1664" s="23">
        <f>IFERROR(__xludf.DUMMYFUNCTION("""COMPUTED_VALUE"""),50.0)</f>
        <v>50</v>
      </c>
      <c r="H1664" s="23" t="str">
        <f>IFERROR(__xludf.DUMMYFUNCTION("""COMPUTED_VALUE"""),"Algorithms")</f>
        <v>Algorithms</v>
      </c>
      <c r="I1664" s="23">
        <f>IFERROR(__xludf.DUMMYFUNCTION("""COMPUTED_VALUE"""),0.67)</f>
        <v>0.67</v>
      </c>
      <c r="J1664" s="23">
        <f>IFERROR(__xludf.DUMMYFUNCTION("""COMPUTED_VALUE"""),1663.0)</f>
        <v>1663</v>
      </c>
      <c r="K1664" s="23" t="b">
        <f>IFERROR(__xludf.DUMMYFUNCTION("""COMPUTED_VALUE"""),FALSE)</f>
        <v>0</v>
      </c>
      <c r="L1664" s="23" t="str">
        <f>IFERROR(__xludf.DUMMYFUNCTION("""COMPUTED_VALUE"""),"String;Greedy;")</f>
        <v>String;Greedy;</v>
      </c>
      <c r="M1664" s="23" t="b">
        <f>IFERROR(__xludf.DUMMYFUNCTION("""COMPUTED_VALUE"""),TRUE)</f>
        <v>1</v>
      </c>
      <c r="N1664" s="23" t="b">
        <f>IFERROR(__xludf.DUMMYFUNCTION("""COMPUTED_VALUE"""),FALSE)</f>
        <v>0</v>
      </c>
      <c r="O1664" s="23">
        <f>IFERROR(__xludf.DUMMYFUNCTION("""COMPUTED_VALUE"""),67.0309653916211)</f>
        <v>67.03096539</v>
      </c>
      <c r="P1664" s="23">
        <f>IFERROR(__xludf.DUMMYFUNCTION("""COMPUTED_VALUE"""),79488.0)</f>
        <v>79488</v>
      </c>
      <c r="Q1664" s="23">
        <f>IFERROR(__xludf.DUMMYFUNCTION("""COMPUTED_VALUE"""),118584.0)</f>
        <v>118584</v>
      </c>
    </row>
    <row r="1665">
      <c r="A1665" s="23">
        <f>IFERROR(__xludf.DUMMYFUNCTION("""COMPUTED_VALUE"""),1783.0)</f>
        <v>1783</v>
      </c>
      <c r="B1665" s="23" t="str">
        <f>IFERROR(__xludf.DUMMYFUNCTION("""COMPUTED_VALUE"""),"Ways to Make a Fair Array")</f>
        <v>Ways to Make a Fair Array</v>
      </c>
      <c r="C1665" s="23" t="str">
        <f>IFERROR(__xludf.DUMMYFUNCTION("""COMPUTED_VALUE"""),"ways-to-make-a-fair-array")</f>
        <v>ways-to-make-a-fair-array</v>
      </c>
      <c r="D1665" s="23" t="b">
        <f>IFERROR(__xludf.DUMMYFUNCTION("""COMPUTED_VALUE"""),FALSE)</f>
        <v>0</v>
      </c>
      <c r="E1665" s="23" t="str">
        <f>IFERROR(__xludf.DUMMYFUNCTION("""COMPUTED_VALUE"""),"Medium")</f>
        <v>Medium</v>
      </c>
      <c r="F1665" s="23">
        <f>IFERROR(__xludf.DUMMYFUNCTION("""COMPUTED_VALUE"""),820.0)</f>
        <v>820</v>
      </c>
      <c r="G1665" s="23">
        <f>IFERROR(__xludf.DUMMYFUNCTION("""COMPUTED_VALUE"""),20.0)</f>
        <v>20</v>
      </c>
      <c r="H1665" s="23" t="str">
        <f>IFERROR(__xludf.DUMMYFUNCTION("""COMPUTED_VALUE"""),"Algorithms")</f>
        <v>Algorithms</v>
      </c>
      <c r="I1665" s="23">
        <f>IFERROR(__xludf.DUMMYFUNCTION("""COMPUTED_VALUE"""),0.632)</f>
        <v>0.632</v>
      </c>
      <c r="J1665" s="23">
        <f>IFERROR(__xludf.DUMMYFUNCTION("""COMPUTED_VALUE"""),1664.0)</f>
        <v>1664</v>
      </c>
      <c r="K1665" s="23" t="b">
        <f>IFERROR(__xludf.DUMMYFUNCTION("""COMPUTED_VALUE"""),FALSE)</f>
        <v>0</v>
      </c>
      <c r="L1665" s="23" t="str">
        <f>IFERROR(__xludf.DUMMYFUNCTION("""COMPUTED_VALUE"""),"Array;Dynamic Programming;")</f>
        <v>Array;Dynamic Programming;</v>
      </c>
      <c r="M1665" s="23" t="b">
        <f>IFERROR(__xludf.DUMMYFUNCTION("""COMPUTED_VALUE"""),FALSE)</f>
        <v>0</v>
      </c>
      <c r="N1665" s="23" t="b">
        <f>IFERROR(__xludf.DUMMYFUNCTION("""COMPUTED_VALUE"""),FALSE)</f>
        <v>0</v>
      </c>
      <c r="O1665" s="23">
        <f>IFERROR(__xludf.DUMMYFUNCTION("""COMPUTED_VALUE"""),63.1905615452526)</f>
        <v>63.19056155</v>
      </c>
      <c r="P1665" s="23">
        <f>IFERROR(__xludf.DUMMYFUNCTION("""COMPUTED_VALUE"""),23620.0)</f>
        <v>23620</v>
      </c>
      <c r="Q1665" s="23">
        <f>IFERROR(__xludf.DUMMYFUNCTION("""COMPUTED_VALUE"""),37379.0)</f>
        <v>37379</v>
      </c>
    </row>
    <row r="1666">
      <c r="A1666" s="23">
        <f>IFERROR(__xludf.DUMMYFUNCTION("""COMPUTED_VALUE"""),1784.0)</f>
        <v>1784</v>
      </c>
      <c r="B1666" s="23" t="str">
        <f>IFERROR(__xludf.DUMMYFUNCTION("""COMPUTED_VALUE"""),"Minimum Initial Energy to Finish Tasks")</f>
        <v>Minimum Initial Energy to Finish Tasks</v>
      </c>
      <c r="C1666" s="23" t="str">
        <f>IFERROR(__xludf.DUMMYFUNCTION("""COMPUTED_VALUE"""),"minimum-initial-energy-to-finish-tasks")</f>
        <v>minimum-initial-energy-to-finish-tasks</v>
      </c>
      <c r="D1666" s="23" t="b">
        <f>IFERROR(__xludf.DUMMYFUNCTION("""COMPUTED_VALUE"""),FALSE)</f>
        <v>0</v>
      </c>
      <c r="E1666" s="23" t="str">
        <f>IFERROR(__xludf.DUMMYFUNCTION("""COMPUTED_VALUE"""),"Hard")</f>
        <v>Hard</v>
      </c>
      <c r="F1666" s="23">
        <f>IFERROR(__xludf.DUMMYFUNCTION("""COMPUTED_VALUE"""),360.0)</f>
        <v>360</v>
      </c>
      <c r="G1666" s="23">
        <f>IFERROR(__xludf.DUMMYFUNCTION("""COMPUTED_VALUE"""),28.0)</f>
        <v>28</v>
      </c>
      <c r="H1666" s="23" t="str">
        <f>IFERROR(__xludf.DUMMYFUNCTION("""COMPUTED_VALUE"""),"Algorithms")</f>
        <v>Algorithms</v>
      </c>
      <c r="I1666" s="23">
        <f>IFERROR(__xludf.DUMMYFUNCTION("""COMPUTED_VALUE"""),0.558)</f>
        <v>0.558</v>
      </c>
      <c r="J1666" s="23">
        <f>IFERROR(__xludf.DUMMYFUNCTION("""COMPUTED_VALUE"""),1665.0)</f>
        <v>1665</v>
      </c>
      <c r="K1666" s="23" t="b">
        <f>IFERROR(__xludf.DUMMYFUNCTION("""COMPUTED_VALUE"""),FALSE)</f>
        <v>0</v>
      </c>
      <c r="L1666" s="23" t="str">
        <f>IFERROR(__xludf.DUMMYFUNCTION("""COMPUTED_VALUE"""),"Array;Greedy;Sorting;")</f>
        <v>Array;Greedy;Sorting;</v>
      </c>
      <c r="M1666" s="23" t="b">
        <f>IFERROR(__xludf.DUMMYFUNCTION("""COMPUTED_VALUE"""),FALSE)</f>
        <v>0</v>
      </c>
      <c r="N1666" s="23" t="b">
        <f>IFERROR(__xludf.DUMMYFUNCTION("""COMPUTED_VALUE"""),FALSE)</f>
        <v>0</v>
      </c>
      <c r="O1666" s="23">
        <f>IFERROR(__xludf.DUMMYFUNCTION("""COMPUTED_VALUE"""),55.7899352072879)</f>
        <v>55.78993521</v>
      </c>
      <c r="P1666" s="23">
        <f>IFERROR(__xludf.DUMMYFUNCTION("""COMPUTED_VALUE"""),11452.0)</f>
        <v>11452</v>
      </c>
      <c r="Q1666" s="23">
        <f>IFERROR(__xludf.DUMMYFUNCTION("""COMPUTED_VALUE"""),20527.0)</f>
        <v>20527</v>
      </c>
    </row>
    <row r="1667">
      <c r="A1667" s="23">
        <f>IFERROR(__xludf.DUMMYFUNCTION("""COMPUTED_VALUE"""),1810.0)</f>
        <v>1810</v>
      </c>
      <c r="B1667" s="23" t="str">
        <f>IFERROR(__xludf.DUMMYFUNCTION("""COMPUTED_VALUE"""),"Change the Root of a Binary Tree")</f>
        <v>Change the Root of a Binary Tree</v>
      </c>
      <c r="C1667" s="23" t="str">
        <f>IFERROR(__xludf.DUMMYFUNCTION("""COMPUTED_VALUE"""),"change-the-root-of-a-binary-tree")</f>
        <v>change-the-root-of-a-binary-tree</v>
      </c>
      <c r="D1667" s="23" t="b">
        <f>IFERROR(__xludf.DUMMYFUNCTION("""COMPUTED_VALUE"""),TRUE)</f>
        <v>1</v>
      </c>
      <c r="E1667" s="23" t="str">
        <f>IFERROR(__xludf.DUMMYFUNCTION("""COMPUTED_VALUE"""),"Medium")</f>
        <v>Medium</v>
      </c>
      <c r="F1667" s="23">
        <f>IFERROR(__xludf.DUMMYFUNCTION("""COMPUTED_VALUE"""),45.0)</f>
        <v>45</v>
      </c>
      <c r="G1667" s="23">
        <f>IFERROR(__xludf.DUMMYFUNCTION("""COMPUTED_VALUE"""),112.0)</f>
        <v>112</v>
      </c>
      <c r="H1667" s="23" t="str">
        <f>IFERROR(__xludf.DUMMYFUNCTION("""COMPUTED_VALUE"""),"Algorithms")</f>
        <v>Algorithms</v>
      </c>
      <c r="I1667" s="23">
        <f>IFERROR(__xludf.DUMMYFUNCTION("""COMPUTED_VALUE"""),0.685)</f>
        <v>0.685</v>
      </c>
      <c r="J1667" s="23">
        <f>IFERROR(__xludf.DUMMYFUNCTION("""COMPUTED_VALUE"""),1666.0)</f>
        <v>1666</v>
      </c>
      <c r="K1667" s="23" t="b">
        <f>IFERROR(__xludf.DUMMYFUNCTION("""COMPUTED_VALUE"""),TRUE)</f>
        <v>1</v>
      </c>
      <c r="L1667" s="23" t="str">
        <f>IFERROR(__xludf.DUMMYFUNCTION("""COMPUTED_VALUE"""),"Tree;Depth-First Search;Binary Tree;")</f>
        <v>Tree;Depth-First Search;Binary Tree;</v>
      </c>
      <c r="M1667" s="23" t="b">
        <f>IFERROR(__xludf.DUMMYFUNCTION("""COMPUTED_VALUE"""),FALSE)</f>
        <v>0</v>
      </c>
      <c r="N1667" s="23" t="b">
        <f>IFERROR(__xludf.DUMMYFUNCTION("""COMPUTED_VALUE"""),FALSE)</f>
        <v>0</v>
      </c>
      <c r="O1667" s="23">
        <f>IFERROR(__xludf.DUMMYFUNCTION("""COMPUTED_VALUE"""),68.4518583552824)</f>
        <v>68.45185836</v>
      </c>
      <c r="P1667" s="23">
        <f>IFERROR(__xludf.DUMMYFUNCTION("""COMPUTED_VALUE"""),2339.0)</f>
        <v>2339</v>
      </c>
      <c r="Q1667" s="23">
        <f>IFERROR(__xludf.DUMMYFUNCTION("""COMPUTED_VALUE"""),3417.0)</f>
        <v>3417</v>
      </c>
    </row>
    <row r="1668">
      <c r="A1668" s="23">
        <f>IFERROR(__xludf.DUMMYFUNCTION("""COMPUTED_VALUE"""),1811.0)</f>
        <v>1811</v>
      </c>
      <c r="B1668" s="23" t="str">
        <f>IFERROR(__xludf.DUMMYFUNCTION("""COMPUTED_VALUE"""),"Fix Names in a Table")</f>
        <v>Fix Names in a Table</v>
      </c>
      <c r="C1668" s="23" t="str">
        <f>IFERROR(__xludf.DUMMYFUNCTION("""COMPUTED_VALUE"""),"fix-names-in-a-table")</f>
        <v>fix-names-in-a-table</v>
      </c>
      <c r="D1668" s="23" t="b">
        <f>IFERROR(__xludf.DUMMYFUNCTION("""COMPUTED_VALUE"""),FALSE)</f>
        <v>0</v>
      </c>
      <c r="E1668" s="23" t="str">
        <f>IFERROR(__xludf.DUMMYFUNCTION("""COMPUTED_VALUE"""),"Easy")</f>
        <v>Easy</v>
      </c>
      <c r="F1668" s="23">
        <f>IFERROR(__xludf.DUMMYFUNCTION("""COMPUTED_VALUE"""),86.0)</f>
        <v>86</v>
      </c>
      <c r="G1668" s="23">
        <f>IFERROR(__xludf.DUMMYFUNCTION("""COMPUTED_VALUE"""),41.0)</f>
        <v>41</v>
      </c>
      <c r="H1668" s="23" t="str">
        <f>IFERROR(__xludf.DUMMYFUNCTION("""COMPUTED_VALUE"""),"Database")</f>
        <v>Database</v>
      </c>
      <c r="I1668" s="23">
        <f>IFERROR(__xludf.DUMMYFUNCTION("""COMPUTED_VALUE"""),0.631)</f>
        <v>0.631</v>
      </c>
      <c r="J1668" s="23">
        <f>IFERROR(__xludf.DUMMYFUNCTION("""COMPUTED_VALUE"""),1667.0)</f>
        <v>1667</v>
      </c>
      <c r="K1668" s="23" t="b">
        <f>IFERROR(__xludf.DUMMYFUNCTION("""COMPUTED_VALUE"""),FALSE)</f>
        <v>0</v>
      </c>
      <c r="L1668" s="23" t="str">
        <f>IFERROR(__xludf.DUMMYFUNCTION("""COMPUTED_VALUE"""),"Database;")</f>
        <v>Database;</v>
      </c>
      <c r="M1668" s="23" t="b">
        <f>IFERROR(__xludf.DUMMYFUNCTION("""COMPUTED_VALUE"""),FALSE)</f>
        <v>0</v>
      </c>
      <c r="N1668" s="23" t="b">
        <f>IFERROR(__xludf.DUMMYFUNCTION("""COMPUTED_VALUE"""),FALSE)</f>
        <v>0</v>
      </c>
      <c r="O1668" s="23">
        <f>IFERROR(__xludf.DUMMYFUNCTION("""COMPUTED_VALUE"""),63.1400542351252)</f>
        <v>63.14005424</v>
      </c>
      <c r="P1668" s="23">
        <f>IFERROR(__xludf.DUMMYFUNCTION("""COMPUTED_VALUE"""),15832.0)</f>
        <v>15832</v>
      </c>
      <c r="Q1668" s="23">
        <f>IFERROR(__xludf.DUMMYFUNCTION("""COMPUTED_VALUE"""),25075.0)</f>
        <v>25075</v>
      </c>
    </row>
    <row r="1669">
      <c r="A1669" s="23">
        <f>IFERROR(__xludf.DUMMYFUNCTION("""COMPUTED_VALUE"""),1764.0)</f>
        <v>1764</v>
      </c>
      <c r="B1669" s="23" t="str">
        <f>IFERROR(__xludf.DUMMYFUNCTION("""COMPUTED_VALUE"""),"Maximum Repeating Substring")</f>
        <v>Maximum Repeating Substring</v>
      </c>
      <c r="C1669" s="23" t="str">
        <f>IFERROR(__xludf.DUMMYFUNCTION("""COMPUTED_VALUE"""),"maximum-repeating-substring")</f>
        <v>maximum-repeating-substring</v>
      </c>
      <c r="D1669" s="23" t="b">
        <f>IFERROR(__xludf.DUMMYFUNCTION("""COMPUTED_VALUE"""),FALSE)</f>
        <v>0</v>
      </c>
      <c r="E1669" s="23" t="str">
        <f>IFERROR(__xludf.DUMMYFUNCTION("""COMPUTED_VALUE"""),"Easy")</f>
        <v>Easy</v>
      </c>
      <c r="F1669" s="23">
        <f>IFERROR(__xludf.DUMMYFUNCTION("""COMPUTED_VALUE"""),376.0)</f>
        <v>376</v>
      </c>
      <c r="G1669" s="23">
        <f>IFERROR(__xludf.DUMMYFUNCTION("""COMPUTED_VALUE"""),127.0)</f>
        <v>127</v>
      </c>
      <c r="H1669" s="23" t="str">
        <f>IFERROR(__xludf.DUMMYFUNCTION("""COMPUTED_VALUE"""),"Algorithms")</f>
        <v>Algorithms</v>
      </c>
      <c r="I1669" s="23">
        <f>IFERROR(__xludf.DUMMYFUNCTION("""COMPUTED_VALUE"""),0.396)</f>
        <v>0.396</v>
      </c>
      <c r="J1669" s="23">
        <f>IFERROR(__xludf.DUMMYFUNCTION("""COMPUTED_VALUE"""),1668.0)</f>
        <v>1668</v>
      </c>
      <c r="K1669" s="23" t="b">
        <f>IFERROR(__xludf.DUMMYFUNCTION("""COMPUTED_VALUE"""),FALSE)</f>
        <v>0</v>
      </c>
      <c r="L1669" s="23" t="str">
        <f>IFERROR(__xludf.DUMMYFUNCTION("""COMPUTED_VALUE"""),"String;String Matching;")</f>
        <v>String;String Matching;</v>
      </c>
      <c r="M1669" s="23" t="b">
        <f>IFERROR(__xludf.DUMMYFUNCTION("""COMPUTED_VALUE"""),FALSE)</f>
        <v>0</v>
      </c>
      <c r="N1669" s="23" t="b">
        <f>IFERROR(__xludf.DUMMYFUNCTION("""COMPUTED_VALUE"""),FALSE)</f>
        <v>0</v>
      </c>
      <c r="O1669" s="23">
        <f>IFERROR(__xludf.DUMMYFUNCTION("""COMPUTED_VALUE"""),39.5569620253164)</f>
        <v>39.55696203</v>
      </c>
      <c r="P1669" s="23">
        <f>IFERROR(__xludf.DUMMYFUNCTION("""COMPUTED_VALUE"""),24000.0)</f>
        <v>24000</v>
      </c>
      <c r="Q1669" s="23">
        <f>IFERROR(__xludf.DUMMYFUNCTION("""COMPUTED_VALUE"""),60672.0)</f>
        <v>60672</v>
      </c>
    </row>
    <row r="1670">
      <c r="A1670" s="23">
        <f>IFERROR(__xludf.DUMMYFUNCTION("""COMPUTED_VALUE"""),1765.0)</f>
        <v>1765</v>
      </c>
      <c r="B1670" s="23" t="str">
        <f>IFERROR(__xludf.DUMMYFUNCTION("""COMPUTED_VALUE"""),"Merge In Between Linked Lists")</f>
        <v>Merge In Between Linked Lists</v>
      </c>
      <c r="C1670" s="23" t="str">
        <f>IFERROR(__xludf.DUMMYFUNCTION("""COMPUTED_VALUE"""),"merge-in-between-linked-lists")</f>
        <v>merge-in-between-linked-lists</v>
      </c>
      <c r="D1670" s="23" t="b">
        <f>IFERROR(__xludf.DUMMYFUNCTION("""COMPUTED_VALUE"""),FALSE)</f>
        <v>0</v>
      </c>
      <c r="E1670" s="23" t="str">
        <f>IFERROR(__xludf.DUMMYFUNCTION("""COMPUTED_VALUE"""),"Medium")</f>
        <v>Medium</v>
      </c>
      <c r="F1670" s="23">
        <f>IFERROR(__xludf.DUMMYFUNCTION("""COMPUTED_VALUE"""),856.0)</f>
        <v>856</v>
      </c>
      <c r="G1670" s="23">
        <f>IFERROR(__xludf.DUMMYFUNCTION("""COMPUTED_VALUE"""),124.0)</f>
        <v>124</v>
      </c>
      <c r="H1670" s="23" t="str">
        <f>IFERROR(__xludf.DUMMYFUNCTION("""COMPUTED_VALUE"""),"Algorithms")</f>
        <v>Algorithms</v>
      </c>
      <c r="I1670" s="23">
        <f>IFERROR(__xludf.DUMMYFUNCTION("""COMPUTED_VALUE"""),0.745)</f>
        <v>0.745</v>
      </c>
      <c r="J1670" s="23">
        <f>IFERROR(__xludf.DUMMYFUNCTION("""COMPUTED_VALUE"""),1669.0)</f>
        <v>1669</v>
      </c>
      <c r="K1670" s="23" t="b">
        <f>IFERROR(__xludf.DUMMYFUNCTION("""COMPUTED_VALUE"""),FALSE)</f>
        <v>0</v>
      </c>
      <c r="L1670" s="23" t="str">
        <f>IFERROR(__xludf.DUMMYFUNCTION("""COMPUTED_VALUE"""),"Linked List;")</f>
        <v>Linked List;</v>
      </c>
      <c r="M1670" s="23" t="b">
        <f>IFERROR(__xludf.DUMMYFUNCTION("""COMPUTED_VALUE"""),FALSE)</f>
        <v>0</v>
      </c>
      <c r="N1670" s="23" t="b">
        <f>IFERROR(__xludf.DUMMYFUNCTION("""COMPUTED_VALUE"""),FALSE)</f>
        <v>0</v>
      </c>
      <c r="O1670" s="23">
        <f>IFERROR(__xludf.DUMMYFUNCTION("""COMPUTED_VALUE"""),74.5177804186854)</f>
        <v>74.51778042</v>
      </c>
      <c r="P1670" s="23">
        <f>IFERROR(__xludf.DUMMYFUNCTION("""COMPUTED_VALUE"""),48909.0)</f>
        <v>48909</v>
      </c>
      <c r="Q1670" s="23">
        <f>IFERROR(__xludf.DUMMYFUNCTION("""COMPUTED_VALUE"""),65634.0)</f>
        <v>65634</v>
      </c>
    </row>
    <row r="1671">
      <c r="A1671" s="23">
        <f>IFERROR(__xludf.DUMMYFUNCTION("""COMPUTED_VALUE"""),1767.0)</f>
        <v>1767</v>
      </c>
      <c r="B1671" s="23" t="str">
        <f>IFERROR(__xludf.DUMMYFUNCTION("""COMPUTED_VALUE"""),"Design Front Middle Back Queue")</f>
        <v>Design Front Middle Back Queue</v>
      </c>
      <c r="C1671" s="23" t="str">
        <f>IFERROR(__xludf.DUMMYFUNCTION("""COMPUTED_VALUE"""),"design-front-middle-back-queue")</f>
        <v>design-front-middle-back-queue</v>
      </c>
      <c r="D1671" s="23" t="b">
        <f>IFERROR(__xludf.DUMMYFUNCTION("""COMPUTED_VALUE"""),FALSE)</f>
        <v>0</v>
      </c>
      <c r="E1671" s="23" t="str">
        <f>IFERROR(__xludf.DUMMYFUNCTION("""COMPUTED_VALUE"""),"Medium")</f>
        <v>Medium</v>
      </c>
      <c r="F1671" s="23">
        <f>IFERROR(__xludf.DUMMYFUNCTION("""COMPUTED_VALUE"""),431.0)</f>
        <v>431</v>
      </c>
      <c r="G1671" s="23">
        <f>IFERROR(__xludf.DUMMYFUNCTION("""COMPUTED_VALUE"""),73.0)</f>
        <v>73</v>
      </c>
      <c r="H1671" s="23" t="str">
        <f>IFERROR(__xludf.DUMMYFUNCTION("""COMPUTED_VALUE"""),"Algorithms")</f>
        <v>Algorithms</v>
      </c>
      <c r="I1671" s="23">
        <f>IFERROR(__xludf.DUMMYFUNCTION("""COMPUTED_VALUE"""),0.556)</f>
        <v>0.556</v>
      </c>
      <c r="J1671" s="23">
        <f>IFERROR(__xludf.DUMMYFUNCTION("""COMPUTED_VALUE"""),1670.0)</f>
        <v>1670</v>
      </c>
      <c r="K1671" s="23" t="b">
        <f>IFERROR(__xludf.DUMMYFUNCTION("""COMPUTED_VALUE"""),FALSE)</f>
        <v>0</v>
      </c>
      <c r="L1671" s="23" t="str">
        <f>IFERROR(__xludf.DUMMYFUNCTION("""COMPUTED_VALUE"""),"Array;Linked List;Design;Queue;Data Stream;")</f>
        <v>Array;Linked List;Design;Queue;Data Stream;</v>
      </c>
      <c r="M1671" s="23" t="b">
        <f>IFERROR(__xludf.DUMMYFUNCTION("""COMPUTED_VALUE"""),FALSE)</f>
        <v>0</v>
      </c>
      <c r="N1671" s="23" t="b">
        <f>IFERROR(__xludf.DUMMYFUNCTION("""COMPUTED_VALUE"""),FALSE)</f>
        <v>0</v>
      </c>
      <c r="O1671" s="23">
        <f>IFERROR(__xludf.DUMMYFUNCTION("""COMPUTED_VALUE"""),55.5555555555555)</f>
        <v>55.55555556</v>
      </c>
      <c r="P1671" s="23">
        <f>IFERROR(__xludf.DUMMYFUNCTION("""COMPUTED_VALUE"""),14490.0)</f>
        <v>14490</v>
      </c>
      <c r="Q1671" s="23">
        <f>IFERROR(__xludf.DUMMYFUNCTION("""COMPUTED_VALUE"""),26082.0)</f>
        <v>26082</v>
      </c>
    </row>
    <row r="1672">
      <c r="A1672" s="23">
        <f>IFERROR(__xludf.DUMMYFUNCTION("""COMPUTED_VALUE"""),1766.0)</f>
        <v>1766</v>
      </c>
      <c r="B1672" s="23" t="str">
        <f>IFERROR(__xludf.DUMMYFUNCTION("""COMPUTED_VALUE"""),"Minimum Number of Removals to Make Mountain Array")</f>
        <v>Minimum Number of Removals to Make Mountain Array</v>
      </c>
      <c r="C1672" s="23" t="str">
        <f>IFERROR(__xludf.DUMMYFUNCTION("""COMPUTED_VALUE"""),"minimum-number-of-removals-to-make-mountain-array")</f>
        <v>minimum-number-of-removals-to-make-mountain-array</v>
      </c>
      <c r="D1672" s="23" t="b">
        <f>IFERROR(__xludf.DUMMYFUNCTION("""COMPUTED_VALUE"""),FALSE)</f>
        <v>0</v>
      </c>
      <c r="E1672" s="23" t="str">
        <f>IFERROR(__xludf.DUMMYFUNCTION("""COMPUTED_VALUE"""),"Hard")</f>
        <v>Hard</v>
      </c>
      <c r="F1672" s="23">
        <f>IFERROR(__xludf.DUMMYFUNCTION("""COMPUTED_VALUE"""),723.0)</f>
        <v>723</v>
      </c>
      <c r="G1672" s="23">
        <f>IFERROR(__xludf.DUMMYFUNCTION("""COMPUTED_VALUE"""),11.0)</f>
        <v>11</v>
      </c>
      <c r="H1672" s="23" t="str">
        <f>IFERROR(__xludf.DUMMYFUNCTION("""COMPUTED_VALUE"""),"Algorithms")</f>
        <v>Algorithms</v>
      </c>
      <c r="I1672" s="23">
        <f>IFERROR(__xludf.DUMMYFUNCTION("""COMPUTED_VALUE"""),0.431)</f>
        <v>0.431</v>
      </c>
      <c r="J1672" s="23">
        <f>IFERROR(__xludf.DUMMYFUNCTION("""COMPUTED_VALUE"""),1671.0)</f>
        <v>1671</v>
      </c>
      <c r="K1672" s="23" t="b">
        <f>IFERROR(__xludf.DUMMYFUNCTION("""COMPUTED_VALUE"""),FALSE)</f>
        <v>0</v>
      </c>
      <c r="L1672" s="23" t="str">
        <f>IFERROR(__xludf.DUMMYFUNCTION("""COMPUTED_VALUE"""),"Array;Binary Search;Dynamic Programming;Greedy;")</f>
        <v>Array;Binary Search;Dynamic Programming;Greedy;</v>
      </c>
      <c r="M1672" s="23" t="b">
        <f>IFERROR(__xludf.DUMMYFUNCTION("""COMPUTED_VALUE"""),FALSE)</f>
        <v>0</v>
      </c>
      <c r="N1672" s="23" t="b">
        <f>IFERROR(__xludf.DUMMYFUNCTION("""COMPUTED_VALUE"""),FALSE)</f>
        <v>0</v>
      </c>
      <c r="O1672" s="23">
        <f>IFERROR(__xludf.DUMMYFUNCTION("""COMPUTED_VALUE"""),43.1328227792584)</f>
        <v>43.13282278</v>
      </c>
      <c r="P1672" s="23">
        <f>IFERROR(__xludf.DUMMYFUNCTION("""COMPUTED_VALUE"""),12785.0)</f>
        <v>12785</v>
      </c>
      <c r="Q1672" s="23">
        <f>IFERROR(__xludf.DUMMYFUNCTION("""COMPUTED_VALUE"""),29641.0)</f>
        <v>29641</v>
      </c>
    </row>
    <row r="1673">
      <c r="A1673" s="23">
        <f>IFERROR(__xludf.DUMMYFUNCTION("""COMPUTED_VALUE"""),1791.0)</f>
        <v>1791</v>
      </c>
      <c r="B1673" s="23" t="str">
        <f>IFERROR(__xludf.DUMMYFUNCTION("""COMPUTED_VALUE"""),"Richest Customer Wealth")</f>
        <v>Richest Customer Wealth</v>
      </c>
      <c r="C1673" s="23" t="str">
        <f>IFERROR(__xludf.DUMMYFUNCTION("""COMPUTED_VALUE"""),"richest-customer-wealth")</f>
        <v>richest-customer-wealth</v>
      </c>
      <c r="D1673" s="23" t="b">
        <f>IFERROR(__xludf.DUMMYFUNCTION("""COMPUTED_VALUE"""),FALSE)</f>
        <v>0</v>
      </c>
      <c r="E1673" s="23" t="str">
        <f>IFERROR(__xludf.DUMMYFUNCTION("""COMPUTED_VALUE"""),"Easy")</f>
        <v>Easy</v>
      </c>
      <c r="F1673" s="23">
        <f>IFERROR(__xludf.DUMMYFUNCTION("""COMPUTED_VALUE"""),1805.0)</f>
        <v>1805</v>
      </c>
      <c r="G1673" s="23">
        <f>IFERROR(__xludf.DUMMYFUNCTION("""COMPUTED_VALUE"""),257.0)</f>
        <v>257</v>
      </c>
      <c r="H1673" s="23" t="str">
        <f>IFERROR(__xludf.DUMMYFUNCTION("""COMPUTED_VALUE"""),"Algorithms")</f>
        <v>Algorithms</v>
      </c>
      <c r="I1673" s="23">
        <f>IFERROR(__xludf.DUMMYFUNCTION("""COMPUTED_VALUE"""),0.893)</f>
        <v>0.893</v>
      </c>
      <c r="J1673" s="23">
        <f>IFERROR(__xludf.DUMMYFUNCTION("""COMPUTED_VALUE"""),1672.0)</f>
        <v>1672</v>
      </c>
      <c r="K1673" s="23" t="b">
        <f>IFERROR(__xludf.DUMMYFUNCTION("""COMPUTED_VALUE"""),FALSE)</f>
        <v>0</v>
      </c>
      <c r="L1673" s="23" t="str">
        <f>IFERROR(__xludf.DUMMYFUNCTION("""COMPUTED_VALUE"""),"Array;Matrix;")</f>
        <v>Array;Matrix;</v>
      </c>
      <c r="M1673" s="23" t="b">
        <f>IFERROR(__xludf.DUMMYFUNCTION("""COMPUTED_VALUE"""),TRUE)</f>
        <v>1</v>
      </c>
      <c r="N1673" s="23" t="b">
        <f>IFERROR(__xludf.DUMMYFUNCTION("""COMPUTED_VALUE"""),FALSE)</f>
        <v>0</v>
      </c>
      <c r="O1673" s="23">
        <f>IFERROR(__xludf.DUMMYFUNCTION("""COMPUTED_VALUE"""),89.2511529447342)</f>
        <v>89.25115294</v>
      </c>
      <c r="P1673" s="23">
        <f>IFERROR(__xludf.DUMMYFUNCTION("""COMPUTED_VALUE"""),283322.0)</f>
        <v>283322</v>
      </c>
      <c r="Q1673" s="23">
        <f>IFERROR(__xludf.DUMMYFUNCTION("""COMPUTED_VALUE"""),317444.0)</f>
        <v>317444</v>
      </c>
    </row>
    <row r="1674">
      <c r="A1674" s="23">
        <f>IFERROR(__xludf.DUMMYFUNCTION("""COMPUTED_VALUE"""),1792.0)</f>
        <v>1792</v>
      </c>
      <c r="B1674" s="23" t="str">
        <f>IFERROR(__xludf.DUMMYFUNCTION("""COMPUTED_VALUE"""),"Find the Most Competitive Subsequence")</f>
        <v>Find the Most Competitive Subsequence</v>
      </c>
      <c r="C1674" s="23" t="str">
        <f>IFERROR(__xludf.DUMMYFUNCTION("""COMPUTED_VALUE"""),"find-the-most-competitive-subsequence")</f>
        <v>find-the-most-competitive-subsequence</v>
      </c>
      <c r="D1674" s="23" t="b">
        <f>IFERROR(__xludf.DUMMYFUNCTION("""COMPUTED_VALUE"""),FALSE)</f>
        <v>0</v>
      </c>
      <c r="E1674" s="23" t="str">
        <f>IFERROR(__xludf.DUMMYFUNCTION("""COMPUTED_VALUE"""),"Medium")</f>
        <v>Medium</v>
      </c>
      <c r="F1674" s="23">
        <f>IFERROR(__xludf.DUMMYFUNCTION("""COMPUTED_VALUE"""),1269.0)</f>
        <v>1269</v>
      </c>
      <c r="G1674" s="23">
        <f>IFERROR(__xludf.DUMMYFUNCTION("""COMPUTED_VALUE"""),61.0)</f>
        <v>61</v>
      </c>
      <c r="H1674" s="23" t="str">
        <f>IFERROR(__xludf.DUMMYFUNCTION("""COMPUTED_VALUE"""),"Algorithms")</f>
        <v>Algorithms</v>
      </c>
      <c r="I1674" s="23">
        <f>IFERROR(__xludf.DUMMYFUNCTION("""COMPUTED_VALUE"""),0.484)</f>
        <v>0.484</v>
      </c>
      <c r="J1674" s="23">
        <f>IFERROR(__xludf.DUMMYFUNCTION("""COMPUTED_VALUE"""),1673.0)</f>
        <v>1673</v>
      </c>
      <c r="K1674" s="23" t="b">
        <f>IFERROR(__xludf.DUMMYFUNCTION("""COMPUTED_VALUE"""),FALSE)</f>
        <v>0</v>
      </c>
      <c r="L1674" s="23" t="str">
        <f>IFERROR(__xludf.DUMMYFUNCTION("""COMPUTED_VALUE"""),"Array;Stack;Greedy;Monotonic Stack;")</f>
        <v>Array;Stack;Greedy;Monotonic Stack;</v>
      </c>
      <c r="M1674" s="23" t="b">
        <f>IFERROR(__xludf.DUMMYFUNCTION("""COMPUTED_VALUE"""),TRUE)</f>
        <v>1</v>
      </c>
      <c r="N1674" s="23" t="b">
        <f>IFERROR(__xludf.DUMMYFUNCTION("""COMPUTED_VALUE"""),FALSE)</f>
        <v>0</v>
      </c>
      <c r="O1674" s="23">
        <f>IFERROR(__xludf.DUMMYFUNCTION("""COMPUTED_VALUE"""),48.4025981491061)</f>
        <v>48.40259815</v>
      </c>
      <c r="P1674" s="23">
        <f>IFERROR(__xludf.DUMMYFUNCTION("""COMPUTED_VALUE"""),42103.0)</f>
        <v>42103</v>
      </c>
      <c r="Q1674" s="23">
        <f>IFERROR(__xludf.DUMMYFUNCTION("""COMPUTED_VALUE"""),86984.0)</f>
        <v>86984</v>
      </c>
    </row>
    <row r="1675">
      <c r="A1675" s="23">
        <f>IFERROR(__xludf.DUMMYFUNCTION("""COMPUTED_VALUE"""),1793.0)</f>
        <v>1793</v>
      </c>
      <c r="B1675" s="23" t="str">
        <f>IFERROR(__xludf.DUMMYFUNCTION("""COMPUTED_VALUE"""),"Minimum Moves to Make Array Complementary")</f>
        <v>Minimum Moves to Make Array Complementary</v>
      </c>
      <c r="C1675" s="23" t="str">
        <f>IFERROR(__xludf.DUMMYFUNCTION("""COMPUTED_VALUE"""),"minimum-moves-to-make-array-complementary")</f>
        <v>minimum-moves-to-make-array-complementary</v>
      </c>
      <c r="D1675" s="23" t="b">
        <f>IFERROR(__xludf.DUMMYFUNCTION("""COMPUTED_VALUE"""),FALSE)</f>
        <v>0</v>
      </c>
      <c r="E1675" s="23" t="str">
        <f>IFERROR(__xludf.DUMMYFUNCTION("""COMPUTED_VALUE"""),"Medium")</f>
        <v>Medium</v>
      </c>
      <c r="F1675" s="23">
        <f>IFERROR(__xludf.DUMMYFUNCTION("""COMPUTED_VALUE"""),438.0)</f>
        <v>438</v>
      </c>
      <c r="G1675" s="23">
        <f>IFERROR(__xludf.DUMMYFUNCTION("""COMPUTED_VALUE"""),54.0)</f>
        <v>54</v>
      </c>
      <c r="H1675" s="23" t="str">
        <f>IFERROR(__xludf.DUMMYFUNCTION("""COMPUTED_VALUE"""),"Algorithms")</f>
        <v>Algorithms</v>
      </c>
      <c r="I1675" s="23">
        <f>IFERROR(__xludf.DUMMYFUNCTION("""COMPUTED_VALUE"""),0.373)</f>
        <v>0.373</v>
      </c>
      <c r="J1675" s="23">
        <f>IFERROR(__xludf.DUMMYFUNCTION("""COMPUTED_VALUE"""),1674.0)</f>
        <v>1674</v>
      </c>
      <c r="K1675" s="23" t="b">
        <f>IFERROR(__xludf.DUMMYFUNCTION("""COMPUTED_VALUE"""),FALSE)</f>
        <v>0</v>
      </c>
      <c r="L1675" s="23" t="str">
        <f>IFERROR(__xludf.DUMMYFUNCTION("""COMPUTED_VALUE"""),"Array;Hash Table;Prefix Sum;")</f>
        <v>Array;Hash Table;Prefix Sum;</v>
      </c>
      <c r="M1675" s="23" t="b">
        <f>IFERROR(__xludf.DUMMYFUNCTION("""COMPUTED_VALUE"""),FALSE)</f>
        <v>0</v>
      </c>
      <c r="N1675" s="23" t="b">
        <f>IFERROR(__xludf.DUMMYFUNCTION("""COMPUTED_VALUE"""),FALSE)</f>
        <v>0</v>
      </c>
      <c r="O1675" s="23">
        <f>IFERROR(__xludf.DUMMYFUNCTION("""COMPUTED_VALUE"""),37.260696389567)</f>
        <v>37.26069639</v>
      </c>
      <c r="P1675" s="23">
        <f>IFERROR(__xludf.DUMMYFUNCTION("""COMPUTED_VALUE"""),5800.0)</f>
        <v>5800</v>
      </c>
      <c r="Q1675" s="23">
        <f>IFERROR(__xludf.DUMMYFUNCTION("""COMPUTED_VALUE"""),15566.0)</f>
        <v>15566</v>
      </c>
    </row>
    <row r="1676">
      <c r="A1676" s="23">
        <f>IFERROR(__xludf.DUMMYFUNCTION("""COMPUTED_VALUE"""),1794.0)</f>
        <v>1794</v>
      </c>
      <c r="B1676" s="23" t="str">
        <f>IFERROR(__xludf.DUMMYFUNCTION("""COMPUTED_VALUE"""),"Minimize Deviation in Array")</f>
        <v>Minimize Deviation in Array</v>
      </c>
      <c r="C1676" s="23" t="str">
        <f>IFERROR(__xludf.DUMMYFUNCTION("""COMPUTED_VALUE"""),"minimize-deviation-in-array")</f>
        <v>minimize-deviation-in-array</v>
      </c>
      <c r="D1676" s="23" t="b">
        <f>IFERROR(__xludf.DUMMYFUNCTION("""COMPUTED_VALUE"""),FALSE)</f>
        <v>0</v>
      </c>
      <c r="E1676" s="23" t="str">
        <f>IFERROR(__xludf.DUMMYFUNCTION("""COMPUTED_VALUE"""),"Hard")</f>
        <v>Hard</v>
      </c>
      <c r="F1676" s="23">
        <f>IFERROR(__xludf.DUMMYFUNCTION("""COMPUTED_VALUE"""),1585.0)</f>
        <v>1585</v>
      </c>
      <c r="G1676" s="23">
        <f>IFERROR(__xludf.DUMMYFUNCTION("""COMPUTED_VALUE"""),83.0)</f>
        <v>83</v>
      </c>
      <c r="H1676" s="23" t="str">
        <f>IFERROR(__xludf.DUMMYFUNCTION("""COMPUTED_VALUE"""),"Algorithms")</f>
        <v>Algorithms</v>
      </c>
      <c r="I1676" s="23">
        <f>IFERROR(__xludf.DUMMYFUNCTION("""COMPUTED_VALUE"""),0.525)</f>
        <v>0.525</v>
      </c>
      <c r="J1676" s="23">
        <f>IFERROR(__xludf.DUMMYFUNCTION("""COMPUTED_VALUE"""),1675.0)</f>
        <v>1675</v>
      </c>
      <c r="K1676" s="23" t="b">
        <f>IFERROR(__xludf.DUMMYFUNCTION("""COMPUTED_VALUE"""),FALSE)</f>
        <v>0</v>
      </c>
      <c r="L1676" s="23" t="str">
        <f>IFERROR(__xludf.DUMMYFUNCTION("""COMPUTED_VALUE"""),"Array;Greedy;Heap (Priority Queue);Ordered Set;")</f>
        <v>Array;Greedy;Heap (Priority Queue);Ordered Set;</v>
      </c>
      <c r="M1676" s="23" t="b">
        <f>IFERROR(__xludf.DUMMYFUNCTION("""COMPUTED_VALUE"""),TRUE)</f>
        <v>1</v>
      </c>
      <c r="N1676" s="23" t="b">
        <f>IFERROR(__xludf.DUMMYFUNCTION("""COMPUTED_VALUE"""),FALSE)</f>
        <v>0</v>
      </c>
      <c r="O1676" s="23">
        <f>IFERROR(__xludf.DUMMYFUNCTION("""COMPUTED_VALUE"""),52.5090197517275)</f>
        <v>52.50901975</v>
      </c>
      <c r="P1676" s="23">
        <f>IFERROR(__xludf.DUMMYFUNCTION("""COMPUTED_VALUE"""),42934.0)</f>
        <v>42934</v>
      </c>
      <c r="Q1676" s="23">
        <f>IFERROR(__xludf.DUMMYFUNCTION("""COMPUTED_VALUE"""),81765.0)</f>
        <v>81765</v>
      </c>
    </row>
    <row r="1677">
      <c r="A1677" s="23">
        <f>IFERROR(__xludf.DUMMYFUNCTION("""COMPUTED_VALUE"""),1816.0)</f>
        <v>1816</v>
      </c>
      <c r="B1677" s="23" t="str">
        <f>IFERROR(__xludf.DUMMYFUNCTION("""COMPUTED_VALUE"""),"Lowest Common Ancestor of a Binary Tree IV")</f>
        <v>Lowest Common Ancestor of a Binary Tree IV</v>
      </c>
      <c r="C1677" s="23" t="str">
        <f>IFERROR(__xludf.DUMMYFUNCTION("""COMPUTED_VALUE"""),"lowest-common-ancestor-of-a-binary-tree-iv")</f>
        <v>lowest-common-ancestor-of-a-binary-tree-iv</v>
      </c>
      <c r="D1677" s="23" t="b">
        <f>IFERROR(__xludf.DUMMYFUNCTION("""COMPUTED_VALUE"""),TRUE)</f>
        <v>1</v>
      </c>
      <c r="E1677" s="23" t="str">
        <f>IFERROR(__xludf.DUMMYFUNCTION("""COMPUTED_VALUE"""),"Medium")</f>
        <v>Medium</v>
      </c>
      <c r="F1677" s="23">
        <f>IFERROR(__xludf.DUMMYFUNCTION("""COMPUTED_VALUE"""),290.0)</f>
        <v>290</v>
      </c>
      <c r="G1677" s="23">
        <f>IFERROR(__xludf.DUMMYFUNCTION("""COMPUTED_VALUE"""),9.0)</f>
        <v>9</v>
      </c>
      <c r="H1677" s="23" t="str">
        <f>IFERROR(__xludf.DUMMYFUNCTION("""COMPUTED_VALUE"""),"Algorithms")</f>
        <v>Algorithms</v>
      </c>
      <c r="I1677" s="23">
        <f>IFERROR(__xludf.DUMMYFUNCTION("""COMPUTED_VALUE"""),0.794)</f>
        <v>0.794</v>
      </c>
      <c r="J1677" s="23">
        <f>IFERROR(__xludf.DUMMYFUNCTION("""COMPUTED_VALUE"""),1676.0)</f>
        <v>1676</v>
      </c>
      <c r="K1677" s="23" t="b">
        <f>IFERROR(__xludf.DUMMYFUNCTION("""COMPUTED_VALUE"""),TRUE)</f>
        <v>1</v>
      </c>
      <c r="L1677" s="23" t="str">
        <f>IFERROR(__xludf.DUMMYFUNCTION("""COMPUTED_VALUE"""),"Tree;Depth-First Search;Binary Tree;")</f>
        <v>Tree;Depth-First Search;Binary Tree;</v>
      </c>
      <c r="M1677" s="23" t="b">
        <f>IFERROR(__xludf.DUMMYFUNCTION("""COMPUTED_VALUE"""),FALSE)</f>
        <v>0</v>
      </c>
      <c r="N1677" s="23" t="b">
        <f>IFERROR(__xludf.DUMMYFUNCTION("""COMPUTED_VALUE"""),FALSE)</f>
        <v>0</v>
      </c>
      <c r="O1677" s="23">
        <f>IFERROR(__xludf.DUMMYFUNCTION("""COMPUTED_VALUE"""),79.4461867972156)</f>
        <v>79.4461868</v>
      </c>
      <c r="P1677" s="23">
        <f>IFERROR(__xludf.DUMMYFUNCTION("""COMPUTED_VALUE"""),20772.0)</f>
        <v>20772</v>
      </c>
      <c r="Q1677" s="23">
        <f>IFERROR(__xludf.DUMMYFUNCTION("""COMPUTED_VALUE"""),26146.0)</f>
        <v>26146</v>
      </c>
    </row>
    <row r="1678">
      <c r="A1678" s="23">
        <f>IFERROR(__xludf.DUMMYFUNCTION("""COMPUTED_VALUE"""),1821.0)</f>
        <v>1821</v>
      </c>
      <c r="B1678" s="23" t="str">
        <f>IFERROR(__xludf.DUMMYFUNCTION("""COMPUTED_VALUE"""),"Product's Worth Over Invoices")</f>
        <v>Product's Worth Over Invoices</v>
      </c>
      <c r="C1678" s="23" t="str">
        <f>IFERROR(__xludf.DUMMYFUNCTION("""COMPUTED_VALUE"""),"products-worth-over-invoices")</f>
        <v>products-worth-over-invoices</v>
      </c>
      <c r="D1678" s="23" t="b">
        <f>IFERROR(__xludf.DUMMYFUNCTION("""COMPUTED_VALUE"""),TRUE)</f>
        <v>1</v>
      </c>
      <c r="E1678" s="23" t="str">
        <f>IFERROR(__xludf.DUMMYFUNCTION("""COMPUTED_VALUE"""),"Easy")</f>
        <v>Easy</v>
      </c>
      <c r="F1678" s="23">
        <f>IFERROR(__xludf.DUMMYFUNCTION("""COMPUTED_VALUE"""),20.0)</f>
        <v>20</v>
      </c>
      <c r="G1678" s="23">
        <f>IFERROR(__xludf.DUMMYFUNCTION("""COMPUTED_VALUE"""),89.0)</f>
        <v>89</v>
      </c>
      <c r="H1678" s="23" t="str">
        <f>IFERROR(__xludf.DUMMYFUNCTION("""COMPUTED_VALUE"""),"Database")</f>
        <v>Database</v>
      </c>
      <c r="I1678" s="23">
        <f>IFERROR(__xludf.DUMMYFUNCTION("""COMPUTED_VALUE"""),0.407)</f>
        <v>0.407</v>
      </c>
      <c r="J1678" s="23">
        <f>IFERROR(__xludf.DUMMYFUNCTION("""COMPUTED_VALUE"""),1677.0)</f>
        <v>1677</v>
      </c>
      <c r="K1678" s="23" t="b">
        <f>IFERROR(__xludf.DUMMYFUNCTION("""COMPUTED_VALUE"""),TRUE)</f>
        <v>1</v>
      </c>
      <c r="L1678" s="23" t="str">
        <f>IFERROR(__xludf.DUMMYFUNCTION("""COMPUTED_VALUE"""),"Database;")</f>
        <v>Database;</v>
      </c>
      <c r="M1678" s="23" t="b">
        <f>IFERROR(__xludf.DUMMYFUNCTION("""COMPUTED_VALUE"""),FALSE)</f>
        <v>0</v>
      </c>
      <c r="N1678" s="23" t="b">
        <f>IFERROR(__xludf.DUMMYFUNCTION("""COMPUTED_VALUE"""),FALSE)</f>
        <v>0</v>
      </c>
      <c r="O1678" s="23">
        <f>IFERROR(__xludf.DUMMYFUNCTION("""COMPUTED_VALUE"""),40.7248205694455)</f>
        <v>40.72482057</v>
      </c>
      <c r="P1678" s="23">
        <f>IFERROR(__xludf.DUMMYFUNCTION("""COMPUTED_VALUE"""),10327.0)</f>
        <v>10327</v>
      </c>
      <c r="Q1678" s="23">
        <f>IFERROR(__xludf.DUMMYFUNCTION("""COMPUTED_VALUE"""),25358.0)</f>
        <v>25358</v>
      </c>
    </row>
    <row r="1679">
      <c r="A1679" s="23">
        <f>IFERROR(__xludf.DUMMYFUNCTION("""COMPUTED_VALUE"""),1797.0)</f>
        <v>1797</v>
      </c>
      <c r="B1679" s="23" t="str">
        <f>IFERROR(__xludf.DUMMYFUNCTION("""COMPUTED_VALUE"""),"Goal Parser Interpretation")</f>
        <v>Goal Parser Interpretation</v>
      </c>
      <c r="C1679" s="23" t="str">
        <f>IFERROR(__xludf.DUMMYFUNCTION("""COMPUTED_VALUE"""),"goal-parser-interpretation")</f>
        <v>goal-parser-interpretation</v>
      </c>
      <c r="D1679" s="23" t="b">
        <f>IFERROR(__xludf.DUMMYFUNCTION("""COMPUTED_VALUE"""),FALSE)</f>
        <v>0</v>
      </c>
      <c r="E1679" s="23" t="str">
        <f>IFERROR(__xludf.DUMMYFUNCTION("""COMPUTED_VALUE"""),"Easy")</f>
        <v>Easy</v>
      </c>
      <c r="F1679" s="23">
        <f>IFERROR(__xludf.DUMMYFUNCTION("""COMPUTED_VALUE"""),696.0)</f>
        <v>696</v>
      </c>
      <c r="G1679" s="23">
        <f>IFERROR(__xludf.DUMMYFUNCTION("""COMPUTED_VALUE"""),62.0)</f>
        <v>62</v>
      </c>
      <c r="H1679" s="23" t="str">
        <f>IFERROR(__xludf.DUMMYFUNCTION("""COMPUTED_VALUE"""),"Algorithms")</f>
        <v>Algorithms</v>
      </c>
      <c r="I1679" s="23">
        <f>IFERROR(__xludf.DUMMYFUNCTION("""COMPUTED_VALUE"""),0.857)</f>
        <v>0.857</v>
      </c>
      <c r="J1679" s="23">
        <f>IFERROR(__xludf.DUMMYFUNCTION("""COMPUTED_VALUE"""),1678.0)</f>
        <v>1678</v>
      </c>
      <c r="K1679" s="23" t="b">
        <f>IFERROR(__xludf.DUMMYFUNCTION("""COMPUTED_VALUE"""),FALSE)</f>
        <v>0</v>
      </c>
      <c r="L1679" s="23" t="str">
        <f>IFERROR(__xludf.DUMMYFUNCTION("""COMPUTED_VALUE"""),"String;")</f>
        <v>String;</v>
      </c>
      <c r="M1679" s="23" t="b">
        <f>IFERROR(__xludf.DUMMYFUNCTION("""COMPUTED_VALUE"""),FALSE)</f>
        <v>0</v>
      </c>
      <c r="N1679" s="23" t="b">
        <f>IFERROR(__xludf.DUMMYFUNCTION("""COMPUTED_VALUE"""),FALSE)</f>
        <v>0</v>
      </c>
      <c r="O1679" s="23">
        <f>IFERROR(__xludf.DUMMYFUNCTION("""COMPUTED_VALUE"""),85.7286145315175)</f>
        <v>85.72861453</v>
      </c>
      <c r="P1679" s="23">
        <f>IFERROR(__xludf.DUMMYFUNCTION("""COMPUTED_VALUE"""),105128.0)</f>
        <v>105128</v>
      </c>
      <c r="Q1679" s="23">
        <f>IFERROR(__xludf.DUMMYFUNCTION("""COMPUTED_VALUE"""),122629.0)</f>
        <v>122629</v>
      </c>
    </row>
    <row r="1680">
      <c r="A1680" s="23">
        <f>IFERROR(__xludf.DUMMYFUNCTION("""COMPUTED_VALUE"""),1798.0)</f>
        <v>1798</v>
      </c>
      <c r="B1680" s="23" t="str">
        <f>IFERROR(__xludf.DUMMYFUNCTION("""COMPUTED_VALUE"""),"Max Number of K-Sum Pairs")</f>
        <v>Max Number of K-Sum Pairs</v>
      </c>
      <c r="C1680" s="23" t="str">
        <f>IFERROR(__xludf.DUMMYFUNCTION("""COMPUTED_VALUE"""),"max-number-of-k-sum-pairs")</f>
        <v>max-number-of-k-sum-pairs</v>
      </c>
      <c r="D1680" s="23" t="b">
        <f>IFERROR(__xludf.DUMMYFUNCTION("""COMPUTED_VALUE"""),FALSE)</f>
        <v>0</v>
      </c>
      <c r="E1680" s="23" t="str">
        <f>IFERROR(__xludf.DUMMYFUNCTION("""COMPUTED_VALUE"""),"Medium")</f>
        <v>Medium</v>
      </c>
      <c r="F1680" s="23">
        <f>IFERROR(__xludf.DUMMYFUNCTION("""COMPUTED_VALUE"""),703.0)</f>
        <v>703</v>
      </c>
      <c r="G1680" s="23">
        <f>IFERROR(__xludf.DUMMYFUNCTION("""COMPUTED_VALUE"""),25.0)</f>
        <v>25</v>
      </c>
      <c r="H1680" s="23" t="str">
        <f>IFERROR(__xludf.DUMMYFUNCTION("""COMPUTED_VALUE"""),"Algorithms")</f>
        <v>Algorithms</v>
      </c>
      <c r="I1680" s="23">
        <f>IFERROR(__xludf.DUMMYFUNCTION("""COMPUTED_VALUE"""),0.536)</f>
        <v>0.536</v>
      </c>
      <c r="J1680" s="23">
        <f>IFERROR(__xludf.DUMMYFUNCTION("""COMPUTED_VALUE"""),1679.0)</f>
        <v>1679</v>
      </c>
      <c r="K1680" s="23" t="b">
        <f>IFERROR(__xludf.DUMMYFUNCTION("""COMPUTED_VALUE"""),FALSE)</f>
        <v>0</v>
      </c>
      <c r="L1680" s="23" t="str">
        <f>IFERROR(__xludf.DUMMYFUNCTION("""COMPUTED_VALUE"""),"Array;Hash Table;Two Pointers;Sorting;")</f>
        <v>Array;Hash Table;Two Pointers;Sorting;</v>
      </c>
      <c r="M1680" s="23" t="b">
        <f>IFERROR(__xludf.DUMMYFUNCTION("""COMPUTED_VALUE"""),TRUE)</f>
        <v>1</v>
      </c>
      <c r="N1680" s="23" t="b">
        <f>IFERROR(__xludf.DUMMYFUNCTION("""COMPUTED_VALUE"""),FALSE)</f>
        <v>0</v>
      </c>
      <c r="O1680" s="23">
        <f>IFERROR(__xludf.DUMMYFUNCTION("""COMPUTED_VALUE"""),53.5871843809643)</f>
        <v>53.58718438</v>
      </c>
      <c r="P1680" s="23">
        <f>IFERROR(__xludf.DUMMYFUNCTION("""COMPUTED_VALUE"""),51381.0)</f>
        <v>51381</v>
      </c>
      <c r="Q1680" s="23">
        <f>IFERROR(__xludf.DUMMYFUNCTION("""COMPUTED_VALUE"""),95883.0)</f>
        <v>95883</v>
      </c>
    </row>
    <row r="1681">
      <c r="A1681" s="23">
        <f>IFERROR(__xludf.DUMMYFUNCTION("""COMPUTED_VALUE"""),1800.0)</f>
        <v>1800</v>
      </c>
      <c r="B1681" s="23" t="str">
        <f>IFERROR(__xludf.DUMMYFUNCTION("""COMPUTED_VALUE"""),"Concatenation of Consecutive Binary Numbers")</f>
        <v>Concatenation of Consecutive Binary Numbers</v>
      </c>
      <c r="C1681" s="23" t="str">
        <f>IFERROR(__xludf.DUMMYFUNCTION("""COMPUTED_VALUE"""),"concatenation-of-consecutive-binary-numbers")</f>
        <v>concatenation-of-consecutive-binary-numbers</v>
      </c>
      <c r="D1681" s="23" t="b">
        <f>IFERROR(__xludf.DUMMYFUNCTION("""COMPUTED_VALUE"""),FALSE)</f>
        <v>0</v>
      </c>
      <c r="E1681" s="23" t="str">
        <f>IFERROR(__xludf.DUMMYFUNCTION("""COMPUTED_VALUE"""),"Medium")</f>
        <v>Medium</v>
      </c>
      <c r="F1681" s="23">
        <f>IFERROR(__xludf.DUMMYFUNCTION("""COMPUTED_VALUE"""),340.0)</f>
        <v>340</v>
      </c>
      <c r="G1681" s="23">
        <f>IFERROR(__xludf.DUMMYFUNCTION("""COMPUTED_VALUE"""),206.0)</f>
        <v>206</v>
      </c>
      <c r="H1681" s="23" t="str">
        <f>IFERROR(__xludf.DUMMYFUNCTION("""COMPUTED_VALUE"""),"Algorithms")</f>
        <v>Algorithms</v>
      </c>
      <c r="I1681" s="23">
        <f>IFERROR(__xludf.DUMMYFUNCTION("""COMPUTED_VALUE"""),0.526)</f>
        <v>0.526</v>
      </c>
      <c r="J1681" s="23">
        <f>IFERROR(__xludf.DUMMYFUNCTION("""COMPUTED_VALUE"""),1680.0)</f>
        <v>1680</v>
      </c>
      <c r="K1681" s="23" t="b">
        <f>IFERROR(__xludf.DUMMYFUNCTION("""COMPUTED_VALUE"""),FALSE)</f>
        <v>0</v>
      </c>
      <c r="L1681" s="23" t="str">
        <f>IFERROR(__xludf.DUMMYFUNCTION("""COMPUTED_VALUE"""),"Math;Bit Manipulation;Simulation;")</f>
        <v>Math;Bit Manipulation;Simulation;</v>
      </c>
      <c r="M1681" s="23" t="b">
        <f>IFERROR(__xludf.DUMMYFUNCTION("""COMPUTED_VALUE"""),TRUE)</f>
        <v>1</v>
      </c>
      <c r="N1681" s="23" t="b">
        <f>IFERROR(__xludf.DUMMYFUNCTION("""COMPUTED_VALUE"""),FALSE)</f>
        <v>0</v>
      </c>
      <c r="O1681" s="23">
        <f>IFERROR(__xludf.DUMMYFUNCTION("""COMPUTED_VALUE"""),52.5640227774839)</f>
        <v>52.56402278</v>
      </c>
      <c r="P1681" s="23">
        <f>IFERROR(__xludf.DUMMYFUNCTION("""COMPUTED_VALUE"""),33784.0)</f>
        <v>33784</v>
      </c>
      <c r="Q1681" s="23">
        <f>IFERROR(__xludf.DUMMYFUNCTION("""COMPUTED_VALUE"""),64273.0)</f>
        <v>64273</v>
      </c>
    </row>
    <row r="1682">
      <c r="A1682" s="23">
        <f>IFERROR(__xludf.DUMMYFUNCTION("""COMPUTED_VALUE"""),1799.0)</f>
        <v>1799</v>
      </c>
      <c r="B1682" s="23" t="str">
        <f>IFERROR(__xludf.DUMMYFUNCTION("""COMPUTED_VALUE"""),"Minimum Incompatibility")</f>
        <v>Minimum Incompatibility</v>
      </c>
      <c r="C1682" s="23" t="str">
        <f>IFERROR(__xludf.DUMMYFUNCTION("""COMPUTED_VALUE"""),"minimum-incompatibility")</f>
        <v>minimum-incompatibility</v>
      </c>
      <c r="D1682" s="23" t="b">
        <f>IFERROR(__xludf.DUMMYFUNCTION("""COMPUTED_VALUE"""),FALSE)</f>
        <v>0</v>
      </c>
      <c r="E1682" s="23" t="str">
        <f>IFERROR(__xludf.DUMMYFUNCTION("""COMPUTED_VALUE"""),"Hard")</f>
        <v>Hard</v>
      </c>
      <c r="F1682" s="23">
        <f>IFERROR(__xludf.DUMMYFUNCTION("""COMPUTED_VALUE"""),178.0)</f>
        <v>178</v>
      </c>
      <c r="G1682" s="23">
        <f>IFERROR(__xludf.DUMMYFUNCTION("""COMPUTED_VALUE"""),82.0)</f>
        <v>82</v>
      </c>
      <c r="H1682" s="23" t="str">
        <f>IFERROR(__xludf.DUMMYFUNCTION("""COMPUTED_VALUE"""),"Algorithms")</f>
        <v>Algorithms</v>
      </c>
      <c r="I1682" s="23">
        <f>IFERROR(__xludf.DUMMYFUNCTION("""COMPUTED_VALUE"""),0.371)</f>
        <v>0.371</v>
      </c>
      <c r="J1682" s="23">
        <f>IFERROR(__xludf.DUMMYFUNCTION("""COMPUTED_VALUE"""),1681.0)</f>
        <v>1681</v>
      </c>
      <c r="K1682" s="23" t="b">
        <f>IFERROR(__xludf.DUMMYFUNCTION("""COMPUTED_VALUE"""),FALSE)</f>
        <v>0</v>
      </c>
      <c r="L1682" s="23" t="str">
        <f>IFERROR(__xludf.DUMMYFUNCTION("""COMPUTED_VALUE"""),"Array;Dynamic Programming;Bit Manipulation;Bitmask;")</f>
        <v>Array;Dynamic Programming;Bit Manipulation;Bitmask;</v>
      </c>
      <c r="M1682" s="23" t="b">
        <f>IFERROR(__xludf.DUMMYFUNCTION("""COMPUTED_VALUE"""),FALSE)</f>
        <v>0</v>
      </c>
      <c r="N1682" s="23" t="b">
        <f>IFERROR(__xludf.DUMMYFUNCTION("""COMPUTED_VALUE"""),FALSE)</f>
        <v>0</v>
      </c>
      <c r="O1682" s="23">
        <f>IFERROR(__xludf.DUMMYFUNCTION("""COMPUTED_VALUE"""),37.0521744683568)</f>
        <v>37.05217447</v>
      </c>
      <c r="P1682" s="23">
        <f>IFERROR(__xludf.DUMMYFUNCTION("""COMPUTED_VALUE"""),5802.0)</f>
        <v>5802</v>
      </c>
      <c r="Q1682" s="23">
        <f>IFERROR(__xludf.DUMMYFUNCTION("""COMPUTED_VALUE"""),15659.0)</f>
        <v>15659</v>
      </c>
    </row>
    <row r="1683">
      <c r="A1683" s="23">
        <f>IFERROR(__xludf.DUMMYFUNCTION("""COMPUTED_VALUE"""),1822.0)</f>
        <v>1822</v>
      </c>
      <c r="B1683" s="23" t="str">
        <f>IFERROR(__xludf.DUMMYFUNCTION("""COMPUTED_VALUE"""),"Longest Palindromic Subsequence II")</f>
        <v>Longest Palindromic Subsequence II</v>
      </c>
      <c r="C1683" s="23" t="str">
        <f>IFERROR(__xludf.DUMMYFUNCTION("""COMPUTED_VALUE"""),"longest-palindromic-subsequence-ii")</f>
        <v>longest-palindromic-subsequence-ii</v>
      </c>
      <c r="D1683" s="23" t="b">
        <f>IFERROR(__xludf.DUMMYFUNCTION("""COMPUTED_VALUE"""),TRUE)</f>
        <v>1</v>
      </c>
      <c r="E1683" s="23" t="str">
        <f>IFERROR(__xludf.DUMMYFUNCTION("""COMPUTED_VALUE"""),"Medium")</f>
        <v>Medium</v>
      </c>
      <c r="F1683" s="23">
        <f>IFERROR(__xludf.DUMMYFUNCTION("""COMPUTED_VALUE"""),105.0)</f>
        <v>105</v>
      </c>
      <c r="G1683" s="23">
        <f>IFERROR(__xludf.DUMMYFUNCTION("""COMPUTED_VALUE"""),20.0)</f>
        <v>20</v>
      </c>
      <c r="H1683" s="23" t="str">
        <f>IFERROR(__xludf.DUMMYFUNCTION("""COMPUTED_VALUE"""),"Algorithms")</f>
        <v>Algorithms</v>
      </c>
      <c r="I1683" s="23">
        <f>IFERROR(__xludf.DUMMYFUNCTION("""COMPUTED_VALUE"""),0.51)</f>
        <v>0.51</v>
      </c>
      <c r="J1683" s="23">
        <f>IFERROR(__xludf.DUMMYFUNCTION("""COMPUTED_VALUE"""),1682.0)</f>
        <v>1682</v>
      </c>
      <c r="K1683" s="23" t="b">
        <f>IFERROR(__xludf.DUMMYFUNCTION("""COMPUTED_VALUE"""),TRUE)</f>
        <v>1</v>
      </c>
      <c r="L1683" s="23" t="str">
        <f>IFERROR(__xludf.DUMMYFUNCTION("""COMPUTED_VALUE"""),"String;Dynamic Programming;")</f>
        <v>String;Dynamic Programming;</v>
      </c>
      <c r="M1683" s="23" t="b">
        <f>IFERROR(__xludf.DUMMYFUNCTION("""COMPUTED_VALUE"""),FALSE)</f>
        <v>0</v>
      </c>
      <c r="N1683" s="23" t="b">
        <f>IFERROR(__xludf.DUMMYFUNCTION("""COMPUTED_VALUE"""),FALSE)</f>
        <v>0</v>
      </c>
      <c r="O1683" s="23">
        <f>IFERROR(__xludf.DUMMYFUNCTION("""COMPUTED_VALUE"""),51.0229195508383)</f>
        <v>51.02291955</v>
      </c>
      <c r="P1683" s="23">
        <f>IFERROR(__xludf.DUMMYFUNCTION("""COMPUTED_VALUE"""),3317.0)</f>
        <v>3317</v>
      </c>
      <c r="Q1683" s="23">
        <f>IFERROR(__xludf.DUMMYFUNCTION("""COMPUTED_VALUE"""),6501.0)</f>
        <v>6501</v>
      </c>
    </row>
    <row r="1684">
      <c r="A1684" s="23">
        <f>IFERROR(__xludf.DUMMYFUNCTION("""COMPUTED_VALUE"""),1827.0)</f>
        <v>1827</v>
      </c>
      <c r="B1684" s="23" t="str">
        <f>IFERROR(__xludf.DUMMYFUNCTION("""COMPUTED_VALUE"""),"Invalid Tweets")</f>
        <v>Invalid Tweets</v>
      </c>
      <c r="C1684" s="23" t="str">
        <f>IFERROR(__xludf.DUMMYFUNCTION("""COMPUTED_VALUE"""),"invalid-tweets")</f>
        <v>invalid-tweets</v>
      </c>
      <c r="D1684" s="23" t="b">
        <f>IFERROR(__xludf.DUMMYFUNCTION("""COMPUTED_VALUE"""),TRUE)</f>
        <v>1</v>
      </c>
      <c r="E1684" s="23" t="str">
        <f>IFERROR(__xludf.DUMMYFUNCTION("""COMPUTED_VALUE"""),"Easy")</f>
        <v>Easy</v>
      </c>
      <c r="F1684" s="23">
        <f>IFERROR(__xludf.DUMMYFUNCTION("""COMPUTED_VALUE"""),57.0)</f>
        <v>57</v>
      </c>
      <c r="G1684" s="23">
        <f>IFERROR(__xludf.DUMMYFUNCTION("""COMPUTED_VALUE"""),69.0)</f>
        <v>69</v>
      </c>
      <c r="H1684" s="23" t="str">
        <f>IFERROR(__xludf.DUMMYFUNCTION("""COMPUTED_VALUE"""),"Database")</f>
        <v>Database</v>
      </c>
      <c r="I1684" s="23">
        <f>IFERROR(__xludf.DUMMYFUNCTION("""COMPUTED_VALUE"""),0.909)</f>
        <v>0.909</v>
      </c>
      <c r="J1684" s="23">
        <f>IFERROR(__xludf.DUMMYFUNCTION("""COMPUTED_VALUE"""),1683.0)</f>
        <v>1683</v>
      </c>
      <c r="K1684" s="23" t="b">
        <f>IFERROR(__xludf.DUMMYFUNCTION("""COMPUTED_VALUE"""),TRUE)</f>
        <v>1</v>
      </c>
      <c r="L1684" s="23" t="str">
        <f>IFERROR(__xludf.DUMMYFUNCTION("""COMPUTED_VALUE"""),"Database;")</f>
        <v>Database;</v>
      </c>
      <c r="M1684" s="23" t="b">
        <f>IFERROR(__xludf.DUMMYFUNCTION("""COMPUTED_VALUE"""),FALSE)</f>
        <v>0</v>
      </c>
      <c r="N1684" s="23" t="b">
        <f>IFERROR(__xludf.DUMMYFUNCTION("""COMPUTED_VALUE"""),FALSE)</f>
        <v>0</v>
      </c>
      <c r="O1684" s="23">
        <f>IFERROR(__xludf.DUMMYFUNCTION("""COMPUTED_VALUE"""),90.945558739255)</f>
        <v>90.94555874</v>
      </c>
      <c r="P1684" s="23">
        <f>IFERROR(__xludf.DUMMYFUNCTION("""COMPUTED_VALUE"""),17457.0)</f>
        <v>17457</v>
      </c>
      <c r="Q1684" s="23">
        <f>IFERROR(__xludf.DUMMYFUNCTION("""COMPUTED_VALUE"""),19195.0)</f>
        <v>19195</v>
      </c>
    </row>
    <row r="1685">
      <c r="A1685" s="23">
        <f>IFERROR(__xludf.DUMMYFUNCTION("""COMPUTED_VALUE"""),1786.0)</f>
        <v>1786</v>
      </c>
      <c r="B1685" s="23" t="str">
        <f>IFERROR(__xludf.DUMMYFUNCTION("""COMPUTED_VALUE"""),"Count the Number of Consistent Strings")</f>
        <v>Count the Number of Consistent Strings</v>
      </c>
      <c r="C1685" s="23" t="str">
        <f>IFERROR(__xludf.DUMMYFUNCTION("""COMPUTED_VALUE"""),"count-the-number-of-consistent-strings")</f>
        <v>count-the-number-of-consistent-strings</v>
      </c>
      <c r="D1685" s="23" t="b">
        <f>IFERROR(__xludf.DUMMYFUNCTION("""COMPUTED_VALUE"""),FALSE)</f>
        <v>0</v>
      </c>
      <c r="E1685" s="23" t="str">
        <f>IFERROR(__xludf.DUMMYFUNCTION("""COMPUTED_VALUE"""),"Easy")</f>
        <v>Easy</v>
      </c>
      <c r="F1685" s="23">
        <f>IFERROR(__xludf.DUMMYFUNCTION("""COMPUTED_VALUE"""),835.0)</f>
        <v>835</v>
      </c>
      <c r="G1685" s="23">
        <f>IFERROR(__xludf.DUMMYFUNCTION("""COMPUTED_VALUE"""),40.0)</f>
        <v>40</v>
      </c>
      <c r="H1685" s="23" t="str">
        <f>IFERROR(__xludf.DUMMYFUNCTION("""COMPUTED_VALUE"""),"Algorithms")</f>
        <v>Algorithms</v>
      </c>
      <c r="I1685" s="23">
        <f>IFERROR(__xludf.DUMMYFUNCTION("""COMPUTED_VALUE"""),0.818)</f>
        <v>0.818</v>
      </c>
      <c r="J1685" s="23">
        <f>IFERROR(__xludf.DUMMYFUNCTION("""COMPUTED_VALUE"""),1684.0)</f>
        <v>1684</v>
      </c>
      <c r="K1685" s="23" t="b">
        <f>IFERROR(__xludf.DUMMYFUNCTION("""COMPUTED_VALUE"""),FALSE)</f>
        <v>0</v>
      </c>
      <c r="L1685" s="23" t="str">
        <f>IFERROR(__xludf.DUMMYFUNCTION("""COMPUTED_VALUE"""),"Array;Hash Table;String;Bit Manipulation;")</f>
        <v>Array;Hash Table;String;Bit Manipulation;</v>
      </c>
      <c r="M1685" s="23" t="b">
        <f>IFERROR(__xludf.DUMMYFUNCTION("""COMPUTED_VALUE"""),FALSE)</f>
        <v>0</v>
      </c>
      <c r="N1685" s="23" t="b">
        <f>IFERROR(__xludf.DUMMYFUNCTION("""COMPUTED_VALUE"""),FALSE)</f>
        <v>0</v>
      </c>
      <c r="O1685" s="23">
        <f>IFERROR(__xludf.DUMMYFUNCTION("""COMPUTED_VALUE"""),81.8305500464679)</f>
        <v>81.83055005</v>
      </c>
      <c r="P1685" s="23">
        <f>IFERROR(__xludf.DUMMYFUNCTION("""COMPUTED_VALUE"""),85409.0)</f>
        <v>85409</v>
      </c>
      <c r="Q1685" s="23">
        <f>IFERROR(__xludf.DUMMYFUNCTION("""COMPUTED_VALUE"""),104373.0)</f>
        <v>104373</v>
      </c>
    </row>
    <row r="1686">
      <c r="A1686" s="23">
        <f>IFERROR(__xludf.DUMMYFUNCTION("""COMPUTED_VALUE"""),1787.0)</f>
        <v>1787</v>
      </c>
      <c r="B1686" s="23" t="str">
        <f>IFERROR(__xludf.DUMMYFUNCTION("""COMPUTED_VALUE"""),"Sum of Absolute Differences in a Sorted Array")</f>
        <v>Sum of Absolute Differences in a Sorted Array</v>
      </c>
      <c r="C1686" s="23" t="str">
        <f>IFERROR(__xludf.DUMMYFUNCTION("""COMPUTED_VALUE"""),"sum-of-absolute-differences-in-a-sorted-array")</f>
        <v>sum-of-absolute-differences-in-a-sorted-array</v>
      </c>
      <c r="D1686" s="23" t="b">
        <f>IFERROR(__xludf.DUMMYFUNCTION("""COMPUTED_VALUE"""),FALSE)</f>
        <v>0</v>
      </c>
      <c r="E1686" s="23" t="str">
        <f>IFERROR(__xludf.DUMMYFUNCTION("""COMPUTED_VALUE"""),"Medium")</f>
        <v>Medium</v>
      </c>
      <c r="F1686" s="23">
        <f>IFERROR(__xludf.DUMMYFUNCTION("""COMPUTED_VALUE"""),686.0)</f>
        <v>686</v>
      </c>
      <c r="G1686" s="23">
        <f>IFERROR(__xludf.DUMMYFUNCTION("""COMPUTED_VALUE"""),22.0)</f>
        <v>22</v>
      </c>
      <c r="H1686" s="23" t="str">
        <f>IFERROR(__xludf.DUMMYFUNCTION("""COMPUTED_VALUE"""),"Algorithms")</f>
        <v>Algorithms</v>
      </c>
      <c r="I1686" s="23">
        <f>IFERROR(__xludf.DUMMYFUNCTION("""COMPUTED_VALUE"""),0.656)</f>
        <v>0.656</v>
      </c>
      <c r="J1686" s="23">
        <f>IFERROR(__xludf.DUMMYFUNCTION("""COMPUTED_VALUE"""),1685.0)</f>
        <v>1685</v>
      </c>
      <c r="K1686" s="23" t="b">
        <f>IFERROR(__xludf.DUMMYFUNCTION("""COMPUTED_VALUE"""),FALSE)</f>
        <v>0</v>
      </c>
      <c r="L1686" s="23" t="str">
        <f>IFERROR(__xludf.DUMMYFUNCTION("""COMPUTED_VALUE"""),"Array;Math;Prefix Sum;")</f>
        <v>Array;Math;Prefix Sum;</v>
      </c>
      <c r="M1686" s="23" t="b">
        <f>IFERROR(__xludf.DUMMYFUNCTION("""COMPUTED_VALUE"""),FALSE)</f>
        <v>0</v>
      </c>
      <c r="N1686" s="23" t="b">
        <f>IFERROR(__xludf.DUMMYFUNCTION("""COMPUTED_VALUE"""),FALSE)</f>
        <v>0</v>
      </c>
      <c r="O1686" s="23">
        <f>IFERROR(__xludf.DUMMYFUNCTION("""COMPUTED_VALUE"""),65.6348915469963)</f>
        <v>65.63489155</v>
      </c>
      <c r="P1686" s="23">
        <f>IFERROR(__xludf.DUMMYFUNCTION("""COMPUTED_VALUE"""),19699.0)</f>
        <v>19699</v>
      </c>
      <c r="Q1686" s="23">
        <f>IFERROR(__xludf.DUMMYFUNCTION("""COMPUTED_VALUE"""),30013.0)</f>
        <v>30013</v>
      </c>
    </row>
    <row r="1687">
      <c r="A1687" s="23">
        <f>IFERROR(__xludf.DUMMYFUNCTION("""COMPUTED_VALUE"""),1788.0)</f>
        <v>1788</v>
      </c>
      <c r="B1687" s="23" t="str">
        <f>IFERROR(__xludf.DUMMYFUNCTION("""COMPUTED_VALUE"""),"Stone Game VI")</f>
        <v>Stone Game VI</v>
      </c>
      <c r="C1687" s="23" t="str">
        <f>IFERROR(__xludf.DUMMYFUNCTION("""COMPUTED_VALUE"""),"stone-game-vi")</f>
        <v>stone-game-vi</v>
      </c>
      <c r="D1687" s="23" t="b">
        <f>IFERROR(__xludf.DUMMYFUNCTION("""COMPUTED_VALUE"""),FALSE)</f>
        <v>0</v>
      </c>
      <c r="E1687" s="23" t="str">
        <f>IFERROR(__xludf.DUMMYFUNCTION("""COMPUTED_VALUE"""),"Medium")</f>
        <v>Medium</v>
      </c>
      <c r="F1687" s="23">
        <f>IFERROR(__xludf.DUMMYFUNCTION("""COMPUTED_VALUE"""),477.0)</f>
        <v>477</v>
      </c>
      <c r="G1687" s="23">
        <f>IFERROR(__xludf.DUMMYFUNCTION("""COMPUTED_VALUE"""),40.0)</f>
        <v>40</v>
      </c>
      <c r="H1687" s="23" t="str">
        <f>IFERROR(__xludf.DUMMYFUNCTION("""COMPUTED_VALUE"""),"Algorithms")</f>
        <v>Algorithms</v>
      </c>
      <c r="I1687" s="23">
        <f>IFERROR(__xludf.DUMMYFUNCTION("""COMPUTED_VALUE"""),0.537)</f>
        <v>0.537</v>
      </c>
      <c r="J1687" s="23">
        <f>IFERROR(__xludf.DUMMYFUNCTION("""COMPUTED_VALUE"""),1686.0)</f>
        <v>1686</v>
      </c>
      <c r="K1687" s="23" t="b">
        <f>IFERROR(__xludf.DUMMYFUNCTION("""COMPUTED_VALUE"""),FALSE)</f>
        <v>0</v>
      </c>
      <c r="L1687" s="23" t="str">
        <f>IFERROR(__xludf.DUMMYFUNCTION("""COMPUTED_VALUE"""),"Array;Math;Greedy;Sorting;Heap (Priority Queue);Game Theory;")</f>
        <v>Array;Math;Greedy;Sorting;Heap (Priority Queue);Game Theory;</v>
      </c>
      <c r="M1687" s="23" t="b">
        <f>IFERROR(__xludf.DUMMYFUNCTION("""COMPUTED_VALUE"""),FALSE)</f>
        <v>0</v>
      </c>
      <c r="N1687" s="23" t="b">
        <f>IFERROR(__xludf.DUMMYFUNCTION("""COMPUTED_VALUE"""),FALSE)</f>
        <v>0</v>
      </c>
      <c r="O1687" s="23">
        <f>IFERROR(__xludf.DUMMYFUNCTION("""COMPUTED_VALUE"""),53.6850424817229)</f>
        <v>53.68504248</v>
      </c>
      <c r="P1687" s="23">
        <f>IFERROR(__xludf.DUMMYFUNCTION("""COMPUTED_VALUE"""),10868.0)</f>
        <v>10868</v>
      </c>
      <c r="Q1687" s="23">
        <f>IFERROR(__xludf.DUMMYFUNCTION("""COMPUTED_VALUE"""),20244.0)</f>
        <v>20244</v>
      </c>
    </row>
    <row r="1688">
      <c r="A1688" s="23">
        <f>IFERROR(__xludf.DUMMYFUNCTION("""COMPUTED_VALUE"""),1789.0)</f>
        <v>1789</v>
      </c>
      <c r="B1688" s="23" t="str">
        <f>IFERROR(__xludf.DUMMYFUNCTION("""COMPUTED_VALUE"""),"Delivering Boxes from Storage to Ports")</f>
        <v>Delivering Boxes from Storage to Ports</v>
      </c>
      <c r="C1688" s="23" t="str">
        <f>IFERROR(__xludf.DUMMYFUNCTION("""COMPUTED_VALUE"""),"delivering-boxes-from-storage-to-ports")</f>
        <v>delivering-boxes-from-storage-to-ports</v>
      </c>
      <c r="D1688" s="23" t="b">
        <f>IFERROR(__xludf.DUMMYFUNCTION("""COMPUTED_VALUE"""),FALSE)</f>
        <v>0</v>
      </c>
      <c r="E1688" s="23" t="str">
        <f>IFERROR(__xludf.DUMMYFUNCTION("""COMPUTED_VALUE"""),"Hard")</f>
        <v>Hard</v>
      </c>
      <c r="F1688" s="23">
        <f>IFERROR(__xludf.DUMMYFUNCTION("""COMPUTED_VALUE"""),247.0)</f>
        <v>247</v>
      </c>
      <c r="G1688" s="23">
        <f>IFERROR(__xludf.DUMMYFUNCTION("""COMPUTED_VALUE"""),16.0)</f>
        <v>16</v>
      </c>
      <c r="H1688" s="23" t="str">
        <f>IFERROR(__xludf.DUMMYFUNCTION("""COMPUTED_VALUE"""),"Algorithms")</f>
        <v>Algorithms</v>
      </c>
      <c r="I1688" s="23">
        <f>IFERROR(__xludf.DUMMYFUNCTION("""COMPUTED_VALUE"""),0.374)</f>
        <v>0.374</v>
      </c>
      <c r="J1688" s="23">
        <f>IFERROR(__xludf.DUMMYFUNCTION("""COMPUTED_VALUE"""),1687.0)</f>
        <v>1687</v>
      </c>
      <c r="K1688" s="23" t="b">
        <f>IFERROR(__xludf.DUMMYFUNCTION("""COMPUTED_VALUE"""),FALSE)</f>
        <v>0</v>
      </c>
      <c r="L1688" s="23" t="str">
        <f>IFERROR(__xludf.DUMMYFUNCTION("""COMPUTED_VALUE"""),"Array;Dynamic Programming;Segment Tree;Queue;Heap (Priority Queue);Monotonic Queue;")</f>
        <v>Array;Dynamic Programming;Segment Tree;Queue;Heap (Priority Queue);Monotonic Queue;</v>
      </c>
      <c r="M1688" s="23" t="b">
        <f>IFERROR(__xludf.DUMMYFUNCTION("""COMPUTED_VALUE"""),FALSE)</f>
        <v>0</v>
      </c>
      <c r="N1688" s="23" t="b">
        <f>IFERROR(__xludf.DUMMYFUNCTION("""COMPUTED_VALUE"""),FALSE)</f>
        <v>0</v>
      </c>
      <c r="O1688" s="23">
        <f>IFERROR(__xludf.DUMMYFUNCTION("""COMPUTED_VALUE"""),37.4367792838357)</f>
        <v>37.43677928</v>
      </c>
      <c r="P1688" s="23">
        <f>IFERROR(__xludf.DUMMYFUNCTION("""COMPUTED_VALUE"""),3701.0)</f>
        <v>3701</v>
      </c>
      <c r="Q1688" s="23">
        <f>IFERROR(__xludf.DUMMYFUNCTION("""COMPUTED_VALUE"""),9886.0)</f>
        <v>9886</v>
      </c>
    </row>
    <row r="1689">
      <c r="A1689" s="23">
        <f>IFERROR(__xludf.DUMMYFUNCTION("""COMPUTED_VALUE"""),1806.0)</f>
        <v>1806</v>
      </c>
      <c r="B1689" s="23" t="str">
        <f>IFERROR(__xludf.DUMMYFUNCTION("""COMPUTED_VALUE"""),"Count of Matches in Tournament")</f>
        <v>Count of Matches in Tournament</v>
      </c>
      <c r="C1689" s="23" t="str">
        <f>IFERROR(__xludf.DUMMYFUNCTION("""COMPUTED_VALUE"""),"count-of-matches-in-tournament")</f>
        <v>count-of-matches-in-tournament</v>
      </c>
      <c r="D1689" s="23" t="b">
        <f>IFERROR(__xludf.DUMMYFUNCTION("""COMPUTED_VALUE"""),FALSE)</f>
        <v>0</v>
      </c>
      <c r="E1689" s="23" t="str">
        <f>IFERROR(__xludf.DUMMYFUNCTION("""COMPUTED_VALUE"""),"Easy")</f>
        <v>Easy</v>
      </c>
      <c r="F1689" s="23">
        <f>IFERROR(__xludf.DUMMYFUNCTION("""COMPUTED_VALUE"""),581.0)</f>
        <v>581</v>
      </c>
      <c r="G1689" s="23">
        <f>IFERROR(__xludf.DUMMYFUNCTION("""COMPUTED_VALUE"""),109.0)</f>
        <v>109</v>
      </c>
      <c r="H1689" s="23" t="str">
        <f>IFERROR(__xludf.DUMMYFUNCTION("""COMPUTED_VALUE"""),"Algorithms")</f>
        <v>Algorithms</v>
      </c>
      <c r="I1689" s="23">
        <f>IFERROR(__xludf.DUMMYFUNCTION("""COMPUTED_VALUE"""),0.827)</f>
        <v>0.827</v>
      </c>
      <c r="J1689" s="23">
        <f>IFERROR(__xludf.DUMMYFUNCTION("""COMPUTED_VALUE"""),1688.0)</f>
        <v>1688</v>
      </c>
      <c r="K1689" s="23" t="b">
        <f>IFERROR(__xludf.DUMMYFUNCTION("""COMPUTED_VALUE"""),FALSE)</f>
        <v>0</v>
      </c>
      <c r="L1689" s="23" t="str">
        <f>IFERROR(__xludf.DUMMYFUNCTION("""COMPUTED_VALUE"""),"Math;Simulation;")</f>
        <v>Math;Simulation;</v>
      </c>
      <c r="M1689" s="23" t="b">
        <f>IFERROR(__xludf.DUMMYFUNCTION("""COMPUTED_VALUE"""),FALSE)</f>
        <v>0</v>
      </c>
      <c r="N1689" s="23" t="b">
        <f>IFERROR(__xludf.DUMMYFUNCTION("""COMPUTED_VALUE"""),FALSE)</f>
        <v>0</v>
      </c>
      <c r="O1689" s="23">
        <f>IFERROR(__xludf.DUMMYFUNCTION("""COMPUTED_VALUE"""),82.6965649329652)</f>
        <v>82.69656493</v>
      </c>
      <c r="P1689" s="23">
        <f>IFERROR(__xludf.DUMMYFUNCTION("""COMPUTED_VALUE"""),66493.0)</f>
        <v>66493</v>
      </c>
      <c r="Q1689" s="23">
        <f>IFERROR(__xludf.DUMMYFUNCTION("""COMPUTED_VALUE"""),80406.0)</f>
        <v>80406</v>
      </c>
    </row>
    <row r="1690">
      <c r="A1690" s="23">
        <f>IFERROR(__xludf.DUMMYFUNCTION("""COMPUTED_VALUE"""),1807.0)</f>
        <v>1807</v>
      </c>
      <c r="B1690" s="23" t="str">
        <f>IFERROR(__xludf.DUMMYFUNCTION("""COMPUTED_VALUE"""),"Partitioning Into Minimum Number Of Deci-Binary Numbers")</f>
        <v>Partitioning Into Minimum Number Of Deci-Binary Numbers</v>
      </c>
      <c r="C1690" s="23" t="str">
        <f>IFERROR(__xludf.DUMMYFUNCTION("""COMPUTED_VALUE"""),"partitioning-into-minimum-number-of-deci-binary-numbers")</f>
        <v>partitioning-into-minimum-number-of-deci-binary-numbers</v>
      </c>
      <c r="D1690" s="23" t="b">
        <f>IFERROR(__xludf.DUMMYFUNCTION("""COMPUTED_VALUE"""),FALSE)</f>
        <v>0</v>
      </c>
      <c r="E1690" s="23" t="str">
        <f>IFERROR(__xludf.DUMMYFUNCTION("""COMPUTED_VALUE"""),"Medium")</f>
        <v>Medium</v>
      </c>
      <c r="F1690" s="23">
        <f>IFERROR(__xludf.DUMMYFUNCTION("""COMPUTED_VALUE"""),803.0)</f>
        <v>803</v>
      </c>
      <c r="G1690" s="23">
        <f>IFERROR(__xludf.DUMMYFUNCTION("""COMPUTED_VALUE"""),568.0)</f>
        <v>568</v>
      </c>
      <c r="H1690" s="23" t="str">
        <f>IFERROR(__xludf.DUMMYFUNCTION("""COMPUTED_VALUE"""),"Algorithms")</f>
        <v>Algorithms</v>
      </c>
      <c r="I1690" s="23">
        <f>IFERROR(__xludf.DUMMYFUNCTION("""COMPUTED_VALUE"""),0.878)</f>
        <v>0.878</v>
      </c>
      <c r="J1690" s="23">
        <f>IFERROR(__xludf.DUMMYFUNCTION("""COMPUTED_VALUE"""),1689.0)</f>
        <v>1689</v>
      </c>
      <c r="K1690" s="23" t="b">
        <f>IFERROR(__xludf.DUMMYFUNCTION("""COMPUTED_VALUE"""),FALSE)</f>
        <v>0</v>
      </c>
      <c r="L1690" s="23" t="str">
        <f>IFERROR(__xludf.DUMMYFUNCTION("""COMPUTED_VALUE"""),"String;Greedy;")</f>
        <v>String;Greedy;</v>
      </c>
      <c r="M1690" s="23" t="b">
        <f>IFERROR(__xludf.DUMMYFUNCTION("""COMPUTED_VALUE"""),TRUE)</f>
        <v>1</v>
      </c>
      <c r="N1690" s="23" t="b">
        <f>IFERROR(__xludf.DUMMYFUNCTION("""COMPUTED_VALUE"""),FALSE)</f>
        <v>0</v>
      </c>
      <c r="O1690" s="23">
        <f>IFERROR(__xludf.DUMMYFUNCTION("""COMPUTED_VALUE"""),87.8163458145015)</f>
        <v>87.81634581</v>
      </c>
      <c r="P1690" s="23">
        <f>IFERROR(__xludf.DUMMYFUNCTION("""COMPUTED_VALUE"""),77137.0)</f>
        <v>77137</v>
      </c>
      <c r="Q1690" s="23">
        <f>IFERROR(__xludf.DUMMYFUNCTION("""COMPUTED_VALUE"""),87839.0)</f>
        <v>87839</v>
      </c>
    </row>
    <row r="1691">
      <c r="A1691" s="23">
        <f>IFERROR(__xludf.DUMMYFUNCTION("""COMPUTED_VALUE"""),1808.0)</f>
        <v>1808</v>
      </c>
      <c r="B1691" s="23" t="str">
        <f>IFERROR(__xludf.DUMMYFUNCTION("""COMPUTED_VALUE"""),"Stone Game VII")</f>
        <v>Stone Game VII</v>
      </c>
      <c r="C1691" s="23" t="str">
        <f>IFERROR(__xludf.DUMMYFUNCTION("""COMPUTED_VALUE"""),"stone-game-vii")</f>
        <v>stone-game-vii</v>
      </c>
      <c r="D1691" s="23" t="b">
        <f>IFERROR(__xludf.DUMMYFUNCTION("""COMPUTED_VALUE"""),FALSE)</f>
        <v>0</v>
      </c>
      <c r="E1691" s="23" t="str">
        <f>IFERROR(__xludf.DUMMYFUNCTION("""COMPUTED_VALUE"""),"Medium")</f>
        <v>Medium</v>
      </c>
      <c r="F1691" s="23">
        <f>IFERROR(__xludf.DUMMYFUNCTION("""COMPUTED_VALUE"""),656.0)</f>
        <v>656</v>
      </c>
      <c r="G1691" s="23">
        <f>IFERROR(__xludf.DUMMYFUNCTION("""COMPUTED_VALUE"""),124.0)</f>
        <v>124</v>
      </c>
      <c r="H1691" s="23" t="str">
        <f>IFERROR(__xludf.DUMMYFUNCTION("""COMPUTED_VALUE"""),"Algorithms")</f>
        <v>Algorithms</v>
      </c>
      <c r="I1691" s="23">
        <f>IFERROR(__xludf.DUMMYFUNCTION("""COMPUTED_VALUE"""),0.587)</f>
        <v>0.587</v>
      </c>
      <c r="J1691" s="23">
        <f>IFERROR(__xludf.DUMMYFUNCTION("""COMPUTED_VALUE"""),1690.0)</f>
        <v>1690</v>
      </c>
      <c r="K1691" s="23" t="b">
        <f>IFERROR(__xludf.DUMMYFUNCTION("""COMPUTED_VALUE"""),FALSE)</f>
        <v>0</v>
      </c>
      <c r="L1691" s="23" t="str">
        <f>IFERROR(__xludf.DUMMYFUNCTION("""COMPUTED_VALUE"""),"Array;Math;Dynamic Programming;Game Theory;")</f>
        <v>Array;Math;Dynamic Programming;Game Theory;</v>
      </c>
      <c r="M1691" s="23" t="b">
        <f>IFERROR(__xludf.DUMMYFUNCTION("""COMPUTED_VALUE"""),TRUE)</f>
        <v>1</v>
      </c>
      <c r="N1691" s="23" t="b">
        <f>IFERROR(__xludf.DUMMYFUNCTION("""COMPUTED_VALUE"""),FALSE)</f>
        <v>0</v>
      </c>
      <c r="O1691" s="23">
        <f>IFERROR(__xludf.DUMMYFUNCTION("""COMPUTED_VALUE"""),58.6905777259056)</f>
        <v>58.69057773</v>
      </c>
      <c r="P1691" s="23">
        <f>IFERROR(__xludf.DUMMYFUNCTION("""COMPUTED_VALUE"""),26149.0)</f>
        <v>26149</v>
      </c>
      <c r="Q1691" s="23">
        <f>IFERROR(__xludf.DUMMYFUNCTION("""COMPUTED_VALUE"""),44554.0)</f>
        <v>44554</v>
      </c>
    </row>
    <row r="1692">
      <c r="A1692" s="23">
        <f>IFERROR(__xludf.DUMMYFUNCTION("""COMPUTED_VALUE"""),1367.0)</f>
        <v>1367</v>
      </c>
      <c r="B1692" s="23" t="str">
        <f>IFERROR(__xludf.DUMMYFUNCTION("""COMPUTED_VALUE"""),"Maximum Height by Stacking Cuboids ")</f>
        <v>Maximum Height by Stacking Cuboids </v>
      </c>
      <c r="C1692" s="23" t="str">
        <f>IFERROR(__xludf.DUMMYFUNCTION("""COMPUTED_VALUE"""),"maximum-height-by-stacking-cuboids")</f>
        <v>maximum-height-by-stacking-cuboids</v>
      </c>
      <c r="D1692" s="23" t="b">
        <f>IFERROR(__xludf.DUMMYFUNCTION("""COMPUTED_VALUE"""),FALSE)</f>
        <v>0</v>
      </c>
      <c r="E1692" s="23" t="str">
        <f>IFERROR(__xludf.DUMMYFUNCTION("""COMPUTED_VALUE"""),"Hard")</f>
        <v>Hard</v>
      </c>
      <c r="F1692" s="23">
        <f>IFERROR(__xludf.DUMMYFUNCTION("""COMPUTED_VALUE"""),483.0)</f>
        <v>483</v>
      </c>
      <c r="G1692" s="23">
        <f>IFERROR(__xludf.DUMMYFUNCTION("""COMPUTED_VALUE"""),16.0)</f>
        <v>16</v>
      </c>
      <c r="H1692" s="23" t="str">
        <f>IFERROR(__xludf.DUMMYFUNCTION("""COMPUTED_VALUE"""),"Algorithms")</f>
        <v>Algorithms</v>
      </c>
      <c r="I1692" s="23">
        <f>IFERROR(__xludf.DUMMYFUNCTION("""COMPUTED_VALUE"""),0.536)</f>
        <v>0.536</v>
      </c>
      <c r="J1692" s="23">
        <f>IFERROR(__xludf.DUMMYFUNCTION("""COMPUTED_VALUE"""),1691.0)</f>
        <v>1691</v>
      </c>
      <c r="K1692" s="23" t="b">
        <f>IFERROR(__xludf.DUMMYFUNCTION("""COMPUTED_VALUE"""),FALSE)</f>
        <v>0</v>
      </c>
      <c r="L1692" s="23" t="str">
        <f>IFERROR(__xludf.DUMMYFUNCTION("""COMPUTED_VALUE"""),"Array;Dynamic Programming;Sorting;")</f>
        <v>Array;Dynamic Programming;Sorting;</v>
      </c>
      <c r="M1692" s="23" t="b">
        <f>IFERROR(__xludf.DUMMYFUNCTION("""COMPUTED_VALUE"""),FALSE)</f>
        <v>0</v>
      </c>
      <c r="N1692" s="23" t="b">
        <f>IFERROR(__xludf.DUMMYFUNCTION("""COMPUTED_VALUE"""),FALSE)</f>
        <v>0</v>
      </c>
      <c r="O1692" s="23">
        <f>IFERROR(__xludf.DUMMYFUNCTION("""COMPUTED_VALUE"""),53.6151990943544)</f>
        <v>53.61519909</v>
      </c>
      <c r="P1692" s="23">
        <f>IFERROR(__xludf.DUMMYFUNCTION("""COMPUTED_VALUE"""),10893.0)</f>
        <v>10893</v>
      </c>
      <c r="Q1692" s="23">
        <f>IFERROR(__xludf.DUMMYFUNCTION("""COMPUTED_VALUE"""),20317.0)</f>
        <v>20317</v>
      </c>
    </row>
    <row r="1693">
      <c r="A1693" s="23">
        <f>IFERROR(__xludf.DUMMYFUNCTION("""COMPUTED_VALUE"""),1828.0)</f>
        <v>1828</v>
      </c>
      <c r="B1693" s="23" t="str">
        <f>IFERROR(__xludf.DUMMYFUNCTION("""COMPUTED_VALUE"""),"Count Ways to Distribute Candies")</f>
        <v>Count Ways to Distribute Candies</v>
      </c>
      <c r="C1693" s="23" t="str">
        <f>IFERROR(__xludf.DUMMYFUNCTION("""COMPUTED_VALUE"""),"count-ways-to-distribute-candies")</f>
        <v>count-ways-to-distribute-candies</v>
      </c>
      <c r="D1693" s="23" t="b">
        <f>IFERROR(__xludf.DUMMYFUNCTION("""COMPUTED_VALUE"""),TRUE)</f>
        <v>1</v>
      </c>
      <c r="E1693" s="23" t="str">
        <f>IFERROR(__xludf.DUMMYFUNCTION("""COMPUTED_VALUE"""),"Hard")</f>
        <v>Hard</v>
      </c>
      <c r="F1693" s="23">
        <f>IFERROR(__xludf.DUMMYFUNCTION("""COMPUTED_VALUE"""),45.0)</f>
        <v>45</v>
      </c>
      <c r="G1693" s="23">
        <f>IFERROR(__xludf.DUMMYFUNCTION("""COMPUTED_VALUE"""),6.0)</f>
        <v>6</v>
      </c>
      <c r="H1693" s="23" t="str">
        <f>IFERROR(__xludf.DUMMYFUNCTION("""COMPUTED_VALUE"""),"Algorithms")</f>
        <v>Algorithms</v>
      </c>
      <c r="I1693" s="23">
        <f>IFERROR(__xludf.DUMMYFUNCTION("""COMPUTED_VALUE"""),0.61)</f>
        <v>0.61</v>
      </c>
      <c r="J1693" s="23">
        <f>IFERROR(__xludf.DUMMYFUNCTION("""COMPUTED_VALUE"""),1692.0)</f>
        <v>1692</v>
      </c>
      <c r="K1693" s="23" t="b">
        <f>IFERROR(__xludf.DUMMYFUNCTION("""COMPUTED_VALUE"""),TRUE)</f>
        <v>1</v>
      </c>
      <c r="L1693" s="23" t="str">
        <f>IFERROR(__xludf.DUMMYFUNCTION("""COMPUTED_VALUE"""),"Dynamic Programming;")</f>
        <v>Dynamic Programming;</v>
      </c>
      <c r="M1693" s="23" t="b">
        <f>IFERROR(__xludf.DUMMYFUNCTION("""COMPUTED_VALUE"""),FALSE)</f>
        <v>0</v>
      </c>
      <c r="N1693" s="23" t="b">
        <f>IFERROR(__xludf.DUMMYFUNCTION("""COMPUTED_VALUE"""),FALSE)</f>
        <v>0</v>
      </c>
      <c r="O1693" s="23">
        <f>IFERROR(__xludf.DUMMYFUNCTION("""COMPUTED_VALUE"""),60.9515996718621)</f>
        <v>60.95159967</v>
      </c>
      <c r="P1693" s="23">
        <f>IFERROR(__xludf.DUMMYFUNCTION("""COMPUTED_VALUE"""),1486.0)</f>
        <v>1486</v>
      </c>
      <c r="Q1693" s="23">
        <f>IFERROR(__xludf.DUMMYFUNCTION("""COMPUTED_VALUE"""),2438.0)</f>
        <v>2438</v>
      </c>
    </row>
    <row r="1694">
      <c r="A1694" s="23">
        <f>IFERROR(__xludf.DUMMYFUNCTION("""COMPUTED_VALUE"""),1837.0)</f>
        <v>1837</v>
      </c>
      <c r="B1694" s="23" t="str">
        <f>IFERROR(__xludf.DUMMYFUNCTION("""COMPUTED_VALUE"""),"Daily Leads and Partners")</f>
        <v>Daily Leads and Partners</v>
      </c>
      <c r="C1694" s="23" t="str">
        <f>IFERROR(__xludf.DUMMYFUNCTION("""COMPUTED_VALUE"""),"daily-leads-and-partners")</f>
        <v>daily-leads-and-partners</v>
      </c>
      <c r="D1694" s="23" t="b">
        <f>IFERROR(__xludf.DUMMYFUNCTION("""COMPUTED_VALUE"""),FALSE)</f>
        <v>0</v>
      </c>
      <c r="E1694" s="23" t="str">
        <f>IFERROR(__xludf.DUMMYFUNCTION("""COMPUTED_VALUE"""),"Easy")</f>
        <v>Easy</v>
      </c>
      <c r="F1694" s="23">
        <f>IFERROR(__xludf.DUMMYFUNCTION("""COMPUTED_VALUE"""),99.0)</f>
        <v>99</v>
      </c>
      <c r="G1694" s="23">
        <f>IFERROR(__xludf.DUMMYFUNCTION("""COMPUTED_VALUE"""),9.0)</f>
        <v>9</v>
      </c>
      <c r="H1694" s="23" t="str">
        <f>IFERROR(__xludf.DUMMYFUNCTION("""COMPUTED_VALUE"""),"Database")</f>
        <v>Database</v>
      </c>
      <c r="I1694" s="23">
        <f>IFERROR(__xludf.DUMMYFUNCTION("""COMPUTED_VALUE"""),0.916)</f>
        <v>0.916</v>
      </c>
      <c r="J1694" s="23">
        <f>IFERROR(__xludf.DUMMYFUNCTION("""COMPUTED_VALUE"""),1693.0)</f>
        <v>1693</v>
      </c>
      <c r="K1694" s="23" t="b">
        <f>IFERROR(__xludf.DUMMYFUNCTION("""COMPUTED_VALUE"""),FALSE)</f>
        <v>0</v>
      </c>
      <c r="L1694" s="23" t="str">
        <f>IFERROR(__xludf.DUMMYFUNCTION("""COMPUTED_VALUE"""),"Database;")</f>
        <v>Database;</v>
      </c>
      <c r="M1694" s="23" t="b">
        <f>IFERROR(__xludf.DUMMYFUNCTION("""COMPUTED_VALUE"""),FALSE)</f>
        <v>0</v>
      </c>
      <c r="N1694" s="23" t="b">
        <f>IFERROR(__xludf.DUMMYFUNCTION("""COMPUTED_VALUE"""),FALSE)</f>
        <v>0</v>
      </c>
      <c r="O1694" s="23">
        <f>IFERROR(__xludf.DUMMYFUNCTION("""COMPUTED_VALUE"""),91.6076845298281)</f>
        <v>91.60768453</v>
      </c>
      <c r="P1694" s="23">
        <f>IFERROR(__xludf.DUMMYFUNCTION("""COMPUTED_VALUE"""),18120.0)</f>
        <v>18120</v>
      </c>
      <c r="Q1694" s="23">
        <f>IFERROR(__xludf.DUMMYFUNCTION("""COMPUTED_VALUE"""),19780.0)</f>
        <v>19780</v>
      </c>
    </row>
    <row r="1695">
      <c r="A1695" s="23">
        <f>IFERROR(__xludf.DUMMYFUNCTION("""COMPUTED_VALUE"""),1812.0)</f>
        <v>1812</v>
      </c>
      <c r="B1695" s="23" t="str">
        <f>IFERROR(__xludf.DUMMYFUNCTION("""COMPUTED_VALUE"""),"Reformat Phone Number")</f>
        <v>Reformat Phone Number</v>
      </c>
      <c r="C1695" s="23" t="str">
        <f>IFERROR(__xludf.DUMMYFUNCTION("""COMPUTED_VALUE"""),"reformat-phone-number")</f>
        <v>reformat-phone-number</v>
      </c>
      <c r="D1695" s="23" t="b">
        <f>IFERROR(__xludf.DUMMYFUNCTION("""COMPUTED_VALUE"""),FALSE)</f>
        <v>0</v>
      </c>
      <c r="E1695" s="23" t="str">
        <f>IFERROR(__xludf.DUMMYFUNCTION("""COMPUTED_VALUE"""),"Easy")</f>
        <v>Easy</v>
      </c>
      <c r="F1695" s="23">
        <f>IFERROR(__xludf.DUMMYFUNCTION("""COMPUTED_VALUE"""),203.0)</f>
        <v>203</v>
      </c>
      <c r="G1695" s="23">
        <f>IFERROR(__xludf.DUMMYFUNCTION("""COMPUTED_VALUE"""),162.0)</f>
        <v>162</v>
      </c>
      <c r="H1695" s="23" t="str">
        <f>IFERROR(__xludf.DUMMYFUNCTION("""COMPUTED_VALUE"""),"Algorithms")</f>
        <v>Algorithms</v>
      </c>
      <c r="I1695" s="23">
        <f>IFERROR(__xludf.DUMMYFUNCTION("""COMPUTED_VALUE"""),0.649)</f>
        <v>0.649</v>
      </c>
      <c r="J1695" s="23">
        <f>IFERROR(__xludf.DUMMYFUNCTION("""COMPUTED_VALUE"""),1694.0)</f>
        <v>1694</v>
      </c>
      <c r="K1695" s="23" t="b">
        <f>IFERROR(__xludf.DUMMYFUNCTION("""COMPUTED_VALUE"""),FALSE)</f>
        <v>0</v>
      </c>
      <c r="L1695" s="23" t="str">
        <f>IFERROR(__xludf.DUMMYFUNCTION("""COMPUTED_VALUE"""),"String;")</f>
        <v>String;</v>
      </c>
      <c r="M1695" s="23" t="b">
        <f>IFERROR(__xludf.DUMMYFUNCTION("""COMPUTED_VALUE"""),FALSE)</f>
        <v>0</v>
      </c>
      <c r="N1695" s="23" t="b">
        <f>IFERROR(__xludf.DUMMYFUNCTION("""COMPUTED_VALUE"""),FALSE)</f>
        <v>0</v>
      </c>
      <c r="O1695" s="23">
        <f>IFERROR(__xludf.DUMMYFUNCTION("""COMPUTED_VALUE"""),64.8744081534387)</f>
        <v>64.87440815</v>
      </c>
      <c r="P1695" s="23">
        <f>IFERROR(__xludf.DUMMYFUNCTION("""COMPUTED_VALUE"""),24252.0)</f>
        <v>24252</v>
      </c>
      <c r="Q1695" s="23">
        <f>IFERROR(__xludf.DUMMYFUNCTION("""COMPUTED_VALUE"""),37383.0)</f>
        <v>37383</v>
      </c>
    </row>
    <row r="1696">
      <c r="A1696" s="23">
        <f>IFERROR(__xludf.DUMMYFUNCTION("""COMPUTED_VALUE"""),1813.0)</f>
        <v>1813</v>
      </c>
      <c r="B1696" s="23" t="str">
        <f>IFERROR(__xludf.DUMMYFUNCTION("""COMPUTED_VALUE"""),"Maximum Erasure Value")</f>
        <v>Maximum Erasure Value</v>
      </c>
      <c r="C1696" s="23" t="str">
        <f>IFERROR(__xludf.DUMMYFUNCTION("""COMPUTED_VALUE"""),"maximum-erasure-value")</f>
        <v>maximum-erasure-value</v>
      </c>
      <c r="D1696" s="23" t="b">
        <f>IFERROR(__xludf.DUMMYFUNCTION("""COMPUTED_VALUE"""),FALSE)</f>
        <v>0</v>
      </c>
      <c r="E1696" s="23" t="str">
        <f>IFERROR(__xludf.DUMMYFUNCTION("""COMPUTED_VALUE"""),"Medium")</f>
        <v>Medium</v>
      </c>
      <c r="F1696" s="23">
        <f>IFERROR(__xludf.DUMMYFUNCTION("""COMPUTED_VALUE"""),829.0)</f>
        <v>829</v>
      </c>
      <c r="G1696" s="23">
        <f>IFERROR(__xludf.DUMMYFUNCTION("""COMPUTED_VALUE"""),14.0)</f>
        <v>14</v>
      </c>
      <c r="H1696" s="23" t="str">
        <f>IFERROR(__xludf.DUMMYFUNCTION("""COMPUTED_VALUE"""),"Algorithms")</f>
        <v>Algorithms</v>
      </c>
      <c r="I1696" s="23">
        <f>IFERROR(__xludf.DUMMYFUNCTION("""COMPUTED_VALUE"""),0.524)</f>
        <v>0.524</v>
      </c>
      <c r="J1696" s="23">
        <f>IFERROR(__xludf.DUMMYFUNCTION("""COMPUTED_VALUE"""),1695.0)</f>
        <v>1695</v>
      </c>
      <c r="K1696" s="23" t="b">
        <f>IFERROR(__xludf.DUMMYFUNCTION("""COMPUTED_VALUE"""),FALSE)</f>
        <v>0</v>
      </c>
      <c r="L1696" s="23" t="str">
        <f>IFERROR(__xludf.DUMMYFUNCTION("""COMPUTED_VALUE"""),"Array;Hash Table;Sliding Window;")</f>
        <v>Array;Hash Table;Sliding Window;</v>
      </c>
      <c r="M1696" s="23" t="b">
        <f>IFERROR(__xludf.DUMMYFUNCTION("""COMPUTED_VALUE"""),TRUE)</f>
        <v>1</v>
      </c>
      <c r="N1696" s="23" t="b">
        <f>IFERROR(__xludf.DUMMYFUNCTION("""COMPUTED_VALUE"""),FALSE)</f>
        <v>0</v>
      </c>
      <c r="O1696" s="23">
        <f>IFERROR(__xludf.DUMMYFUNCTION("""COMPUTED_VALUE"""),52.4320973597986)</f>
        <v>52.43209736</v>
      </c>
      <c r="P1696" s="23">
        <f>IFERROR(__xludf.DUMMYFUNCTION("""COMPUTED_VALUE"""),41446.0)</f>
        <v>41446</v>
      </c>
      <c r="Q1696" s="23">
        <f>IFERROR(__xludf.DUMMYFUNCTION("""COMPUTED_VALUE"""),79047.0)</f>
        <v>79047</v>
      </c>
    </row>
    <row r="1697">
      <c r="A1697" s="23">
        <f>IFERROR(__xludf.DUMMYFUNCTION("""COMPUTED_VALUE"""),1814.0)</f>
        <v>1814</v>
      </c>
      <c r="B1697" s="23" t="str">
        <f>IFERROR(__xludf.DUMMYFUNCTION("""COMPUTED_VALUE"""),"Jump Game VI")</f>
        <v>Jump Game VI</v>
      </c>
      <c r="C1697" s="23" t="str">
        <f>IFERROR(__xludf.DUMMYFUNCTION("""COMPUTED_VALUE"""),"jump-game-vi")</f>
        <v>jump-game-vi</v>
      </c>
      <c r="D1697" s="23" t="b">
        <f>IFERROR(__xludf.DUMMYFUNCTION("""COMPUTED_VALUE"""),FALSE)</f>
        <v>0</v>
      </c>
      <c r="E1697" s="23" t="str">
        <f>IFERROR(__xludf.DUMMYFUNCTION("""COMPUTED_VALUE"""),"Medium")</f>
        <v>Medium</v>
      </c>
      <c r="F1697" s="23">
        <f>IFERROR(__xludf.DUMMYFUNCTION("""COMPUTED_VALUE"""),1301.0)</f>
        <v>1301</v>
      </c>
      <c r="G1697" s="23">
        <f>IFERROR(__xludf.DUMMYFUNCTION("""COMPUTED_VALUE"""),52.0)</f>
        <v>52</v>
      </c>
      <c r="H1697" s="23" t="str">
        <f>IFERROR(__xludf.DUMMYFUNCTION("""COMPUTED_VALUE"""),"Algorithms")</f>
        <v>Algorithms</v>
      </c>
      <c r="I1697" s="23">
        <f>IFERROR(__xludf.DUMMYFUNCTION("""COMPUTED_VALUE"""),0.427)</f>
        <v>0.427</v>
      </c>
      <c r="J1697" s="23">
        <f>IFERROR(__xludf.DUMMYFUNCTION("""COMPUTED_VALUE"""),1696.0)</f>
        <v>1696</v>
      </c>
      <c r="K1697" s="23" t="b">
        <f>IFERROR(__xludf.DUMMYFUNCTION("""COMPUTED_VALUE"""),FALSE)</f>
        <v>0</v>
      </c>
      <c r="L1697" s="23" t="str">
        <f>IFERROR(__xludf.DUMMYFUNCTION("""COMPUTED_VALUE"""),"Array;Dynamic Programming;Queue;Sliding Window;Heap (Priority Queue);Monotonic Queue;")</f>
        <v>Array;Dynamic Programming;Queue;Sliding Window;Heap (Priority Queue);Monotonic Queue;</v>
      </c>
      <c r="M1697" s="23" t="b">
        <f>IFERROR(__xludf.DUMMYFUNCTION("""COMPUTED_VALUE"""),TRUE)</f>
        <v>1</v>
      </c>
      <c r="N1697" s="23" t="b">
        <f>IFERROR(__xludf.DUMMYFUNCTION("""COMPUTED_VALUE"""),FALSE)</f>
        <v>0</v>
      </c>
      <c r="O1697" s="23">
        <f>IFERROR(__xludf.DUMMYFUNCTION("""COMPUTED_VALUE"""),42.7312863136703)</f>
        <v>42.73128631</v>
      </c>
      <c r="P1697" s="23">
        <f>IFERROR(__xludf.DUMMYFUNCTION("""COMPUTED_VALUE"""),42877.0)</f>
        <v>42877</v>
      </c>
      <c r="Q1697" s="23">
        <f>IFERROR(__xludf.DUMMYFUNCTION("""COMPUTED_VALUE"""),100341.0)</f>
        <v>100341</v>
      </c>
    </row>
    <row r="1698">
      <c r="A1698" s="23">
        <f>IFERROR(__xludf.DUMMYFUNCTION("""COMPUTED_VALUE"""),1815.0)</f>
        <v>1815</v>
      </c>
      <c r="B1698" s="23" t="str">
        <f>IFERROR(__xludf.DUMMYFUNCTION("""COMPUTED_VALUE"""),"Checking Existence of Edge Length Limited Paths")</f>
        <v>Checking Existence of Edge Length Limited Paths</v>
      </c>
      <c r="C1698" s="23" t="str">
        <f>IFERROR(__xludf.DUMMYFUNCTION("""COMPUTED_VALUE"""),"checking-existence-of-edge-length-limited-paths")</f>
        <v>checking-existence-of-edge-length-limited-paths</v>
      </c>
      <c r="D1698" s="23" t="b">
        <f>IFERROR(__xludf.DUMMYFUNCTION("""COMPUTED_VALUE"""),FALSE)</f>
        <v>0</v>
      </c>
      <c r="E1698" s="23" t="str">
        <f>IFERROR(__xludf.DUMMYFUNCTION("""COMPUTED_VALUE"""),"Hard")</f>
        <v>Hard</v>
      </c>
      <c r="F1698" s="23">
        <f>IFERROR(__xludf.DUMMYFUNCTION("""COMPUTED_VALUE"""),447.0)</f>
        <v>447</v>
      </c>
      <c r="G1698" s="23">
        <f>IFERROR(__xludf.DUMMYFUNCTION("""COMPUTED_VALUE"""),10.0)</f>
        <v>10</v>
      </c>
      <c r="H1698" s="23" t="str">
        <f>IFERROR(__xludf.DUMMYFUNCTION("""COMPUTED_VALUE"""),"Algorithms")</f>
        <v>Algorithms</v>
      </c>
      <c r="I1698" s="23">
        <f>IFERROR(__xludf.DUMMYFUNCTION("""COMPUTED_VALUE"""),0.487)</f>
        <v>0.487</v>
      </c>
      <c r="J1698" s="23">
        <f>IFERROR(__xludf.DUMMYFUNCTION("""COMPUTED_VALUE"""),1697.0)</f>
        <v>1697</v>
      </c>
      <c r="K1698" s="23" t="b">
        <f>IFERROR(__xludf.DUMMYFUNCTION("""COMPUTED_VALUE"""),FALSE)</f>
        <v>0</v>
      </c>
      <c r="L1698" s="23" t="str">
        <f>IFERROR(__xludf.DUMMYFUNCTION("""COMPUTED_VALUE"""),"Array;Union Find;Graph;Sorting;")</f>
        <v>Array;Union Find;Graph;Sorting;</v>
      </c>
      <c r="M1698" s="23" t="b">
        <f>IFERROR(__xludf.DUMMYFUNCTION("""COMPUTED_VALUE"""),FALSE)</f>
        <v>0</v>
      </c>
      <c r="N1698" s="23" t="b">
        <f>IFERROR(__xludf.DUMMYFUNCTION("""COMPUTED_VALUE"""),FALSE)</f>
        <v>0</v>
      </c>
      <c r="O1698" s="23">
        <f>IFERROR(__xludf.DUMMYFUNCTION("""COMPUTED_VALUE"""),48.7484433374844)</f>
        <v>48.74844334</v>
      </c>
      <c r="P1698" s="23">
        <f>IFERROR(__xludf.DUMMYFUNCTION("""COMPUTED_VALUE"""),7829.0)</f>
        <v>7829</v>
      </c>
      <c r="Q1698" s="23">
        <f>IFERROR(__xludf.DUMMYFUNCTION("""COMPUTED_VALUE"""),16060.0)</f>
        <v>16060</v>
      </c>
    </row>
    <row r="1699">
      <c r="A1699" s="23">
        <f>IFERROR(__xludf.DUMMYFUNCTION("""COMPUTED_VALUE"""),1838.0)</f>
        <v>1838</v>
      </c>
      <c r="B1699" s="23" t="str">
        <f>IFERROR(__xludf.DUMMYFUNCTION("""COMPUTED_VALUE"""),"Number of Distinct Substrings in a String")</f>
        <v>Number of Distinct Substrings in a String</v>
      </c>
      <c r="C1699" s="23" t="str">
        <f>IFERROR(__xludf.DUMMYFUNCTION("""COMPUTED_VALUE"""),"number-of-distinct-substrings-in-a-string")</f>
        <v>number-of-distinct-substrings-in-a-string</v>
      </c>
      <c r="D1699" s="23" t="b">
        <f>IFERROR(__xludf.DUMMYFUNCTION("""COMPUTED_VALUE"""),TRUE)</f>
        <v>1</v>
      </c>
      <c r="E1699" s="23" t="str">
        <f>IFERROR(__xludf.DUMMYFUNCTION("""COMPUTED_VALUE"""),"Medium")</f>
        <v>Medium</v>
      </c>
      <c r="F1699" s="23">
        <f>IFERROR(__xludf.DUMMYFUNCTION("""COMPUTED_VALUE"""),103.0)</f>
        <v>103</v>
      </c>
      <c r="G1699" s="23">
        <f>IFERROR(__xludf.DUMMYFUNCTION("""COMPUTED_VALUE"""),28.0)</f>
        <v>28</v>
      </c>
      <c r="H1699" s="23" t="str">
        <f>IFERROR(__xludf.DUMMYFUNCTION("""COMPUTED_VALUE"""),"Algorithms")</f>
        <v>Algorithms</v>
      </c>
      <c r="I1699" s="23">
        <f>IFERROR(__xludf.DUMMYFUNCTION("""COMPUTED_VALUE"""),0.622)</f>
        <v>0.622</v>
      </c>
      <c r="J1699" s="23">
        <f>IFERROR(__xludf.DUMMYFUNCTION("""COMPUTED_VALUE"""),1698.0)</f>
        <v>1698</v>
      </c>
      <c r="K1699" s="23" t="b">
        <f>IFERROR(__xludf.DUMMYFUNCTION("""COMPUTED_VALUE"""),TRUE)</f>
        <v>1</v>
      </c>
      <c r="L1699" s="23" t="str">
        <f>IFERROR(__xludf.DUMMYFUNCTION("""COMPUTED_VALUE"""),"String;Trie;Rolling Hash;Suffix Array;Hash Function;")</f>
        <v>String;Trie;Rolling Hash;Suffix Array;Hash Function;</v>
      </c>
      <c r="M1699" s="23" t="b">
        <f>IFERROR(__xludf.DUMMYFUNCTION("""COMPUTED_VALUE"""),FALSE)</f>
        <v>0</v>
      </c>
      <c r="N1699" s="23" t="b">
        <f>IFERROR(__xludf.DUMMYFUNCTION("""COMPUTED_VALUE"""),FALSE)</f>
        <v>0</v>
      </c>
      <c r="O1699" s="23">
        <f>IFERROR(__xludf.DUMMYFUNCTION("""COMPUTED_VALUE"""),62.1938994701417)</f>
        <v>62.19389947</v>
      </c>
      <c r="P1699" s="23">
        <f>IFERROR(__xludf.DUMMYFUNCTION("""COMPUTED_VALUE"""),4343.0)</f>
        <v>4343</v>
      </c>
      <c r="Q1699" s="23">
        <f>IFERROR(__xludf.DUMMYFUNCTION("""COMPUTED_VALUE"""),6983.0)</f>
        <v>6983</v>
      </c>
    </row>
    <row r="1700">
      <c r="A1700" s="23">
        <f>IFERROR(__xludf.DUMMYFUNCTION("""COMPUTED_VALUE"""),1842.0)</f>
        <v>1842</v>
      </c>
      <c r="B1700" s="23" t="str">
        <f>IFERROR(__xludf.DUMMYFUNCTION("""COMPUTED_VALUE"""),"Number of Calls Between Two Persons")</f>
        <v>Number of Calls Between Two Persons</v>
      </c>
      <c r="C1700" s="23" t="str">
        <f>IFERROR(__xludf.DUMMYFUNCTION("""COMPUTED_VALUE"""),"number-of-calls-between-two-persons")</f>
        <v>number-of-calls-between-two-persons</v>
      </c>
      <c r="D1700" s="23" t="b">
        <f>IFERROR(__xludf.DUMMYFUNCTION("""COMPUTED_VALUE"""),TRUE)</f>
        <v>1</v>
      </c>
      <c r="E1700" s="23" t="str">
        <f>IFERROR(__xludf.DUMMYFUNCTION("""COMPUTED_VALUE"""),"Medium")</f>
        <v>Medium</v>
      </c>
      <c r="F1700" s="23">
        <f>IFERROR(__xludf.DUMMYFUNCTION("""COMPUTED_VALUE"""),120.0)</f>
        <v>120</v>
      </c>
      <c r="G1700" s="23">
        <f>IFERROR(__xludf.DUMMYFUNCTION("""COMPUTED_VALUE"""),8.0)</f>
        <v>8</v>
      </c>
      <c r="H1700" s="23" t="str">
        <f>IFERROR(__xludf.DUMMYFUNCTION("""COMPUTED_VALUE"""),"Database")</f>
        <v>Database</v>
      </c>
      <c r="I1700" s="23">
        <f>IFERROR(__xludf.DUMMYFUNCTION("""COMPUTED_VALUE"""),0.861)</f>
        <v>0.861</v>
      </c>
      <c r="J1700" s="23">
        <f>IFERROR(__xludf.DUMMYFUNCTION("""COMPUTED_VALUE"""),1699.0)</f>
        <v>1699</v>
      </c>
      <c r="K1700" s="23" t="b">
        <f>IFERROR(__xludf.DUMMYFUNCTION("""COMPUTED_VALUE"""),TRUE)</f>
        <v>1</v>
      </c>
      <c r="L1700" s="23" t="str">
        <f>IFERROR(__xludf.DUMMYFUNCTION("""COMPUTED_VALUE"""),"Database;")</f>
        <v>Database;</v>
      </c>
      <c r="M1700" s="23" t="b">
        <f>IFERROR(__xludf.DUMMYFUNCTION("""COMPUTED_VALUE"""),FALSE)</f>
        <v>0</v>
      </c>
      <c r="N1700" s="23" t="b">
        <f>IFERROR(__xludf.DUMMYFUNCTION("""COMPUTED_VALUE"""),FALSE)</f>
        <v>0</v>
      </c>
      <c r="O1700" s="23">
        <f>IFERROR(__xludf.DUMMYFUNCTION("""COMPUTED_VALUE"""),86.0828973017338)</f>
        <v>86.0828973</v>
      </c>
      <c r="P1700" s="23">
        <f>IFERROR(__xludf.DUMMYFUNCTION("""COMPUTED_VALUE"""),16781.0)</f>
        <v>16781</v>
      </c>
      <c r="Q1700" s="23">
        <f>IFERROR(__xludf.DUMMYFUNCTION("""COMPUTED_VALUE"""),19494.0)</f>
        <v>19494</v>
      </c>
    </row>
    <row r="1701">
      <c r="A1701" s="23">
        <f>IFERROR(__xludf.DUMMYFUNCTION("""COMPUTED_VALUE"""),1802.0)</f>
        <v>1802</v>
      </c>
      <c r="B1701" s="23" t="str">
        <f>IFERROR(__xludf.DUMMYFUNCTION("""COMPUTED_VALUE"""),"Number of Students Unable to Eat Lunch")</f>
        <v>Number of Students Unable to Eat Lunch</v>
      </c>
      <c r="C1701" s="23" t="str">
        <f>IFERROR(__xludf.DUMMYFUNCTION("""COMPUTED_VALUE"""),"number-of-students-unable-to-eat-lunch")</f>
        <v>number-of-students-unable-to-eat-lunch</v>
      </c>
      <c r="D1701" s="23" t="b">
        <f>IFERROR(__xludf.DUMMYFUNCTION("""COMPUTED_VALUE"""),FALSE)</f>
        <v>0</v>
      </c>
      <c r="E1701" s="23" t="str">
        <f>IFERROR(__xludf.DUMMYFUNCTION("""COMPUTED_VALUE"""),"Easy")</f>
        <v>Easy</v>
      </c>
      <c r="F1701" s="23">
        <f>IFERROR(__xludf.DUMMYFUNCTION("""COMPUTED_VALUE"""),773.0)</f>
        <v>773</v>
      </c>
      <c r="G1701" s="23">
        <f>IFERROR(__xludf.DUMMYFUNCTION("""COMPUTED_VALUE"""),41.0)</f>
        <v>41</v>
      </c>
      <c r="H1701" s="23" t="str">
        <f>IFERROR(__xludf.DUMMYFUNCTION("""COMPUTED_VALUE"""),"Algorithms")</f>
        <v>Algorithms</v>
      </c>
      <c r="I1701" s="23">
        <f>IFERROR(__xludf.DUMMYFUNCTION("""COMPUTED_VALUE"""),0.678)</f>
        <v>0.678</v>
      </c>
      <c r="J1701" s="23">
        <f>IFERROR(__xludf.DUMMYFUNCTION("""COMPUTED_VALUE"""),1700.0)</f>
        <v>1700</v>
      </c>
      <c r="K1701" s="23" t="b">
        <f>IFERROR(__xludf.DUMMYFUNCTION("""COMPUTED_VALUE"""),FALSE)</f>
        <v>0</v>
      </c>
      <c r="L1701" s="23" t="str">
        <f>IFERROR(__xludf.DUMMYFUNCTION("""COMPUTED_VALUE"""),"Array;Stack;Queue;Simulation;")</f>
        <v>Array;Stack;Queue;Simulation;</v>
      </c>
      <c r="M1701" s="23" t="b">
        <f>IFERROR(__xludf.DUMMYFUNCTION("""COMPUTED_VALUE"""),FALSE)</f>
        <v>0</v>
      </c>
      <c r="N1701" s="23" t="b">
        <f>IFERROR(__xludf.DUMMYFUNCTION("""COMPUTED_VALUE"""),FALSE)</f>
        <v>0</v>
      </c>
      <c r="O1701" s="23">
        <f>IFERROR(__xludf.DUMMYFUNCTION("""COMPUTED_VALUE"""),67.7552685730504)</f>
        <v>67.75526857</v>
      </c>
      <c r="P1701" s="23">
        <f>IFERROR(__xludf.DUMMYFUNCTION("""COMPUTED_VALUE"""),38195.0)</f>
        <v>38195</v>
      </c>
      <c r="Q1701" s="23">
        <f>IFERROR(__xludf.DUMMYFUNCTION("""COMPUTED_VALUE"""),56372.0)</f>
        <v>56372</v>
      </c>
    </row>
    <row r="1702">
      <c r="A1702" s="23">
        <f>IFERROR(__xludf.DUMMYFUNCTION("""COMPUTED_VALUE"""),1803.0)</f>
        <v>1803</v>
      </c>
      <c r="B1702" s="23" t="str">
        <f>IFERROR(__xludf.DUMMYFUNCTION("""COMPUTED_VALUE"""),"Average Waiting Time")</f>
        <v>Average Waiting Time</v>
      </c>
      <c r="C1702" s="23" t="str">
        <f>IFERROR(__xludf.DUMMYFUNCTION("""COMPUTED_VALUE"""),"average-waiting-time")</f>
        <v>average-waiting-time</v>
      </c>
      <c r="D1702" s="23" t="b">
        <f>IFERROR(__xludf.DUMMYFUNCTION("""COMPUTED_VALUE"""),FALSE)</f>
        <v>0</v>
      </c>
      <c r="E1702" s="23" t="str">
        <f>IFERROR(__xludf.DUMMYFUNCTION("""COMPUTED_VALUE"""),"Medium")</f>
        <v>Medium</v>
      </c>
      <c r="F1702" s="23">
        <f>IFERROR(__xludf.DUMMYFUNCTION("""COMPUTED_VALUE"""),330.0)</f>
        <v>330</v>
      </c>
      <c r="G1702" s="23">
        <f>IFERROR(__xludf.DUMMYFUNCTION("""COMPUTED_VALUE"""),37.0)</f>
        <v>37</v>
      </c>
      <c r="H1702" s="23" t="str">
        <f>IFERROR(__xludf.DUMMYFUNCTION("""COMPUTED_VALUE"""),"Algorithms")</f>
        <v>Algorithms</v>
      </c>
      <c r="I1702" s="23">
        <f>IFERROR(__xludf.DUMMYFUNCTION("""COMPUTED_VALUE"""),0.618)</f>
        <v>0.618</v>
      </c>
      <c r="J1702" s="23">
        <f>IFERROR(__xludf.DUMMYFUNCTION("""COMPUTED_VALUE"""),1701.0)</f>
        <v>1701</v>
      </c>
      <c r="K1702" s="23" t="b">
        <f>IFERROR(__xludf.DUMMYFUNCTION("""COMPUTED_VALUE"""),FALSE)</f>
        <v>0</v>
      </c>
      <c r="L1702" s="23" t="str">
        <f>IFERROR(__xludf.DUMMYFUNCTION("""COMPUTED_VALUE"""),"Array;Simulation;")</f>
        <v>Array;Simulation;</v>
      </c>
      <c r="M1702" s="23" t="b">
        <f>IFERROR(__xludf.DUMMYFUNCTION("""COMPUTED_VALUE"""),FALSE)</f>
        <v>0</v>
      </c>
      <c r="N1702" s="23" t="b">
        <f>IFERROR(__xludf.DUMMYFUNCTION("""COMPUTED_VALUE"""),FALSE)</f>
        <v>0</v>
      </c>
      <c r="O1702" s="23">
        <f>IFERROR(__xludf.DUMMYFUNCTION("""COMPUTED_VALUE"""),61.752095108166)</f>
        <v>61.75209511</v>
      </c>
      <c r="P1702" s="23">
        <f>IFERROR(__xludf.DUMMYFUNCTION("""COMPUTED_VALUE"""),19011.0)</f>
        <v>19011</v>
      </c>
      <c r="Q1702" s="23">
        <f>IFERROR(__xludf.DUMMYFUNCTION("""COMPUTED_VALUE"""),30786.0)</f>
        <v>30786</v>
      </c>
    </row>
    <row r="1703">
      <c r="A1703" s="23">
        <f>IFERROR(__xludf.DUMMYFUNCTION("""COMPUTED_VALUE"""),1804.0)</f>
        <v>1804</v>
      </c>
      <c r="B1703" s="23" t="str">
        <f>IFERROR(__xludf.DUMMYFUNCTION("""COMPUTED_VALUE"""),"Maximum Binary String After Change")</f>
        <v>Maximum Binary String After Change</v>
      </c>
      <c r="C1703" s="23" t="str">
        <f>IFERROR(__xludf.DUMMYFUNCTION("""COMPUTED_VALUE"""),"maximum-binary-string-after-change")</f>
        <v>maximum-binary-string-after-change</v>
      </c>
      <c r="D1703" s="23" t="b">
        <f>IFERROR(__xludf.DUMMYFUNCTION("""COMPUTED_VALUE"""),FALSE)</f>
        <v>0</v>
      </c>
      <c r="E1703" s="23" t="str">
        <f>IFERROR(__xludf.DUMMYFUNCTION("""COMPUTED_VALUE"""),"Medium")</f>
        <v>Medium</v>
      </c>
      <c r="F1703" s="23">
        <f>IFERROR(__xludf.DUMMYFUNCTION("""COMPUTED_VALUE"""),317.0)</f>
        <v>317</v>
      </c>
      <c r="G1703" s="23">
        <f>IFERROR(__xludf.DUMMYFUNCTION("""COMPUTED_VALUE"""),37.0)</f>
        <v>37</v>
      </c>
      <c r="H1703" s="23" t="str">
        <f>IFERROR(__xludf.DUMMYFUNCTION("""COMPUTED_VALUE"""),"Algorithms")</f>
        <v>Algorithms</v>
      </c>
      <c r="I1703" s="23">
        <f>IFERROR(__xludf.DUMMYFUNCTION("""COMPUTED_VALUE"""),0.453)</f>
        <v>0.453</v>
      </c>
      <c r="J1703" s="23">
        <f>IFERROR(__xludf.DUMMYFUNCTION("""COMPUTED_VALUE"""),1702.0)</f>
        <v>1702</v>
      </c>
      <c r="K1703" s="23" t="b">
        <f>IFERROR(__xludf.DUMMYFUNCTION("""COMPUTED_VALUE"""),FALSE)</f>
        <v>0</v>
      </c>
      <c r="L1703" s="23" t="str">
        <f>IFERROR(__xludf.DUMMYFUNCTION("""COMPUTED_VALUE"""),"String;Greedy;")</f>
        <v>String;Greedy;</v>
      </c>
      <c r="M1703" s="23" t="b">
        <f>IFERROR(__xludf.DUMMYFUNCTION("""COMPUTED_VALUE"""),FALSE)</f>
        <v>0</v>
      </c>
      <c r="N1703" s="23" t="b">
        <f>IFERROR(__xludf.DUMMYFUNCTION("""COMPUTED_VALUE"""),FALSE)</f>
        <v>0</v>
      </c>
      <c r="O1703" s="23">
        <f>IFERROR(__xludf.DUMMYFUNCTION("""COMPUTED_VALUE"""),45.2679710761378)</f>
        <v>45.26797108</v>
      </c>
      <c r="P1703" s="23">
        <f>IFERROR(__xludf.DUMMYFUNCTION("""COMPUTED_VALUE"""),8514.0)</f>
        <v>8514</v>
      </c>
      <c r="Q1703" s="23">
        <f>IFERROR(__xludf.DUMMYFUNCTION("""COMPUTED_VALUE"""),18808.0)</f>
        <v>18808</v>
      </c>
    </row>
    <row r="1704">
      <c r="A1704" s="23">
        <f>IFERROR(__xludf.DUMMYFUNCTION("""COMPUTED_VALUE"""),1805.0)</f>
        <v>1805</v>
      </c>
      <c r="B1704" s="23" t="str">
        <f>IFERROR(__xludf.DUMMYFUNCTION("""COMPUTED_VALUE"""),"Minimum Adjacent Swaps for K Consecutive Ones")</f>
        <v>Minimum Adjacent Swaps for K Consecutive Ones</v>
      </c>
      <c r="C1704" s="23" t="str">
        <f>IFERROR(__xludf.DUMMYFUNCTION("""COMPUTED_VALUE"""),"minimum-adjacent-swaps-for-k-consecutive-ones")</f>
        <v>minimum-adjacent-swaps-for-k-consecutive-ones</v>
      </c>
      <c r="D1704" s="23" t="b">
        <f>IFERROR(__xludf.DUMMYFUNCTION("""COMPUTED_VALUE"""),FALSE)</f>
        <v>0</v>
      </c>
      <c r="E1704" s="23" t="str">
        <f>IFERROR(__xludf.DUMMYFUNCTION("""COMPUTED_VALUE"""),"Hard")</f>
        <v>Hard</v>
      </c>
      <c r="F1704" s="23">
        <f>IFERROR(__xludf.DUMMYFUNCTION("""COMPUTED_VALUE"""),424.0)</f>
        <v>424</v>
      </c>
      <c r="G1704" s="23">
        <f>IFERROR(__xludf.DUMMYFUNCTION("""COMPUTED_VALUE"""),16.0)</f>
        <v>16</v>
      </c>
      <c r="H1704" s="23" t="str">
        <f>IFERROR(__xludf.DUMMYFUNCTION("""COMPUTED_VALUE"""),"Algorithms")</f>
        <v>Algorithms</v>
      </c>
      <c r="I1704" s="23">
        <f>IFERROR(__xludf.DUMMYFUNCTION("""COMPUTED_VALUE"""),0.414)</f>
        <v>0.414</v>
      </c>
      <c r="J1704" s="23">
        <f>IFERROR(__xludf.DUMMYFUNCTION("""COMPUTED_VALUE"""),1703.0)</f>
        <v>1703</v>
      </c>
      <c r="K1704" s="23" t="b">
        <f>IFERROR(__xludf.DUMMYFUNCTION("""COMPUTED_VALUE"""),FALSE)</f>
        <v>0</v>
      </c>
      <c r="L1704" s="23" t="str">
        <f>IFERROR(__xludf.DUMMYFUNCTION("""COMPUTED_VALUE"""),"Array;Greedy;Sliding Window;Prefix Sum;")</f>
        <v>Array;Greedy;Sliding Window;Prefix Sum;</v>
      </c>
      <c r="M1704" s="23" t="b">
        <f>IFERROR(__xludf.DUMMYFUNCTION("""COMPUTED_VALUE"""),FALSE)</f>
        <v>0</v>
      </c>
      <c r="N1704" s="23" t="b">
        <f>IFERROR(__xludf.DUMMYFUNCTION("""COMPUTED_VALUE"""),FALSE)</f>
        <v>0</v>
      </c>
      <c r="O1704" s="23">
        <f>IFERROR(__xludf.DUMMYFUNCTION("""COMPUTED_VALUE"""),41.3861386138613)</f>
        <v>41.38613861</v>
      </c>
      <c r="P1704" s="23">
        <f>IFERROR(__xludf.DUMMYFUNCTION("""COMPUTED_VALUE"""),6061.0)</f>
        <v>6061</v>
      </c>
      <c r="Q1704" s="23">
        <f>IFERROR(__xludf.DUMMYFUNCTION("""COMPUTED_VALUE"""),14645.0)</f>
        <v>14645</v>
      </c>
    </row>
    <row r="1705">
      <c r="A1705" s="23">
        <f>IFERROR(__xludf.DUMMYFUNCTION("""COMPUTED_VALUE"""),1823.0)</f>
        <v>1823</v>
      </c>
      <c r="B1705" s="23" t="str">
        <f>IFERROR(__xludf.DUMMYFUNCTION("""COMPUTED_VALUE"""),"Determine if String Halves Are Alike")</f>
        <v>Determine if String Halves Are Alike</v>
      </c>
      <c r="C1705" s="23" t="str">
        <f>IFERROR(__xludf.DUMMYFUNCTION("""COMPUTED_VALUE"""),"determine-if-string-halves-are-alike")</f>
        <v>determine-if-string-halves-are-alike</v>
      </c>
      <c r="D1705" s="23" t="b">
        <f>IFERROR(__xludf.DUMMYFUNCTION("""COMPUTED_VALUE"""),FALSE)</f>
        <v>0</v>
      </c>
      <c r="E1705" s="23" t="str">
        <f>IFERROR(__xludf.DUMMYFUNCTION("""COMPUTED_VALUE"""),"Easy")</f>
        <v>Easy</v>
      </c>
      <c r="F1705" s="23">
        <f>IFERROR(__xludf.DUMMYFUNCTION("""COMPUTED_VALUE"""),518.0)</f>
        <v>518</v>
      </c>
      <c r="G1705" s="23">
        <f>IFERROR(__xludf.DUMMYFUNCTION("""COMPUTED_VALUE"""),36.0)</f>
        <v>36</v>
      </c>
      <c r="H1705" s="23" t="str">
        <f>IFERROR(__xludf.DUMMYFUNCTION("""COMPUTED_VALUE"""),"Algorithms")</f>
        <v>Algorithms</v>
      </c>
      <c r="I1705" s="23">
        <f>IFERROR(__xludf.DUMMYFUNCTION("""COMPUTED_VALUE"""),0.78)</f>
        <v>0.78</v>
      </c>
      <c r="J1705" s="23">
        <f>IFERROR(__xludf.DUMMYFUNCTION("""COMPUTED_VALUE"""),1704.0)</f>
        <v>1704</v>
      </c>
      <c r="K1705" s="23" t="b">
        <f>IFERROR(__xludf.DUMMYFUNCTION("""COMPUTED_VALUE"""),FALSE)</f>
        <v>0</v>
      </c>
      <c r="L1705" s="23" t="str">
        <f>IFERROR(__xludf.DUMMYFUNCTION("""COMPUTED_VALUE"""),"String;Counting;")</f>
        <v>String;Counting;</v>
      </c>
      <c r="M1705" s="23" t="b">
        <f>IFERROR(__xludf.DUMMYFUNCTION("""COMPUTED_VALUE"""),TRUE)</f>
        <v>1</v>
      </c>
      <c r="N1705" s="23" t="b">
        <f>IFERROR(__xludf.DUMMYFUNCTION("""COMPUTED_VALUE"""),FALSE)</f>
        <v>0</v>
      </c>
      <c r="O1705" s="23">
        <f>IFERROR(__xludf.DUMMYFUNCTION("""COMPUTED_VALUE"""),78.0304719435154)</f>
        <v>78.03047194</v>
      </c>
      <c r="P1705" s="23">
        <f>IFERROR(__xludf.DUMMYFUNCTION("""COMPUTED_VALUE"""),83992.0)</f>
        <v>83992</v>
      </c>
      <c r="Q1705" s="23">
        <f>IFERROR(__xludf.DUMMYFUNCTION("""COMPUTED_VALUE"""),107640.0)</f>
        <v>107640</v>
      </c>
    </row>
    <row r="1706">
      <c r="A1706" s="23">
        <f>IFERROR(__xludf.DUMMYFUNCTION("""COMPUTED_VALUE"""),1824.0)</f>
        <v>1824</v>
      </c>
      <c r="B1706" s="23" t="str">
        <f>IFERROR(__xludf.DUMMYFUNCTION("""COMPUTED_VALUE"""),"Maximum Number of Eaten Apples")</f>
        <v>Maximum Number of Eaten Apples</v>
      </c>
      <c r="C1706" s="23" t="str">
        <f>IFERROR(__xludf.DUMMYFUNCTION("""COMPUTED_VALUE"""),"maximum-number-of-eaten-apples")</f>
        <v>maximum-number-of-eaten-apples</v>
      </c>
      <c r="D1706" s="23" t="b">
        <f>IFERROR(__xludf.DUMMYFUNCTION("""COMPUTED_VALUE"""),FALSE)</f>
        <v>0</v>
      </c>
      <c r="E1706" s="23" t="str">
        <f>IFERROR(__xludf.DUMMYFUNCTION("""COMPUTED_VALUE"""),"Medium")</f>
        <v>Medium</v>
      </c>
      <c r="F1706" s="23">
        <f>IFERROR(__xludf.DUMMYFUNCTION("""COMPUTED_VALUE"""),494.0)</f>
        <v>494</v>
      </c>
      <c r="G1706" s="23">
        <f>IFERROR(__xludf.DUMMYFUNCTION("""COMPUTED_VALUE"""),145.0)</f>
        <v>145</v>
      </c>
      <c r="H1706" s="23" t="str">
        <f>IFERROR(__xludf.DUMMYFUNCTION("""COMPUTED_VALUE"""),"Algorithms")</f>
        <v>Algorithms</v>
      </c>
      <c r="I1706" s="23">
        <f>IFERROR(__xludf.DUMMYFUNCTION("""COMPUTED_VALUE"""),0.364)</f>
        <v>0.364</v>
      </c>
      <c r="J1706" s="23">
        <f>IFERROR(__xludf.DUMMYFUNCTION("""COMPUTED_VALUE"""),1705.0)</f>
        <v>1705</v>
      </c>
      <c r="K1706" s="23" t="b">
        <f>IFERROR(__xludf.DUMMYFUNCTION("""COMPUTED_VALUE"""),FALSE)</f>
        <v>0</v>
      </c>
      <c r="L1706" s="23" t="str">
        <f>IFERROR(__xludf.DUMMYFUNCTION("""COMPUTED_VALUE"""),"Array;Greedy;Heap (Priority Queue);")</f>
        <v>Array;Greedy;Heap (Priority Queue);</v>
      </c>
      <c r="M1706" s="23" t="b">
        <f>IFERROR(__xludf.DUMMYFUNCTION("""COMPUTED_VALUE"""),FALSE)</f>
        <v>0</v>
      </c>
      <c r="N1706" s="23" t="b">
        <f>IFERROR(__xludf.DUMMYFUNCTION("""COMPUTED_VALUE"""),FALSE)</f>
        <v>0</v>
      </c>
      <c r="O1706" s="23">
        <f>IFERROR(__xludf.DUMMYFUNCTION("""COMPUTED_VALUE"""),36.4309315847442)</f>
        <v>36.43093158</v>
      </c>
      <c r="P1706" s="23">
        <f>IFERROR(__xludf.DUMMYFUNCTION("""COMPUTED_VALUE"""),14222.0)</f>
        <v>14222</v>
      </c>
      <c r="Q1706" s="23">
        <f>IFERROR(__xludf.DUMMYFUNCTION("""COMPUTED_VALUE"""),39040.0)</f>
        <v>39040</v>
      </c>
    </row>
    <row r="1707">
      <c r="A1707" s="23">
        <f>IFERROR(__xludf.DUMMYFUNCTION("""COMPUTED_VALUE"""),1324.0)</f>
        <v>1324</v>
      </c>
      <c r="B1707" s="23" t="str">
        <f>IFERROR(__xludf.DUMMYFUNCTION("""COMPUTED_VALUE"""),"Where Will the Ball Fall")</f>
        <v>Where Will the Ball Fall</v>
      </c>
      <c r="C1707" s="23" t="str">
        <f>IFERROR(__xludf.DUMMYFUNCTION("""COMPUTED_VALUE"""),"where-will-the-ball-fall")</f>
        <v>where-will-the-ball-fall</v>
      </c>
      <c r="D1707" s="23" t="b">
        <f>IFERROR(__xludf.DUMMYFUNCTION("""COMPUTED_VALUE"""),FALSE)</f>
        <v>0</v>
      </c>
      <c r="E1707" s="23" t="str">
        <f>IFERROR(__xludf.DUMMYFUNCTION("""COMPUTED_VALUE"""),"Medium")</f>
        <v>Medium</v>
      </c>
      <c r="F1707" s="23">
        <f>IFERROR(__xludf.DUMMYFUNCTION("""COMPUTED_VALUE"""),753.0)</f>
        <v>753</v>
      </c>
      <c r="G1707" s="23">
        <f>IFERROR(__xludf.DUMMYFUNCTION("""COMPUTED_VALUE"""),54.0)</f>
        <v>54</v>
      </c>
      <c r="H1707" s="23" t="str">
        <f>IFERROR(__xludf.DUMMYFUNCTION("""COMPUTED_VALUE"""),"Algorithms")</f>
        <v>Algorithms</v>
      </c>
      <c r="I1707" s="23">
        <f>IFERROR(__xludf.DUMMYFUNCTION("""COMPUTED_VALUE"""),0.666)</f>
        <v>0.666</v>
      </c>
      <c r="J1707" s="23">
        <f>IFERROR(__xludf.DUMMYFUNCTION("""COMPUTED_VALUE"""),1706.0)</f>
        <v>1706</v>
      </c>
      <c r="K1707" s="23" t="b">
        <f>IFERROR(__xludf.DUMMYFUNCTION("""COMPUTED_VALUE"""),FALSE)</f>
        <v>0</v>
      </c>
      <c r="L1707" s="23" t="str">
        <f>IFERROR(__xludf.DUMMYFUNCTION("""COMPUTED_VALUE"""),"Array;Dynamic Programming;Depth-First Search;Matrix;Simulation;")</f>
        <v>Array;Dynamic Programming;Depth-First Search;Matrix;Simulation;</v>
      </c>
      <c r="M1707" s="23" t="b">
        <f>IFERROR(__xludf.DUMMYFUNCTION("""COMPUTED_VALUE"""),FALSE)</f>
        <v>0</v>
      </c>
      <c r="N1707" s="23" t="b">
        <f>IFERROR(__xludf.DUMMYFUNCTION("""COMPUTED_VALUE"""),FALSE)</f>
        <v>0</v>
      </c>
      <c r="O1707" s="23">
        <f>IFERROR(__xludf.DUMMYFUNCTION("""COMPUTED_VALUE"""),66.5663096589507)</f>
        <v>66.56630966</v>
      </c>
      <c r="P1707" s="23">
        <f>IFERROR(__xludf.DUMMYFUNCTION("""COMPUTED_VALUE"""),26974.0)</f>
        <v>26974</v>
      </c>
      <c r="Q1707" s="23">
        <f>IFERROR(__xludf.DUMMYFUNCTION("""COMPUTED_VALUE"""),40522.0)</f>
        <v>40522</v>
      </c>
    </row>
    <row r="1708">
      <c r="A1708" s="23">
        <f>IFERROR(__xludf.DUMMYFUNCTION("""COMPUTED_VALUE"""),1826.0)</f>
        <v>1826</v>
      </c>
      <c r="B1708" s="23" t="str">
        <f>IFERROR(__xludf.DUMMYFUNCTION("""COMPUTED_VALUE"""),"Maximum XOR With an Element From Array")</f>
        <v>Maximum XOR With an Element From Array</v>
      </c>
      <c r="C1708" s="23" t="str">
        <f>IFERROR(__xludf.DUMMYFUNCTION("""COMPUTED_VALUE"""),"maximum-xor-with-an-element-from-array")</f>
        <v>maximum-xor-with-an-element-from-array</v>
      </c>
      <c r="D1708" s="23" t="b">
        <f>IFERROR(__xludf.DUMMYFUNCTION("""COMPUTED_VALUE"""),FALSE)</f>
        <v>0</v>
      </c>
      <c r="E1708" s="23" t="str">
        <f>IFERROR(__xludf.DUMMYFUNCTION("""COMPUTED_VALUE"""),"Hard")</f>
        <v>Hard</v>
      </c>
      <c r="F1708" s="23">
        <f>IFERROR(__xludf.DUMMYFUNCTION("""COMPUTED_VALUE"""),493.0)</f>
        <v>493</v>
      </c>
      <c r="G1708" s="23">
        <f>IFERROR(__xludf.DUMMYFUNCTION("""COMPUTED_VALUE"""),16.0)</f>
        <v>16</v>
      </c>
      <c r="H1708" s="23" t="str">
        <f>IFERROR(__xludf.DUMMYFUNCTION("""COMPUTED_VALUE"""),"Algorithms")</f>
        <v>Algorithms</v>
      </c>
      <c r="I1708" s="23">
        <f>IFERROR(__xludf.DUMMYFUNCTION("""COMPUTED_VALUE"""),0.432)</f>
        <v>0.432</v>
      </c>
      <c r="J1708" s="23">
        <f>IFERROR(__xludf.DUMMYFUNCTION("""COMPUTED_VALUE"""),1707.0)</f>
        <v>1707</v>
      </c>
      <c r="K1708" s="23" t="b">
        <f>IFERROR(__xludf.DUMMYFUNCTION("""COMPUTED_VALUE"""),FALSE)</f>
        <v>0</v>
      </c>
      <c r="L1708" s="23" t="str">
        <f>IFERROR(__xludf.DUMMYFUNCTION("""COMPUTED_VALUE"""),"Array;Bit Manipulation;Trie;")</f>
        <v>Array;Bit Manipulation;Trie;</v>
      </c>
      <c r="M1708" s="23" t="b">
        <f>IFERROR(__xludf.DUMMYFUNCTION("""COMPUTED_VALUE"""),FALSE)</f>
        <v>0</v>
      </c>
      <c r="N1708" s="23" t="b">
        <f>IFERROR(__xludf.DUMMYFUNCTION("""COMPUTED_VALUE"""),FALSE)</f>
        <v>0</v>
      </c>
      <c r="O1708" s="23">
        <f>IFERROR(__xludf.DUMMYFUNCTION("""COMPUTED_VALUE"""),43.2343726689542)</f>
        <v>43.23437267</v>
      </c>
      <c r="P1708" s="23">
        <f>IFERROR(__xludf.DUMMYFUNCTION("""COMPUTED_VALUE"""),8694.0)</f>
        <v>8694</v>
      </c>
      <c r="Q1708" s="23">
        <f>IFERROR(__xludf.DUMMYFUNCTION("""COMPUTED_VALUE"""),20109.0)</f>
        <v>20109</v>
      </c>
    </row>
    <row r="1709">
      <c r="A1709" s="23">
        <f>IFERROR(__xludf.DUMMYFUNCTION("""COMPUTED_VALUE"""),1847.0)</f>
        <v>1847</v>
      </c>
      <c r="B1709" s="23" t="str">
        <f>IFERROR(__xludf.DUMMYFUNCTION("""COMPUTED_VALUE"""),"Largest Subarray Length K")</f>
        <v>Largest Subarray Length K</v>
      </c>
      <c r="C1709" s="23" t="str">
        <f>IFERROR(__xludf.DUMMYFUNCTION("""COMPUTED_VALUE"""),"largest-subarray-length-k")</f>
        <v>largest-subarray-length-k</v>
      </c>
      <c r="D1709" s="23" t="b">
        <f>IFERROR(__xludf.DUMMYFUNCTION("""COMPUTED_VALUE"""),TRUE)</f>
        <v>1</v>
      </c>
      <c r="E1709" s="23" t="str">
        <f>IFERROR(__xludf.DUMMYFUNCTION("""COMPUTED_VALUE"""),"Easy")</f>
        <v>Easy</v>
      </c>
      <c r="F1709" s="23">
        <f>IFERROR(__xludf.DUMMYFUNCTION("""COMPUTED_VALUE"""),65.0)</f>
        <v>65</v>
      </c>
      <c r="G1709" s="23">
        <f>IFERROR(__xludf.DUMMYFUNCTION("""COMPUTED_VALUE"""),82.0)</f>
        <v>82</v>
      </c>
      <c r="H1709" s="23" t="str">
        <f>IFERROR(__xludf.DUMMYFUNCTION("""COMPUTED_VALUE"""),"Algorithms")</f>
        <v>Algorithms</v>
      </c>
      <c r="I1709" s="23">
        <f>IFERROR(__xludf.DUMMYFUNCTION("""COMPUTED_VALUE"""),0.636)</f>
        <v>0.636</v>
      </c>
      <c r="J1709" s="23">
        <f>IFERROR(__xludf.DUMMYFUNCTION("""COMPUTED_VALUE"""),1708.0)</f>
        <v>1708</v>
      </c>
      <c r="K1709" s="23" t="b">
        <f>IFERROR(__xludf.DUMMYFUNCTION("""COMPUTED_VALUE"""),TRUE)</f>
        <v>1</v>
      </c>
      <c r="L1709" s="23" t="str">
        <f>IFERROR(__xludf.DUMMYFUNCTION("""COMPUTED_VALUE"""),"Array;Greedy;")</f>
        <v>Array;Greedy;</v>
      </c>
      <c r="M1709" s="23" t="b">
        <f>IFERROR(__xludf.DUMMYFUNCTION("""COMPUTED_VALUE"""),FALSE)</f>
        <v>0</v>
      </c>
      <c r="N1709" s="23" t="b">
        <f>IFERROR(__xludf.DUMMYFUNCTION("""COMPUTED_VALUE"""),FALSE)</f>
        <v>0</v>
      </c>
      <c r="O1709" s="23">
        <f>IFERROR(__xludf.DUMMYFUNCTION("""COMPUTED_VALUE"""),63.6405904916889)</f>
        <v>63.64059049</v>
      </c>
      <c r="P1709" s="23">
        <f>IFERROR(__xludf.DUMMYFUNCTION("""COMPUTED_VALUE"""),5475.0)</f>
        <v>5475</v>
      </c>
      <c r="Q1709" s="23">
        <f>IFERROR(__xludf.DUMMYFUNCTION("""COMPUTED_VALUE"""),8603.0)</f>
        <v>8603</v>
      </c>
    </row>
    <row r="1710">
      <c r="A1710" s="23">
        <f>IFERROR(__xludf.DUMMYFUNCTION("""COMPUTED_VALUE"""),1852.0)</f>
        <v>1852</v>
      </c>
      <c r="B1710" s="23" t="str">
        <f>IFERROR(__xludf.DUMMYFUNCTION("""COMPUTED_VALUE"""),"Biggest Window Between Visits")</f>
        <v>Biggest Window Between Visits</v>
      </c>
      <c r="C1710" s="23" t="str">
        <f>IFERROR(__xludf.DUMMYFUNCTION("""COMPUTED_VALUE"""),"biggest-window-between-visits")</f>
        <v>biggest-window-between-visits</v>
      </c>
      <c r="D1710" s="23" t="b">
        <f>IFERROR(__xludf.DUMMYFUNCTION("""COMPUTED_VALUE"""),TRUE)</f>
        <v>1</v>
      </c>
      <c r="E1710" s="23" t="str">
        <f>IFERROR(__xludf.DUMMYFUNCTION("""COMPUTED_VALUE"""),"Medium")</f>
        <v>Medium</v>
      </c>
      <c r="F1710" s="23">
        <f>IFERROR(__xludf.DUMMYFUNCTION("""COMPUTED_VALUE"""),102.0)</f>
        <v>102</v>
      </c>
      <c r="G1710" s="23">
        <f>IFERROR(__xludf.DUMMYFUNCTION("""COMPUTED_VALUE"""),6.0)</f>
        <v>6</v>
      </c>
      <c r="H1710" s="23" t="str">
        <f>IFERROR(__xludf.DUMMYFUNCTION("""COMPUTED_VALUE"""),"Database")</f>
        <v>Database</v>
      </c>
      <c r="I1710" s="23">
        <f>IFERROR(__xludf.DUMMYFUNCTION("""COMPUTED_VALUE"""),0.781)</f>
        <v>0.781</v>
      </c>
      <c r="J1710" s="23">
        <f>IFERROR(__xludf.DUMMYFUNCTION("""COMPUTED_VALUE"""),1709.0)</f>
        <v>1709</v>
      </c>
      <c r="K1710" s="23" t="b">
        <f>IFERROR(__xludf.DUMMYFUNCTION("""COMPUTED_VALUE"""),TRUE)</f>
        <v>1</v>
      </c>
      <c r="L1710" s="23" t="str">
        <f>IFERROR(__xludf.DUMMYFUNCTION("""COMPUTED_VALUE"""),"Database;")</f>
        <v>Database;</v>
      </c>
      <c r="M1710" s="23" t="b">
        <f>IFERROR(__xludf.DUMMYFUNCTION("""COMPUTED_VALUE"""),FALSE)</f>
        <v>0</v>
      </c>
      <c r="N1710" s="23" t="b">
        <f>IFERROR(__xludf.DUMMYFUNCTION("""COMPUTED_VALUE"""),FALSE)</f>
        <v>0</v>
      </c>
      <c r="O1710" s="23">
        <f>IFERROR(__xludf.DUMMYFUNCTION("""COMPUTED_VALUE"""),78.0954594762126)</f>
        <v>78.09545948</v>
      </c>
      <c r="P1710" s="23">
        <f>IFERROR(__xludf.DUMMYFUNCTION("""COMPUTED_VALUE"""),10079.0)</f>
        <v>10079</v>
      </c>
      <c r="Q1710" s="23">
        <f>IFERROR(__xludf.DUMMYFUNCTION("""COMPUTED_VALUE"""),12906.0)</f>
        <v>12906</v>
      </c>
    </row>
    <row r="1711">
      <c r="A1711" s="23">
        <f>IFERROR(__xludf.DUMMYFUNCTION("""COMPUTED_VALUE"""),1829.0)</f>
        <v>1829</v>
      </c>
      <c r="B1711" s="23" t="str">
        <f>IFERROR(__xludf.DUMMYFUNCTION("""COMPUTED_VALUE"""),"Maximum Units on a Truck")</f>
        <v>Maximum Units on a Truck</v>
      </c>
      <c r="C1711" s="23" t="str">
        <f>IFERROR(__xludf.DUMMYFUNCTION("""COMPUTED_VALUE"""),"maximum-units-on-a-truck")</f>
        <v>maximum-units-on-a-truck</v>
      </c>
      <c r="D1711" s="23" t="b">
        <f>IFERROR(__xludf.DUMMYFUNCTION("""COMPUTED_VALUE"""),FALSE)</f>
        <v>0</v>
      </c>
      <c r="E1711" s="23" t="str">
        <f>IFERROR(__xludf.DUMMYFUNCTION("""COMPUTED_VALUE"""),"Easy")</f>
        <v>Easy</v>
      </c>
      <c r="F1711" s="23">
        <f>IFERROR(__xludf.DUMMYFUNCTION("""COMPUTED_VALUE"""),1529.0)</f>
        <v>1529</v>
      </c>
      <c r="G1711" s="23">
        <f>IFERROR(__xludf.DUMMYFUNCTION("""COMPUTED_VALUE"""),104.0)</f>
        <v>104</v>
      </c>
      <c r="H1711" s="23" t="str">
        <f>IFERROR(__xludf.DUMMYFUNCTION("""COMPUTED_VALUE"""),"Algorithms")</f>
        <v>Algorithms</v>
      </c>
      <c r="I1711" s="23">
        <f>IFERROR(__xludf.DUMMYFUNCTION("""COMPUTED_VALUE"""),0.72)</f>
        <v>0.72</v>
      </c>
      <c r="J1711" s="23">
        <f>IFERROR(__xludf.DUMMYFUNCTION("""COMPUTED_VALUE"""),1710.0)</f>
        <v>1710</v>
      </c>
      <c r="K1711" s="23" t="b">
        <f>IFERROR(__xludf.DUMMYFUNCTION("""COMPUTED_VALUE"""),FALSE)</f>
        <v>0</v>
      </c>
      <c r="L1711" s="23" t="str">
        <f>IFERROR(__xludf.DUMMYFUNCTION("""COMPUTED_VALUE"""),"Array;Greedy;Sorting;")</f>
        <v>Array;Greedy;Sorting;</v>
      </c>
      <c r="M1711" s="23" t="b">
        <f>IFERROR(__xludf.DUMMYFUNCTION("""COMPUTED_VALUE"""),TRUE)</f>
        <v>1</v>
      </c>
      <c r="N1711" s="23" t="b">
        <f>IFERROR(__xludf.DUMMYFUNCTION("""COMPUTED_VALUE"""),FALSE)</f>
        <v>0</v>
      </c>
      <c r="O1711" s="23">
        <f>IFERROR(__xludf.DUMMYFUNCTION("""COMPUTED_VALUE"""),71.9993507581469)</f>
        <v>71.99935076</v>
      </c>
      <c r="P1711" s="23">
        <f>IFERROR(__xludf.DUMMYFUNCTION("""COMPUTED_VALUE"""),137513.0)</f>
        <v>137513</v>
      </c>
      <c r="Q1711" s="23">
        <f>IFERROR(__xludf.DUMMYFUNCTION("""COMPUTED_VALUE"""),190992.0)</f>
        <v>190992</v>
      </c>
    </row>
    <row r="1712">
      <c r="A1712" s="23">
        <f>IFERROR(__xludf.DUMMYFUNCTION("""COMPUTED_VALUE"""),1830.0)</f>
        <v>1830</v>
      </c>
      <c r="B1712" s="23" t="str">
        <f>IFERROR(__xludf.DUMMYFUNCTION("""COMPUTED_VALUE"""),"Count Good Meals")</f>
        <v>Count Good Meals</v>
      </c>
      <c r="C1712" s="23" t="str">
        <f>IFERROR(__xludf.DUMMYFUNCTION("""COMPUTED_VALUE"""),"count-good-meals")</f>
        <v>count-good-meals</v>
      </c>
      <c r="D1712" s="23" t="b">
        <f>IFERROR(__xludf.DUMMYFUNCTION("""COMPUTED_VALUE"""),FALSE)</f>
        <v>0</v>
      </c>
      <c r="E1712" s="23" t="str">
        <f>IFERROR(__xludf.DUMMYFUNCTION("""COMPUTED_VALUE"""),"Medium")</f>
        <v>Medium</v>
      </c>
      <c r="F1712" s="23">
        <f>IFERROR(__xludf.DUMMYFUNCTION("""COMPUTED_VALUE"""),533.0)</f>
        <v>533</v>
      </c>
      <c r="G1712" s="23">
        <f>IFERROR(__xludf.DUMMYFUNCTION("""COMPUTED_VALUE"""),189.0)</f>
        <v>189</v>
      </c>
      <c r="H1712" s="23" t="str">
        <f>IFERROR(__xludf.DUMMYFUNCTION("""COMPUTED_VALUE"""),"Algorithms")</f>
        <v>Algorithms</v>
      </c>
      <c r="I1712" s="23">
        <f>IFERROR(__xludf.DUMMYFUNCTION("""COMPUTED_VALUE"""),0.282)</f>
        <v>0.282</v>
      </c>
      <c r="J1712" s="23">
        <f>IFERROR(__xludf.DUMMYFUNCTION("""COMPUTED_VALUE"""),1711.0)</f>
        <v>1711</v>
      </c>
      <c r="K1712" s="23" t="b">
        <f>IFERROR(__xludf.DUMMYFUNCTION("""COMPUTED_VALUE"""),FALSE)</f>
        <v>0</v>
      </c>
      <c r="L1712" s="23" t="str">
        <f>IFERROR(__xludf.DUMMYFUNCTION("""COMPUTED_VALUE"""),"Array;Hash Table;")</f>
        <v>Array;Hash Table;</v>
      </c>
      <c r="M1712" s="23" t="b">
        <f>IFERROR(__xludf.DUMMYFUNCTION("""COMPUTED_VALUE"""),FALSE)</f>
        <v>0</v>
      </c>
      <c r="N1712" s="23" t="b">
        <f>IFERROR(__xludf.DUMMYFUNCTION("""COMPUTED_VALUE"""),FALSE)</f>
        <v>0</v>
      </c>
      <c r="O1712" s="23">
        <f>IFERROR(__xludf.DUMMYFUNCTION("""COMPUTED_VALUE"""),28.2159260363853)</f>
        <v>28.21592604</v>
      </c>
      <c r="P1712" s="23">
        <f>IFERROR(__xludf.DUMMYFUNCTION("""COMPUTED_VALUE"""),23651.0)</f>
        <v>23651</v>
      </c>
      <c r="Q1712" s="23">
        <f>IFERROR(__xludf.DUMMYFUNCTION("""COMPUTED_VALUE"""),83823.0)</f>
        <v>83823</v>
      </c>
    </row>
    <row r="1713">
      <c r="A1713" s="23">
        <f>IFERROR(__xludf.DUMMYFUNCTION("""COMPUTED_VALUE"""),1831.0)</f>
        <v>1831</v>
      </c>
      <c r="B1713" s="23" t="str">
        <f>IFERROR(__xludf.DUMMYFUNCTION("""COMPUTED_VALUE"""),"Ways to Split Array Into Three Subarrays")</f>
        <v>Ways to Split Array Into Three Subarrays</v>
      </c>
      <c r="C1713" s="23" t="str">
        <f>IFERROR(__xludf.DUMMYFUNCTION("""COMPUTED_VALUE"""),"ways-to-split-array-into-three-subarrays")</f>
        <v>ways-to-split-array-into-three-subarrays</v>
      </c>
      <c r="D1713" s="23" t="b">
        <f>IFERROR(__xludf.DUMMYFUNCTION("""COMPUTED_VALUE"""),FALSE)</f>
        <v>0</v>
      </c>
      <c r="E1713" s="23" t="str">
        <f>IFERROR(__xludf.DUMMYFUNCTION("""COMPUTED_VALUE"""),"Medium")</f>
        <v>Medium</v>
      </c>
      <c r="F1713" s="23">
        <f>IFERROR(__xludf.DUMMYFUNCTION("""COMPUTED_VALUE"""),798.0)</f>
        <v>798</v>
      </c>
      <c r="G1713" s="23">
        <f>IFERROR(__xludf.DUMMYFUNCTION("""COMPUTED_VALUE"""),76.0)</f>
        <v>76</v>
      </c>
      <c r="H1713" s="23" t="str">
        <f>IFERROR(__xludf.DUMMYFUNCTION("""COMPUTED_VALUE"""),"Algorithms")</f>
        <v>Algorithms</v>
      </c>
      <c r="I1713" s="23">
        <f>IFERROR(__xludf.DUMMYFUNCTION("""COMPUTED_VALUE"""),0.315)</f>
        <v>0.315</v>
      </c>
      <c r="J1713" s="23">
        <f>IFERROR(__xludf.DUMMYFUNCTION("""COMPUTED_VALUE"""),1712.0)</f>
        <v>1712</v>
      </c>
      <c r="K1713" s="23" t="b">
        <f>IFERROR(__xludf.DUMMYFUNCTION("""COMPUTED_VALUE"""),FALSE)</f>
        <v>0</v>
      </c>
      <c r="L1713" s="23" t="str">
        <f>IFERROR(__xludf.DUMMYFUNCTION("""COMPUTED_VALUE"""),"Array;Two Pointers;Binary Search;Prefix Sum;")</f>
        <v>Array;Two Pointers;Binary Search;Prefix Sum;</v>
      </c>
      <c r="M1713" s="23" t="b">
        <f>IFERROR(__xludf.DUMMYFUNCTION("""COMPUTED_VALUE"""),FALSE)</f>
        <v>0</v>
      </c>
      <c r="N1713" s="23" t="b">
        <f>IFERROR(__xludf.DUMMYFUNCTION("""COMPUTED_VALUE"""),FALSE)</f>
        <v>0</v>
      </c>
      <c r="O1713" s="23">
        <f>IFERROR(__xludf.DUMMYFUNCTION("""COMPUTED_VALUE"""),31.4742261365108)</f>
        <v>31.47422614</v>
      </c>
      <c r="P1713" s="23">
        <f>IFERROR(__xludf.DUMMYFUNCTION("""COMPUTED_VALUE"""),19441.0)</f>
        <v>19441</v>
      </c>
      <c r="Q1713" s="23">
        <f>IFERROR(__xludf.DUMMYFUNCTION("""COMPUTED_VALUE"""),61768.0)</f>
        <v>61768</v>
      </c>
    </row>
    <row r="1714">
      <c r="A1714" s="23">
        <f>IFERROR(__xludf.DUMMYFUNCTION("""COMPUTED_VALUE"""),1832.0)</f>
        <v>1832</v>
      </c>
      <c r="B1714" s="23" t="str">
        <f>IFERROR(__xludf.DUMMYFUNCTION("""COMPUTED_VALUE"""),"Minimum Operations to Make a Subsequence")</f>
        <v>Minimum Operations to Make a Subsequence</v>
      </c>
      <c r="C1714" s="23" t="str">
        <f>IFERROR(__xludf.DUMMYFUNCTION("""COMPUTED_VALUE"""),"minimum-operations-to-make-a-subsequence")</f>
        <v>minimum-operations-to-make-a-subsequence</v>
      </c>
      <c r="D1714" s="23" t="b">
        <f>IFERROR(__xludf.DUMMYFUNCTION("""COMPUTED_VALUE"""),FALSE)</f>
        <v>0</v>
      </c>
      <c r="E1714" s="23" t="str">
        <f>IFERROR(__xludf.DUMMYFUNCTION("""COMPUTED_VALUE"""),"Hard")</f>
        <v>Hard</v>
      </c>
      <c r="F1714" s="23">
        <f>IFERROR(__xludf.DUMMYFUNCTION("""COMPUTED_VALUE"""),411.0)</f>
        <v>411</v>
      </c>
      <c r="G1714" s="23">
        <f>IFERROR(__xludf.DUMMYFUNCTION("""COMPUTED_VALUE"""),8.0)</f>
        <v>8</v>
      </c>
      <c r="H1714" s="23" t="str">
        <f>IFERROR(__xludf.DUMMYFUNCTION("""COMPUTED_VALUE"""),"Algorithms")</f>
        <v>Algorithms</v>
      </c>
      <c r="I1714" s="23">
        <f>IFERROR(__xludf.DUMMYFUNCTION("""COMPUTED_VALUE"""),0.489)</f>
        <v>0.489</v>
      </c>
      <c r="J1714" s="23">
        <f>IFERROR(__xludf.DUMMYFUNCTION("""COMPUTED_VALUE"""),1713.0)</f>
        <v>1713</v>
      </c>
      <c r="K1714" s="23" t="b">
        <f>IFERROR(__xludf.DUMMYFUNCTION("""COMPUTED_VALUE"""),FALSE)</f>
        <v>0</v>
      </c>
      <c r="L1714" s="23" t="str">
        <f>IFERROR(__xludf.DUMMYFUNCTION("""COMPUTED_VALUE"""),"Array;Hash Table;Binary Search;Greedy;")</f>
        <v>Array;Hash Table;Binary Search;Greedy;</v>
      </c>
      <c r="M1714" s="23" t="b">
        <f>IFERROR(__xludf.DUMMYFUNCTION("""COMPUTED_VALUE"""),FALSE)</f>
        <v>0</v>
      </c>
      <c r="N1714" s="23" t="b">
        <f>IFERROR(__xludf.DUMMYFUNCTION("""COMPUTED_VALUE"""),FALSE)</f>
        <v>0</v>
      </c>
      <c r="O1714" s="23">
        <f>IFERROR(__xludf.DUMMYFUNCTION("""COMPUTED_VALUE"""),48.9194364655997)</f>
        <v>48.91943647</v>
      </c>
      <c r="P1714" s="23">
        <f>IFERROR(__xludf.DUMMYFUNCTION("""COMPUTED_VALUE"""),7153.0)</f>
        <v>7153</v>
      </c>
      <c r="Q1714" s="23">
        <f>IFERROR(__xludf.DUMMYFUNCTION("""COMPUTED_VALUE"""),14622.0)</f>
        <v>14622</v>
      </c>
    </row>
    <row r="1715">
      <c r="A1715" s="23">
        <f>IFERROR(__xludf.DUMMYFUNCTION("""COMPUTED_VALUE"""),1809.0)</f>
        <v>1809</v>
      </c>
      <c r="B1715" s="23" t="str">
        <f>IFERROR(__xludf.DUMMYFUNCTION("""COMPUTED_VALUE"""),"Sum Of Special Evenly-Spaced Elements In Array")</f>
        <v>Sum Of Special Evenly-Spaced Elements In Array</v>
      </c>
      <c r="C1715" s="23" t="str">
        <f>IFERROR(__xludf.DUMMYFUNCTION("""COMPUTED_VALUE"""),"sum-of-special-evenly-spaced-elements-in-array")</f>
        <v>sum-of-special-evenly-spaced-elements-in-array</v>
      </c>
      <c r="D1715" s="23" t="b">
        <f>IFERROR(__xludf.DUMMYFUNCTION("""COMPUTED_VALUE"""),TRUE)</f>
        <v>1</v>
      </c>
      <c r="E1715" s="23" t="str">
        <f>IFERROR(__xludf.DUMMYFUNCTION("""COMPUTED_VALUE"""),"Hard")</f>
        <v>Hard</v>
      </c>
      <c r="F1715" s="23">
        <f>IFERROR(__xludf.DUMMYFUNCTION("""COMPUTED_VALUE"""),17.0)</f>
        <v>17</v>
      </c>
      <c r="G1715" s="23">
        <f>IFERROR(__xludf.DUMMYFUNCTION("""COMPUTED_VALUE"""),18.0)</f>
        <v>18</v>
      </c>
      <c r="H1715" s="23" t="str">
        <f>IFERROR(__xludf.DUMMYFUNCTION("""COMPUTED_VALUE"""),"Algorithms")</f>
        <v>Algorithms</v>
      </c>
      <c r="I1715" s="23">
        <f>IFERROR(__xludf.DUMMYFUNCTION("""COMPUTED_VALUE"""),0.52)</f>
        <v>0.52</v>
      </c>
      <c r="J1715" s="23">
        <f>IFERROR(__xludf.DUMMYFUNCTION("""COMPUTED_VALUE"""),1714.0)</f>
        <v>1714</v>
      </c>
      <c r="K1715" s="23" t="b">
        <f>IFERROR(__xludf.DUMMYFUNCTION("""COMPUTED_VALUE"""),TRUE)</f>
        <v>1</v>
      </c>
      <c r="L1715" s="23" t="str">
        <f>IFERROR(__xludf.DUMMYFUNCTION("""COMPUTED_VALUE"""),"Array;Dynamic Programming;")</f>
        <v>Array;Dynamic Programming;</v>
      </c>
      <c r="M1715" s="23" t="b">
        <f>IFERROR(__xludf.DUMMYFUNCTION("""COMPUTED_VALUE"""),FALSE)</f>
        <v>0</v>
      </c>
      <c r="N1715" s="23" t="b">
        <f>IFERROR(__xludf.DUMMYFUNCTION("""COMPUTED_VALUE"""),FALSE)</f>
        <v>0</v>
      </c>
      <c r="O1715" s="23">
        <f>IFERROR(__xludf.DUMMYFUNCTION("""COMPUTED_VALUE"""),52.0452099031216)</f>
        <v>52.0452099</v>
      </c>
      <c r="P1715" s="23">
        <f>IFERROR(__xludf.DUMMYFUNCTION("""COMPUTED_VALUE"""),967.0)</f>
        <v>967</v>
      </c>
      <c r="Q1715" s="23">
        <f>IFERROR(__xludf.DUMMYFUNCTION("""COMPUTED_VALUE"""),1858.0)</f>
        <v>1858</v>
      </c>
    </row>
    <row r="1716">
      <c r="A1716" s="23">
        <f>IFERROR(__xludf.DUMMYFUNCTION("""COMPUTED_VALUE"""),1862.0)</f>
        <v>1862</v>
      </c>
      <c r="B1716" s="23" t="str">
        <f>IFERROR(__xludf.DUMMYFUNCTION("""COMPUTED_VALUE"""),"Count Apples and Oranges")</f>
        <v>Count Apples and Oranges</v>
      </c>
      <c r="C1716" s="23" t="str">
        <f>IFERROR(__xludf.DUMMYFUNCTION("""COMPUTED_VALUE"""),"count-apples-and-oranges")</f>
        <v>count-apples-and-oranges</v>
      </c>
      <c r="D1716" s="23" t="b">
        <f>IFERROR(__xludf.DUMMYFUNCTION("""COMPUTED_VALUE"""),TRUE)</f>
        <v>1</v>
      </c>
      <c r="E1716" s="23" t="str">
        <f>IFERROR(__xludf.DUMMYFUNCTION("""COMPUTED_VALUE"""),"Medium")</f>
        <v>Medium</v>
      </c>
      <c r="F1716" s="23">
        <f>IFERROR(__xludf.DUMMYFUNCTION("""COMPUTED_VALUE"""),52.0)</f>
        <v>52</v>
      </c>
      <c r="G1716" s="23">
        <f>IFERROR(__xludf.DUMMYFUNCTION("""COMPUTED_VALUE"""),7.0)</f>
        <v>7</v>
      </c>
      <c r="H1716" s="23" t="str">
        <f>IFERROR(__xludf.DUMMYFUNCTION("""COMPUTED_VALUE"""),"Database")</f>
        <v>Database</v>
      </c>
      <c r="I1716" s="23">
        <f>IFERROR(__xludf.DUMMYFUNCTION("""COMPUTED_VALUE"""),0.781)</f>
        <v>0.781</v>
      </c>
      <c r="J1716" s="23">
        <f>IFERROR(__xludf.DUMMYFUNCTION("""COMPUTED_VALUE"""),1715.0)</f>
        <v>1715</v>
      </c>
      <c r="K1716" s="23" t="b">
        <f>IFERROR(__xludf.DUMMYFUNCTION("""COMPUTED_VALUE"""),TRUE)</f>
        <v>1</v>
      </c>
      <c r="L1716" s="23" t="str">
        <f>IFERROR(__xludf.DUMMYFUNCTION("""COMPUTED_VALUE"""),"Database;")</f>
        <v>Database;</v>
      </c>
      <c r="M1716" s="23" t="b">
        <f>IFERROR(__xludf.DUMMYFUNCTION("""COMPUTED_VALUE"""),FALSE)</f>
        <v>0</v>
      </c>
      <c r="N1716" s="23" t="b">
        <f>IFERROR(__xludf.DUMMYFUNCTION("""COMPUTED_VALUE"""),FALSE)</f>
        <v>0</v>
      </c>
      <c r="O1716" s="23">
        <f>IFERROR(__xludf.DUMMYFUNCTION("""COMPUTED_VALUE"""),78.1192828393706)</f>
        <v>78.11928284</v>
      </c>
      <c r="P1716" s="23">
        <f>IFERROR(__xludf.DUMMYFUNCTION("""COMPUTED_VALUE"""),8540.0)</f>
        <v>8540</v>
      </c>
      <c r="Q1716" s="23">
        <f>IFERROR(__xludf.DUMMYFUNCTION("""COMPUTED_VALUE"""),10932.0)</f>
        <v>10932</v>
      </c>
    </row>
    <row r="1717">
      <c r="A1717" s="23">
        <f>IFERROR(__xludf.DUMMYFUNCTION("""COMPUTED_VALUE"""),1817.0)</f>
        <v>1817</v>
      </c>
      <c r="B1717" s="23" t="str">
        <f>IFERROR(__xludf.DUMMYFUNCTION("""COMPUTED_VALUE"""),"Calculate Money in Leetcode Bank")</f>
        <v>Calculate Money in Leetcode Bank</v>
      </c>
      <c r="C1717" s="23" t="str">
        <f>IFERROR(__xludf.DUMMYFUNCTION("""COMPUTED_VALUE"""),"calculate-money-in-leetcode-bank")</f>
        <v>calculate-money-in-leetcode-bank</v>
      </c>
      <c r="D1717" s="23" t="b">
        <f>IFERROR(__xludf.DUMMYFUNCTION("""COMPUTED_VALUE"""),FALSE)</f>
        <v>0</v>
      </c>
      <c r="E1717" s="23" t="str">
        <f>IFERROR(__xludf.DUMMYFUNCTION("""COMPUTED_VALUE"""),"Easy")</f>
        <v>Easy</v>
      </c>
      <c r="F1717" s="23">
        <f>IFERROR(__xludf.DUMMYFUNCTION("""COMPUTED_VALUE"""),434.0)</f>
        <v>434</v>
      </c>
      <c r="G1717" s="23">
        <f>IFERROR(__xludf.DUMMYFUNCTION("""COMPUTED_VALUE"""),14.0)</f>
        <v>14</v>
      </c>
      <c r="H1717" s="23" t="str">
        <f>IFERROR(__xludf.DUMMYFUNCTION("""COMPUTED_VALUE"""),"Algorithms")</f>
        <v>Algorithms</v>
      </c>
      <c r="I1717" s="23">
        <f>IFERROR(__xludf.DUMMYFUNCTION("""COMPUTED_VALUE"""),0.649)</f>
        <v>0.649</v>
      </c>
      <c r="J1717" s="23">
        <f>IFERROR(__xludf.DUMMYFUNCTION("""COMPUTED_VALUE"""),1716.0)</f>
        <v>1716</v>
      </c>
      <c r="K1717" s="23" t="b">
        <f>IFERROR(__xludf.DUMMYFUNCTION("""COMPUTED_VALUE"""),FALSE)</f>
        <v>0</v>
      </c>
      <c r="L1717" s="23" t="str">
        <f>IFERROR(__xludf.DUMMYFUNCTION("""COMPUTED_VALUE"""),"Math;")</f>
        <v>Math;</v>
      </c>
      <c r="M1717" s="23" t="b">
        <f>IFERROR(__xludf.DUMMYFUNCTION("""COMPUTED_VALUE"""),FALSE)</f>
        <v>0</v>
      </c>
      <c r="N1717" s="23" t="b">
        <f>IFERROR(__xludf.DUMMYFUNCTION("""COMPUTED_VALUE"""),FALSE)</f>
        <v>0</v>
      </c>
      <c r="O1717" s="23">
        <f>IFERROR(__xludf.DUMMYFUNCTION("""COMPUTED_VALUE"""),64.8709414332003)</f>
        <v>64.87094143</v>
      </c>
      <c r="P1717" s="23">
        <f>IFERROR(__xludf.DUMMYFUNCTION("""COMPUTED_VALUE"""),29430.0)</f>
        <v>29430</v>
      </c>
      <c r="Q1717" s="23">
        <f>IFERROR(__xludf.DUMMYFUNCTION("""COMPUTED_VALUE"""),45367.0)</f>
        <v>45367</v>
      </c>
    </row>
    <row r="1718">
      <c r="A1718" s="23">
        <f>IFERROR(__xludf.DUMMYFUNCTION("""COMPUTED_VALUE"""),1818.0)</f>
        <v>1818</v>
      </c>
      <c r="B1718" s="23" t="str">
        <f>IFERROR(__xludf.DUMMYFUNCTION("""COMPUTED_VALUE"""),"Maximum Score From Removing Substrings")</f>
        <v>Maximum Score From Removing Substrings</v>
      </c>
      <c r="C1718" s="23" t="str">
        <f>IFERROR(__xludf.DUMMYFUNCTION("""COMPUTED_VALUE"""),"maximum-score-from-removing-substrings")</f>
        <v>maximum-score-from-removing-substrings</v>
      </c>
      <c r="D1718" s="23" t="b">
        <f>IFERROR(__xludf.DUMMYFUNCTION("""COMPUTED_VALUE"""),FALSE)</f>
        <v>0</v>
      </c>
      <c r="E1718" s="23" t="str">
        <f>IFERROR(__xludf.DUMMYFUNCTION("""COMPUTED_VALUE"""),"Medium")</f>
        <v>Medium</v>
      </c>
      <c r="F1718" s="23">
        <f>IFERROR(__xludf.DUMMYFUNCTION("""COMPUTED_VALUE"""),396.0)</f>
        <v>396</v>
      </c>
      <c r="G1718" s="23">
        <f>IFERROR(__xludf.DUMMYFUNCTION("""COMPUTED_VALUE"""),18.0)</f>
        <v>18</v>
      </c>
      <c r="H1718" s="23" t="str">
        <f>IFERROR(__xludf.DUMMYFUNCTION("""COMPUTED_VALUE"""),"Algorithms")</f>
        <v>Algorithms</v>
      </c>
      <c r="I1718" s="23">
        <f>IFERROR(__xludf.DUMMYFUNCTION("""COMPUTED_VALUE"""),0.45)</f>
        <v>0.45</v>
      </c>
      <c r="J1718" s="23">
        <f>IFERROR(__xludf.DUMMYFUNCTION("""COMPUTED_VALUE"""),1717.0)</f>
        <v>1717</v>
      </c>
      <c r="K1718" s="23" t="b">
        <f>IFERROR(__xludf.DUMMYFUNCTION("""COMPUTED_VALUE"""),FALSE)</f>
        <v>0</v>
      </c>
      <c r="L1718" s="23" t="str">
        <f>IFERROR(__xludf.DUMMYFUNCTION("""COMPUTED_VALUE"""),"String;Stack;Greedy;")</f>
        <v>String;Stack;Greedy;</v>
      </c>
      <c r="M1718" s="23" t="b">
        <f>IFERROR(__xludf.DUMMYFUNCTION("""COMPUTED_VALUE"""),FALSE)</f>
        <v>0</v>
      </c>
      <c r="N1718" s="23" t="b">
        <f>IFERROR(__xludf.DUMMYFUNCTION("""COMPUTED_VALUE"""),FALSE)</f>
        <v>0</v>
      </c>
      <c r="O1718" s="23">
        <f>IFERROR(__xludf.DUMMYFUNCTION("""COMPUTED_VALUE"""),44.9826825449542)</f>
        <v>44.98268254</v>
      </c>
      <c r="P1718" s="23">
        <f>IFERROR(__xludf.DUMMYFUNCTION("""COMPUTED_VALUE"""),9481.0)</f>
        <v>9481</v>
      </c>
      <c r="Q1718" s="23">
        <f>IFERROR(__xludf.DUMMYFUNCTION("""COMPUTED_VALUE"""),21077.0)</f>
        <v>21077</v>
      </c>
    </row>
    <row r="1719">
      <c r="A1719" s="23">
        <f>IFERROR(__xludf.DUMMYFUNCTION("""COMPUTED_VALUE"""),1819.0)</f>
        <v>1819</v>
      </c>
      <c r="B1719" s="23" t="str">
        <f>IFERROR(__xludf.DUMMYFUNCTION("""COMPUTED_VALUE"""),"Construct the Lexicographically Largest Valid Sequence")</f>
        <v>Construct the Lexicographically Largest Valid Sequence</v>
      </c>
      <c r="C1719" s="23" t="str">
        <f>IFERROR(__xludf.DUMMYFUNCTION("""COMPUTED_VALUE"""),"construct-the-lexicographically-largest-valid-sequence")</f>
        <v>construct-the-lexicographically-largest-valid-sequence</v>
      </c>
      <c r="D1719" s="23" t="b">
        <f>IFERROR(__xludf.DUMMYFUNCTION("""COMPUTED_VALUE"""),FALSE)</f>
        <v>0</v>
      </c>
      <c r="E1719" s="23" t="str">
        <f>IFERROR(__xludf.DUMMYFUNCTION("""COMPUTED_VALUE"""),"Medium")</f>
        <v>Medium</v>
      </c>
      <c r="F1719" s="23">
        <f>IFERROR(__xludf.DUMMYFUNCTION("""COMPUTED_VALUE"""),372.0)</f>
        <v>372</v>
      </c>
      <c r="G1719" s="23">
        <f>IFERROR(__xludf.DUMMYFUNCTION("""COMPUTED_VALUE"""),35.0)</f>
        <v>35</v>
      </c>
      <c r="H1719" s="23" t="str">
        <f>IFERROR(__xludf.DUMMYFUNCTION("""COMPUTED_VALUE"""),"Algorithms")</f>
        <v>Algorithms</v>
      </c>
      <c r="I1719" s="23">
        <f>IFERROR(__xludf.DUMMYFUNCTION("""COMPUTED_VALUE"""),0.513)</f>
        <v>0.513</v>
      </c>
      <c r="J1719" s="23">
        <f>IFERROR(__xludf.DUMMYFUNCTION("""COMPUTED_VALUE"""),1718.0)</f>
        <v>1718</v>
      </c>
      <c r="K1719" s="23" t="b">
        <f>IFERROR(__xludf.DUMMYFUNCTION("""COMPUTED_VALUE"""),FALSE)</f>
        <v>0</v>
      </c>
      <c r="L1719" s="23" t="str">
        <f>IFERROR(__xludf.DUMMYFUNCTION("""COMPUTED_VALUE"""),"Array;Backtracking;")</f>
        <v>Array;Backtracking;</v>
      </c>
      <c r="M1719" s="23" t="b">
        <f>IFERROR(__xludf.DUMMYFUNCTION("""COMPUTED_VALUE"""),FALSE)</f>
        <v>0</v>
      </c>
      <c r="N1719" s="23" t="b">
        <f>IFERROR(__xludf.DUMMYFUNCTION("""COMPUTED_VALUE"""),FALSE)</f>
        <v>0</v>
      </c>
      <c r="O1719" s="23">
        <f>IFERROR(__xludf.DUMMYFUNCTION("""COMPUTED_VALUE"""),51.33768448286)</f>
        <v>51.33768448</v>
      </c>
      <c r="P1719" s="23">
        <f>IFERROR(__xludf.DUMMYFUNCTION("""COMPUTED_VALUE"""),8731.0)</f>
        <v>8731</v>
      </c>
      <c r="Q1719" s="23">
        <f>IFERROR(__xludf.DUMMYFUNCTION("""COMPUTED_VALUE"""),17007.0)</f>
        <v>17007</v>
      </c>
    </row>
    <row r="1720">
      <c r="A1720" s="23">
        <f>IFERROR(__xludf.DUMMYFUNCTION("""COMPUTED_VALUE"""),1820.0)</f>
        <v>1820</v>
      </c>
      <c r="B1720" s="23" t="str">
        <f>IFERROR(__xludf.DUMMYFUNCTION("""COMPUTED_VALUE"""),"Number Of Ways To Reconstruct A Tree")</f>
        <v>Number Of Ways To Reconstruct A Tree</v>
      </c>
      <c r="C1720" s="23" t="str">
        <f>IFERROR(__xludf.DUMMYFUNCTION("""COMPUTED_VALUE"""),"number-of-ways-to-reconstruct-a-tree")</f>
        <v>number-of-ways-to-reconstruct-a-tree</v>
      </c>
      <c r="D1720" s="23" t="b">
        <f>IFERROR(__xludf.DUMMYFUNCTION("""COMPUTED_VALUE"""),FALSE)</f>
        <v>0</v>
      </c>
      <c r="E1720" s="23" t="str">
        <f>IFERROR(__xludf.DUMMYFUNCTION("""COMPUTED_VALUE"""),"Hard")</f>
        <v>Hard</v>
      </c>
      <c r="F1720" s="23">
        <f>IFERROR(__xludf.DUMMYFUNCTION("""COMPUTED_VALUE"""),121.0)</f>
        <v>121</v>
      </c>
      <c r="G1720" s="23">
        <f>IFERROR(__xludf.DUMMYFUNCTION("""COMPUTED_VALUE"""),91.0)</f>
        <v>91</v>
      </c>
      <c r="H1720" s="23" t="str">
        <f>IFERROR(__xludf.DUMMYFUNCTION("""COMPUTED_VALUE"""),"Algorithms")</f>
        <v>Algorithms</v>
      </c>
      <c r="I1720" s="23">
        <f>IFERROR(__xludf.DUMMYFUNCTION("""COMPUTED_VALUE"""),0.422)</f>
        <v>0.422</v>
      </c>
      <c r="J1720" s="23">
        <f>IFERROR(__xludf.DUMMYFUNCTION("""COMPUTED_VALUE"""),1719.0)</f>
        <v>1719</v>
      </c>
      <c r="K1720" s="23" t="b">
        <f>IFERROR(__xludf.DUMMYFUNCTION("""COMPUTED_VALUE"""),FALSE)</f>
        <v>0</v>
      </c>
      <c r="L1720" s="23" t="str">
        <f>IFERROR(__xludf.DUMMYFUNCTION("""COMPUTED_VALUE"""),"Tree;Graph;Topological Sort;")</f>
        <v>Tree;Graph;Topological Sort;</v>
      </c>
      <c r="M1720" s="23" t="b">
        <f>IFERROR(__xludf.DUMMYFUNCTION("""COMPUTED_VALUE"""),FALSE)</f>
        <v>0</v>
      </c>
      <c r="N1720" s="23" t="b">
        <f>IFERROR(__xludf.DUMMYFUNCTION("""COMPUTED_VALUE"""),FALSE)</f>
        <v>0</v>
      </c>
      <c r="O1720" s="23">
        <f>IFERROR(__xludf.DUMMYFUNCTION("""COMPUTED_VALUE"""),42.1707569996543)</f>
        <v>42.170757</v>
      </c>
      <c r="P1720" s="23">
        <f>IFERROR(__xludf.DUMMYFUNCTION("""COMPUTED_VALUE"""),2440.0)</f>
        <v>2440</v>
      </c>
      <c r="Q1720" s="23">
        <f>IFERROR(__xludf.DUMMYFUNCTION("""COMPUTED_VALUE"""),5786.0)</f>
        <v>5786</v>
      </c>
    </row>
    <row r="1721">
      <c r="A1721" s="23">
        <f>IFERROR(__xludf.DUMMYFUNCTION("""COMPUTED_VALUE"""),1839.0)</f>
        <v>1839</v>
      </c>
      <c r="B1721" s="23" t="str">
        <f>IFERROR(__xludf.DUMMYFUNCTION("""COMPUTED_VALUE"""),"Decode XORed Array")</f>
        <v>Decode XORed Array</v>
      </c>
      <c r="C1721" s="23" t="str">
        <f>IFERROR(__xludf.DUMMYFUNCTION("""COMPUTED_VALUE"""),"decode-xored-array")</f>
        <v>decode-xored-array</v>
      </c>
      <c r="D1721" s="23" t="b">
        <f>IFERROR(__xludf.DUMMYFUNCTION("""COMPUTED_VALUE"""),FALSE)</f>
        <v>0</v>
      </c>
      <c r="E1721" s="23" t="str">
        <f>IFERROR(__xludf.DUMMYFUNCTION("""COMPUTED_VALUE"""),"Easy")</f>
        <v>Easy</v>
      </c>
      <c r="F1721" s="23">
        <f>IFERROR(__xludf.DUMMYFUNCTION("""COMPUTED_VALUE"""),734.0)</f>
        <v>734</v>
      </c>
      <c r="G1721" s="23">
        <f>IFERROR(__xludf.DUMMYFUNCTION("""COMPUTED_VALUE"""),139.0)</f>
        <v>139</v>
      </c>
      <c r="H1721" s="23" t="str">
        <f>IFERROR(__xludf.DUMMYFUNCTION("""COMPUTED_VALUE"""),"Algorithms")</f>
        <v>Algorithms</v>
      </c>
      <c r="I1721" s="23">
        <f>IFERROR(__xludf.DUMMYFUNCTION("""COMPUTED_VALUE"""),0.859)</f>
        <v>0.859</v>
      </c>
      <c r="J1721" s="23">
        <f>IFERROR(__xludf.DUMMYFUNCTION("""COMPUTED_VALUE"""),1720.0)</f>
        <v>1720</v>
      </c>
      <c r="K1721" s="23" t="b">
        <f>IFERROR(__xludf.DUMMYFUNCTION("""COMPUTED_VALUE"""),FALSE)</f>
        <v>0</v>
      </c>
      <c r="L1721" s="23" t="str">
        <f>IFERROR(__xludf.DUMMYFUNCTION("""COMPUTED_VALUE"""),"Array;Bit Manipulation;")</f>
        <v>Array;Bit Manipulation;</v>
      </c>
      <c r="M1721" s="23" t="b">
        <f>IFERROR(__xludf.DUMMYFUNCTION("""COMPUTED_VALUE"""),FALSE)</f>
        <v>0</v>
      </c>
      <c r="N1721" s="23" t="b">
        <f>IFERROR(__xludf.DUMMYFUNCTION("""COMPUTED_VALUE"""),FALSE)</f>
        <v>0</v>
      </c>
      <c r="O1721" s="23">
        <f>IFERROR(__xludf.DUMMYFUNCTION("""COMPUTED_VALUE"""),85.9038142620232)</f>
        <v>85.90381426</v>
      </c>
      <c r="P1721" s="23">
        <f>IFERROR(__xludf.DUMMYFUNCTION("""COMPUTED_VALUE"""),69411.0)</f>
        <v>69411</v>
      </c>
      <c r="Q1721" s="23">
        <f>IFERROR(__xludf.DUMMYFUNCTION("""COMPUTED_VALUE"""),80801.0)</f>
        <v>80801</v>
      </c>
    </row>
    <row r="1722">
      <c r="A1722" s="23">
        <f>IFERROR(__xludf.DUMMYFUNCTION("""COMPUTED_VALUE"""),528.0)</f>
        <v>528</v>
      </c>
      <c r="B1722" s="23" t="str">
        <f>IFERROR(__xludf.DUMMYFUNCTION("""COMPUTED_VALUE"""),"Swapping Nodes in a Linked List")</f>
        <v>Swapping Nodes in a Linked List</v>
      </c>
      <c r="C1722" s="23" t="str">
        <f>IFERROR(__xludf.DUMMYFUNCTION("""COMPUTED_VALUE"""),"swapping-nodes-in-a-linked-list")</f>
        <v>swapping-nodes-in-a-linked-list</v>
      </c>
      <c r="D1722" s="23" t="b">
        <f>IFERROR(__xludf.DUMMYFUNCTION("""COMPUTED_VALUE"""),FALSE)</f>
        <v>0</v>
      </c>
      <c r="E1722" s="23" t="str">
        <f>IFERROR(__xludf.DUMMYFUNCTION("""COMPUTED_VALUE"""),"Medium")</f>
        <v>Medium</v>
      </c>
      <c r="F1722" s="23">
        <f>IFERROR(__xludf.DUMMYFUNCTION("""COMPUTED_VALUE"""),2719.0)</f>
        <v>2719</v>
      </c>
      <c r="G1722" s="23">
        <f>IFERROR(__xludf.DUMMYFUNCTION("""COMPUTED_VALUE"""),102.0)</f>
        <v>102</v>
      </c>
      <c r="H1722" s="23" t="str">
        <f>IFERROR(__xludf.DUMMYFUNCTION("""COMPUTED_VALUE"""),"Algorithms")</f>
        <v>Algorithms</v>
      </c>
      <c r="I1722" s="23">
        <f>IFERROR(__xludf.DUMMYFUNCTION("""COMPUTED_VALUE"""),0.684)</f>
        <v>0.684</v>
      </c>
      <c r="J1722" s="23">
        <f>IFERROR(__xludf.DUMMYFUNCTION("""COMPUTED_VALUE"""),1721.0)</f>
        <v>1721</v>
      </c>
      <c r="K1722" s="23" t="b">
        <f>IFERROR(__xludf.DUMMYFUNCTION("""COMPUTED_VALUE"""),FALSE)</f>
        <v>0</v>
      </c>
      <c r="L1722" s="23" t="str">
        <f>IFERROR(__xludf.DUMMYFUNCTION("""COMPUTED_VALUE"""),"Linked List;Two Pointers;")</f>
        <v>Linked List;Two Pointers;</v>
      </c>
      <c r="M1722" s="23" t="b">
        <f>IFERROR(__xludf.DUMMYFUNCTION("""COMPUTED_VALUE"""),TRUE)</f>
        <v>1</v>
      </c>
      <c r="N1722" s="23" t="b">
        <f>IFERROR(__xludf.DUMMYFUNCTION("""COMPUTED_VALUE"""),FALSE)</f>
        <v>0</v>
      </c>
      <c r="O1722" s="23">
        <f>IFERROR(__xludf.DUMMYFUNCTION("""COMPUTED_VALUE"""),68.3908021233817)</f>
        <v>68.39080212</v>
      </c>
      <c r="P1722" s="23">
        <f>IFERROR(__xludf.DUMMYFUNCTION("""COMPUTED_VALUE"""),158852.0)</f>
        <v>158852</v>
      </c>
      <c r="Q1722" s="23">
        <f>IFERROR(__xludf.DUMMYFUNCTION("""COMPUTED_VALUE"""),232270.0)</f>
        <v>232270</v>
      </c>
    </row>
    <row r="1723">
      <c r="A1723" s="23">
        <f>IFERROR(__xludf.DUMMYFUNCTION("""COMPUTED_VALUE"""),1840.0)</f>
        <v>1840</v>
      </c>
      <c r="B1723" s="23" t="str">
        <f>IFERROR(__xludf.DUMMYFUNCTION("""COMPUTED_VALUE"""),"Minimize Hamming Distance After Swap Operations")</f>
        <v>Minimize Hamming Distance After Swap Operations</v>
      </c>
      <c r="C1723" s="23" t="str">
        <f>IFERROR(__xludf.DUMMYFUNCTION("""COMPUTED_VALUE"""),"minimize-hamming-distance-after-swap-operations")</f>
        <v>minimize-hamming-distance-after-swap-operations</v>
      </c>
      <c r="D1723" s="23" t="b">
        <f>IFERROR(__xludf.DUMMYFUNCTION("""COMPUTED_VALUE"""),FALSE)</f>
        <v>0</v>
      </c>
      <c r="E1723" s="23" t="str">
        <f>IFERROR(__xludf.DUMMYFUNCTION("""COMPUTED_VALUE"""),"Medium")</f>
        <v>Medium</v>
      </c>
      <c r="F1723" s="23">
        <f>IFERROR(__xludf.DUMMYFUNCTION("""COMPUTED_VALUE"""),583.0)</f>
        <v>583</v>
      </c>
      <c r="G1723" s="23">
        <f>IFERROR(__xludf.DUMMYFUNCTION("""COMPUTED_VALUE"""),19.0)</f>
        <v>19</v>
      </c>
      <c r="H1723" s="23" t="str">
        <f>IFERROR(__xludf.DUMMYFUNCTION("""COMPUTED_VALUE"""),"Algorithms")</f>
        <v>Algorithms</v>
      </c>
      <c r="I1723" s="23">
        <f>IFERROR(__xludf.DUMMYFUNCTION("""COMPUTED_VALUE"""),0.48)</f>
        <v>0.48</v>
      </c>
      <c r="J1723" s="23">
        <f>IFERROR(__xludf.DUMMYFUNCTION("""COMPUTED_VALUE"""),1722.0)</f>
        <v>1722</v>
      </c>
      <c r="K1723" s="23" t="b">
        <f>IFERROR(__xludf.DUMMYFUNCTION("""COMPUTED_VALUE"""),FALSE)</f>
        <v>0</v>
      </c>
      <c r="L1723" s="23" t="str">
        <f>IFERROR(__xludf.DUMMYFUNCTION("""COMPUTED_VALUE"""),"Array;Depth-First Search;Union Find;")</f>
        <v>Array;Depth-First Search;Union Find;</v>
      </c>
      <c r="M1723" s="23" t="b">
        <f>IFERROR(__xludf.DUMMYFUNCTION("""COMPUTED_VALUE"""),FALSE)</f>
        <v>0</v>
      </c>
      <c r="N1723" s="23" t="b">
        <f>IFERROR(__xludf.DUMMYFUNCTION("""COMPUTED_VALUE"""),FALSE)</f>
        <v>0</v>
      </c>
      <c r="O1723" s="23">
        <f>IFERROR(__xludf.DUMMYFUNCTION("""COMPUTED_VALUE"""),48.0089275226124)</f>
        <v>48.00892752</v>
      </c>
      <c r="P1723" s="23">
        <f>IFERROR(__xludf.DUMMYFUNCTION("""COMPUTED_VALUE"""),12261.0)</f>
        <v>12261</v>
      </c>
      <c r="Q1723" s="23">
        <f>IFERROR(__xludf.DUMMYFUNCTION("""COMPUTED_VALUE"""),25539.0)</f>
        <v>25539</v>
      </c>
    </row>
    <row r="1724">
      <c r="A1724" s="23">
        <f>IFERROR(__xludf.DUMMYFUNCTION("""COMPUTED_VALUE"""),1825.0)</f>
        <v>1825</v>
      </c>
      <c r="B1724" s="23" t="str">
        <f>IFERROR(__xludf.DUMMYFUNCTION("""COMPUTED_VALUE"""),"Find Minimum Time to Finish All Jobs")</f>
        <v>Find Minimum Time to Finish All Jobs</v>
      </c>
      <c r="C1724" s="23" t="str">
        <f>IFERROR(__xludf.DUMMYFUNCTION("""COMPUTED_VALUE"""),"find-minimum-time-to-finish-all-jobs")</f>
        <v>find-minimum-time-to-finish-all-jobs</v>
      </c>
      <c r="D1724" s="23" t="b">
        <f>IFERROR(__xludf.DUMMYFUNCTION("""COMPUTED_VALUE"""),FALSE)</f>
        <v>0</v>
      </c>
      <c r="E1724" s="23" t="str">
        <f>IFERROR(__xludf.DUMMYFUNCTION("""COMPUTED_VALUE"""),"Hard")</f>
        <v>Hard</v>
      </c>
      <c r="F1724" s="23">
        <f>IFERROR(__xludf.DUMMYFUNCTION("""COMPUTED_VALUE"""),500.0)</f>
        <v>500</v>
      </c>
      <c r="G1724" s="23">
        <f>IFERROR(__xludf.DUMMYFUNCTION("""COMPUTED_VALUE"""),14.0)</f>
        <v>14</v>
      </c>
      <c r="H1724" s="23" t="str">
        <f>IFERROR(__xludf.DUMMYFUNCTION("""COMPUTED_VALUE"""),"Algorithms")</f>
        <v>Algorithms</v>
      </c>
      <c r="I1724" s="23">
        <f>IFERROR(__xludf.DUMMYFUNCTION("""COMPUTED_VALUE"""),0.43)</f>
        <v>0.43</v>
      </c>
      <c r="J1724" s="23">
        <f>IFERROR(__xludf.DUMMYFUNCTION("""COMPUTED_VALUE"""),1723.0)</f>
        <v>1723</v>
      </c>
      <c r="K1724" s="23" t="b">
        <f>IFERROR(__xludf.DUMMYFUNCTION("""COMPUTED_VALUE"""),FALSE)</f>
        <v>0</v>
      </c>
      <c r="L1724" s="23" t="str">
        <f>IFERROR(__xludf.DUMMYFUNCTION("""COMPUTED_VALUE"""),"Array;Dynamic Programming;Backtracking;Bit Manipulation;Bitmask;")</f>
        <v>Array;Dynamic Programming;Backtracking;Bit Manipulation;Bitmask;</v>
      </c>
      <c r="M1724" s="23" t="b">
        <f>IFERROR(__xludf.DUMMYFUNCTION("""COMPUTED_VALUE"""),FALSE)</f>
        <v>0</v>
      </c>
      <c r="N1724" s="23" t="b">
        <f>IFERROR(__xludf.DUMMYFUNCTION("""COMPUTED_VALUE"""),FALSE)</f>
        <v>0</v>
      </c>
      <c r="O1724" s="23">
        <f>IFERROR(__xludf.DUMMYFUNCTION("""COMPUTED_VALUE"""),42.9938167163995)</f>
        <v>42.99381672</v>
      </c>
      <c r="P1724" s="23">
        <f>IFERROR(__xludf.DUMMYFUNCTION("""COMPUTED_VALUE"""),13976.0)</f>
        <v>13976</v>
      </c>
      <c r="Q1724" s="23">
        <f>IFERROR(__xludf.DUMMYFUNCTION("""COMPUTED_VALUE"""),32507.0)</f>
        <v>32507</v>
      </c>
    </row>
    <row r="1725">
      <c r="A1725" s="23">
        <f>IFERROR(__xludf.DUMMYFUNCTION("""COMPUTED_VALUE"""),1865.0)</f>
        <v>1865</v>
      </c>
      <c r="B1725" s="23" t="str">
        <f>IFERROR(__xludf.DUMMYFUNCTION("""COMPUTED_VALUE"""),"Checking Existence of Edge Length Limited Paths II")</f>
        <v>Checking Existence of Edge Length Limited Paths II</v>
      </c>
      <c r="C1725" s="23" t="str">
        <f>IFERROR(__xludf.DUMMYFUNCTION("""COMPUTED_VALUE"""),"checking-existence-of-edge-length-limited-paths-ii")</f>
        <v>checking-existence-of-edge-length-limited-paths-ii</v>
      </c>
      <c r="D1725" s="23" t="b">
        <f>IFERROR(__xludf.DUMMYFUNCTION("""COMPUTED_VALUE"""),TRUE)</f>
        <v>1</v>
      </c>
      <c r="E1725" s="23" t="str">
        <f>IFERROR(__xludf.DUMMYFUNCTION("""COMPUTED_VALUE"""),"Hard")</f>
        <v>Hard</v>
      </c>
      <c r="F1725" s="23">
        <f>IFERROR(__xludf.DUMMYFUNCTION("""COMPUTED_VALUE"""),50.0)</f>
        <v>50</v>
      </c>
      <c r="G1725" s="23">
        <f>IFERROR(__xludf.DUMMYFUNCTION("""COMPUTED_VALUE"""),6.0)</f>
        <v>6</v>
      </c>
      <c r="H1725" s="23" t="str">
        <f>IFERROR(__xludf.DUMMYFUNCTION("""COMPUTED_VALUE"""),"Algorithms")</f>
        <v>Algorithms</v>
      </c>
      <c r="I1725" s="23">
        <f>IFERROR(__xludf.DUMMYFUNCTION("""COMPUTED_VALUE"""),0.526)</f>
        <v>0.526</v>
      </c>
      <c r="J1725" s="23">
        <f>IFERROR(__xludf.DUMMYFUNCTION("""COMPUTED_VALUE"""),1724.0)</f>
        <v>1724</v>
      </c>
      <c r="K1725" s="23" t="b">
        <f>IFERROR(__xludf.DUMMYFUNCTION("""COMPUTED_VALUE"""),TRUE)</f>
        <v>1</v>
      </c>
      <c r="L1725" s="23" t="str">
        <f>IFERROR(__xludf.DUMMYFUNCTION("""COMPUTED_VALUE"""),"Union Find;Graph;Minimum Spanning Tree;")</f>
        <v>Union Find;Graph;Minimum Spanning Tree;</v>
      </c>
      <c r="M1725" s="23" t="b">
        <f>IFERROR(__xludf.DUMMYFUNCTION("""COMPUTED_VALUE"""),FALSE)</f>
        <v>0</v>
      </c>
      <c r="N1725" s="23" t="b">
        <f>IFERROR(__xludf.DUMMYFUNCTION("""COMPUTED_VALUE"""),FALSE)</f>
        <v>0</v>
      </c>
      <c r="O1725" s="23">
        <f>IFERROR(__xludf.DUMMYFUNCTION("""COMPUTED_VALUE"""),52.5803310613437)</f>
        <v>52.58033106</v>
      </c>
      <c r="P1725" s="23">
        <f>IFERROR(__xludf.DUMMYFUNCTION("""COMPUTED_VALUE"""),1620.0)</f>
        <v>1620</v>
      </c>
      <c r="Q1725" s="23">
        <f>IFERROR(__xludf.DUMMYFUNCTION("""COMPUTED_VALUE"""),3081.0)</f>
        <v>3081</v>
      </c>
    </row>
    <row r="1726">
      <c r="A1726" s="23">
        <f>IFERROR(__xludf.DUMMYFUNCTION("""COMPUTED_VALUE"""),1843.0)</f>
        <v>1843</v>
      </c>
      <c r="B1726" s="23" t="str">
        <f>IFERROR(__xludf.DUMMYFUNCTION("""COMPUTED_VALUE"""),"Number Of Rectangles That Can Form The Largest Square")</f>
        <v>Number Of Rectangles That Can Form The Largest Square</v>
      </c>
      <c r="C1726" s="23" t="str">
        <f>IFERROR(__xludf.DUMMYFUNCTION("""COMPUTED_VALUE"""),"number-of-rectangles-that-can-form-the-largest-square")</f>
        <v>number-of-rectangles-that-can-form-the-largest-square</v>
      </c>
      <c r="D1726" s="23" t="b">
        <f>IFERROR(__xludf.DUMMYFUNCTION("""COMPUTED_VALUE"""),FALSE)</f>
        <v>0</v>
      </c>
      <c r="E1726" s="23" t="str">
        <f>IFERROR(__xludf.DUMMYFUNCTION("""COMPUTED_VALUE"""),"Easy")</f>
        <v>Easy</v>
      </c>
      <c r="F1726" s="23">
        <f>IFERROR(__xludf.DUMMYFUNCTION("""COMPUTED_VALUE"""),340.0)</f>
        <v>340</v>
      </c>
      <c r="G1726" s="23">
        <f>IFERROR(__xludf.DUMMYFUNCTION("""COMPUTED_VALUE"""),41.0)</f>
        <v>41</v>
      </c>
      <c r="H1726" s="23" t="str">
        <f>IFERROR(__xludf.DUMMYFUNCTION("""COMPUTED_VALUE"""),"Algorithms")</f>
        <v>Algorithms</v>
      </c>
      <c r="I1726" s="23">
        <f>IFERROR(__xludf.DUMMYFUNCTION("""COMPUTED_VALUE"""),0.788)</f>
        <v>0.788</v>
      </c>
      <c r="J1726" s="23">
        <f>IFERROR(__xludf.DUMMYFUNCTION("""COMPUTED_VALUE"""),1725.0)</f>
        <v>1725</v>
      </c>
      <c r="K1726" s="23" t="b">
        <f>IFERROR(__xludf.DUMMYFUNCTION("""COMPUTED_VALUE"""),FALSE)</f>
        <v>0</v>
      </c>
      <c r="L1726" s="23" t="str">
        <f>IFERROR(__xludf.DUMMYFUNCTION("""COMPUTED_VALUE"""),"Array;")</f>
        <v>Array;</v>
      </c>
      <c r="M1726" s="23" t="b">
        <f>IFERROR(__xludf.DUMMYFUNCTION("""COMPUTED_VALUE"""),FALSE)</f>
        <v>0</v>
      </c>
      <c r="N1726" s="23" t="b">
        <f>IFERROR(__xludf.DUMMYFUNCTION("""COMPUTED_VALUE"""),FALSE)</f>
        <v>0</v>
      </c>
      <c r="O1726" s="23">
        <f>IFERROR(__xludf.DUMMYFUNCTION("""COMPUTED_VALUE"""),78.8035266892344)</f>
        <v>78.80352669</v>
      </c>
      <c r="P1726" s="23">
        <f>IFERROR(__xludf.DUMMYFUNCTION("""COMPUTED_VALUE"""),41204.0)</f>
        <v>41204</v>
      </c>
      <c r="Q1726" s="23">
        <f>IFERROR(__xludf.DUMMYFUNCTION("""COMPUTED_VALUE"""),52287.0)</f>
        <v>52287</v>
      </c>
    </row>
    <row r="1727">
      <c r="A1727" s="23">
        <f>IFERROR(__xludf.DUMMYFUNCTION("""COMPUTED_VALUE"""),1364.0)</f>
        <v>1364</v>
      </c>
      <c r="B1727" s="23" t="str">
        <f>IFERROR(__xludf.DUMMYFUNCTION("""COMPUTED_VALUE"""),"Tuple with Same Product")</f>
        <v>Tuple with Same Product</v>
      </c>
      <c r="C1727" s="23" t="str">
        <f>IFERROR(__xludf.DUMMYFUNCTION("""COMPUTED_VALUE"""),"tuple-with-same-product")</f>
        <v>tuple-with-same-product</v>
      </c>
      <c r="D1727" s="23" t="b">
        <f>IFERROR(__xludf.DUMMYFUNCTION("""COMPUTED_VALUE"""),FALSE)</f>
        <v>0</v>
      </c>
      <c r="E1727" s="23" t="str">
        <f>IFERROR(__xludf.DUMMYFUNCTION("""COMPUTED_VALUE"""),"Medium")</f>
        <v>Medium</v>
      </c>
      <c r="F1727" s="23">
        <f>IFERROR(__xludf.DUMMYFUNCTION("""COMPUTED_VALUE"""),406.0)</f>
        <v>406</v>
      </c>
      <c r="G1727" s="23">
        <f>IFERROR(__xludf.DUMMYFUNCTION("""COMPUTED_VALUE"""),19.0)</f>
        <v>19</v>
      </c>
      <c r="H1727" s="23" t="str">
        <f>IFERROR(__xludf.DUMMYFUNCTION("""COMPUTED_VALUE"""),"Algorithms")</f>
        <v>Algorithms</v>
      </c>
      <c r="I1727" s="23">
        <f>IFERROR(__xludf.DUMMYFUNCTION("""COMPUTED_VALUE"""),0.605)</f>
        <v>0.605</v>
      </c>
      <c r="J1727" s="23">
        <f>IFERROR(__xludf.DUMMYFUNCTION("""COMPUTED_VALUE"""),1726.0)</f>
        <v>1726</v>
      </c>
      <c r="K1727" s="23" t="b">
        <f>IFERROR(__xludf.DUMMYFUNCTION("""COMPUTED_VALUE"""),FALSE)</f>
        <v>0</v>
      </c>
      <c r="L1727" s="23" t="str">
        <f>IFERROR(__xludf.DUMMYFUNCTION("""COMPUTED_VALUE"""),"Array;Hash Table;")</f>
        <v>Array;Hash Table;</v>
      </c>
      <c r="M1727" s="23" t="b">
        <f>IFERROR(__xludf.DUMMYFUNCTION("""COMPUTED_VALUE"""),FALSE)</f>
        <v>0</v>
      </c>
      <c r="N1727" s="23" t="b">
        <f>IFERROR(__xludf.DUMMYFUNCTION("""COMPUTED_VALUE"""),FALSE)</f>
        <v>0</v>
      </c>
      <c r="O1727" s="23">
        <f>IFERROR(__xludf.DUMMYFUNCTION("""COMPUTED_VALUE"""),60.4842393787117)</f>
        <v>60.48423938</v>
      </c>
      <c r="P1727" s="23">
        <f>IFERROR(__xludf.DUMMYFUNCTION("""COMPUTED_VALUE"""),18536.0)</f>
        <v>18536</v>
      </c>
      <c r="Q1727" s="23">
        <f>IFERROR(__xludf.DUMMYFUNCTION("""COMPUTED_VALUE"""),30646.0)</f>
        <v>30646</v>
      </c>
    </row>
    <row r="1728">
      <c r="A1728" s="23">
        <f>IFERROR(__xludf.DUMMYFUNCTION("""COMPUTED_VALUE"""),1845.0)</f>
        <v>1845</v>
      </c>
      <c r="B1728" s="23" t="str">
        <f>IFERROR(__xludf.DUMMYFUNCTION("""COMPUTED_VALUE"""),"Largest Submatrix With Rearrangements")</f>
        <v>Largest Submatrix With Rearrangements</v>
      </c>
      <c r="C1728" s="23" t="str">
        <f>IFERROR(__xludf.DUMMYFUNCTION("""COMPUTED_VALUE"""),"largest-submatrix-with-rearrangements")</f>
        <v>largest-submatrix-with-rearrangements</v>
      </c>
      <c r="D1728" s="23" t="b">
        <f>IFERROR(__xludf.DUMMYFUNCTION("""COMPUTED_VALUE"""),FALSE)</f>
        <v>0</v>
      </c>
      <c r="E1728" s="23" t="str">
        <f>IFERROR(__xludf.DUMMYFUNCTION("""COMPUTED_VALUE"""),"Medium")</f>
        <v>Medium</v>
      </c>
      <c r="F1728" s="23">
        <f>IFERROR(__xludf.DUMMYFUNCTION("""COMPUTED_VALUE"""),650.0)</f>
        <v>650</v>
      </c>
      <c r="G1728" s="23">
        <f>IFERROR(__xludf.DUMMYFUNCTION("""COMPUTED_VALUE"""),16.0)</f>
        <v>16</v>
      </c>
      <c r="H1728" s="23" t="str">
        <f>IFERROR(__xludf.DUMMYFUNCTION("""COMPUTED_VALUE"""),"Algorithms")</f>
        <v>Algorithms</v>
      </c>
      <c r="I1728" s="23">
        <f>IFERROR(__xludf.DUMMYFUNCTION("""COMPUTED_VALUE"""),0.603)</f>
        <v>0.603</v>
      </c>
      <c r="J1728" s="23">
        <f>IFERROR(__xludf.DUMMYFUNCTION("""COMPUTED_VALUE"""),1727.0)</f>
        <v>1727</v>
      </c>
      <c r="K1728" s="23" t="b">
        <f>IFERROR(__xludf.DUMMYFUNCTION("""COMPUTED_VALUE"""),FALSE)</f>
        <v>0</v>
      </c>
      <c r="L1728" s="23" t="str">
        <f>IFERROR(__xludf.DUMMYFUNCTION("""COMPUTED_VALUE"""),"Array;Greedy;Sorting;Matrix;")</f>
        <v>Array;Greedy;Sorting;Matrix;</v>
      </c>
      <c r="M1728" s="23" t="b">
        <f>IFERROR(__xludf.DUMMYFUNCTION("""COMPUTED_VALUE"""),FALSE)</f>
        <v>0</v>
      </c>
      <c r="N1728" s="23" t="b">
        <f>IFERROR(__xludf.DUMMYFUNCTION("""COMPUTED_VALUE"""),FALSE)</f>
        <v>0</v>
      </c>
      <c r="O1728" s="23">
        <f>IFERROR(__xludf.DUMMYFUNCTION("""COMPUTED_VALUE"""),60.3273137697516)</f>
        <v>60.32731377</v>
      </c>
      <c r="P1728" s="23">
        <f>IFERROR(__xludf.DUMMYFUNCTION("""COMPUTED_VALUE"""),11759.0)</f>
        <v>11759</v>
      </c>
      <c r="Q1728" s="23">
        <f>IFERROR(__xludf.DUMMYFUNCTION("""COMPUTED_VALUE"""),19492.0)</f>
        <v>19492</v>
      </c>
    </row>
    <row r="1729">
      <c r="A1729" s="23">
        <f>IFERROR(__xludf.DUMMYFUNCTION("""COMPUTED_VALUE"""),1727.0)</f>
        <v>1727</v>
      </c>
      <c r="B1729" s="23" t="str">
        <f>IFERROR(__xludf.DUMMYFUNCTION("""COMPUTED_VALUE"""),"Cat and Mouse II")</f>
        <v>Cat and Mouse II</v>
      </c>
      <c r="C1729" s="23" t="str">
        <f>IFERROR(__xludf.DUMMYFUNCTION("""COMPUTED_VALUE"""),"cat-and-mouse-ii")</f>
        <v>cat-and-mouse-ii</v>
      </c>
      <c r="D1729" s="23" t="b">
        <f>IFERROR(__xludf.DUMMYFUNCTION("""COMPUTED_VALUE"""),FALSE)</f>
        <v>0</v>
      </c>
      <c r="E1729" s="23" t="str">
        <f>IFERROR(__xludf.DUMMYFUNCTION("""COMPUTED_VALUE"""),"Hard")</f>
        <v>Hard</v>
      </c>
      <c r="F1729" s="23">
        <f>IFERROR(__xludf.DUMMYFUNCTION("""COMPUTED_VALUE"""),151.0)</f>
        <v>151</v>
      </c>
      <c r="G1729" s="23">
        <f>IFERROR(__xludf.DUMMYFUNCTION("""COMPUTED_VALUE"""),27.0)</f>
        <v>27</v>
      </c>
      <c r="H1729" s="23" t="str">
        <f>IFERROR(__xludf.DUMMYFUNCTION("""COMPUTED_VALUE"""),"Algorithms")</f>
        <v>Algorithms</v>
      </c>
      <c r="I1729" s="23">
        <f>IFERROR(__xludf.DUMMYFUNCTION("""COMPUTED_VALUE"""),0.413)</f>
        <v>0.413</v>
      </c>
      <c r="J1729" s="23">
        <f>IFERROR(__xludf.DUMMYFUNCTION("""COMPUTED_VALUE"""),1728.0)</f>
        <v>1728</v>
      </c>
      <c r="K1729" s="23" t="b">
        <f>IFERROR(__xludf.DUMMYFUNCTION("""COMPUTED_VALUE"""),FALSE)</f>
        <v>0</v>
      </c>
      <c r="L1729" s="23" t="str">
        <f>IFERROR(__xludf.DUMMYFUNCTION("""COMPUTED_VALUE"""),"Math;Dynamic Programming;Breadth-First Search;Graph;Memoization;Game Theory;")</f>
        <v>Math;Dynamic Programming;Breadth-First Search;Graph;Memoization;Game Theory;</v>
      </c>
      <c r="M1729" s="23" t="b">
        <f>IFERROR(__xludf.DUMMYFUNCTION("""COMPUTED_VALUE"""),FALSE)</f>
        <v>0</v>
      </c>
      <c r="N1729" s="23" t="b">
        <f>IFERROR(__xludf.DUMMYFUNCTION("""COMPUTED_VALUE"""),FALSE)</f>
        <v>0</v>
      </c>
      <c r="O1729" s="23">
        <f>IFERROR(__xludf.DUMMYFUNCTION("""COMPUTED_VALUE"""),41.2866015971606)</f>
        <v>41.2866016</v>
      </c>
      <c r="P1729" s="23">
        <f>IFERROR(__xludf.DUMMYFUNCTION("""COMPUTED_VALUE"""),4653.0)</f>
        <v>4653</v>
      </c>
      <c r="Q1729" s="23">
        <f>IFERROR(__xludf.DUMMYFUNCTION("""COMPUTED_VALUE"""),11270.0)</f>
        <v>11270</v>
      </c>
    </row>
    <row r="1730">
      <c r="A1730" s="23">
        <f>IFERROR(__xludf.DUMMYFUNCTION("""COMPUTED_VALUE"""),1877.0)</f>
        <v>1877</v>
      </c>
      <c r="B1730" s="23" t="str">
        <f>IFERROR(__xludf.DUMMYFUNCTION("""COMPUTED_VALUE"""),"Find Followers Count")</f>
        <v>Find Followers Count</v>
      </c>
      <c r="C1730" s="23" t="str">
        <f>IFERROR(__xludf.DUMMYFUNCTION("""COMPUTED_VALUE"""),"find-followers-count")</f>
        <v>find-followers-count</v>
      </c>
      <c r="D1730" s="23" t="b">
        <f>IFERROR(__xludf.DUMMYFUNCTION("""COMPUTED_VALUE"""),FALSE)</f>
        <v>0</v>
      </c>
      <c r="E1730" s="23" t="str">
        <f>IFERROR(__xludf.DUMMYFUNCTION("""COMPUTED_VALUE"""),"Easy")</f>
        <v>Easy</v>
      </c>
      <c r="F1730" s="23">
        <f>IFERROR(__xludf.DUMMYFUNCTION("""COMPUTED_VALUE"""),61.0)</f>
        <v>61</v>
      </c>
      <c r="G1730" s="23">
        <f>IFERROR(__xludf.DUMMYFUNCTION("""COMPUTED_VALUE"""),9.0)</f>
        <v>9</v>
      </c>
      <c r="H1730" s="23" t="str">
        <f>IFERROR(__xludf.DUMMYFUNCTION("""COMPUTED_VALUE"""),"Database")</f>
        <v>Database</v>
      </c>
      <c r="I1730" s="23">
        <f>IFERROR(__xludf.DUMMYFUNCTION("""COMPUTED_VALUE"""),0.714)</f>
        <v>0.714</v>
      </c>
      <c r="J1730" s="23">
        <f>IFERROR(__xludf.DUMMYFUNCTION("""COMPUTED_VALUE"""),1729.0)</f>
        <v>1729</v>
      </c>
      <c r="K1730" s="23" t="b">
        <f>IFERROR(__xludf.DUMMYFUNCTION("""COMPUTED_VALUE"""),FALSE)</f>
        <v>0</v>
      </c>
      <c r="L1730" s="23" t="str">
        <f>IFERROR(__xludf.DUMMYFUNCTION("""COMPUTED_VALUE"""),"Database;")</f>
        <v>Database;</v>
      </c>
      <c r="M1730" s="23" t="b">
        <f>IFERROR(__xludf.DUMMYFUNCTION("""COMPUTED_VALUE"""),FALSE)</f>
        <v>0</v>
      </c>
      <c r="N1730" s="23" t="b">
        <f>IFERROR(__xludf.DUMMYFUNCTION("""COMPUTED_VALUE"""),FALSE)</f>
        <v>0</v>
      </c>
      <c r="O1730" s="23">
        <f>IFERROR(__xludf.DUMMYFUNCTION("""COMPUTED_VALUE"""),71.3995618019558)</f>
        <v>71.3995618</v>
      </c>
      <c r="P1730" s="23">
        <f>IFERROR(__xludf.DUMMYFUNCTION("""COMPUTED_VALUE"""),13359.0)</f>
        <v>13359</v>
      </c>
      <c r="Q1730" s="23">
        <f>IFERROR(__xludf.DUMMYFUNCTION("""COMPUTED_VALUE"""),18710.0)</f>
        <v>18710</v>
      </c>
    </row>
    <row r="1731">
      <c r="A1731" s="23">
        <f>IFERROR(__xludf.DUMMYFUNCTION("""COMPUTED_VALUE"""),550.0)</f>
        <v>550</v>
      </c>
      <c r="B1731" s="23" t="str">
        <f>IFERROR(__xludf.DUMMYFUNCTION("""COMPUTED_VALUE"""),"Shortest Path to Get Food")</f>
        <v>Shortest Path to Get Food</v>
      </c>
      <c r="C1731" s="23" t="str">
        <f>IFERROR(__xludf.DUMMYFUNCTION("""COMPUTED_VALUE"""),"shortest-path-to-get-food")</f>
        <v>shortest-path-to-get-food</v>
      </c>
      <c r="D1731" s="23" t="b">
        <f>IFERROR(__xludf.DUMMYFUNCTION("""COMPUTED_VALUE"""),TRUE)</f>
        <v>1</v>
      </c>
      <c r="E1731" s="23" t="str">
        <f>IFERROR(__xludf.DUMMYFUNCTION("""COMPUTED_VALUE"""),"Medium")</f>
        <v>Medium</v>
      </c>
      <c r="F1731" s="23">
        <f>IFERROR(__xludf.DUMMYFUNCTION("""COMPUTED_VALUE"""),373.0)</f>
        <v>373</v>
      </c>
      <c r="G1731" s="23">
        <f>IFERROR(__xludf.DUMMYFUNCTION("""COMPUTED_VALUE"""),17.0)</f>
        <v>17</v>
      </c>
      <c r="H1731" s="23" t="str">
        <f>IFERROR(__xludf.DUMMYFUNCTION("""COMPUTED_VALUE"""),"Algorithms")</f>
        <v>Algorithms</v>
      </c>
      <c r="I1731" s="23">
        <f>IFERROR(__xludf.DUMMYFUNCTION("""COMPUTED_VALUE"""),0.544)</f>
        <v>0.544</v>
      </c>
      <c r="J1731" s="23">
        <f>IFERROR(__xludf.DUMMYFUNCTION("""COMPUTED_VALUE"""),1730.0)</f>
        <v>1730</v>
      </c>
      <c r="K1731" s="23" t="b">
        <f>IFERROR(__xludf.DUMMYFUNCTION("""COMPUTED_VALUE"""),TRUE)</f>
        <v>1</v>
      </c>
      <c r="L1731" s="23" t="str">
        <f>IFERROR(__xludf.DUMMYFUNCTION("""COMPUTED_VALUE"""),"Array;Breadth-First Search;Matrix;")</f>
        <v>Array;Breadth-First Search;Matrix;</v>
      </c>
      <c r="M1731" s="23" t="b">
        <f>IFERROR(__xludf.DUMMYFUNCTION("""COMPUTED_VALUE"""),FALSE)</f>
        <v>0</v>
      </c>
      <c r="N1731" s="23" t="b">
        <f>IFERROR(__xludf.DUMMYFUNCTION("""COMPUTED_VALUE"""),FALSE)</f>
        <v>0</v>
      </c>
      <c r="O1731" s="23">
        <f>IFERROR(__xludf.DUMMYFUNCTION("""COMPUTED_VALUE"""),54.3610694336484)</f>
        <v>54.36106943</v>
      </c>
      <c r="P1731" s="23">
        <f>IFERROR(__xludf.DUMMYFUNCTION("""COMPUTED_VALUE"""),30072.0)</f>
        <v>30072</v>
      </c>
      <c r="Q1731" s="23">
        <f>IFERROR(__xludf.DUMMYFUNCTION("""COMPUTED_VALUE"""),55319.0)</f>
        <v>55319</v>
      </c>
    </row>
    <row r="1732">
      <c r="A1732" s="23">
        <f>IFERROR(__xludf.DUMMYFUNCTION("""COMPUTED_VALUE"""),1882.0)</f>
        <v>1882</v>
      </c>
      <c r="B1732" s="23" t="str">
        <f>IFERROR(__xludf.DUMMYFUNCTION("""COMPUTED_VALUE"""),"The Number of Employees Which Report to Each Employee")</f>
        <v>The Number of Employees Which Report to Each Employee</v>
      </c>
      <c r="C1732" s="23" t="str">
        <f>IFERROR(__xludf.DUMMYFUNCTION("""COMPUTED_VALUE"""),"the-number-of-employees-which-report-to-each-employee")</f>
        <v>the-number-of-employees-which-report-to-each-employee</v>
      </c>
      <c r="D1732" s="23" t="b">
        <f>IFERROR(__xludf.DUMMYFUNCTION("""COMPUTED_VALUE"""),TRUE)</f>
        <v>1</v>
      </c>
      <c r="E1732" s="23" t="str">
        <f>IFERROR(__xludf.DUMMYFUNCTION("""COMPUTED_VALUE"""),"Easy")</f>
        <v>Easy</v>
      </c>
      <c r="F1732" s="23">
        <f>IFERROR(__xludf.DUMMYFUNCTION("""COMPUTED_VALUE"""),58.0)</f>
        <v>58</v>
      </c>
      <c r="G1732" s="23">
        <f>IFERROR(__xludf.DUMMYFUNCTION("""COMPUTED_VALUE"""),14.0)</f>
        <v>14</v>
      </c>
      <c r="H1732" s="23" t="str">
        <f>IFERROR(__xludf.DUMMYFUNCTION("""COMPUTED_VALUE"""),"Database")</f>
        <v>Database</v>
      </c>
      <c r="I1732" s="23">
        <f>IFERROR(__xludf.DUMMYFUNCTION("""COMPUTED_VALUE"""),0.491)</f>
        <v>0.491</v>
      </c>
      <c r="J1732" s="23">
        <f>IFERROR(__xludf.DUMMYFUNCTION("""COMPUTED_VALUE"""),1731.0)</f>
        <v>1731</v>
      </c>
      <c r="K1732" s="23" t="b">
        <f>IFERROR(__xludf.DUMMYFUNCTION("""COMPUTED_VALUE"""),TRUE)</f>
        <v>1</v>
      </c>
      <c r="L1732" s="23" t="str">
        <f>IFERROR(__xludf.DUMMYFUNCTION("""COMPUTED_VALUE"""),"Database;")</f>
        <v>Database;</v>
      </c>
      <c r="M1732" s="23" t="b">
        <f>IFERROR(__xludf.DUMMYFUNCTION("""COMPUTED_VALUE"""),FALSE)</f>
        <v>0</v>
      </c>
      <c r="N1732" s="23" t="b">
        <f>IFERROR(__xludf.DUMMYFUNCTION("""COMPUTED_VALUE"""),FALSE)</f>
        <v>0</v>
      </c>
      <c r="O1732" s="23">
        <f>IFERROR(__xludf.DUMMYFUNCTION("""COMPUTED_VALUE"""),49.1409106847668)</f>
        <v>49.14091068</v>
      </c>
      <c r="P1732" s="23">
        <f>IFERROR(__xludf.DUMMYFUNCTION("""COMPUTED_VALUE"""),9810.0)</f>
        <v>9810</v>
      </c>
      <c r="Q1732" s="23">
        <f>IFERROR(__xludf.DUMMYFUNCTION("""COMPUTED_VALUE"""),19963.0)</f>
        <v>19963</v>
      </c>
    </row>
    <row r="1733">
      <c r="A1733" s="23">
        <f>IFERROR(__xludf.DUMMYFUNCTION("""COMPUTED_VALUE"""),1833.0)</f>
        <v>1833</v>
      </c>
      <c r="B1733" s="23" t="str">
        <f>IFERROR(__xludf.DUMMYFUNCTION("""COMPUTED_VALUE"""),"Find the Highest Altitude")</f>
        <v>Find the Highest Altitude</v>
      </c>
      <c r="C1733" s="23" t="str">
        <f>IFERROR(__xludf.DUMMYFUNCTION("""COMPUTED_VALUE"""),"find-the-highest-altitude")</f>
        <v>find-the-highest-altitude</v>
      </c>
      <c r="D1733" s="23" t="b">
        <f>IFERROR(__xludf.DUMMYFUNCTION("""COMPUTED_VALUE"""),FALSE)</f>
        <v>0</v>
      </c>
      <c r="E1733" s="23" t="str">
        <f>IFERROR(__xludf.DUMMYFUNCTION("""COMPUTED_VALUE"""),"Easy")</f>
        <v>Easy</v>
      </c>
      <c r="F1733" s="23">
        <f>IFERROR(__xludf.DUMMYFUNCTION("""COMPUTED_VALUE"""),774.0)</f>
        <v>774</v>
      </c>
      <c r="G1733" s="23">
        <f>IFERROR(__xludf.DUMMYFUNCTION("""COMPUTED_VALUE"""),81.0)</f>
        <v>81</v>
      </c>
      <c r="H1733" s="23" t="str">
        <f>IFERROR(__xludf.DUMMYFUNCTION("""COMPUTED_VALUE"""),"Algorithms")</f>
        <v>Algorithms</v>
      </c>
      <c r="I1733" s="23">
        <f>IFERROR(__xludf.DUMMYFUNCTION("""COMPUTED_VALUE"""),0.789)</f>
        <v>0.789</v>
      </c>
      <c r="J1733" s="23">
        <f>IFERROR(__xludf.DUMMYFUNCTION("""COMPUTED_VALUE"""),1732.0)</f>
        <v>1732</v>
      </c>
      <c r="K1733" s="23" t="b">
        <f>IFERROR(__xludf.DUMMYFUNCTION("""COMPUTED_VALUE"""),FALSE)</f>
        <v>0</v>
      </c>
      <c r="L1733" s="23" t="str">
        <f>IFERROR(__xludf.DUMMYFUNCTION("""COMPUTED_VALUE"""),"Array;Prefix Sum;")</f>
        <v>Array;Prefix Sum;</v>
      </c>
      <c r="M1733" s="23" t="b">
        <f>IFERROR(__xludf.DUMMYFUNCTION("""COMPUTED_VALUE"""),FALSE)</f>
        <v>0</v>
      </c>
      <c r="N1733" s="23" t="b">
        <f>IFERROR(__xludf.DUMMYFUNCTION("""COMPUTED_VALUE"""),FALSE)</f>
        <v>0</v>
      </c>
      <c r="O1733" s="23">
        <f>IFERROR(__xludf.DUMMYFUNCTION("""COMPUTED_VALUE"""),78.9064335993016)</f>
        <v>78.9064336</v>
      </c>
      <c r="P1733" s="23">
        <f>IFERROR(__xludf.DUMMYFUNCTION("""COMPUTED_VALUE"""),70510.0)</f>
        <v>70510</v>
      </c>
      <c r="Q1733" s="23">
        <f>IFERROR(__xludf.DUMMYFUNCTION("""COMPUTED_VALUE"""),89359.0)</f>
        <v>89359</v>
      </c>
    </row>
    <row r="1734">
      <c r="A1734" s="23">
        <f>IFERROR(__xludf.DUMMYFUNCTION("""COMPUTED_VALUE"""),1834.0)</f>
        <v>1834</v>
      </c>
      <c r="B1734" s="23" t="str">
        <f>IFERROR(__xludf.DUMMYFUNCTION("""COMPUTED_VALUE"""),"Minimum Number of People to Teach")</f>
        <v>Minimum Number of People to Teach</v>
      </c>
      <c r="C1734" s="23" t="str">
        <f>IFERROR(__xludf.DUMMYFUNCTION("""COMPUTED_VALUE"""),"minimum-number-of-people-to-teach")</f>
        <v>minimum-number-of-people-to-teach</v>
      </c>
      <c r="D1734" s="23" t="b">
        <f>IFERROR(__xludf.DUMMYFUNCTION("""COMPUTED_VALUE"""),FALSE)</f>
        <v>0</v>
      </c>
      <c r="E1734" s="23" t="str">
        <f>IFERROR(__xludf.DUMMYFUNCTION("""COMPUTED_VALUE"""),"Medium")</f>
        <v>Medium</v>
      </c>
      <c r="F1734" s="23">
        <f>IFERROR(__xludf.DUMMYFUNCTION("""COMPUTED_VALUE"""),143.0)</f>
        <v>143</v>
      </c>
      <c r="G1734" s="23">
        <f>IFERROR(__xludf.DUMMYFUNCTION("""COMPUTED_VALUE"""),299.0)</f>
        <v>299</v>
      </c>
      <c r="H1734" s="23" t="str">
        <f>IFERROR(__xludf.DUMMYFUNCTION("""COMPUTED_VALUE"""),"Algorithms")</f>
        <v>Algorithms</v>
      </c>
      <c r="I1734" s="23">
        <f>IFERROR(__xludf.DUMMYFUNCTION("""COMPUTED_VALUE"""),0.408)</f>
        <v>0.408</v>
      </c>
      <c r="J1734" s="23">
        <f>IFERROR(__xludf.DUMMYFUNCTION("""COMPUTED_VALUE"""),1733.0)</f>
        <v>1733</v>
      </c>
      <c r="K1734" s="23" t="b">
        <f>IFERROR(__xludf.DUMMYFUNCTION("""COMPUTED_VALUE"""),FALSE)</f>
        <v>0</v>
      </c>
      <c r="L1734" s="23" t="str">
        <f>IFERROR(__xludf.DUMMYFUNCTION("""COMPUTED_VALUE"""),"Array;Greedy;")</f>
        <v>Array;Greedy;</v>
      </c>
      <c r="M1734" s="23" t="b">
        <f>IFERROR(__xludf.DUMMYFUNCTION("""COMPUTED_VALUE"""),FALSE)</f>
        <v>0</v>
      </c>
      <c r="N1734" s="23" t="b">
        <f>IFERROR(__xludf.DUMMYFUNCTION("""COMPUTED_VALUE"""),FALSE)</f>
        <v>0</v>
      </c>
      <c r="O1734" s="23">
        <f>IFERROR(__xludf.DUMMYFUNCTION("""COMPUTED_VALUE"""),40.7551995692266)</f>
        <v>40.75519957</v>
      </c>
      <c r="P1734" s="23">
        <f>IFERROR(__xludf.DUMMYFUNCTION("""COMPUTED_VALUE"""),6055.0)</f>
        <v>6055</v>
      </c>
      <c r="Q1734" s="23">
        <f>IFERROR(__xludf.DUMMYFUNCTION("""COMPUTED_VALUE"""),14857.0)</f>
        <v>14857</v>
      </c>
    </row>
    <row r="1735">
      <c r="A1735" s="23">
        <f>IFERROR(__xludf.DUMMYFUNCTION("""COMPUTED_VALUE"""),1835.0)</f>
        <v>1835</v>
      </c>
      <c r="B1735" s="23" t="str">
        <f>IFERROR(__xludf.DUMMYFUNCTION("""COMPUTED_VALUE"""),"Decode XORed Permutation")</f>
        <v>Decode XORed Permutation</v>
      </c>
      <c r="C1735" s="23" t="str">
        <f>IFERROR(__xludf.DUMMYFUNCTION("""COMPUTED_VALUE"""),"decode-xored-permutation")</f>
        <v>decode-xored-permutation</v>
      </c>
      <c r="D1735" s="23" t="b">
        <f>IFERROR(__xludf.DUMMYFUNCTION("""COMPUTED_VALUE"""),FALSE)</f>
        <v>0</v>
      </c>
      <c r="E1735" s="23" t="str">
        <f>IFERROR(__xludf.DUMMYFUNCTION("""COMPUTED_VALUE"""),"Medium")</f>
        <v>Medium</v>
      </c>
      <c r="F1735" s="23">
        <f>IFERROR(__xludf.DUMMYFUNCTION("""COMPUTED_VALUE"""),486.0)</f>
        <v>486</v>
      </c>
      <c r="G1735" s="23">
        <f>IFERROR(__xludf.DUMMYFUNCTION("""COMPUTED_VALUE"""),18.0)</f>
        <v>18</v>
      </c>
      <c r="H1735" s="23" t="str">
        <f>IFERROR(__xludf.DUMMYFUNCTION("""COMPUTED_VALUE"""),"Algorithms")</f>
        <v>Algorithms</v>
      </c>
      <c r="I1735" s="23">
        <f>IFERROR(__xludf.DUMMYFUNCTION("""COMPUTED_VALUE"""),0.607)</f>
        <v>0.607</v>
      </c>
      <c r="J1735" s="23">
        <f>IFERROR(__xludf.DUMMYFUNCTION("""COMPUTED_VALUE"""),1734.0)</f>
        <v>1734</v>
      </c>
      <c r="K1735" s="23" t="b">
        <f>IFERROR(__xludf.DUMMYFUNCTION("""COMPUTED_VALUE"""),FALSE)</f>
        <v>0</v>
      </c>
      <c r="L1735" s="23" t="str">
        <f>IFERROR(__xludf.DUMMYFUNCTION("""COMPUTED_VALUE"""),"Array;Bit Manipulation;")</f>
        <v>Array;Bit Manipulation;</v>
      </c>
      <c r="M1735" s="23" t="b">
        <f>IFERROR(__xludf.DUMMYFUNCTION("""COMPUTED_VALUE"""),FALSE)</f>
        <v>0</v>
      </c>
      <c r="N1735" s="23" t="b">
        <f>IFERROR(__xludf.DUMMYFUNCTION("""COMPUTED_VALUE"""),FALSE)</f>
        <v>0</v>
      </c>
      <c r="O1735" s="23">
        <f>IFERROR(__xludf.DUMMYFUNCTION("""COMPUTED_VALUE"""),60.7498341074983)</f>
        <v>60.74983411</v>
      </c>
      <c r="P1735" s="23">
        <f>IFERROR(__xludf.DUMMYFUNCTION("""COMPUTED_VALUE"""),9155.0)</f>
        <v>9155</v>
      </c>
      <c r="Q1735" s="23">
        <f>IFERROR(__xludf.DUMMYFUNCTION("""COMPUTED_VALUE"""),15070.0)</f>
        <v>15070</v>
      </c>
    </row>
    <row r="1736">
      <c r="A1736" s="23">
        <f>IFERROR(__xludf.DUMMYFUNCTION("""COMPUTED_VALUE"""),1836.0)</f>
        <v>1836</v>
      </c>
      <c r="B1736" s="23" t="str">
        <f>IFERROR(__xludf.DUMMYFUNCTION("""COMPUTED_VALUE"""),"Count Ways to Make Array With Product")</f>
        <v>Count Ways to Make Array With Product</v>
      </c>
      <c r="C1736" s="23" t="str">
        <f>IFERROR(__xludf.DUMMYFUNCTION("""COMPUTED_VALUE"""),"count-ways-to-make-array-with-product")</f>
        <v>count-ways-to-make-array-with-product</v>
      </c>
      <c r="D1736" s="23" t="b">
        <f>IFERROR(__xludf.DUMMYFUNCTION("""COMPUTED_VALUE"""),FALSE)</f>
        <v>0</v>
      </c>
      <c r="E1736" s="23" t="str">
        <f>IFERROR(__xludf.DUMMYFUNCTION("""COMPUTED_VALUE"""),"Hard")</f>
        <v>Hard</v>
      </c>
      <c r="F1736" s="23">
        <f>IFERROR(__xludf.DUMMYFUNCTION("""COMPUTED_VALUE"""),155.0)</f>
        <v>155</v>
      </c>
      <c r="G1736" s="23">
        <f>IFERROR(__xludf.DUMMYFUNCTION("""COMPUTED_VALUE"""),25.0)</f>
        <v>25</v>
      </c>
      <c r="H1736" s="23" t="str">
        <f>IFERROR(__xludf.DUMMYFUNCTION("""COMPUTED_VALUE"""),"Algorithms")</f>
        <v>Algorithms</v>
      </c>
      <c r="I1736" s="23">
        <f>IFERROR(__xludf.DUMMYFUNCTION("""COMPUTED_VALUE"""),0.495)</f>
        <v>0.495</v>
      </c>
      <c r="J1736" s="23">
        <f>IFERROR(__xludf.DUMMYFUNCTION("""COMPUTED_VALUE"""),1735.0)</f>
        <v>1735</v>
      </c>
      <c r="K1736" s="23" t="b">
        <f>IFERROR(__xludf.DUMMYFUNCTION("""COMPUTED_VALUE"""),FALSE)</f>
        <v>0</v>
      </c>
      <c r="L1736" s="23" t="str">
        <f>IFERROR(__xludf.DUMMYFUNCTION("""COMPUTED_VALUE"""),"Array;Math;Dynamic Programming;")</f>
        <v>Array;Math;Dynamic Programming;</v>
      </c>
      <c r="M1736" s="23" t="b">
        <f>IFERROR(__xludf.DUMMYFUNCTION("""COMPUTED_VALUE"""),FALSE)</f>
        <v>0</v>
      </c>
      <c r="N1736" s="23" t="b">
        <f>IFERROR(__xludf.DUMMYFUNCTION("""COMPUTED_VALUE"""),FALSE)</f>
        <v>0</v>
      </c>
      <c r="O1736" s="23">
        <f>IFERROR(__xludf.DUMMYFUNCTION("""COMPUTED_VALUE"""),49.502487562189)</f>
        <v>49.50248756</v>
      </c>
      <c r="P1736" s="23">
        <f>IFERROR(__xludf.DUMMYFUNCTION("""COMPUTED_VALUE"""),3184.0)</f>
        <v>3184</v>
      </c>
      <c r="Q1736" s="23">
        <f>IFERROR(__xludf.DUMMYFUNCTION("""COMPUTED_VALUE"""),6432.0)</f>
        <v>6432</v>
      </c>
    </row>
    <row r="1737">
      <c r="A1737" s="23">
        <f>IFERROR(__xludf.DUMMYFUNCTION("""COMPUTED_VALUE"""),1858.0)</f>
        <v>1858</v>
      </c>
      <c r="B1737" s="23" t="str">
        <f>IFERROR(__xludf.DUMMYFUNCTION("""COMPUTED_VALUE"""),"Latest Time by Replacing Hidden Digits")</f>
        <v>Latest Time by Replacing Hidden Digits</v>
      </c>
      <c r="C1737" s="23" t="str">
        <f>IFERROR(__xludf.DUMMYFUNCTION("""COMPUTED_VALUE"""),"latest-time-by-replacing-hidden-digits")</f>
        <v>latest-time-by-replacing-hidden-digits</v>
      </c>
      <c r="D1737" s="23" t="b">
        <f>IFERROR(__xludf.DUMMYFUNCTION("""COMPUTED_VALUE"""),FALSE)</f>
        <v>0</v>
      </c>
      <c r="E1737" s="23" t="str">
        <f>IFERROR(__xludf.DUMMYFUNCTION("""COMPUTED_VALUE"""),"Easy")</f>
        <v>Easy</v>
      </c>
      <c r="F1737" s="23">
        <f>IFERROR(__xludf.DUMMYFUNCTION("""COMPUTED_VALUE"""),204.0)</f>
        <v>204</v>
      </c>
      <c r="G1737" s="23">
        <f>IFERROR(__xludf.DUMMYFUNCTION("""COMPUTED_VALUE"""),122.0)</f>
        <v>122</v>
      </c>
      <c r="H1737" s="23" t="str">
        <f>IFERROR(__xludf.DUMMYFUNCTION("""COMPUTED_VALUE"""),"Algorithms")</f>
        <v>Algorithms</v>
      </c>
      <c r="I1737" s="23">
        <f>IFERROR(__xludf.DUMMYFUNCTION("""COMPUTED_VALUE"""),0.421)</f>
        <v>0.421</v>
      </c>
      <c r="J1737" s="23">
        <f>IFERROR(__xludf.DUMMYFUNCTION("""COMPUTED_VALUE"""),1736.0)</f>
        <v>1736</v>
      </c>
      <c r="K1737" s="23" t="b">
        <f>IFERROR(__xludf.DUMMYFUNCTION("""COMPUTED_VALUE"""),FALSE)</f>
        <v>0</v>
      </c>
      <c r="L1737" s="23" t="str">
        <f>IFERROR(__xludf.DUMMYFUNCTION("""COMPUTED_VALUE"""),"String;Greedy;")</f>
        <v>String;Greedy;</v>
      </c>
      <c r="M1737" s="23" t="b">
        <f>IFERROR(__xludf.DUMMYFUNCTION("""COMPUTED_VALUE"""),FALSE)</f>
        <v>0</v>
      </c>
      <c r="N1737" s="23" t="b">
        <f>IFERROR(__xludf.DUMMYFUNCTION("""COMPUTED_VALUE"""),FALSE)</f>
        <v>0</v>
      </c>
      <c r="O1737" s="23">
        <f>IFERROR(__xludf.DUMMYFUNCTION("""COMPUTED_VALUE"""),42.0981727795381)</f>
        <v>42.09817278</v>
      </c>
      <c r="P1737" s="23">
        <f>IFERROR(__xludf.DUMMYFUNCTION("""COMPUTED_VALUE"""),22187.0)</f>
        <v>22187</v>
      </c>
      <c r="Q1737" s="23">
        <f>IFERROR(__xludf.DUMMYFUNCTION("""COMPUTED_VALUE"""),52703.0)</f>
        <v>52703</v>
      </c>
    </row>
    <row r="1738">
      <c r="A1738" s="23">
        <f>IFERROR(__xludf.DUMMYFUNCTION("""COMPUTED_VALUE"""),1859.0)</f>
        <v>1859</v>
      </c>
      <c r="B1738" s="23" t="str">
        <f>IFERROR(__xludf.DUMMYFUNCTION("""COMPUTED_VALUE"""),"Change Minimum Characters to Satisfy One of Three Conditions")</f>
        <v>Change Minimum Characters to Satisfy One of Three Conditions</v>
      </c>
      <c r="C1738" s="23" t="str">
        <f>IFERROR(__xludf.DUMMYFUNCTION("""COMPUTED_VALUE"""),"change-minimum-characters-to-satisfy-one-of-three-conditions")</f>
        <v>change-minimum-characters-to-satisfy-one-of-three-conditions</v>
      </c>
      <c r="D1738" s="23" t="b">
        <f>IFERROR(__xludf.DUMMYFUNCTION("""COMPUTED_VALUE"""),FALSE)</f>
        <v>0</v>
      </c>
      <c r="E1738" s="23" t="str">
        <f>IFERROR(__xludf.DUMMYFUNCTION("""COMPUTED_VALUE"""),"Medium")</f>
        <v>Medium</v>
      </c>
      <c r="F1738" s="23">
        <f>IFERROR(__xludf.DUMMYFUNCTION("""COMPUTED_VALUE"""),237.0)</f>
        <v>237</v>
      </c>
      <c r="G1738" s="23">
        <f>IFERROR(__xludf.DUMMYFUNCTION("""COMPUTED_VALUE"""),260.0)</f>
        <v>260</v>
      </c>
      <c r="H1738" s="23" t="str">
        <f>IFERROR(__xludf.DUMMYFUNCTION("""COMPUTED_VALUE"""),"Algorithms")</f>
        <v>Algorithms</v>
      </c>
      <c r="I1738" s="23">
        <f>IFERROR(__xludf.DUMMYFUNCTION("""COMPUTED_VALUE"""),0.343)</f>
        <v>0.343</v>
      </c>
      <c r="J1738" s="23">
        <f>IFERROR(__xludf.DUMMYFUNCTION("""COMPUTED_VALUE"""),1737.0)</f>
        <v>1737</v>
      </c>
      <c r="K1738" s="23" t="b">
        <f>IFERROR(__xludf.DUMMYFUNCTION("""COMPUTED_VALUE"""),FALSE)</f>
        <v>0</v>
      </c>
      <c r="L1738" s="23" t="str">
        <f>IFERROR(__xludf.DUMMYFUNCTION("""COMPUTED_VALUE"""),"Hash Table;String;Counting;Prefix Sum;")</f>
        <v>Hash Table;String;Counting;Prefix Sum;</v>
      </c>
      <c r="M1738" s="23" t="b">
        <f>IFERROR(__xludf.DUMMYFUNCTION("""COMPUTED_VALUE"""),FALSE)</f>
        <v>0</v>
      </c>
      <c r="N1738" s="23" t="b">
        <f>IFERROR(__xludf.DUMMYFUNCTION("""COMPUTED_VALUE"""),FALSE)</f>
        <v>0</v>
      </c>
      <c r="O1738" s="23">
        <f>IFERROR(__xludf.DUMMYFUNCTION("""COMPUTED_VALUE"""),34.2865512064735)</f>
        <v>34.28655121</v>
      </c>
      <c r="P1738" s="23">
        <f>IFERROR(__xludf.DUMMYFUNCTION("""COMPUTED_VALUE"""),9364.0)</f>
        <v>9364</v>
      </c>
      <c r="Q1738" s="23">
        <f>IFERROR(__xludf.DUMMYFUNCTION("""COMPUTED_VALUE"""),27311.0)</f>
        <v>27311</v>
      </c>
    </row>
    <row r="1739">
      <c r="A1739" s="23">
        <f>IFERROR(__xludf.DUMMYFUNCTION("""COMPUTED_VALUE"""),1860.0)</f>
        <v>1860</v>
      </c>
      <c r="B1739" s="23" t="str">
        <f>IFERROR(__xludf.DUMMYFUNCTION("""COMPUTED_VALUE"""),"Find Kth Largest XOR Coordinate Value")</f>
        <v>Find Kth Largest XOR Coordinate Value</v>
      </c>
      <c r="C1739" s="23" t="str">
        <f>IFERROR(__xludf.DUMMYFUNCTION("""COMPUTED_VALUE"""),"find-kth-largest-xor-coordinate-value")</f>
        <v>find-kth-largest-xor-coordinate-value</v>
      </c>
      <c r="D1739" s="23" t="b">
        <f>IFERROR(__xludf.DUMMYFUNCTION("""COMPUTED_VALUE"""),FALSE)</f>
        <v>0</v>
      </c>
      <c r="E1739" s="23" t="str">
        <f>IFERROR(__xludf.DUMMYFUNCTION("""COMPUTED_VALUE"""),"Medium")</f>
        <v>Medium</v>
      </c>
      <c r="F1739" s="23">
        <f>IFERROR(__xludf.DUMMYFUNCTION("""COMPUTED_VALUE"""),309.0)</f>
        <v>309</v>
      </c>
      <c r="G1739" s="23">
        <f>IFERROR(__xludf.DUMMYFUNCTION("""COMPUTED_VALUE"""),45.0)</f>
        <v>45</v>
      </c>
      <c r="H1739" s="23" t="str">
        <f>IFERROR(__xludf.DUMMYFUNCTION("""COMPUTED_VALUE"""),"Algorithms")</f>
        <v>Algorithms</v>
      </c>
      <c r="I1739" s="23">
        <f>IFERROR(__xludf.DUMMYFUNCTION("""COMPUTED_VALUE"""),0.619)</f>
        <v>0.619</v>
      </c>
      <c r="J1739" s="23">
        <f>IFERROR(__xludf.DUMMYFUNCTION("""COMPUTED_VALUE"""),1738.0)</f>
        <v>1738</v>
      </c>
      <c r="K1739" s="23" t="b">
        <f>IFERROR(__xludf.DUMMYFUNCTION("""COMPUTED_VALUE"""),FALSE)</f>
        <v>0</v>
      </c>
      <c r="L1739" s="23" t="str">
        <f>IFERROR(__xludf.DUMMYFUNCTION("""COMPUTED_VALUE"""),"Array;Divide and Conquer;Bit Manipulation;Heap (Priority Queue);Matrix;Prefix Sum;Quickselect;")</f>
        <v>Array;Divide and Conquer;Bit Manipulation;Heap (Priority Queue);Matrix;Prefix Sum;Quickselect;</v>
      </c>
      <c r="M1739" s="23" t="b">
        <f>IFERROR(__xludf.DUMMYFUNCTION("""COMPUTED_VALUE"""),FALSE)</f>
        <v>0</v>
      </c>
      <c r="N1739" s="23" t="b">
        <f>IFERROR(__xludf.DUMMYFUNCTION("""COMPUTED_VALUE"""),FALSE)</f>
        <v>0</v>
      </c>
      <c r="O1739" s="23">
        <f>IFERROR(__xludf.DUMMYFUNCTION("""COMPUTED_VALUE"""),61.9043489572041)</f>
        <v>61.90434896</v>
      </c>
      <c r="P1739" s="23">
        <f>IFERROR(__xludf.DUMMYFUNCTION("""COMPUTED_VALUE"""),14277.0)</f>
        <v>14277</v>
      </c>
      <c r="Q1739" s="23">
        <f>IFERROR(__xludf.DUMMYFUNCTION("""COMPUTED_VALUE"""),23063.0)</f>
        <v>23063</v>
      </c>
    </row>
    <row r="1740">
      <c r="A1740" s="23">
        <f>IFERROR(__xludf.DUMMYFUNCTION("""COMPUTED_VALUE"""),1861.0)</f>
        <v>1861</v>
      </c>
      <c r="B1740" s="23" t="str">
        <f>IFERROR(__xludf.DUMMYFUNCTION("""COMPUTED_VALUE"""),"Building Boxes")</f>
        <v>Building Boxes</v>
      </c>
      <c r="C1740" s="23" t="str">
        <f>IFERROR(__xludf.DUMMYFUNCTION("""COMPUTED_VALUE"""),"building-boxes")</f>
        <v>building-boxes</v>
      </c>
      <c r="D1740" s="23" t="b">
        <f>IFERROR(__xludf.DUMMYFUNCTION("""COMPUTED_VALUE"""),FALSE)</f>
        <v>0</v>
      </c>
      <c r="E1740" s="23" t="str">
        <f>IFERROR(__xludf.DUMMYFUNCTION("""COMPUTED_VALUE"""),"Hard")</f>
        <v>Hard</v>
      </c>
      <c r="F1740" s="23">
        <f>IFERROR(__xludf.DUMMYFUNCTION("""COMPUTED_VALUE"""),201.0)</f>
        <v>201</v>
      </c>
      <c r="G1740" s="23">
        <f>IFERROR(__xludf.DUMMYFUNCTION("""COMPUTED_VALUE"""),35.0)</f>
        <v>35</v>
      </c>
      <c r="H1740" s="23" t="str">
        <f>IFERROR(__xludf.DUMMYFUNCTION("""COMPUTED_VALUE"""),"Algorithms")</f>
        <v>Algorithms</v>
      </c>
      <c r="I1740" s="23">
        <f>IFERROR(__xludf.DUMMYFUNCTION("""COMPUTED_VALUE"""),0.508)</f>
        <v>0.508</v>
      </c>
      <c r="J1740" s="23">
        <f>IFERROR(__xludf.DUMMYFUNCTION("""COMPUTED_VALUE"""),1739.0)</f>
        <v>1739</v>
      </c>
      <c r="K1740" s="23" t="b">
        <f>IFERROR(__xludf.DUMMYFUNCTION("""COMPUTED_VALUE"""),FALSE)</f>
        <v>0</v>
      </c>
      <c r="L1740" s="23" t="str">
        <f>IFERROR(__xludf.DUMMYFUNCTION("""COMPUTED_VALUE"""),"Math;Binary Search;Greedy;")</f>
        <v>Math;Binary Search;Greedy;</v>
      </c>
      <c r="M1740" s="23" t="b">
        <f>IFERROR(__xludf.DUMMYFUNCTION("""COMPUTED_VALUE"""),FALSE)</f>
        <v>0</v>
      </c>
      <c r="N1740" s="23" t="b">
        <f>IFERROR(__xludf.DUMMYFUNCTION("""COMPUTED_VALUE"""),FALSE)</f>
        <v>0</v>
      </c>
      <c r="O1740" s="23">
        <f>IFERROR(__xludf.DUMMYFUNCTION("""COMPUTED_VALUE"""),50.8303552659239)</f>
        <v>50.83035527</v>
      </c>
      <c r="P1740" s="23">
        <f>IFERROR(__xludf.DUMMYFUNCTION("""COMPUTED_VALUE"""),4836.0)</f>
        <v>4836</v>
      </c>
      <c r="Q1740" s="23">
        <f>IFERROR(__xludf.DUMMYFUNCTION("""COMPUTED_VALUE"""),9514.0)</f>
        <v>9514</v>
      </c>
    </row>
    <row r="1741">
      <c r="A1741" s="23">
        <f>IFERROR(__xludf.DUMMYFUNCTION("""COMPUTED_VALUE"""),1883.0)</f>
        <v>1883</v>
      </c>
      <c r="B1741" s="23" t="str">
        <f>IFERROR(__xludf.DUMMYFUNCTION("""COMPUTED_VALUE"""),"Find Distance in a Binary Tree")</f>
        <v>Find Distance in a Binary Tree</v>
      </c>
      <c r="C1741" s="23" t="str">
        <f>IFERROR(__xludf.DUMMYFUNCTION("""COMPUTED_VALUE"""),"find-distance-in-a-binary-tree")</f>
        <v>find-distance-in-a-binary-tree</v>
      </c>
      <c r="D1741" s="23" t="b">
        <f>IFERROR(__xludf.DUMMYFUNCTION("""COMPUTED_VALUE"""),TRUE)</f>
        <v>1</v>
      </c>
      <c r="E1741" s="23" t="str">
        <f>IFERROR(__xludf.DUMMYFUNCTION("""COMPUTED_VALUE"""),"Medium")</f>
        <v>Medium</v>
      </c>
      <c r="F1741" s="23">
        <f>IFERROR(__xludf.DUMMYFUNCTION("""COMPUTED_VALUE"""),241.0)</f>
        <v>241</v>
      </c>
      <c r="G1741" s="23">
        <f>IFERROR(__xludf.DUMMYFUNCTION("""COMPUTED_VALUE"""),10.0)</f>
        <v>10</v>
      </c>
      <c r="H1741" s="23" t="str">
        <f>IFERROR(__xludf.DUMMYFUNCTION("""COMPUTED_VALUE"""),"Algorithms")</f>
        <v>Algorithms</v>
      </c>
      <c r="I1741" s="23">
        <f>IFERROR(__xludf.DUMMYFUNCTION("""COMPUTED_VALUE"""),0.683)</f>
        <v>0.683</v>
      </c>
      <c r="J1741" s="23">
        <f>IFERROR(__xludf.DUMMYFUNCTION("""COMPUTED_VALUE"""),1740.0)</f>
        <v>1740</v>
      </c>
      <c r="K1741" s="23" t="b">
        <f>IFERROR(__xludf.DUMMYFUNCTION("""COMPUTED_VALUE"""),TRUE)</f>
        <v>1</v>
      </c>
      <c r="L1741" s="23" t="str">
        <f>IFERROR(__xludf.DUMMYFUNCTION("""COMPUTED_VALUE"""),"Hash Table;Tree;Depth-First Search;Breadth-First Search;Binary Tree;")</f>
        <v>Hash Table;Tree;Depth-First Search;Breadth-First Search;Binary Tree;</v>
      </c>
      <c r="M1741" s="23" t="b">
        <f>IFERROR(__xludf.DUMMYFUNCTION("""COMPUTED_VALUE"""),FALSE)</f>
        <v>0</v>
      </c>
      <c r="N1741" s="23" t="b">
        <f>IFERROR(__xludf.DUMMYFUNCTION("""COMPUTED_VALUE"""),FALSE)</f>
        <v>0</v>
      </c>
      <c r="O1741" s="23">
        <f>IFERROR(__xludf.DUMMYFUNCTION("""COMPUTED_VALUE"""),68.3128588184455)</f>
        <v>68.31285882</v>
      </c>
      <c r="P1741" s="23">
        <f>IFERROR(__xludf.DUMMYFUNCTION("""COMPUTED_VALUE"""),11066.0)</f>
        <v>11066</v>
      </c>
      <c r="Q1741" s="23">
        <f>IFERROR(__xludf.DUMMYFUNCTION("""COMPUTED_VALUE"""),16199.0)</f>
        <v>16199</v>
      </c>
    </row>
    <row r="1742">
      <c r="A1742" s="23">
        <f>IFERROR(__xludf.DUMMYFUNCTION("""COMPUTED_VALUE"""),1892.0)</f>
        <v>1892</v>
      </c>
      <c r="B1742" s="23" t="str">
        <f>IFERROR(__xludf.DUMMYFUNCTION("""COMPUTED_VALUE"""),"Find Total Time Spent by Each Employee")</f>
        <v>Find Total Time Spent by Each Employee</v>
      </c>
      <c r="C1742" s="23" t="str">
        <f>IFERROR(__xludf.DUMMYFUNCTION("""COMPUTED_VALUE"""),"find-total-time-spent-by-each-employee")</f>
        <v>find-total-time-spent-by-each-employee</v>
      </c>
      <c r="D1742" s="23" t="b">
        <f>IFERROR(__xludf.DUMMYFUNCTION("""COMPUTED_VALUE"""),FALSE)</f>
        <v>0</v>
      </c>
      <c r="E1742" s="23" t="str">
        <f>IFERROR(__xludf.DUMMYFUNCTION("""COMPUTED_VALUE"""),"Easy")</f>
        <v>Easy</v>
      </c>
      <c r="F1742" s="23">
        <f>IFERROR(__xludf.DUMMYFUNCTION("""COMPUTED_VALUE"""),118.0)</f>
        <v>118</v>
      </c>
      <c r="G1742" s="23">
        <f>IFERROR(__xludf.DUMMYFUNCTION("""COMPUTED_VALUE"""),5.0)</f>
        <v>5</v>
      </c>
      <c r="H1742" s="23" t="str">
        <f>IFERROR(__xludf.DUMMYFUNCTION("""COMPUTED_VALUE"""),"Database")</f>
        <v>Database</v>
      </c>
      <c r="I1742" s="23">
        <f>IFERROR(__xludf.DUMMYFUNCTION("""COMPUTED_VALUE"""),0.918)</f>
        <v>0.918</v>
      </c>
      <c r="J1742" s="23">
        <f>IFERROR(__xludf.DUMMYFUNCTION("""COMPUTED_VALUE"""),1741.0)</f>
        <v>1741</v>
      </c>
      <c r="K1742" s="23" t="b">
        <f>IFERROR(__xludf.DUMMYFUNCTION("""COMPUTED_VALUE"""),FALSE)</f>
        <v>0</v>
      </c>
      <c r="L1742" s="23" t="str">
        <f>IFERROR(__xludf.DUMMYFUNCTION("""COMPUTED_VALUE"""),"Database;")</f>
        <v>Database;</v>
      </c>
      <c r="M1742" s="23" t="b">
        <f>IFERROR(__xludf.DUMMYFUNCTION("""COMPUTED_VALUE"""),FALSE)</f>
        <v>0</v>
      </c>
      <c r="N1742" s="23" t="b">
        <f>IFERROR(__xludf.DUMMYFUNCTION("""COMPUTED_VALUE"""),FALSE)</f>
        <v>0</v>
      </c>
      <c r="O1742" s="23">
        <f>IFERROR(__xludf.DUMMYFUNCTION("""COMPUTED_VALUE"""),91.7779276241852)</f>
        <v>91.77792762</v>
      </c>
      <c r="P1742" s="23">
        <f>IFERROR(__xludf.DUMMYFUNCTION("""COMPUTED_VALUE"""),20415.0)</f>
        <v>20415</v>
      </c>
      <c r="Q1742" s="23">
        <f>IFERROR(__xludf.DUMMYFUNCTION("""COMPUTED_VALUE"""),22244.0)</f>
        <v>22244</v>
      </c>
    </row>
    <row r="1743">
      <c r="A1743" s="23">
        <f>IFERROR(__xludf.DUMMYFUNCTION("""COMPUTED_VALUE"""),1844.0)</f>
        <v>1844</v>
      </c>
      <c r="B1743" s="23" t="str">
        <f>IFERROR(__xludf.DUMMYFUNCTION("""COMPUTED_VALUE"""),"Maximum Number of Balls in a Box")</f>
        <v>Maximum Number of Balls in a Box</v>
      </c>
      <c r="C1743" s="23" t="str">
        <f>IFERROR(__xludf.DUMMYFUNCTION("""COMPUTED_VALUE"""),"maximum-number-of-balls-in-a-box")</f>
        <v>maximum-number-of-balls-in-a-box</v>
      </c>
      <c r="D1743" s="23" t="b">
        <f>IFERROR(__xludf.DUMMYFUNCTION("""COMPUTED_VALUE"""),FALSE)</f>
        <v>0</v>
      </c>
      <c r="E1743" s="23" t="str">
        <f>IFERROR(__xludf.DUMMYFUNCTION("""COMPUTED_VALUE"""),"Easy")</f>
        <v>Easy</v>
      </c>
      <c r="F1743" s="23">
        <f>IFERROR(__xludf.DUMMYFUNCTION("""COMPUTED_VALUE"""),364.0)</f>
        <v>364</v>
      </c>
      <c r="G1743" s="23">
        <f>IFERROR(__xludf.DUMMYFUNCTION("""COMPUTED_VALUE"""),85.0)</f>
        <v>85</v>
      </c>
      <c r="H1743" s="23" t="str">
        <f>IFERROR(__xludf.DUMMYFUNCTION("""COMPUTED_VALUE"""),"Algorithms")</f>
        <v>Algorithms</v>
      </c>
      <c r="I1743" s="23">
        <f>IFERROR(__xludf.DUMMYFUNCTION("""COMPUTED_VALUE"""),0.737)</f>
        <v>0.737</v>
      </c>
      <c r="J1743" s="23">
        <f>IFERROR(__xludf.DUMMYFUNCTION("""COMPUTED_VALUE"""),1742.0)</f>
        <v>1742</v>
      </c>
      <c r="K1743" s="23" t="b">
        <f>IFERROR(__xludf.DUMMYFUNCTION("""COMPUTED_VALUE"""),FALSE)</f>
        <v>0</v>
      </c>
      <c r="L1743" s="23" t="str">
        <f>IFERROR(__xludf.DUMMYFUNCTION("""COMPUTED_VALUE"""),"Hash Table;Math;Counting;")</f>
        <v>Hash Table;Math;Counting;</v>
      </c>
      <c r="M1743" s="23" t="b">
        <f>IFERROR(__xludf.DUMMYFUNCTION("""COMPUTED_VALUE"""),FALSE)</f>
        <v>0</v>
      </c>
      <c r="N1743" s="23" t="b">
        <f>IFERROR(__xludf.DUMMYFUNCTION("""COMPUTED_VALUE"""),FALSE)</f>
        <v>0</v>
      </c>
      <c r="O1743" s="23">
        <f>IFERROR(__xludf.DUMMYFUNCTION("""COMPUTED_VALUE"""),73.7119065517839)</f>
        <v>73.71190655</v>
      </c>
      <c r="P1743" s="23">
        <f>IFERROR(__xludf.DUMMYFUNCTION("""COMPUTED_VALUE"""),38241.0)</f>
        <v>38241</v>
      </c>
      <c r="Q1743" s="23">
        <f>IFERROR(__xludf.DUMMYFUNCTION("""COMPUTED_VALUE"""),51879.0)</f>
        <v>51879</v>
      </c>
    </row>
    <row r="1744">
      <c r="A1744" s="23">
        <f>IFERROR(__xludf.DUMMYFUNCTION("""COMPUTED_VALUE"""),1866.0)</f>
        <v>1866</v>
      </c>
      <c r="B1744" s="23" t="str">
        <f>IFERROR(__xludf.DUMMYFUNCTION("""COMPUTED_VALUE"""),"Restore the Array From Adjacent Pairs")</f>
        <v>Restore the Array From Adjacent Pairs</v>
      </c>
      <c r="C1744" s="23" t="str">
        <f>IFERROR(__xludf.DUMMYFUNCTION("""COMPUTED_VALUE"""),"restore-the-array-from-adjacent-pairs")</f>
        <v>restore-the-array-from-adjacent-pairs</v>
      </c>
      <c r="D1744" s="23" t="b">
        <f>IFERROR(__xludf.DUMMYFUNCTION("""COMPUTED_VALUE"""),FALSE)</f>
        <v>0</v>
      </c>
      <c r="E1744" s="23" t="str">
        <f>IFERROR(__xludf.DUMMYFUNCTION("""COMPUTED_VALUE"""),"Medium")</f>
        <v>Medium</v>
      </c>
      <c r="F1744" s="23">
        <f>IFERROR(__xludf.DUMMYFUNCTION("""COMPUTED_VALUE"""),628.0)</f>
        <v>628</v>
      </c>
      <c r="G1744" s="23">
        <f>IFERROR(__xludf.DUMMYFUNCTION("""COMPUTED_VALUE"""),11.0)</f>
        <v>11</v>
      </c>
      <c r="H1744" s="23" t="str">
        <f>IFERROR(__xludf.DUMMYFUNCTION("""COMPUTED_VALUE"""),"Algorithms")</f>
        <v>Algorithms</v>
      </c>
      <c r="I1744" s="23">
        <f>IFERROR(__xludf.DUMMYFUNCTION("""COMPUTED_VALUE"""),0.683)</f>
        <v>0.683</v>
      </c>
      <c r="J1744" s="23">
        <f>IFERROR(__xludf.DUMMYFUNCTION("""COMPUTED_VALUE"""),1743.0)</f>
        <v>1743</v>
      </c>
      <c r="K1744" s="23" t="b">
        <f>IFERROR(__xludf.DUMMYFUNCTION("""COMPUTED_VALUE"""),FALSE)</f>
        <v>0</v>
      </c>
      <c r="L1744" s="23" t="str">
        <f>IFERROR(__xludf.DUMMYFUNCTION("""COMPUTED_VALUE"""),"Array;Hash Table;")</f>
        <v>Array;Hash Table;</v>
      </c>
      <c r="M1744" s="23" t="b">
        <f>IFERROR(__xludf.DUMMYFUNCTION("""COMPUTED_VALUE"""),FALSE)</f>
        <v>0</v>
      </c>
      <c r="N1744" s="23" t="b">
        <f>IFERROR(__xludf.DUMMYFUNCTION("""COMPUTED_VALUE"""),FALSE)</f>
        <v>0</v>
      </c>
      <c r="O1744" s="23">
        <f>IFERROR(__xludf.DUMMYFUNCTION("""COMPUTED_VALUE"""),68.2742202963676)</f>
        <v>68.2742203</v>
      </c>
      <c r="P1744" s="23">
        <f>IFERROR(__xludf.DUMMYFUNCTION("""COMPUTED_VALUE"""),25520.0)</f>
        <v>25520</v>
      </c>
      <c r="Q1744" s="23">
        <f>IFERROR(__xludf.DUMMYFUNCTION("""COMPUTED_VALUE"""),37377.0)</f>
        <v>37377</v>
      </c>
    </row>
    <row r="1745">
      <c r="A1745" s="23">
        <f>IFERROR(__xludf.DUMMYFUNCTION("""COMPUTED_VALUE"""),1872.0)</f>
        <v>1872</v>
      </c>
      <c r="B1745" s="23" t="str">
        <f>IFERROR(__xludf.DUMMYFUNCTION("""COMPUTED_VALUE"""),"Can You Eat Your Favorite Candy on Your Favorite Day?")</f>
        <v>Can You Eat Your Favorite Candy on Your Favorite Day?</v>
      </c>
      <c r="C1745" s="23" t="str">
        <f>IFERROR(__xludf.DUMMYFUNCTION("""COMPUTED_VALUE"""),"can-you-eat-your-favorite-candy-on-your-favorite-day")</f>
        <v>can-you-eat-your-favorite-candy-on-your-favorite-day</v>
      </c>
      <c r="D1745" s="23" t="b">
        <f>IFERROR(__xludf.DUMMYFUNCTION("""COMPUTED_VALUE"""),FALSE)</f>
        <v>0</v>
      </c>
      <c r="E1745" s="23" t="str">
        <f>IFERROR(__xludf.DUMMYFUNCTION("""COMPUTED_VALUE"""),"Medium")</f>
        <v>Medium</v>
      </c>
      <c r="F1745" s="23">
        <f>IFERROR(__xludf.DUMMYFUNCTION("""COMPUTED_VALUE"""),85.0)</f>
        <v>85</v>
      </c>
      <c r="G1745" s="23">
        <f>IFERROR(__xludf.DUMMYFUNCTION("""COMPUTED_VALUE"""),265.0)</f>
        <v>265</v>
      </c>
      <c r="H1745" s="23" t="str">
        <f>IFERROR(__xludf.DUMMYFUNCTION("""COMPUTED_VALUE"""),"Algorithms")</f>
        <v>Algorithms</v>
      </c>
      <c r="I1745" s="23">
        <f>IFERROR(__xludf.DUMMYFUNCTION("""COMPUTED_VALUE"""),0.322)</f>
        <v>0.322</v>
      </c>
      <c r="J1745" s="23">
        <f>IFERROR(__xludf.DUMMYFUNCTION("""COMPUTED_VALUE"""),1744.0)</f>
        <v>1744</v>
      </c>
      <c r="K1745" s="23" t="b">
        <f>IFERROR(__xludf.DUMMYFUNCTION("""COMPUTED_VALUE"""),FALSE)</f>
        <v>0</v>
      </c>
      <c r="L1745" s="23" t="str">
        <f>IFERROR(__xludf.DUMMYFUNCTION("""COMPUTED_VALUE"""),"Array;Prefix Sum;")</f>
        <v>Array;Prefix Sum;</v>
      </c>
      <c r="M1745" s="23" t="b">
        <f>IFERROR(__xludf.DUMMYFUNCTION("""COMPUTED_VALUE"""),FALSE)</f>
        <v>0</v>
      </c>
      <c r="N1745" s="23" t="b">
        <f>IFERROR(__xludf.DUMMYFUNCTION("""COMPUTED_VALUE"""),FALSE)</f>
        <v>0</v>
      </c>
      <c r="O1745" s="23">
        <f>IFERROR(__xludf.DUMMYFUNCTION("""COMPUTED_VALUE"""),32.2389644330107)</f>
        <v>32.23896443</v>
      </c>
      <c r="P1745" s="23">
        <f>IFERROR(__xludf.DUMMYFUNCTION("""COMPUTED_VALUE"""),7895.0)</f>
        <v>7895</v>
      </c>
      <c r="Q1745" s="23">
        <f>IFERROR(__xludf.DUMMYFUNCTION("""COMPUTED_VALUE"""),24489.0)</f>
        <v>24489</v>
      </c>
    </row>
    <row r="1746">
      <c r="A1746" s="23">
        <f>IFERROR(__xludf.DUMMYFUNCTION("""COMPUTED_VALUE"""),1871.0)</f>
        <v>1871</v>
      </c>
      <c r="B1746" s="23" t="str">
        <f>IFERROR(__xludf.DUMMYFUNCTION("""COMPUTED_VALUE"""),"Palindrome Partitioning IV")</f>
        <v>Palindrome Partitioning IV</v>
      </c>
      <c r="C1746" s="23" t="str">
        <f>IFERROR(__xludf.DUMMYFUNCTION("""COMPUTED_VALUE"""),"palindrome-partitioning-iv")</f>
        <v>palindrome-partitioning-iv</v>
      </c>
      <c r="D1746" s="23" t="b">
        <f>IFERROR(__xludf.DUMMYFUNCTION("""COMPUTED_VALUE"""),FALSE)</f>
        <v>0</v>
      </c>
      <c r="E1746" s="23" t="str">
        <f>IFERROR(__xludf.DUMMYFUNCTION("""COMPUTED_VALUE"""),"Hard")</f>
        <v>Hard</v>
      </c>
      <c r="F1746" s="23">
        <f>IFERROR(__xludf.DUMMYFUNCTION("""COMPUTED_VALUE"""),490.0)</f>
        <v>490</v>
      </c>
      <c r="G1746" s="23">
        <f>IFERROR(__xludf.DUMMYFUNCTION("""COMPUTED_VALUE"""),14.0)</f>
        <v>14</v>
      </c>
      <c r="H1746" s="23" t="str">
        <f>IFERROR(__xludf.DUMMYFUNCTION("""COMPUTED_VALUE"""),"Algorithms")</f>
        <v>Algorithms</v>
      </c>
      <c r="I1746" s="23">
        <f>IFERROR(__xludf.DUMMYFUNCTION("""COMPUTED_VALUE"""),0.489)</f>
        <v>0.489</v>
      </c>
      <c r="J1746" s="23">
        <f>IFERROR(__xludf.DUMMYFUNCTION("""COMPUTED_VALUE"""),1745.0)</f>
        <v>1745</v>
      </c>
      <c r="K1746" s="23" t="b">
        <f>IFERROR(__xludf.DUMMYFUNCTION("""COMPUTED_VALUE"""),FALSE)</f>
        <v>0</v>
      </c>
      <c r="L1746" s="23" t="str">
        <f>IFERROR(__xludf.DUMMYFUNCTION("""COMPUTED_VALUE"""),"String;Dynamic Programming;")</f>
        <v>String;Dynamic Programming;</v>
      </c>
      <c r="M1746" s="23" t="b">
        <f>IFERROR(__xludf.DUMMYFUNCTION("""COMPUTED_VALUE"""),FALSE)</f>
        <v>0</v>
      </c>
      <c r="N1746" s="23" t="b">
        <f>IFERROR(__xludf.DUMMYFUNCTION("""COMPUTED_VALUE"""),FALSE)</f>
        <v>0</v>
      </c>
      <c r="O1746" s="23">
        <f>IFERROR(__xludf.DUMMYFUNCTION("""COMPUTED_VALUE"""),48.8978224455611)</f>
        <v>48.89782245</v>
      </c>
      <c r="P1746" s="23">
        <f>IFERROR(__xludf.DUMMYFUNCTION("""COMPUTED_VALUE"""),14596.0)</f>
        <v>14596</v>
      </c>
      <c r="Q1746" s="23">
        <f>IFERROR(__xludf.DUMMYFUNCTION("""COMPUTED_VALUE"""),29850.0)</f>
        <v>29850</v>
      </c>
    </row>
    <row r="1747">
      <c r="A1747" s="23">
        <f>IFERROR(__xludf.DUMMYFUNCTION("""COMPUTED_VALUE"""),1893.0)</f>
        <v>1893</v>
      </c>
      <c r="B1747" s="23" t="str">
        <f>IFERROR(__xludf.DUMMYFUNCTION("""COMPUTED_VALUE"""),"Maximum Subarray Sum After One Operation")</f>
        <v>Maximum Subarray Sum After One Operation</v>
      </c>
      <c r="C1747" s="23" t="str">
        <f>IFERROR(__xludf.DUMMYFUNCTION("""COMPUTED_VALUE"""),"maximum-subarray-sum-after-one-operation")</f>
        <v>maximum-subarray-sum-after-one-operation</v>
      </c>
      <c r="D1747" s="23" t="b">
        <f>IFERROR(__xludf.DUMMYFUNCTION("""COMPUTED_VALUE"""),TRUE)</f>
        <v>1</v>
      </c>
      <c r="E1747" s="23" t="str">
        <f>IFERROR(__xludf.DUMMYFUNCTION("""COMPUTED_VALUE"""),"Medium")</f>
        <v>Medium</v>
      </c>
      <c r="F1747" s="23">
        <f>IFERROR(__xludf.DUMMYFUNCTION("""COMPUTED_VALUE"""),200.0)</f>
        <v>200</v>
      </c>
      <c r="G1747" s="23">
        <f>IFERROR(__xludf.DUMMYFUNCTION("""COMPUTED_VALUE"""),4.0)</f>
        <v>4</v>
      </c>
      <c r="H1747" s="23" t="str">
        <f>IFERROR(__xludf.DUMMYFUNCTION("""COMPUTED_VALUE"""),"Algorithms")</f>
        <v>Algorithms</v>
      </c>
      <c r="I1747" s="23">
        <f>IFERROR(__xludf.DUMMYFUNCTION("""COMPUTED_VALUE"""),0.619)</f>
        <v>0.619</v>
      </c>
      <c r="J1747" s="23">
        <f>IFERROR(__xludf.DUMMYFUNCTION("""COMPUTED_VALUE"""),1746.0)</f>
        <v>1746</v>
      </c>
      <c r="K1747" s="23" t="b">
        <f>IFERROR(__xludf.DUMMYFUNCTION("""COMPUTED_VALUE"""),TRUE)</f>
        <v>1</v>
      </c>
      <c r="L1747" s="23" t="str">
        <f>IFERROR(__xludf.DUMMYFUNCTION("""COMPUTED_VALUE"""),"Array;Dynamic Programming;")</f>
        <v>Array;Dynamic Programming;</v>
      </c>
      <c r="M1747" s="23" t="b">
        <f>IFERROR(__xludf.DUMMYFUNCTION("""COMPUTED_VALUE"""),FALSE)</f>
        <v>0</v>
      </c>
      <c r="N1747" s="23" t="b">
        <f>IFERROR(__xludf.DUMMYFUNCTION("""COMPUTED_VALUE"""),FALSE)</f>
        <v>0</v>
      </c>
      <c r="O1747" s="23">
        <f>IFERROR(__xludf.DUMMYFUNCTION("""COMPUTED_VALUE"""),61.8722737948775)</f>
        <v>61.87227379</v>
      </c>
      <c r="P1747" s="23">
        <f>IFERROR(__xludf.DUMMYFUNCTION("""COMPUTED_VALUE"""),5531.0)</f>
        <v>5531</v>
      </c>
      <c r="Q1747" s="23">
        <f>IFERROR(__xludf.DUMMYFUNCTION("""COMPUTED_VALUE"""),8938.0)</f>
        <v>8938</v>
      </c>
    </row>
    <row r="1748">
      <c r="A1748" s="23">
        <f>IFERROR(__xludf.DUMMYFUNCTION("""COMPUTED_VALUE"""),1898.0)</f>
        <v>1898</v>
      </c>
      <c r="B1748" s="23" t="str">
        <f>IFERROR(__xludf.DUMMYFUNCTION("""COMPUTED_VALUE"""),"Leetflex Banned Accounts")</f>
        <v>Leetflex Banned Accounts</v>
      </c>
      <c r="C1748" s="23" t="str">
        <f>IFERROR(__xludf.DUMMYFUNCTION("""COMPUTED_VALUE"""),"leetflex-banned-accounts")</f>
        <v>leetflex-banned-accounts</v>
      </c>
      <c r="D1748" s="23" t="b">
        <f>IFERROR(__xludf.DUMMYFUNCTION("""COMPUTED_VALUE"""),TRUE)</f>
        <v>1</v>
      </c>
      <c r="E1748" s="23" t="str">
        <f>IFERROR(__xludf.DUMMYFUNCTION("""COMPUTED_VALUE"""),"Medium")</f>
        <v>Medium</v>
      </c>
      <c r="F1748" s="23">
        <f>IFERROR(__xludf.DUMMYFUNCTION("""COMPUTED_VALUE"""),75.0)</f>
        <v>75</v>
      </c>
      <c r="G1748" s="23">
        <f>IFERROR(__xludf.DUMMYFUNCTION("""COMPUTED_VALUE"""),5.0)</f>
        <v>5</v>
      </c>
      <c r="H1748" s="23" t="str">
        <f>IFERROR(__xludf.DUMMYFUNCTION("""COMPUTED_VALUE"""),"Database")</f>
        <v>Database</v>
      </c>
      <c r="I1748" s="23">
        <f>IFERROR(__xludf.DUMMYFUNCTION("""COMPUTED_VALUE"""),0.674)</f>
        <v>0.674</v>
      </c>
      <c r="J1748" s="23">
        <f>IFERROR(__xludf.DUMMYFUNCTION("""COMPUTED_VALUE"""),1747.0)</f>
        <v>1747</v>
      </c>
      <c r="K1748" s="23" t="b">
        <f>IFERROR(__xludf.DUMMYFUNCTION("""COMPUTED_VALUE"""),TRUE)</f>
        <v>1</v>
      </c>
      <c r="L1748" s="23" t="str">
        <f>IFERROR(__xludf.DUMMYFUNCTION("""COMPUTED_VALUE"""),"Database;")</f>
        <v>Database;</v>
      </c>
      <c r="M1748" s="23" t="b">
        <f>IFERROR(__xludf.DUMMYFUNCTION("""COMPUTED_VALUE"""),FALSE)</f>
        <v>0</v>
      </c>
      <c r="N1748" s="23" t="b">
        <f>IFERROR(__xludf.DUMMYFUNCTION("""COMPUTED_VALUE"""),FALSE)</f>
        <v>0</v>
      </c>
      <c r="O1748" s="23">
        <f>IFERROR(__xludf.DUMMYFUNCTION("""COMPUTED_VALUE"""),67.4410630090012)</f>
        <v>67.44106301</v>
      </c>
      <c r="P1748" s="23">
        <f>IFERROR(__xludf.DUMMYFUNCTION("""COMPUTED_VALUE"""),7867.0)</f>
        <v>7867</v>
      </c>
      <c r="Q1748" s="23">
        <f>IFERROR(__xludf.DUMMYFUNCTION("""COMPUTED_VALUE"""),11665.0)</f>
        <v>11665</v>
      </c>
    </row>
    <row r="1749">
      <c r="A1749" s="23">
        <f>IFERROR(__xludf.DUMMYFUNCTION("""COMPUTED_VALUE"""),1848.0)</f>
        <v>1848</v>
      </c>
      <c r="B1749" s="23" t="str">
        <f>IFERROR(__xludf.DUMMYFUNCTION("""COMPUTED_VALUE"""),"Sum of Unique Elements")</f>
        <v>Sum of Unique Elements</v>
      </c>
      <c r="C1749" s="23" t="str">
        <f>IFERROR(__xludf.DUMMYFUNCTION("""COMPUTED_VALUE"""),"sum-of-unique-elements")</f>
        <v>sum-of-unique-elements</v>
      </c>
      <c r="D1749" s="23" t="b">
        <f>IFERROR(__xludf.DUMMYFUNCTION("""COMPUTED_VALUE"""),FALSE)</f>
        <v>0</v>
      </c>
      <c r="E1749" s="23" t="str">
        <f>IFERROR(__xludf.DUMMYFUNCTION("""COMPUTED_VALUE"""),"Easy")</f>
        <v>Easy</v>
      </c>
      <c r="F1749" s="23">
        <f>IFERROR(__xludf.DUMMYFUNCTION("""COMPUTED_VALUE"""),736.0)</f>
        <v>736</v>
      </c>
      <c r="G1749" s="23">
        <f>IFERROR(__xludf.DUMMYFUNCTION("""COMPUTED_VALUE"""),17.0)</f>
        <v>17</v>
      </c>
      <c r="H1749" s="23" t="str">
        <f>IFERROR(__xludf.DUMMYFUNCTION("""COMPUTED_VALUE"""),"Algorithms")</f>
        <v>Algorithms</v>
      </c>
      <c r="I1749" s="23">
        <f>IFERROR(__xludf.DUMMYFUNCTION("""COMPUTED_VALUE"""),0.756)</f>
        <v>0.756</v>
      </c>
      <c r="J1749" s="23">
        <f>IFERROR(__xludf.DUMMYFUNCTION("""COMPUTED_VALUE"""),1748.0)</f>
        <v>1748</v>
      </c>
      <c r="K1749" s="23" t="b">
        <f>IFERROR(__xludf.DUMMYFUNCTION("""COMPUTED_VALUE"""),FALSE)</f>
        <v>0</v>
      </c>
      <c r="L1749" s="23" t="str">
        <f>IFERROR(__xludf.DUMMYFUNCTION("""COMPUTED_VALUE"""),"Array;Hash Table;Counting;")</f>
        <v>Array;Hash Table;Counting;</v>
      </c>
      <c r="M1749" s="23" t="b">
        <f>IFERROR(__xludf.DUMMYFUNCTION("""COMPUTED_VALUE"""),FALSE)</f>
        <v>0</v>
      </c>
      <c r="N1749" s="23" t="b">
        <f>IFERROR(__xludf.DUMMYFUNCTION("""COMPUTED_VALUE"""),FALSE)</f>
        <v>0</v>
      </c>
      <c r="O1749" s="23">
        <f>IFERROR(__xludf.DUMMYFUNCTION("""COMPUTED_VALUE"""),75.5970659348506)</f>
        <v>75.59706593</v>
      </c>
      <c r="P1749" s="23">
        <f>IFERROR(__xludf.DUMMYFUNCTION("""COMPUTED_VALUE"""),74101.0)</f>
        <v>74101</v>
      </c>
      <c r="Q1749" s="23">
        <f>IFERROR(__xludf.DUMMYFUNCTION("""COMPUTED_VALUE"""),98021.0)</f>
        <v>98021</v>
      </c>
    </row>
    <row r="1750">
      <c r="A1750" s="23">
        <f>IFERROR(__xludf.DUMMYFUNCTION("""COMPUTED_VALUE"""),1849.0)</f>
        <v>1849</v>
      </c>
      <c r="B1750" s="23" t="str">
        <f>IFERROR(__xludf.DUMMYFUNCTION("""COMPUTED_VALUE"""),"Maximum Absolute Sum of Any Subarray")</f>
        <v>Maximum Absolute Sum of Any Subarray</v>
      </c>
      <c r="C1750" s="23" t="str">
        <f>IFERROR(__xludf.DUMMYFUNCTION("""COMPUTED_VALUE"""),"maximum-absolute-sum-of-any-subarray")</f>
        <v>maximum-absolute-sum-of-any-subarray</v>
      </c>
      <c r="D1750" s="23" t="b">
        <f>IFERROR(__xludf.DUMMYFUNCTION("""COMPUTED_VALUE"""),FALSE)</f>
        <v>0</v>
      </c>
      <c r="E1750" s="23" t="str">
        <f>IFERROR(__xludf.DUMMYFUNCTION("""COMPUTED_VALUE"""),"Medium")</f>
        <v>Medium</v>
      </c>
      <c r="F1750" s="23">
        <f>IFERROR(__xludf.DUMMYFUNCTION("""COMPUTED_VALUE"""),711.0)</f>
        <v>711</v>
      </c>
      <c r="G1750" s="23">
        <f>IFERROR(__xludf.DUMMYFUNCTION("""COMPUTED_VALUE"""),10.0)</f>
        <v>10</v>
      </c>
      <c r="H1750" s="23" t="str">
        <f>IFERROR(__xludf.DUMMYFUNCTION("""COMPUTED_VALUE"""),"Algorithms")</f>
        <v>Algorithms</v>
      </c>
      <c r="I1750" s="23">
        <f>IFERROR(__xludf.DUMMYFUNCTION("""COMPUTED_VALUE"""),0.57)</f>
        <v>0.57</v>
      </c>
      <c r="J1750" s="23">
        <f>IFERROR(__xludf.DUMMYFUNCTION("""COMPUTED_VALUE"""),1749.0)</f>
        <v>1749</v>
      </c>
      <c r="K1750" s="23" t="b">
        <f>IFERROR(__xludf.DUMMYFUNCTION("""COMPUTED_VALUE"""),FALSE)</f>
        <v>0</v>
      </c>
      <c r="L1750" s="23" t="str">
        <f>IFERROR(__xludf.DUMMYFUNCTION("""COMPUTED_VALUE"""),"Array;Dynamic Programming;")</f>
        <v>Array;Dynamic Programming;</v>
      </c>
      <c r="M1750" s="23" t="b">
        <f>IFERROR(__xludf.DUMMYFUNCTION("""COMPUTED_VALUE"""),FALSE)</f>
        <v>0</v>
      </c>
      <c r="N1750" s="23" t="b">
        <f>IFERROR(__xludf.DUMMYFUNCTION("""COMPUTED_VALUE"""),FALSE)</f>
        <v>0</v>
      </c>
      <c r="O1750" s="23">
        <f>IFERROR(__xludf.DUMMYFUNCTION("""COMPUTED_VALUE"""),56.9583166866426)</f>
        <v>56.95831669</v>
      </c>
      <c r="P1750" s="23">
        <f>IFERROR(__xludf.DUMMYFUNCTION("""COMPUTED_VALUE"""),21385.0)</f>
        <v>21385</v>
      </c>
      <c r="Q1750" s="23">
        <f>IFERROR(__xludf.DUMMYFUNCTION("""COMPUTED_VALUE"""),37545.0)</f>
        <v>37545</v>
      </c>
    </row>
    <row r="1751">
      <c r="A1751" s="23">
        <f>IFERROR(__xludf.DUMMYFUNCTION("""COMPUTED_VALUE"""),1850.0)</f>
        <v>1850</v>
      </c>
      <c r="B1751" s="23" t="str">
        <f>IFERROR(__xludf.DUMMYFUNCTION("""COMPUTED_VALUE"""),"Minimum Length of String After Deleting Similar Ends")</f>
        <v>Minimum Length of String After Deleting Similar Ends</v>
      </c>
      <c r="C1751" s="23" t="str">
        <f>IFERROR(__xludf.DUMMYFUNCTION("""COMPUTED_VALUE"""),"minimum-length-of-string-after-deleting-similar-ends")</f>
        <v>minimum-length-of-string-after-deleting-similar-ends</v>
      </c>
      <c r="D1751" s="23" t="b">
        <f>IFERROR(__xludf.DUMMYFUNCTION("""COMPUTED_VALUE"""),FALSE)</f>
        <v>0</v>
      </c>
      <c r="E1751" s="23" t="str">
        <f>IFERROR(__xludf.DUMMYFUNCTION("""COMPUTED_VALUE"""),"Medium")</f>
        <v>Medium</v>
      </c>
      <c r="F1751" s="23">
        <f>IFERROR(__xludf.DUMMYFUNCTION("""COMPUTED_VALUE"""),277.0)</f>
        <v>277</v>
      </c>
      <c r="G1751" s="23">
        <f>IFERROR(__xludf.DUMMYFUNCTION("""COMPUTED_VALUE"""),18.0)</f>
        <v>18</v>
      </c>
      <c r="H1751" s="23" t="str">
        <f>IFERROR(__xludf.DUMMYFUNCTION("""COMPUTED_VALUE"""),"Algorithms")</f>
        <v>Algorithms</v>
      </c>
      <c r="I1751" s="23">
        <f>IFERROR(__xludf.DUMMYFUNCTION("""COMPUTED_VALUE"""),0.432)</f>
        <v>0.432</v>
      </c>
      <c r="J1751" s="23">
        <f>IFERROR(__xludf.DUMMYFUNCTION("""COMPUTED_VALUE"""),1750.0)</f>
        <v>1750</v>
      </c>
      <c r="K1751" s="23" t="b">
        <f>IFERROR(__xludf.DUMMYFUNCTION("""COMPUTED_VALUE"""),FALSE)</f>
        <v>0</v>
      </c>
      <c r="L1751" s="23" t="str">
        <f>IFERROR(__xludf.DUMMYFUNCTION("""COMPUTED_VALUE"""),"Two Pointers;String;")</f>
        <v>Two Pointers;String;</v>
      </c>
      <c r="M1751" s="23" t="b">
        <f>IFERROR(__xludf.DUMMYFUNCTION("""COMPUTED_VALUE"""),FALSE)</f>
        <v>0</v>
      </c>
      <c r="N1751" s="23" t="b">
        <f>IFERROR(__xludf.DUMMYFUNCTION("""COMPUTED_VALUE"""),FALSE)</f>
        <v>0</v>
      </c>
      <c r="O1751" s="23">
        <f>IFERROR(__xludf.DUMMYFUNCTION("""COMPUTED_VALUE"""),43.2274194569276)</f>
        <v>43.22741946</v>
      </c>
      <c r="P1751" s="23">
        <f>IFERROR(__xludf.DUMMYFUNCTION("""COMPUTED_VALUE"""),13659.0)</f>
        <v>13659</v>
      </c>
      <c r="Q1751" s="23">
        <f>IFERROR(__xludf.DUMMYFUNCTION("""COMPUTED_VALUE"""),31598.0)</f>
        <v>31598</v>
      </c>
    </row>
    <row r="1752">
      <c r="A1752" s="23">
        <f>IFERROR(__xludf.DUMMYFUNCTION("""COMPUTED_VALUE"""),1851.0)</f>
        <v>1851</v>
      </c>
      <c r="B1752" s="23" t="str">
        <f>IFERROR(__xludf.DUMMYFUNCTION("""COMPUTED_VALUE"""),"Maximum Number of Events That Can Be Attended II")</f>
        <v>Maximum Number of Events That Can Be Attended II</v>
      </c>
      <c r="C1752" s="23" t="str">
        <f>IFERROR(__xludf.DUMMYFUNCTION("""COMPUTED_VALUE"""),"maximum-number-of-events-that-can-be-attended-ii")</f>
        <v>maximum-number-of-events-that-can-be-attended-ii</v>
      </c>
      <c r="D1752" s="23" t="b">
        <f>IFERROR(__xludf.DUMMYFUNCTION("""COMPUTED_VALUE"""),FALSE)</f>
        <v>0</v>
      </c>
      <c r="E1752" s="23" t="str">
        <f>IFERROR(__xludf.DUMMYFUNCTION("""COMPUTED_VALUE"""),"Hard")</f>
        <v>Hard</v>
      </c>
      <c r="F1752" s="23">
        <f>IFERROR(__xludf.DUMMYFUNCTION("""COMPUTED_VALUE"""),464.0)</f>
        <v>464</v>
      </c>
      <c r="G1752" s="23">
        <f>IFERROR(__xludf.DUMMYFUNCTION("""COMPUTED_VALUE"""),10.0)</f>
        <v>10</v>
      </c>
      <c r="H1752" s="23" t="str">
        <f>IFERROR(__xludf.DUMMYFUNCTION("""COMPUTED_VALUE"""),"Algorithms")</f>
        <v>Algorithms</v>
      </c>
      <c r="I1752" s="23">
        <f>IFERROR(__xludf.DUMMYFUNCTION("""COMPUTED_VALUE"""),0.547)</f>
        <v>0.547</v>
      </c>
      <c r="J1752" s="23">
        <f>IFERROR(__xludf.DUMMYFUNCTION("""COMPUTED_VALUE"""),1751.0)</f>
        <v>1751</v>
      </c>
      <c r="K1752" s="23" t="b">
        <f>IFERROR(__xludf.DUMMYFUNCTION("""COMPUTED_VALUE"""),FALSE)</f>
        <v>0</v>
      </c>
      <c r="L1752" s="23" t="str">
        <f>IFERROR(__xludf.DUMMYFUNCTION("""COMPUTED_VALUE"""),"Array;Binary Search;Dynamic Programming;")</f>
        <v>Array;Binary Search;Dynamic Programming;</v>
      </c>
      <c r="M1752" s="23" t="b">
        <f>IFERROR(__xludf.DUMMYFUNCTION("""COMPUTED_VALUE"""),FALSE)</f>
        <v>0</v>
      </c>
      <c r="N1752" s="23" t="b">
        <f>IFERROR(__xludf.DUMMYFUNCTION("""COMPUTED_VALUE"""),FALSE)</f>
        <v>0</v>
      </c>
      <c r="O1752" s="23">
        <f>IFERROR(__xludf.DUMMYFUNCTION("""COMPUTED_VALUE"""),54.6961953435548)</f>
        <v>54.69619534</v>
      </c>
      <c r="P1752" s="23">
        <f>IFERROR(__xludf.DUMMYFUNCTION("""COMPUTED_VALUE"""),14448.0)</f>
        <v>14448</v>
      </c>
      <c r="Q1752" s="23">
        <f>IFERROR(__xludf.DUMMYFUNCTION("""COMPUTED_VALUE"""),26407.0)</f>
        <v>26407</v>
      </c>
    </row>
    <row r="1753">
      <c r="A1753" s="23">
        <f>IFERROR(__xludf.DUMMYFUNCTION("""COMPUTED_VALUE"""),1878.0)</f>
        <v>1878</v>
      </c>
      <c r="B1753" s="23" t="str">
        <f>IFERROR(__xludf.DUMMYFUNCTION("""COMPUTED_VALUE"""),"Check if Array Is Sorted and Rotated")</f>
        <v>Check if Array Is Sorted and Rotated</v>
      </c>
      <c r="C1753" s="23" t="str">
        <f>IFERROR(__xludf.DUMMYFUNCTION("""COMPUTED_VALUE"""),"check-if-array-is-sorted-and-rotated")</f>
        <v>check-if-array-is-sorted-and-rotated</v>
      </c>
      <c r="D1753" s="23" t="b">
        <f>IFERROR(__xludf.DUMMYFUNCTION("""COMPUTED_VALUE"""),FALSE)</f>
        <v>0</v>
      </c>
      <c r="E1753" s="23" t="str">
        <f>IFERROR(__xludf.DUMMYFUNCTION("""COMPUTED_VALUE"""),"Easy")</f>
        <v>Easy</v>
      </c>
      <c r="F1753" s="23">
        <f>IFERROR(__xludf.DUMMYFUNCTION("""COMPUTED_VALUE"""),560.0)</f>
        <v>560</v>
      </c>
      <c r="G1753" s="23">
        <f>IFERROR(__xludf.DUMMYFUNCTION("""COMPUTED_VALUE"""),48.0)</f>
        <v>48</v>
      </c>
      <c r="H1753" s="23" t="str">
        <f>IFERROR(__xludf.DUMMYFUNCTION("""COMPUTED_VALUE"""),"Algorithms")</f>
        <v>Algorithms</v>
      </c>
      <c r="I1753" s="23">
        <f>IFERROR(__xludf.DUMMYFUNCTION("""COMPUTED_VALUE"""),0.479)</f>
        <v>0.479</v>
      </c>
      <c r="J1753" s="23">
        <f>IFERROR(__xludf.DUMMYFUNCTION("""COMPUTED_VALUE"""),1752.0)</f>
        <v>1752</v>
      </c>
      <c r="K1753" s="23" t="b">
        <f>IFERROR(__xludf.DUMMYFUNCTION("""COMPUTED_VALUE"""),FALSE)</f>
        <v>0</v>
      </c>
      <c r="L1753" s="23" t="str">
        <f>IFERROR(__xludf.DUMMYFUNCTION("""COMPUTED_VALUE"""),"Array;")</f>
        <v>Array;</v>
      </c>
      <c r="M1753" s="23" t="b">
        <f>IFERROR(__xludf.DUMMYFUNCTION("""COMPUTED_VALUE"""),FALSE)</f>
        <v>0</v>
      </c>
      <c r="N1753" s="23" t="b">
        <f>IFERROR(__xludf.DUMMYFUNCTION("""COMPUTED_VALUE"""),FALSE)</f>
        <v>0</v>
      </c>
      <c r="O1753" s="23">
        <f>IFERROR(__xludf.DUMMYFUNCTION("""COMPUTED_VALUE"""),47.8854884815873)</f>
        <v>47.88548848</v>
      </c>
      <c r="P1753" s="23">
        <f>IFERROR(__xludf.DUMMYFUNCTION("""COMPUTED_VALUE"""),34172.0)</f>
        <v>34172</v>
      </c>
      <c r="Q1753" s="23">
        <f>IFERROR(__xludf.DUMMYFUNCTION("""COMPUTED_VALUE"""),71362.0)</f>
        <v>71362</v>
      </c>
    </row>
    <row r="1754">
      <c r="A1754" s="23">
        <f>IFERROR(__xludf.DUMMYFUNCTION("""COMPUTED_VALUE"""),1879.0)</f>
        <v>1879</v>
      </c>
      <c r="B1754" s="23" t="str">
        <f>IFERROR(__xludf.DUMMYFUNCTION("""COMPUTED_VALUE"""),"Maximum Score From Removing Stones")</f>
        <v>Maximum Score From Removing Stones</v>
      </c>
      <c r="C1754" s="23" t="str">
        <f>IFERROR(__xludf.DUMMYFUNCTION("""COMPUTED_VALUE"""),"maximum-score-from-removing-stones")</f>
        <v>maximum-score-from-removing-stones</v>
      </c>
      <c r="D1754" s="23" t="b">
        <f>IFERROR(__xludf.DUMMYFUNCTION("""COMPUTED_VALUE"""),FALSE)</f>
        <v>0</v>
      </c>
      <c r="E1754" s="23" t="str">
        <f>IFERROR(__xludf.DUMMYFUNCTION("""COMPUTED_VALUE"""),"Medium")</f>
        <v>Medium</v>
      </c>
      <c r="F1754" s="23">
        <f>IFERROR(__xludf.DUMMYFUNCTION("""COMPUTED_VALUE"""),497.0)</f>
        <v>497</v>
      </c>
      <c r="G1754" s="23">
        <f>IFERROR(__xludf.DUMMYFUNCTION("""COMPUTED_VALUE"""),34.0)</f>
        <v>34</v>
      </c>
      <c r="H1754" s="23" t="str">
        <f>IFERROR(__xludf.DUMMYFUNCTION("""COMPUTED_VALUE"""),"Algorithms")</f>
        <v>Algorithms</v>
      </c>
      <c r="I1754" s="23">
        <f>IFERROR(__xludf.DUMMYFUNCTION("""COMPUTED_VALUE"""),0.652)</f>
        <v>0.652</v>
      </c>
      <c r="J1754" s="23">
        <f>IFERROR(__xludf.DUMMYFUNCTION("""COMPUTED_VALUE"""),1753.0)</f>
        <v>1753</v>
      </c>
      <c r="K1754" s="23" t="b">
        <f>IFERROR(__xludf.DUMMYFUNCTION("""COMPUTED_VALUE"""),FALSE)</f>
        <v>0</v>
      </c>
      <c r="L1754" s="23" t="str">
        <f>IFERROR(__xludf.DUMMYFUNCTION("""COMPUTED_VALUE"""),"Math;Greedy;Heap (Priority Queue);")</f>
        <v>Math;Greedy;Heap (Priority Queue);</v>
      </c>
      <c r="M1754" s="23" t="b">
        <f>IFERROR(__xludf.DUMMYFUNCTION("""COMPUTED_VALUE"""),FALSE)</f>
        <v>0</v>
      </c>
      <c r="N1754" s="23" t="b">
        <f>IFERROR(__xludf.DUMMYFUNCTION("""COMPUTED_VALUE"""),FALSE)</f>
        <v>0</v>
      </c>
      <c r="O1754" s="23">
        <f>IFERROR(__xludf.DUMMYFUNCTION("""COMPUTED_VALUE"""),65.1933365758754)</f>
        <v>65.19333658</v>
      </c>
      <c r="P1754" s="23">
        <f>IFERROR(__xludf.DUMMYFUNCTION("""COMPUTED_VALUE"""),21446.0)</f>
        <v>21446</v>
      </c>
      <c r="Q1754" s="23">
        <f>IFERROR(__xludf.DUMMYFUNCTION("""COMPUTED_VALUE"""),32896.0)</f>
        <v>32896</v>
      </c>
    </row>
    <row r="1755">
      <c r="A1755" s="23">
        <f>IFERROR(__xludf.DUMMYFUNCTION("""COMPUTED_VALUE"""),1880.0)</f>
        <v>1880</v>
      </c>
      <c r="B1755" s="23" t="str">
        <f>IFERROR(__xludf.DUMMYFUNCTION("""COMPUTED_VALUE"""),"Largest Merge Of Two Strings")</f>
        <v>Largest Merge Of Two Strings</v>
      </c>
      <c r="C1755" s="23" t="str">
        <f>IFERROR(__xludf.DUMMYFUNCTION("""COMPUTED_VALUE"""),"largest-merge-of-two-strings")</f>
        <v>largest-merge-of-two-strings</v>
      </c>
      <c r="D1755" s="23" t="b">
        <f>IFERROR(__xludf.DUMMYFUNCTION("""COMPUTED_VALUE"""),FALSE)</f>
        <v>0</v>
      </c>
      <c r="E1755" s="23" t="str">
        <f>IFERROR(__xludf.DUMMYFUNCTION("""COMPUTED_VALUE"""),"Medium")</f>
        <v>Medium</v>
      </c>
      <c r="F1755" s="23">
        <f>IFERROR(__xludf.DUMMYFUNCTION("""COMPUTED_VALUE"""),342.0)</f>
        <v>342</v>
      </c>
      <c r="G1755" s="23">
        <f>IFERROR(__xludf.DUMMYFUNCTION("""COMPUTED_VALUE"""),53.0)</f>
        <v>53</v>
      </c>
      <c r="H1755" s="23" t="str">
        <f>IFERROR(__xludf.DUMMYFUNCTION("""COMPUTED_VALUE"""),"Algorithms")</f>
        <v>Algorithms</v>
      </c>
      <c r="I1755" s="23">
        <f>IFERROR(__xludf.DUMMYFUNCTION("""COMPUTED_VALUE"""),0.44)</f>
        <v>0.44</v>
      </c>
      <c r="J1755" s="23">
        <f>IFERROR(__xludf.DUMMYFUNCTION("""COMPUTED_VALUE"""),1754.0)</f>
        <v>1754</v>
      </c>
      <c r="K1755" s="23" t="b">
        <f>IFERROR(__xludf.DUMMYFUNCTION("""COMPUTED_VALUE"""),FALSE)</f>
        <v>0</v>
      </c>
      <c r="L1755" s="23" t="str">
        <f>IFERROR(__xludf.DUMMYFUNCTION("""COMPUTED_VALUE"""),"Two Pointers;String;Greedy;")</f>
        <v>Two Pointers;String;Greedy;</v>
      </c>
      <c r="M1755" s="23" t="b">
        <f>IFERROR(__xludf.DUMMYFUNCTION("""COMPUTED_VALUE"""),FALSE)</f>
        <v>0</v>
      </c>
      <c r="N1755" s="23" t="b">
        <f>IFERROR(__xludf.DUMMYFUNCTION("""COMPUTED_VALUE"""),FALSE)</f>
        <v>0</v>
      </c>
      <c r="O1755" s="23">
        <f>IFERROR(__xludf.DUMMYFUNCTION("""COMPUTED_VALUE"""),44.014401440144)</f>
        <v>44.01440144</v>
      </c>
      <c r="P1755" s="23">
        <f>IFERROR(__xludf.DUMMYFUNCTION("""COMPUTED_VALUE"""),14181.0)</f>
        <v>14181</v>
      </c>
      <c r="Q1755" s="23">
        <f>IFERROR(__xludf.DUMMYFUNCTION("""COMPUTED_VALUE"""),32219.0)</f>
        <v>32219</v>
      </c>
    </row>
    <row r="1756">
      <c r="A1756" s="23">
        <f>IFERROR(__xludf.DUMMYFUNCTION("""COMPUTED_VALUE"""),1881.0)</f>
        <v>1881</v>
      </c>
      <c r="B1756" s="23" t="str">
        <f>IFERROR(__xludf.DUMMYFUNCTION("""COMPUTED_VALUE"""),"Closest Subsequence Sum")</f>
        <v>Closest Subsequence Sum</v>
      </c>
      <c r="C1756" s="23" t="str">
        <f>IFERROR(__xludf.DUMMYFUNCTION("""COMPUTED_VALUE"""),"closest-subsequence-sum")</f>
        <v>closest-subsequence-sum</v>
      </c>
      <c r="D1756" s="23" t="b">
        <f>IFERROR(__xludf.DUMMYFUNCTION("""COMPUTED_VALUE"""),FALSE)</f>
        <v>0</v>
      </c>
      <c r="E1756" s="23" t="str">
        <f>IFERROR(__xludf.DUMMYFUNCTION("""COMPUTED_VALUE"""),"Hard")</f>
        <v>Hard</v>
      </c>
      <c r="F1756" s="23">
        <f>IFERROR(__xludf.DUMMYFUNCTION("""COMPUTED_VALUE"""),438.0)</f>
        <v>438</v>
      </c>
      <c r="G1756" s="23">
        <f>IFERROR(__xludf.DUMMYFUNCTION("""COMPUTED_VALUE"""),58.0)</f>
        <v>58</v>
      </c>
      <c r="H1756" s="23" t="str">
        <f>IFERROR(__xludf.DUMMYFUNCTION("""COMPUTED_VALUE"""),"Algorithms")</f>
        <v>Algorithms</v>
      </c>
      <c r="I1756" s="23">
        <f>IFERROR(__xludf.DUMMYFUNCTION("""COMPUTED_VALUE"""),0.364)</f>
        <v>0.364</v>
      </c>
      <c r="J1756" s="23">
        <f>IFERROR(__xludf.DUMMYFUNCTION("""COMPUTED_VALUE"""),1755.0)</f>
        <v>1755</v>
      </c>
      <c r="K1756" s="23" t="b">
        <f>IFERROR(__xludf.DUMMYFUNCTION("""COMPUTED_VALUE"""),FALSE)</f>
        <v>0</v>
      </c>
      <c r="L1756" s="23" t="str">
        <f>IFERROR(__xludf.DUMMYFUNCTION("""COMPUTED_VALUE"""),"Array;Two Pointers;Dynamic Programming;Bit Manipulation;Bitmask;")</f>
        <v>Array;Two Pointers;Dynamic Programming;Bit Manipulation;Bitmask;</v>
      </c>
      <c r="M1756" s="23" t="b">
        <f>IFERROR(__xludf.DUMMYFUNCTION("""COMPUTED_VALUE"""),FALSE)</f>
        <v>0</v>
      </c>
      <c r="N1756" s="23" t="b">
        <f>IFERROR(__xludf.DUMMYFUNCTION("""COMPUTED_VALUE"""),FALSE)</f>
        <v>0</v>
      </c>
      <c r="O1756" s="23">
        <f>IFERROR(__xludf.DUMMYFUNCTION("""COMPUTED_VALUE"""),36.4134327729322)</f>
        <v>36.41343277</v>
      </c>
      <c r="P1756" s="23">
        <f>IFERROR(__xludf.DUMMYFUNCTION("""COMPUTED_VALUE"""),8642.0)</f>
        <v>8642</v>
      </c>
      <c r="Q1756" s="23">
        <f>IFERROR(__xludf.DUMMYFUNCTION("""COMPUTED_VALUE"""),23733.0)</f>
        <v>23733</v>
      </c>
    </row>
    <row r="1757">
      <c r="A1757" s="23">
        <f>IFERROR(__xludf.DUMMYFUNCTION("""COMPUTED_VALUE"""),1903.0)</f>
        <v>1903</v>
      </c>
      <c r="B1757" s="23" t="str">
        <f>IFERROR(__xludf.DUMMYFUNCTION("""COMPUTED_VALUE"""),"Design Most Recently Used Queue")</f>
        <v>Design Most Recently Used Queue</v>
      </c>
      <c r="C1757" s="23" t="str">
        <f>IFERROR(__xludf.DUMMYFUNCTION("""COMPUTED_VALUE"""),"design-most-recently-used-queue")</f>
        <v>design-most-recently-used-queue</v>
      </c>
      <c r="D1757" s="23" t="b">
        <f>IFERROR(__xludf.DUMMYFUNCTION("""COMPUTED_VALUE"""),TRUE)</f>
        <v>1</v>
      </c>
      <c r="E1757" s="23" t="str">
        <f>IFERROR(__xludf.DUMMYFUNCTION("""COMPUTED_VALUE"""),"Medium")</f>
        <v>Medium</v>
      </c>
      <c r="F1757" s="23">
        <f>IFERROR(__xludf.DUMMYFUNCTION("""COMPUTED_VALUE"""),160.0)</f>
        <v>160</v>
      </c>
      <c r="G1757" s="23">
        <f>IFERROR(__xludf.DUMMYFUNCTION("""COMPUTED_VALUE"""),12.0)</f>
        <v>12</v>
      </c>
      <c r="H1757" s="23" t="str">
        <f>IFERROR(__xludf.DUMMYFUNCTION("""COMPUTED_VALUE"""),"Algorithms")</f>
        <v>Algorithms</v>
      </c>
      <c r="I1757" s="23">
        <f>IFERROR(__xludf.DUMMYFUNCTION("""COMPUTED_VALUE"""),0.788)</f>
        <v>0.788</v>
      </c>
      <c r="J1757" s="23">
        <f>IFERROR(__xludf.DUMMYFUNCTION("""COMPUTED_VALUE"""),1756.0)</f>
        <v>1756</v>
      </c>
      <c r="K1757" s="23" t="b">
        <f>IFERROR(__xludf.DUMMYFUNCTION("""COMPUTED_VALUE"""),TRUE)</f>
        <v>1</v>
      </c>
      <c r="L1757" s="23" t="str">
        <f>IFERROR(__xludf.DUMMYFUNCTION("""COMPUTED_VALUE"""),"Array;Hash Table;Stack;Design;Binary Indexed Tree;Ordered Set;")</f>
        <v>Array;Hash Table;Stack;Design;Binary Indexed Tree;Ordered Set;</v>
      </c>
      <c r="M1757" s="23" t="b">
        <f>IFERROR(__xludf.DUMMYFUNCTION("""COMPUTED_VALUE"""),FALSE)</f>
        <v>0</v>
      </c>
      <c r="N1757" s="23" t="b">
        <f>IFERROR(__xludf.DUMMYFUNCTION("""COMPUTED_VALUE"""),FALSE)</f>
        <v>0</v>
      </c>
      <c r="O1757" s="23">
        <f>IFERROR(__xludf.DUMMYFUNCTION("""COMPUTED_VALUE"""),78.8017157880171)</f>
        <v>78.80171579</v>
      </c>
      <c r="P1757" s="23">
        <f>IFERROR(__xludf.DUMMYFUNCTION("""COMPUTED_VALUE"""),5695.0)</f>
        <v>5695</v>
      </c>
      <c r="Q1757" s="23">
        <f>IFERROR(__xludf.DUMMYFUNCTION("""COMPUTED_VALUE"""),7227.0)</f>
        <v>7227</v>
      </c>
    </row>
    <row r="1758">
      <c r="A1758" s="23">
        <f>IFERROR(__xludf.DUMMYFUNCTION("""COMPUTED_VALUE"""),1908.0)</f>
        <v>1908</v>
      </c>
      <c r="B1758" s="23" t="str">
        <f>IFERROR(__xludf.DUMMYFUNCTION("""COMPUTED_VALUE"""),"Recyclable and Low Fat Products")</f>
        <v>Recyclable and Low Fat Products</v>
      </c>
      <c r="C1758" s="23" t="str">
        <f>IFERROR(__xludf.DUMMYFUNCTION("""COMPUTED_VALUE"""),"recyclable-and-low-fat-products")</f>
        <v>recyclable-and-low-fat-products</v>
      </c>
      <c r="D1758" s="23" t="b">
        <f>IFERROR(__xludf.DUMMYFUNCTION("""COMPUTED_VALUE"""),FALSE)</f>
        <v>0</v>
      </c>
      <c r="E1758" s="23" t="str">
        <f>IFERROR(__xludf.DUMMYFUNCTION("""COMPUTED_VALUE"""),"Easy")</f>
        <v>Easy</v>
      </c>
      <c r="F1758" s="23">
        <f>IFERROR(__xludf.DUMMYFUNCTION("""COMPUTED_VALUE"""),199.0)</f>
        <v>199</v>
      </c>
      <c r="G1758" s="23">
        <f>IFERROR(__xludf.DUMMYFUNCTION("""COMPUTED_VALUE"""),53.0)</f>
        <v>53</v>
      </c>
      <c r="H1758" s="23" t="str">
        <f>IFERROR(__xludf.DUMMYFUNCTION("""COMPUTED_VALUE"""),"Database")</f>
        <v>Database</v>
      </c>
      <c r="I1758" s="23">
        <f>IFERROR(__xludf.DUMMYFUNCTION("""COMPUTED_VALUE"""),0.95)</f>
        <v>0.95</v>
      </c>
      <c r="J1758" s="23">
        <f>IFERROR(__xludf.DUMMYFUNCTION("""COMPUTED_VALUE"""),1757.0)</f>
        <v>1757</v>
      </c>
      <c r="K1758" s="23" t="b">
        <f>IFERROR(__xludf.DUMMYFUNCTION("""COMPUTED_VALUE"""),FALSE)</f>
        <v>0</v>
      </c>
      <c r="L1758" s="23" t="str">
        <f>IFERROR(__xludf.DUMMYFUNCTION("""COMPUTED_VALUE"""),"Database;")</f>
        <v>Database;</v>
      </c>
      <c r="M1758" s="23" t="b">
        <f>IFERROR(__xludf.DUMMYFUNCTION("""COMPUTED_VALUE"""),FALSE)</f>
        <v>0</v>
      </c>
      <c r="N1758" s="23" t="b">
        <f>IFERROR(__xludf.DUMMYFUNCTION("""COMPUTED_VALUE"""),FALSE)</f>
        <v>0</v>
      </c>
      <c r="O1758" s="23">
        <f>IFERROR(__xludf.DUMMYFUNCTION("""COMPUTED_VALUE"""),95.02990430622)</f>
        <v>95.02990431</v>
      </c>
      <c r="P1758" s="23">
        <f>IFERROR(__xludf.DUMMYFUNCTION("""COMPUTED_VALUE"""),47663.0)</f>
        <v>47663</v>
      </c>
      <c r="Q1758" s="23">
        <f>IFERROR(__xludf.DUMMYFUNCTION("""COMPUTED_VALUE"""),50156.0)</f>
        <v>50156</v>
      </c>
    </row>
    <row r="1759">
      <c r="A1759" s="23">
        <f>IFERROR(__xludf.DUMMYFUNCTION("""COMPUTED_VALUE"""),1884.0)</f>
        <v>1884</v>
      </c>
      <c r="B1759" s="23" t="str">
        <f>IFERROR(__xludf.DUMMYFUNCTION("""COMPUTED_VALUE"""),"Minimum Changes To Make Alternating Binary String")</f>
        <v>Minimum Changes To Make Alternating Binary String</v>
      </c>
      <c r="C1759" s="23" t="str">
        <f>IFERROR(__xludf.DUMMYFUNCTION("""COMPUTED_VALUE"""),"minimum-changes-to-make-alternating-binary-string")</f>
        <v>minimum-changes-to-make-alternating-binary-string</v>
      </c>
      <c r="D1759" s="23" t="b">
        <f>IFERROR(__xludf.DUMMYFUNCTION("""COMPUTED_VALUE"""),FALSE)</f>
        <v>0</v>
      </c>
      <c r="E1759" s="23" t="str">
        <f>IFERROR(__xludf.DUMMYFUNCTION("""COMPUTED_VALUE"""),"Easy")</f>
        <v>Easy</v>
      </c>
      <c r="F1759" s="23">
        <f>IFERROR(__xludf.DUMMYFUNCTION("""COMPUTED_VALUE"""),403.0)</f>
        <v>403</v>
      </c>
      <c r="G1759" s="23">
        <f>IFERROR(__xludf.DUMMYFUNCTION("""COMPUTED_VALUE"""),14.0)</f>
        <v>14</v>
      </c>
      <c r="H1759" s="23" t="str">
        <f>IFERROR(__xludf.DUMMYFUNCTION("""COMPUTED_VALUE"""),"Algorithms")</f>
        <v>Algorithms</v>
      </c>
      <c r="I1759" s="23">
        <f>IFERROR(__xludf.DUMMYFUNCTION("""COMPUTED_VALUE"""),0.592)</f>
        <v>0.592</v>
      </c>
      <c r="J1759" s="23">
        <f>IFERROR(__xludf.DUMMYFUNCTION("""COMPUTED_VALUE"""),1758.0)</f>
        <v>1758</v>
      </c>
      <c r="K1759" s="23" t="b">
        <f>IFERROR(__xludf.DUMMYFUNCTION("""COMPUTED_VALUE"""),FALSE)</f>
        <v>0</v>
      </c>
      <c r="L1759" s="23" t="str">
        <f>IFERROR(__xludf.DUMMYFUNCTION("""COMPUTED_VALUE"""),"String;")</f>
        <v>String;</v>
      </c>
      <c r="M1759" s="23" t="b">
        <f>IFERROR(__xludf.DUMMYFUNCTION("""COMPUTED_VALUE"""),FALSE)</f>
        <v>0</v>
      </c>
      <c r="N1759" s="23" t="b">
        <f>IFERROR(__xludf.DUMMYFUNCTION("""COMPUTED_VALUE"""),FALSE)</f>
        <v>0</v>
      </c>
      <c r="O1759" s="23">
        <f>IFERROR(__xludf.DUMMYFUNCTION("""COMPUTED_VALUE"""),59.2161249287186)</f>
        <v>59.21612493</v>
      </c>
      <c r="P1759" s="23">
        <f>IFERROR(__xludf.DUMMYFUNCTION("""COMPUTED_VALUE"""),26999.0)</f>
        <v>26999</v>
      </c>
      <c r="Q1759" s="23">
        <f>IFERROR(__xludf.DUMMYFUNCTION("""COMPUTED_VALUE"""),45594.0)</f>
        <v>45594</v>
      </c>
    </row>
    <row r="1760">
      <c r="A1760" s="23">
        <f>IFERROR(__xludf.DUMMYFUNCTION("""COMPUTED_VALUE"""),1885.0)</f>
        <v>1885</v>
      </c>
      <c r="B1760" s="23" t="str">
        <f>IFERROR(__xludf.DUMMYFUNCTION("""COMPUTED_VALUE"""),"Count Number of Homogenous Substrings")</f>
        <v>Count Number of Homogenous Substrings</v>
      </c>
      <c r="C1760" s="23" t="str">
        <f>IFERROR(__xludf.DUMMYFUNCTION("""COMPUTED_VALUE"""),"count-number-of-homogenous-substrings")</f>
        <v>count-number-of-homogenous-substrings</v>
      </c>
      <c r="D1760" s="23" t="b">
        <f>IFERROR(__xludf.DUMMYFUNCTION("""COMPUTED_VALUE"""),FALSE)</f>
        <v>0</v>
      </c>
      <c r="E1760" s="23" t="str">
        <f>IFERROR(__xludf.DUMMYFUNCTION("""COMPUTED_VALUE"""),"Medium")</f>
        <v>Medium</v>
      </c>
      <c r="F1760" s="23">
        <f>IFERROR(__xludf.DUMMYFUNCTION("""COMPUTED_VALUE"""),381.0)</f>
        <v>381</v>
      </c>
      <c r="G1760" s="23">
        <f>IFERROR(__xludf.DUMMYFUNCTION("""COMPUTED_VALUE"""),38.0)</f>
        <v>38</v>
      </c>
      <c r="H1760" s="23" t="str">
        <f>IFERROR(__xludf.DUMMYFUNCTION("""COMPUTED_VALUE"""),"Algorithms")</f>
        <v>Algorithms</v>
      </c>
      <c r="I1760" s="23">
        <f>IFERROR(__xludf.DUMMYFUNCTION("""COMPUTED_VALUE"""),0.465)</f>
        <v>0.465</v>
      </c>
      <c r="J1760" s="23">
        <f>IFERROR(__xludf.DUMMYFUNCTION("""COMPUTED_VALUE"""),1759.0)</f>
        <v>1759</v>
      </c>
      <c r="K1760" s="23" t="b">
        <f>IFERROR(__xludf.DUMMYFUNCTION("""COMPUTED_VALUE"""),FALSE)</f>
        <v>0</v>
      </c>
      <c r="L1760" s="23" t="str">
        <f>IFERROR(__xludf.DUMMYFUNCTION("""COMPUTED_VALUE"""),"Math;String;")</f>
        <v>Math;String;</v>
      </c>
      <c r="M1760" s="23" t="b">
        <f>IFERROR(__xludf.DUMMYFUNCTION("""COMPUTED_VALUE"""),FALSE)</f>
        <v>0</v>
      </c>
      <c r="N1760" s="23" t="b">
        <f>IFERROR(__xludf.DUMMYFUNCTION("""COMPUTED_VALUE"""),FALSE)</f>
        <v>0</v>
      </c>
      <c r="O1760" s="23">
        <f>IFERROR(__xludf.DUMMYFUNCTION("""COMPUTED_VALUE"""),46.4554435174284)</f>
        <v>46.45544352</v>
      </c>
      <c r="P1760" s="23">
        <f>IFERROR(__xludf.DUMMYFUNCTION("""COMPUTED_VALUE"""),18152.0)</f>
        <v>18152</v>
      </c>
      <c r="Q1760" s="23">
        <f>IFERROR(__xludf.DUMMYFUNCTION("""COMPUTED_VALUE"""),39074.0)</f>
        <v>39074</v>
      </c>
    </row>
    <row r="1761">
      <c r="A1761" s="23">
        <f>IFERROR(__xludf.DUMMYFUNCTION("""COMPUTED_VALUE"""),1886.0)</f>
        <v>1886</v>
      </c>
      <c r="B1761" s="23" t="str">
        <f>IFERROR(__xludf.DUMMYFUNCTION("""COMPUTED_VALUE"""),"Minimum Limit of Balls in a Bag")</f>
        <v>Minimum Limit of Balls in a Bag</v>
      </c>
      <c r="C1761" s="23" t="str">
        <f>IFERROR(__xludf.DUMMYFUNCTION("""COMPUTED_VALUE"""),"minimum-limit-of-balls-in-a-bag")</f>
        <v>minimum-limit-of-balls-in-a-bag</v>
      </c>
      <c r="D1761" s="23" t="b">
        <f>IFERROR(__xludf.DUMMYFUNCTION("""COMPUTED_VALUE"""),FALSE)</f>
        <v>0</v>
      </c>
      <c r="E1761" s="23" t="str">
        <f>IFERROR(__xludf.DUMMYFUNCTION("""COMPUTED_VALUE"""),"Medium")</f>
        <v>Medium</v>
      </c>
      <c r="F1761" s="23">
        <f>IFERROR(__xludf.DUMMYFUNCTION("""COMPUTED_VALUE"""),991.0)</f>
        <v>991</v>
      </c>
      <c r="G1761" s="23">
        <f>IFERROR(__xludf.DUMMYFUNCTION("""COMPUTED_VALUE"""),32.0)</f>
        <v>32</v>
      </c>
      <c r="H1761" s="23" t="str">
        <f>IFERROR(__xludf.DUMMYFUNCTION("""COMPUTED_VALUE"""),"Algorithms")</f>
        <v>Algorithms</v>
      </c>
      <c r="I1761" s="23">
        <f>IFERROR(__xludf.DUMMYFUNCTION("""COMPUTED_VALUE"""),0.576)</f>
        <v>0.576</v>
      </c>
      <c r="J1761" s="23">
        <f>IFERROR(__xludf.DUMMYFUNCTION("""COMPUTED_VALUE"""),1760.0)</f>
        <v>1760</v>
      </c>
      <c r="K1761" s="23" t="b">
        <f>IFERROR(__xludf.DUMMYFUNCTION("""COMPUTED_VALUE"""),FALSE)</f>
        <v>0</v>
      </c>
      <c r="L1761" s="23" t="str">
        <f>IFERROR(__xludf.DUMMYFUNCTION("""COMPUTED_VALUE"""),"Array;Binary Search;")</f>
        <v>Array;Binary Search;</v>
      </c>
      <c r="M1761" s="23" t="b">
        <f>IFERROR(__xludf.DUMMYFUNCTION("""COMPUTED_VALUE"""),FALSE)</f>
        <v>0</v>
      </c>
      <c r="N1761" s="23" t="b">
        <f>IFERROR(__xludf.DUMMYFUNCTION("""COMPUTED_VALUE"""),FALSE)</f>
        <v>0</v>
      </c>
      <c r="O1761" s="23">
        <f>IFERROR(__xludf.DUMMYFUNCTION("""COMPUTED_VALUE"""),57.6482865414394)</f>
        <v>57.64828654</v>
      </c>
      <c r="P1761" s="23">
        <f>IFERROR(__xludf.DUMMYFUNCTION("""COMPUTED_VALUE"""),17124.0)</f>
        <v>17124</v>
      </c>
      <c r="Q1761" s="23">
        <f>IFERROR(__xludf.DUMMYFUNCTION("""COMPUTED_VALUE"""),29705.0)</f>
        <v>29705</v>
      </c>
    </row>
    <row r="1762">
      <c r="A1762" s="23">
        <f>IFERROR(__xludf.DUMMYFUNCTION("""COMPUTED_VALUE"""),1887.0)</f>
        <v>1887</v>
      </c>
      <c r="B1762" s="23" t="str">
        <f>IFERROR(__xludf.DUMMYFUNCTION("""COMPUTED_VALUE"""),"Minimum Degree of a Connected Trio in a Graph")</f>
        <v>Minimum Degree of a Connected Trio in a Graph</v>
      </c>
      <c r="C1762" s="23" t="str">
        <f>IFERROR(__xludf.DUMMYFUNCTION("""COMPUTED_VALUE"""),"minimum-degree-of-a-connected-trio-in-a-graph")</f>
        <v>minimum-degree-of-a-connected-trio-in-a-graph</v>
      </c>
      <c r="D1762" s="23" t="b">
        <f>IFERROR(__xludf.DUMMYFUNCTION("""COMPUTED_VALUE"""),FALSE)</f>
        <v>0</v>
      </c>
      <c r="E1762" s="23" t="str">
        <f>IFERROR(__xludf.DUMMYFUNCTION("""COMPUTED_VALUE"""),"Hard")</f>
        <v>Hard</v>
      </c>
      <c r="F1762" s="23">
        <f>IFERROR(__xludf.DUMMYFUNCTION("""COMPUTED_VALUE"""),194.0)</f>
        <v>194</v>
      </c>
      <c r="G1762" s="23">
        <f>IFERROR(__xludf.DUMMYFUNCTION("""COMPUTED_VALUE"""),217.0)</f>
        <v>217</v>
      </c>
      <c r="H1762" s="23" t="str">
        <f>IFERROR(__xludf.DUMMYFUNCTION("""COMPUTED_VALUE"""),"Algorithms")</f>
        <v>Algorithms</v>
      </c>
      <c r="I1762" s="23">
        <f>IFERROR(__xludf.DUMMYFUNCTION("""COMPUTED_VALUE"""),0.415)</f>
        <v>0.415</v>
      </c>
      <c r="J1762" s="23">
        <f>IFERROR(__xludf.DUMMYFUNCTION("""COMPUTED_VALUE"""),1761.0)</f>
        <v>1761</v>
      </c>
      <c r="K1762" s="23" t="b">
        <f>IFERROR(__xludf.DUMMYFUNCTION("""COMPUTED_VALUE"""),FALSE)</f>
        <v>0</v>
      </c>
      <c r="L1762" s="23" t="str">
        <f>IFERROR(__xludf.DUMMYFUNCTION("""COMPUTED_VALUE"""),"Graph;")</f>
        <v>Graph;</v>
      </c>
      <c r="M1762" s="23" t="b">
        <f>IFERROR(__xludf.DUMMYFUNCTION("""COMPUTED_VALUE"""),FALSE)</f>
        <v>0</v>
      </c>
      <c r="N1762" s="23" t="b">
        <f>IFERROR(__xludf.DUMMYFUNCTION("""COMPUTED_VALUE"""),FALSE)</f>
        <v>0</v>
      </c>
      <c r="O1762" s="23">
        <f>IFERROR(__xludf.DUMMYFUNCTION("""COMPUTED_VALUE"""),41.5080153594156)</f>
        <v>41.50801536</v>
      </c>
      <c r="P1762" s="23">
        <f>IFERROR(__xludf.DUMMYFUNCTION("""COMPUTED_VALUE"""),15458.0)</f>
        <v>15458</v>
      </c>
      <c r="Q1762" s="23">
        <f>IFERROR(__xludf.DUMMYFUNCTION("""COMPUTED_VALUE"""),37241.0)</f>
        <v>37241</v>
      </c>
    </row>
    <row r="1763">
      <c r="A1763" s="23">
        <f>IFERROR(__xludf.DUMMYFUNCTION("""COMPUTED_VALUE"""),1909.0)</f>
        <v>1909</v>
      </c>
      <c r="B1763" s="23" t="str">
        <f>IFERROR(__xludf.DUMMYFUNCTION("""COMPUTED_VALUE"""),"Buildings With an Ocean View")</f>
        <v>Buildings With an Ocean View</v>
      </c>
      <c r="C1763" s="23" t="str">
        <f>IFERROR(__xludf.DUMMYFUNCTION("""COMPUTED_VALUE"""),"buildings-with-an-ocean-view")</f>
        <v>buildings-with-an-ocean-view</v>
      </c>
      <c r="D1763" s="23" t="b">
        <f>IFERROR(__xludf.DUMMYFUNCTION("""COMPUTED_VALUE"""),TRUE)</f>
        <v>1</v>
      </c>
      <c r="E1763" s="23" t="str">
        <f>IFERROR(__xludf.DUMMYFUNCTION("""COMPUTED_VALUE"""),"Medium")</f>
        <v>Medium</v>
      </c>
      <c r="F1763" s="23">
        <f>IFERROR(__xludf.DUMMYFUNCTION("""COMPUTED_VALUE"""),767.0)</f>
        <v>767</v>
      </c>
      <c r="G1763" s="23">
        <f>IFERROR(__xludf.DUMMYFUNCTION("""COMPUTED_VALUE"""),104.0)</f>
        <v>104</v>
      </c>
      <c r="H1763" s="23" t="str">
        <f>IFERROR(__xludf.DUMMYFUNCTION("""COMPUTED_VALUE"""),"Algorithms")</f>
        <v>Algorithms</v>
      </c>
      <c r="I1763" s="23">
        <f>IFERROR(__xludf.DUMMYFUNCTION("""COMPUTED_VALUE"""),0.799)</f>
        <v>0.799</v>
      </c>
      <c r="J1763" s="23">
        <f>IFERROR(__xludf.DUMMYFUNCTION("""COMPUTED_VALUE"""),1762.0)</f>
        <v>1762</v>
      </c>
      <c r="K1763" s="23" t="b">
        <f>IFERROR(__xludf.DUMMYFUNCTION("""COMPUTED_VALUE"""),TRUE)</f>
        <v>1</v>
      </c>
      <c r="L1763" s="23" t="str">
        <f>IFERROR(__xludf.DUMMYFUNCTION("""COMPUTED_VALUE"""),"Array;Stack;Monotonic Stack;")</f>
        <v>Array;Stack;Monotonic Stack;</v>
      </c>
      <c r="M1763" s="23" t="b">
        <f>IFERROR(__xludf.DUMMYFUNCTION("""COMPUTED_VALUE"""),TRUE)</f>
        <v>1</v>
      </c>
      <c r="N1763" s="23" t="b">
        <f>IFERROR(__xludf.DUMMYFUNCTION("""COMPUTED_VALUE"""),FALSE)</f>
        <v>0</v>
      </c>
      <c r="O1763" s="23">
        <f>IFERROR(__xludf.DUMMYFUNCTION("""COMPUTED_VALUE"""),79.9093918801184)</f>
        <v>79.90939188</v>
      </c>
      <c r="P1763" s="23">
        <f>IFERROR(__xludf.DUMMYFUNCTION("""COMPUTED_VALUE"""),105478.0)</f>
        <v>105478</v>
      </c>
      <c r="Q1763" s="23">
        <f>IFERROR(__xludf.DUMMYFUNCTION("""COMPUTED_VALUE"""),131997.0)</f>
        <v>131997</v>
      </c>
    </row>
    <row r="1764">
      <c r="A1764" s="23">
        <f>IFERROR(__xludf.DUMMYFUNCTION("""COMPUTED_VALUE"""),1873.0)</f>
        <v>1873</v>
      </c>
      <c r="B1764" s="23" t="str">
        <f>IFERROR(__xludf.DUMMYFUNCTION("""COMPUTED_VALUE"""),"Longest Nice Substring")</f>
        <v>Longest Nice Substring</v>
      </c>
      <c r="C1764" s="23" t="str">
        <f>IFERROR(__xludf.DUMMYFUNCTION("""COMPUTED_VALUE"""),"longest-nice-substring")</f>
        <v>longest-nice-substring</v>
      </c>
      <c r="D1764" s="23" t="b">
        <f>IFERROR(__xludf.DUMMYFUNCTION("""COMPUTED_VALUE"""),FALSE)</f>
        <v>0</v>
      </c>
      <c r="E1764" s="23" t="str">
        <f>IFERROR(__xludf.DUMMYFUNCTION("""COMPUTED_VALUE"""),"Easy")</f>
        <v>Easy</v>
      </c>
      <c r="F1764" s="23">
        <f>IFERROR(__xludf.DUMMYFUNCTION("""COMPUTED_VALUE"""),576.0)</f>
        <v>576</v>
      </c>
      <c r="G1764" s="23">
        <f>IFERROR(__xludf.DUMMYFUNCTION("""COMPUTED_VALUE"""),442.0)</f>
        <v>442</v>
      </c>
      <c r="H1764" s="23" t="str">
        <f>IFERROR(__xludf.DUMMYFUNCTION("""COMPUTED_VALUE"""),"Algorithms")</f>
        <v>Algorithms</v>
      </c>
      <c r="I1764" s="23">
        <f>IFERROR(__xludf.DUMMYFUNCTION("""COMPUTED_VALUE"""),0.619)</f>
        <v>0.619</v>
      </c>
      <c r="J1764" s="23">
        <f>IFERROR(__xludf.DUMMYFUNCTION("""COMPUTED_VALUE"""),1763.0)</f>
        <v>1763</v>
      </c>
      <c r="K1764" s="23" t="b">
        <f>IFERROR(__xludf.DUMMYFUNCTION("""COMPUTED_VALUE"""),FALSE)</f>
        <v>0</v>
      </c>
      <c r="L1764" s="23" t="str">
        <f>IFERROR(__xludf.DUMMYFUNCTION("""COMPUTED_VALUE"""),"Hash Table;String;Bit Manipulation;Sliding Window;")</f>
        <v>Hash Table;String;Bit Manipulation;Sliding Window;</v>
      </c>
      <c r="M1764" s="23" t="b">
        <f>IFERROR(__xludf.DUMMYFUNCTION("""COMPUTED_VALUE"""),FALSE)</f>
        <v>0</v>
      </c>
      <c r="N1764" s="23" t="b">
        <f>IFERROR(__xludf.DUMMYFUNCTION("""COMPUTED_VALUE"""),FALSE)</f>
        <v>0</v>
      </c>
      <c r="O1764" s="23">
        <f>IFERROR(__xludf.DUMMYFUNCTION("""COMPUTED_VALUE"""),61.9036234194028)</f>
        <v>61.90362342</v>
      </c>
      <c r="P1764" s="23">
        <f>IFERROR(__xludf.DUMMYFUNCTION("""COMPUTED_VALUE"""),23303.0)</f>
        <v>23303</v>
      </c>
      <c r="Q1764" s="23">
        <f>IFERROR(__xludf.DUMMYFUNCTION("""COMPUTED_VALUE"""),37644.0)</f>
        <v>37644</v>
      </c>
    </row>
    <row r="1765">
      <c r="A1765" s="23">
        <f>IFERROR(__xludf.DUMMYFUNCTION("""COMPUTED_VALUE"""),1874.0)</f>
        <v>1874</v>
      </c>
      <c r="B1765" s="23" t="str">
        <f>IFERROR(__xludf.DUMMYFUNCTION("""COMPUTED_VALUE"""),"Form Array by Concatenating Subarrays of Another Array")</f>
        <v>Form Array by Concatenating Subarrays of Another Array</v>
      </c>
      <c r="C1765" s="23" t="str">
        <f>IFERROR(__xludf.DUMMYFUNCTION("""COMPUTED_VALUE"""),"form-array-by-concatenating-subarrays-of-another-array")</f>
        <v>form-array-by-concatenating-subarrays-of-another-array</v>
      </c>
      <c r="D1765" s="23" t="b">
        <f>IFERROR(__xludf.DUMMYFUNCTION("""COMPUTED_VALUE"""),FALSE)</f>
        <v>0</v>
      </c>
      <c r="E1765" s="23" t="str">
        <f>IFERROR(__xludf.DUMMYFUNCTION("""COMPUTED_VALUE"""),"Medium")</f>
        <v>Medium</v>
      </c>
      <c r="F1765" s="23">
        <f>IFERROR(__xludf.DUMMYFUNCTION("""COMPUTED_VALUE"""),203.0)</f>
        <v>203</v>
      </c>
      <c r="G1765" s="23">
        <f>IFERROR(__xludf.DUMMYFUNCTION("""COMPUTED_VALUE"""),21.0)</f>
        <v>21</v>
      </c>
      <c r="H1765" s="23" t="str">
        <f>IFERROR(__xludf.DUMMYFUNCTION("""COMPUTED_VALUE"""),"Algorithms")</f>
        <v>Algorithms</v>
      </c>
      <c r="I1765" s="23">
        <f>IFERROR(__xludf.DUMMYFUNCTION("""COMPUTED_VALUE"""),0.53)</f>
        <v>0.53</v>
      </c>
      <c r="J1765" s="23">
        <f>IFERROR(__xludf.DUMMYFUNCTION("""COMPUTED_VALUE"""),1764.0)</f>
        <v>1764</v>
      </c>
      <c r="K1765" s="23" t="b">
        <f>IFERROR(__xludf.DUMMYFUNCTION("""COMPUTED_VALUE"""),FALSE)</f>
        <v>0</v>
      </c>
      <c r="L1765" s="23" t="str">
        <f>IFERROR(__xludf.DUMMYFUNCTION("""COMPUTED_VALUE"""),"Array;Greedy;String Matching;")</f>
        <v>Array;Greedy;String Matching;</v>
      </c>
      <c r="M1765" s="23" t="b">
        <f>IFERROR(__xludf.DUMMYFUNCTION("""COMPUTED_VALUE"""),FALSE)</f>
        <v>0</v>
      </c>
      <c r="N1765" s="23" t="b">
        <f>IFERROR(__xludf.DUMMYFUNCTION("""COMPUTED_VALUE"""),FALSE)</f>
        <v>0</v>
      </c>
      <c r="O1765" s="23">
        <f>IFERROR(__xludf.DUMMYFUNCTION("""COMPUTED_VALUE"""),52.9866803278688)</f>
        <v>52.98668033</v>
      </c>
      <c r="P1765" s="23">
        <f>IFERROR(__xludf.DUMMYFUNCTION("""COMPUTED_VALUE"""),10343.0)</f>
        <v>10343</v>
      </c>
      <c r="Q1765" s="23">
        <f>IFERROR(__xludf.DUMMYFUNCTION("""COMPUTED_VALUE"""),19520.0)</f>
        <v>19520</v>
      </c>
    </row>
    <row r="1766">
      <c r="A1766" s="23">
        <f>IFERROR(__xludf.DUMMYFUNCTION("""COMPUTED_VALUE"""),1876.0)</f>
        <v>1876</v>
      </c>
      <c r="B1766" s="23" t="str">
        <f>IFERROR(__xludf.DUMMYFUNCTION("""COMPUTED_VALUE"""),"Map of Highest Peak")</f>
        <v>Map of Highest Peak</v>
      </c>
      <c r="C1766" s="23" t="str">
        <f>IFERROR(__xludf.DUMMYFUNCTION("""COMPUTED_VALUE"""),"map-of-highest-peak")</f>
        <v>map-of-highest-peak</v>
      </c>
      <c r="D1766" s="23" t="b">
        <f>IFERROR(__xludf.DUMMYFUNCTION("""COMPUTED_VALUE"""),FALSE)</f>
        <v>0</v>
      </c>
      <c r="E1766" s="23" t="str">
        <f>IFERROR(__xludf.DUMMYFUNCTION("""COMPUTED_VALUE"""),"Medium")</f>
        <v>Medium</v>
      </c>
      <c r="F1766" s="23">
        <f>IFERROR(__xludf.DUMMYFUNCTION("""COMPUTED_VALUE"""),499.0)</f>
        <v>499</v>
      </c>
      <c r="G1766" s="23">
        <f>IFERROR(__xludf.DUMMYFUNCTION("""COMPUTED_VALUE"""),31.0)</f>
        <v>31</v>
      </c>
      <c r="H1766" s="23" t="str">
        <f>IFERROR(__xludf.DUMMYFUNCTION("""COMPUTED_VALUE"""),"Algorithms")</f>
        <v>Algorithms</v>
      </c>
      <c r="I1766" s="23">
        <f>IFERROR(__xludf.DUMMYFUNCTION("""COMPUTED_VALUE"""),0.598)</f>
        <v>0.598</v>
      </c>
      <c r="J1766" s="23">
        <f>IFERROR(__xludf.DUMMYFUNCTION("""COMPUTED_VALUE"""),1765.0)</f>
        <v>1765</v>
      </c>
      <c r="K1766" s="23" t="b">
        <f>IFERROR(__xludf.DUMMYFUNCTION("""COMPUTED_VALUE"""),FALSE)</f>
        <v>0</v>
      </c>
      <c r="L1766" s="23" t="str">
        <f>IFERROR(__xludf.DUMMYFUNCTION("""COMPUTED_VALUE"""),"Array;Breadth-First Search;Matrix;")</f>
        <v>Array;Breadth-First Search;Matrix;</v>
      </c>
      <c r="M1766" s="23" t="b">
        <f>IFERROR(__xludf.DUMMYFUNCTION("""COMPUTED_VALUE"""),FALSE)</f>
        <v>0</v>
      </c>
      <c r="N1766" s="23" t="b">
        <f>IFERROR(__xludf.DUMMYFUNCTION("""COMPUTED_VALUE"""),FALSE)</f>
        <v>0</v>
      </c>
      <c r="O1766" s="23">
        <f>IFERROR(__xludf.DUMMYFUNCTION("""COMPUTED_VALUE"""),59.7763929618768)</f>
        <v>59.77639296</v>
      </c>
      <c r="P1766" s="23">
        <f>IFERROR(__xludf.DUMMYFUNCTION("""COMPUTED_VALUE"""),16307.0)</f>
        <v>16307</v>
      </c>
      <c r="Q1766" s="23">
        <f>IFERROR(__xludf.DUMMYFUNCTION("""COMPUTED_VALUE"""),27280.0)</f>
        <v>27280</v>
      </c>
    </row>
    <row r="1767">
      <c r="A1767" s="23">
        <f>IFERROR(__xludf.DUMMYFUNCTION("""COMPUTED_VALUE"""),1875.0)</f>
        <v>1875</v>
      </c>
      <c r="B1767" s="23" t="str">
        <f>IFERROR(__xludf.DUMMYFUNCTION("""COMPUTED_VALUE"""),"Tree of Coprimes")</f>
        <v>Tree of Coprimes</v>
      </c>
      <c r="C1767" s="23" t="str">
        <f>IFERROR(__xludf.DUMMYFUNCTION("""COMPUTED_VALUE"""),"tree-of-coprimes")</f>
        <v>tree-of-coprimes</v>
      </c>
      <c r="D1767" s="23" t="b">
        <f>IFERROR(__xludf.DUMMYFUNCTION("""COMPUTED_VALUE"""),FALSE)</f>
        <v>0</v>
      </c>
      <c r="E1767" s="23" t="str">
        <f>IFERROR(__xludf.DUMMYFUNCTION("""COMPUTED_VALUE"""),"Hard")</f>
        <v>Hard</v>
      </c>
      <c r="F1767" s="23">
        <f>IFERROR(__xludf.DUMMYFUNCTION("""COMPUTED_VALUE"""),232.0)</f>
        <v>232</v>
      </c>
      <c r="G1767" s="23">
        <f>IFERROR(__xludf.DUMMYFUNCTION("""COMPUTED_VALUE"""),18.0)</f>
        <v>18</v>
      </c>
      <c r="H1767" s="23" t="str">
        <f>IFERROR(__xludf.DUMMYFUNCTION("""COMPUTED_VALUE"""),"Algorithms")</f>
        <v>Algorithms</v>
      </c>
      <c r="I1767" s="23">
        <f>IFERROR(__xludf.DUMMYFUNCTION("""COMPUTED_VALUE"""),0.382)</f>
        <v>0.382</v>
      </c>
      <c r="J1767" s="23">
        <f>IFERROR(__xludf.DUMMYFUNCTION("""COMPUTED_VALUE"""),1766.0)</f>
        <v>1766</v>
      </c>
      <c r="K1767" s="23" t="b">
        <f>IFERROR(__xludf.DUMMYFUNCTION("""COMPUTED_VALUE"""),FALSE)</f>
        <v>0</v>
      </c>
      <c r="L1767" s="23" t="str">
        <f>IFERROR(__xludf.DUMMYFUNCTION("""COMPUTED_VALUE"""),"Math;Tree;Depth-First Search;Breadth-First Search;")</f>
        <v>Math;Tree;Depth-First Search;Breadth-First Search;</v>
      </c>
      <c r="M1767" s="23" t="b">
        <f>IFERROR(__xludf.DUMMYFUNCTION("""COMPUTED_VALUE"""),FALSE)</f>
        <v>0</v>
      </c>
      <c r="N1767" s="23" t="b">
        <f>IFERROR(__xludf.DUMMYFUNCTION("""COMPUTED_VALUE"""),FALSE)</f>
        <v>0</v>
      </c>
      <c r="O1767" s="23">
        <f>IFERROR(__xludf.DUMMYFUNCTION("""COMPUTED_VALUE"""),38.1938690969345)</f>
        <v>38.1938691</v>
      </c>
      <c r="P1767" s="23">
        <f>IFERROR(__xludf.DUMMYFUNCTION("""COMPUTED_VALUE"""),5532.0)</f>
        <v>5532</v>
      </c>
      <c r="Q1767" s="23">
        <f>IFERROR(__xludf.DUMMYFUNCTION("""COMPUTED_VALUE"""),14484.0)</f>
        <v>14484</v>
      </c>
    </row>
    <row r="1768">
      <c r="A1768" s="23">
        <f>IFERROR(__xludf.DUMMYFUNCTION("""COMPUTED_VALUE"""),1914.0)</f>
        <v>1914</v>
      </c>
      <c r="B1768" s="23" t="str">
        <f>IFERROR(__xludf.DUMMYFUNCTION("""COMPUTED_VALUE"""),"Find the Subtasks That Did Not Execute")</f>
        <v>Find the Subtasks That Did Not Execute</v>
      </c>
      <c r="C1768" s="23" t="str">
        <f>IFERROR(__xludf.DUMMYFUNCTION("""COMPUTED_VALUE"""),"find-the-subtasks-that-did-not-execute")</f>
        <v>find-the-subtasks-that-did-not-execute</v>
      </c>
      <c r="D1768" s="23" t="b">
        <f>IFERROR(__xludf.DUMMYFUNCTION("""COMPUTED_VALUE"""),TRUE)</f>
        <v>1</v>
      </c>
      <c r="E1768" s="23" t="str">
        <f>IFERROR(__xludf.DUMMYFUNCTION("""COMPUTED_VALUE"""),"Hard")</f>
        <v>Hard</v>
      </c>
      <c r="F1768" s="23">
        <f>IFERROR(__xludf.DUMMYFUNCTION("""COMPUTED_VALUE"""),83.0)</f>
        <v>83</v>
      </c>
      <c r="G1768" s="23">
        <f>IFERROR(__xludf.DUMMYFUNCTION("""COMPUTED_VALUE"""),8.0)</f>
        <v>8</v>
      </c>
      <c r="H1768" s="23" t="str">
        <f>IFERROR(__xludf.DUMMYFUNCTION("""COMPUTED_VALUE"""),"Database")</f>
        <v>Database</v>
      </c>
      <c r="I1768" s="23">
        <f>IFERROR(__xludf.DUMMYFUNCTION("""COMPUTED_VALUE"""),0.84)</f>
        <v>0.84</v>
      </c>
      <c r="J1768" s="23">
        <f>IFERROR(__xludf.DUMMYFUNCTION("""COMPUTED_VALUE"""),1767.0)</f>
        <v>1767</v>
      </c>
      <c r="K1768" s="23" t="b">
        <f>IFERROR(__xludf.DUMMYFUNCTION("""COMPUTED_VALUE"""),TRUE)</f>
        <v>1</v>
      </c>
      <c r="L1768" s="23" t="str">
        <f>IFERROR(__xludf.DUMMYFUNCTION("""COMPUTED_VALUE"""),"Database;")</f>
        <v>Database;</v>
      </c>
      <c r="M1768" s="23" t="b">
        <f>IFERROR(__xludf.DUMMYFUNCTION("""COMPUTED_VALUE"""),FALSE)</f>
        <v>0</v>
      </c>
      <c r="N1768" s="23" t="b">
        <f>IFERROR(__xludf.DUMMYFUNCTION("""COMPUTED_VALUE"""),FALSE)</f>
        <v>0</v>
      </c>
      <c r="O1768" s="23">
        <f>IFERROR(__xludf.DUMMYFUNCTION("""COMPUTED_VALUE"""),84.0410219503418)</f>
        <v>84.04102195</v>
      </c>
      <c r="P1768" s="23">
        <f>IFERROR(__xludf.DUMMYFUNCTION("""COMPUTED_VALUE"""),4671.0)</f>
        <v>4671</v>
      </c>
      <c r="Q1768" s="23">
        <f>IFERROR(__xludf.DUMMYFUNCTION("""COMPUTED_VALUE"""),5558.0)</f>
        <v>5558</v>
      </c>
    </row>
    <row r="1769">
      <c r="A1769" s="23">
        <f>IFERROR(__xludf.DUMMYFUNCTION("""COMPUTED_VALUE"""),1894.0)</f>
        <v>1894</v>
      </c>
      <c r="B1769" s="23" t="str">
        <f>IFERROR(__xludf.DUMMYFUNCTION("""COMPUTED_VALUE"""),"Merge Strings Alternately")</f>
        <v>Merge Strings Alternately</v>
      </c>
      <c r="C1769" s="23" t="str">
        <f>IFERROR(__xludf.DUMMYFUNCTION("""COMPUTED_VALUE"""),"merge-strings-alternately")</f>
        <v>merge-strings-alternately</v>
      </c>
      <c r="D1769" s="23" t="b">
        <f>IFERROR(__xludf.DUMMYFUNCTION("""COMPUTED_VALUE"""),FALSE)</f>
        <v>0</v>
      </c>
      <c r="E1769" s="23" t="str">
        <f>IFERROR(__xludf.DUMMYFUNCTION("""COMPUTED_VALUE"""),"Easy")</f>
        <v>Easy</v>
      </c>
      <c r="F1769" s="23">
        <f>IFERROR(__xludf.DUMMYFUNCTION("""COMPUTED_VALUE"""),557.0)</f>
        <v>557</v>
      </c>
      <c r="G1769" s="23">
        <f>IFERROR(__xludf.DUMMYFUNCTION("""COMPUTED_VALUE"""),8.0)</f>
        <v>8</v>
      </c>
      <c r="H1769" s="23" t="str">
        <f>IFERROR(__xludf.DUMMYFUNCTION("""COMPUTED_VALUE"""),"Algorithms")</f>
        <v>Algorithms</v>
      </c>
      <c r="I1769" s="23">
        <f>IFERROR(__xludf.DUMMYFUNCTION("""COMPUTED_VALUE"""),0.756)</f>
        <v>0.756</v>
      </c>
      <c r="J1769" s="23">
        <f>IFERROR(__xludf.DUMMYFUNCTION("""COMPUTED_VALUE"""),1768.0)</f>
        <v>1768</v>
      </c>
      <c r="K1769" s="23" t="b">
        <f>IFERROR(__xludf.DUMMYFUNCTION("""COMPUTED_VALUE"""),FALSE)</f>
        <v>0</v>
      </c>
      <c r="L1769" s="23" t="str">
        <f>IFERROR(__xludf.DUMMYFUNCTION("""COMPUTED_VALUE"""),"Two Pointers;String;")</f>
        <v>Two Pointers;String;</v>
      </c>
      <c r="M1769" s="23" t="b">
        <f>IFERROR(__xludf.DUMMYFUNCTION("""COMPUTED_VALUE"""),FALSE)</f>
        <v>0</v>
      </c>
      <c r="N1769" s="23" t="b">
        <f>IFERROR(__xludf.DUMMYFUNCTION("""COMPUTED_VALUE"""),FALSE)</f>
        <v>0</v>
      </c>
      <c r="O1769" s="23">
        <f>IFERROR(__xludf.DUMMYFUNCTION("""COMPUTED_VALUE"""),75.6113510346988)</f>
        <v>75.61135103</v>
      </c>
      <c r="P1769" s="23">
        <f>IFERROR(__xludf.DUMMYFUNCTION("""COMPUTED_VALUE"""),55500.0)</f>
        <v>55500</v>
      </c>
      <c r="Q1769" s="23">
        <f>IFERROR(__xludf.DUMMYFUNCTION("""COMPUTED_VALUE"""),73402.0)</f>
        <v>73402</v>
      </c>
    </row>
    <row r="1770">
      <c r="A1770" s="23">
        <f>IFERROR(__xludf.DUMMYFUNCTION("""COMPUTED_VALUE"""),1895.0)</f>
        <v>1895</v>
      </c>
      <c r="B1770" s="23" t="str">
        <f>IFERROR(__xludf.DUMMYFUNCTION("""COMPUTED_VALUE"""),"Minimum Number of Operations to Move All Balls to Each Box")</f>
        <v>Minimum Number of Operations to Move All Balls to Each Box</v>
      </c>
      <c r="C1770" s="23" t="str">
        <f>IFERROR(__xludf.DUMMYFUNCTION("""COMPUTED_VALUE"""),"minimum-number-of-operations-to-move-all-balls-to-each-box")</f>
        <v>minimum-number-of-operations-to-move-all-balls-to-each-box</v>
      </c>
      <c r="D1770" s="23" t="b">
        <f>IFERROR(__xludf.DUMMYFUNCTION("""COMPUTED_VALUE"""),FALSE)</f>
        <v>0</v>
      </c>
      <c r="E1770" s="23" t="str">
        <f>IFERROR(__xludf.DUMMYFUNCTION("""COMPUTED_VALUE"""),"Medium")</f>
        <v>Medium</v>
      </c>
      <c r="F1770" s="23">
        <f>IFERROR(__xludf.DUMMYFUNCTION("""COMPUTED_VALUE"""),1370.0)</f>
        <v>1370</v>
      </c>
      <c r="G1770" s="23">
        <f>IFERROR(__xludf.DUMMYFUNCTION("""COMPUTED_VALUE"""),51.0)</f>
        <v>51</v>
      </c>
      <c r="H1770" s="23" t="str">
        <f>IFERROR(__xludf.DUMMYFUNCTION("""COMPUTED_VALUE"""),"Algorithms")</f>
        <v>Algorithms</v>
      </c>
      <c r="I1770" s="23">
        <f>IFERROR(__xludf.DUMMYFUNCTION("""COMPUTED_VALUE"""),0.857)</f>
        <v>0.857</v>
      </c>
      <c r="J1770" s="23">
        <f>IFERROR(__xludf.DUMMYFUNCTION("""COMPUTED_VALUE"""),1769.0)</f>
        <v>1769</v>
      </c>
      <c r="K1770" s="23" t="b">
        <f>IFERROR(__xludf.DUMMYFUNCTION("""COMPUTED_VALUE"""),FALSE)</f>
        <v>0</v>
      </c>
      <c r="L1770" s="23" t="str">
        <f>IFERROR(__xludf.DUMMYFUNCTION("""COMPUTED_VALUE"""),"Array;String;")</f>
        <v>Array;String;</v>
      </c>
      <c r="M1770" s="23" t="b">
        <f>IFERROR(__xludf.DUMMYFUNCTION("""COMPUTED_VALUE"""),FALSE)</f>
        <v>0</v>
      </c>
      <c r="N1770" s="23" t="b">
        <f>IFERROR(__xludf.DUMMYFUNCTION("""COMPUTED_VALUE"""),FALSE)</f>
        <v>0</v>
      </c>
      <c r="O1770" s="23">
        <f>IFERROR(__xludf.DUMMYFUNCTION("""COMPUTED_VALUE"""),85.7038889084527)</f>
        <v>85.70388891</v>
      </c>
      <c r="P1770" s="23">
        <f>IFERROR(__xludf.DUMMYFUNCTION("""COMPUTED_VALUE"""),73012.0)</f>
        <v>73012</v>
      </c>
      <c r="Q1770" s="23">
        <f>IFERROR(__xludf.DUMMYFUNCTION("""COMPUTED_VALUE"""),85191.0)</f>
        <v>85191</v>
      </c>
    </row>
    <row r="1771">
      <c r="A1771" s="23">
        <f>IFERROR(__xludf.DUMMYFUNCTION("""COMPUTED_VALUE"""),1896.0)</f>
        <v>1896</v>
      </c>
      <c r="B1771" s="23" t="str">
        <f>IFERROR(__xludf.DUMMYFUNCTION("""COMPUTED_VALUE"""),"Maximum Score from Performing Multiplication Operations")</f>
        <v>Maximum Score from Performing Multiplication Operations</v>
      </c>
      <c r="C1771" s="23" t="str">
        <f>IFERROR(__xludf.DUMMYFUNCTION("""COMPUTED_VALUE"""),"maximum-score-from-performing-multiplication-operations")</f>
        <v>maximum-score-from-performing-multiplication-operations</v>
      </c>
      <c r="D1771" s="23" t="b">
        <f>IFERROR(__xludf.DUMMYFUNCTION("""COMPUTED_VALUE"""),FALSE)</f>
        <v>0</v>
      </c>
      <c r="E1771" s="23" t="str">
        <f>IFERROR(__xludf.DUMMYFUNCTION("""COMPUTED_VALUE"""),"Medium")</f>
        <v>Medium</v>
      </c>
      <c r="F1771" s="23">
        <f>IFERROR(__xludf.DUMMYFUNCTION("""COMPUTED_VALUE"""),731.0)</f>
        <v>731</v>
      </c>
      <c r="G1771" s="23">
        <f>IFERROR(__xludf.DUMMYFUNCTION("""COMPUTED_VALUE"""),173.0)</f>
        <v>173</v>
      </c>
      <c r="H1771" s="23" t="str">
        <f>IFERROR(__xludf.DUMMYFUNCTION("""COMPUTED_VALUE"""),"Algorithms")</f>
        <v>Algorithms</v>
      </c>
      <c r="I1771" s="23">
        <f>IFERROR(__xludf.DUMMYFUNCTION("""COMPUTED_VALUE"""),0.356)</f>
        <v>0.356</v>
      </c>
      <c r="J1771" s="23">
        <f>IFERROR(__xludf.DUMMYFUNCTION("""COMPUTED_VALUE"""),1770.0)</f>
        <v>1770</v>
      </c>
      <c r="K1771" s="23" t="b">
        <f>IFERROR(__xludf.DUMMYFUNCTION("""COMPUTED_VALUE"""),FALSE)</f>
        <v>0</v>
      </c>
      <c r="L1771" s="23" t="str">
        <f>IFERROR(__xludf.DUMMYFUNCTION("""COMPUTED_VALUE"""),"Array;Dynamic Programming;")</f>
        <v>Array;Dynamic Programming;</v>
      </c>
      <c r="M1771" s="23" t="b">
        <f>IFERROR(__xludf.DUMMYFUNCTION("""COMPUTED_VALUE"""),FALSE)</f>
        <v>0</v>
      </c>
      <c r="N1771" s="23" t="b">
        <f>IFERROR(__xludf.DUMMYFUNCTION("""COMPUTED_VALUE"""),FALSE)</f>
        <v>0</v>
      </c>
      <c r="O1771" s="23">
        <f>IFERROR(__xludf.DUMMYFUNCTION("""COMPUTED_VALUE"""),35.6264472471392)</f>
        <v>35.62644725</v>
      </c>
      <c r="P1771" s="23">
        <f>IFERROR(__xludf.DUMMYFUNCTION("""COMPUTED_VALUE"""),31693.0)</f>
        <v>31693</v>
      </c>
      <c r="Q1771" s="23">
        <f>IFERROR(__xludf.DUMMYFUNCTION("""COMPUTED_VALUE"""),88961.0)</f>
        <v>88961</v>
      </c>
    </row>
    <row r="1772">
      <c r="A1772" s="23">
        <f>IFERROR(__xludf.DUMMYFUNCTION("""COMPUTED_VALUE"""),1897.0)</f>
        <v>1897</v>
      </c>
      <c r="B1772" s="23" t="str">
        <f>IFERROR(__xludf.DUMMYFUNCTION("""COMPUTED_VALUE"""),"Maximize Palindrome Length From Subsequences")</f>
        <v>Maximize Palindrome Length From Subsequences</v>
      </c>
      <c r="C1772" s="23" t="str">
        <f>IFERROR(__xludf.DUMMYFUNCTION("""COMPUTED_VALUE"""),"maximize-palindrome-length-from-subsequences")</f>
        <v>maximize-palindrome-length-from-subsequences</v>
      </c>
      <c r="D1772" s="23" t="b">
        <f>IFERROR(__xludf.DUMMYFUNCTION("""COMPUTED_VALUE"""),FALSE)</f>
        <v>0</v>
      </c>
      <c r="E1772" s="23" t="str">
        <f>IFERROR(__xludf.DUMMYFUNCTION("""COMPUTED_VALUE"""),"Hard")</f>
        <v>Hard</v>
      </c>
      <c r="F1772" s="23">
        <f>IFERROR(__xludf.DUMMYFUNCTION("""COMPUTED_VALUE"""),352.0)</f>
        <v>352</v>
      </c>
      <c r="G1772" s="23">
        <f>IFERROR(__xludf.DUMMYFUNCTION("""COMPUTED_VALUE"""),7.0)</f>
        <v>7</v>
      </c>
      <c r="H1772" s="23" t="str">
        <f>IFERROR(__xludf.DUMMYFUNCTION("""COMPUTED_VALUE"""),"Algorithms")</f>
        <v>Algorithms</v>
      </c>
      <c r="I1772" s="23">
        <f>IFERROR(__xludf.DUMMYFUNCTION("""COMPUTED_VALUE"""),0.347)</f>
        <v>0.347</v>
      </c>
      <c r="J1772" s="23">
        <f>IFERROR(__xludf.DUMMYFUNCTION("""COMPUTED_VALUE"""),1771.0)</f>
        <v>1771</v>
      </c>
      <c r="K1772" s="23" t="b">
        <f>IFERROR(__xludf.DUMMYFUNCTION("""COMPUTED_VALUE"""),FALSE)</f>
        <v>0</v>
      </c>
      <c r="L1772" s="23" t="str">
        <f>IFERROR(__xludf.DUMMYFUNCTION("""COMPUTED_VALUE"""),"String;Dynamic Programming;")</f>
        <v>String;Dynamic Programming;</v>
      </c>
      <c r="M1772" s="23" t="b">
        <f>IFERROR(__xludf.DUMMYFUNCTION("""COMPUTED_VALUE"""),FALSE)</f>
        <v>0</v>
      </c>
      <c r="N1772" s="23" t="b">
        <f>IFERROR(__xludf.DUMMYFUNCTION("""COMPUTED_VALUE"""),FALSE)</f>
        <v>0</v>
      </c>
      <c r="O1772" s="23">
        <f>IFERROR(__xludf.DUMMYFUNCTION("""COMPUTED_VALUE"""),34.7089897179511)</f>
        <v>34.70898972</v>
      </c>
      <c r="P1772" s="23">
        <f>IFERROR(__xludf.DUMMYFUNCTION("""COMPUTED_VALUE"""),7359.0)</f>
        <v>7359</v>
      </c>
      <c r="Q1772" s="23">
        <f>IFERROR(__xludf.DUMMYFUNCTION("""COMPUTED_VALUE"""),21202.0)</f>
        <v>21202</v>
      </c>
    </row>
    <row r="1773">
      <c r="A1773" s="23">
        <f>IFERROR(__xludf.DUMMYFUNCTION("""COMPUTED_VALUE"""),1919.0)</f>
        <v>1919</v>
      </c>
      <c r="B1773" s="23" t="str">
        <f>IFERROR(__xludf.DUMMYFUNCTION("""COMPUTED_VALUE"""),"Sort Features by Popularity")</f>
        <v>Sort Features by Popularity</v>
      </c>
      <c r="C1773" s="23" t="str">
        <f>IFERROR(__xludf.DUMMYFUNCTION("""COMPUTED_VALUE"""),"sort-features-by-popularity")</f>
        <v>sort-features-by-popularity</v>
      </c>
      <c r="D1773" s="23" t="b">
        <f>IFERROR(__xludf.DUMMYFUNCTION("""COMPUTED_VALUE"""),TRUE)</f>
        <v>1</v>
      </c>
      <c r="E1773" s="23" t="str">
        <f>IFERROR(__xludf.DUMMYFUNCTION("""COMPUTED_VALUE"""),"Medium")</f>
        <v>Medium</v>
      </c>
      <c r="F1773" s="23">
        <f>IFERROR(__xludf.DUMMYFUNCTION("""COMPUTED_VALUE"""),48.0)</f>
        <v>48</v>
      </c>
      <c r="G1773" s="23">
        <f>IFERROR(__xludf.DUMMYFUNCTION("""COMPUTED_VALUE"""),37.0)</f>
        <v>37</v>
      </c>
      <c r="H1773" s="23" t="str">
        <f>IFERROR(__xludf.DUMMYFUNCTION("""COMPUTED_VALUE"""),"Algorithms")</f>
        <v>Algorithms</v>
      </c>
      <c r="I1773" s="23">
        <f>IFERROR(__xludf.DUMMYFUNCTION("""COMPUTED_VALUE"""),0.659)</f>
        <v>0.659</v>
      </c>
      <c r="J1773" s="23">
        <f>IFERROR(__xludf.DUMMYFUNCTION("""COMPUTED_VALUE"""),1772.0)</f>
        <v>1772</v>
      </c>
      <c r="K1773" s="23" t="b">
        <f>IFERROR(__xludf.DUMMYFUNCTION("""COMPUTED_VALUE"""),TRUE)</f>
        <v>1</v>
      </c>
      <c r="L1773" s="23" t="str">
        <f>IFERROR(__xludf.DUMMYFUNCTION("""COMPUTED_VALUE"""),"Array;Hash Table;String;Sorting;")</f>
        <v>Array;Hash Table;String;Sorting;</v>
      </c>
      <c r="M1773" s="23" t="b">
        <f>IFERROR(__xludf.DUMMYFUNCTION("""COMPUTED_VALUE"""),FALSE)</f>
        <v>0</v>
      </c>
      <c r="N1773" s="23" t="b">
        <f>IFERROR(__xludf.DUMMYFUNCTION("""COMPUTED_VALUE"""),FALSE)</f>
        <v>0</v>
      </c>
      <c r="O1773" s="23">
        <f>IFERROR(__xludf.DUMMYFUNCTION("""COMPUTED_VALUE"""),65.9278803869832)</f>
        <v>65.92788039</v>
      </c>
      <c r="P1773" s="23">
        <f>IFERROR(__xludf.DUMMYFUNCTION("""COMPUTED_VALUE"""),3748.0)</f>
        <v>3748</v>
      </c>
      <c r="Q1773" s="23">
        <f>IFERROR(__xludf.DUMMYFUNCTION("""COMPUTED_VALUE"""),5685.0)</f>
        <v>5685</v>
      </c>
    </row>
    <row r="1774">
      <c r="A1774" s="23">
        <f>IFERROR(__xludf.DUMMYFUNCTION("""COMPUTED_VALUE"""),1899.0)</f>
        <v>1899</v>
      </c>
      <c r="B1774" s="23" t="str">
        <f>IFERROR(__xludf.DUMMYFUNCTION("""COMPUTED_VALUE"""),"Count Items Matching a Rule")</f>
        <v>Count Items Matching a Rule</v>
      </c>
      <c r="C1774" s="23" t="str">
        <f>IFERROR(__xludf.DUMMYFUNCTION("""COMPUTED_VALUE"""),"count-items-matching-a-rule")</f>
        <v>count-items-matching-a-rule</v>
      </c>
      <c r="D1774" s="23" t="b">
        <f>IFERROR(__xludf.DUMMYFUNCTION("""COMPUTED_VALUE"""),FALSE)</f>
        <v>0</v>
      </c>
      <c r="E1774" s="23" t="str">
        <f>IFERROR(__xludf.DUMMYFUNCTION("""COMPUTED_VALUE"""),"Easy")</f>
        <v>Easy</v>
      </c>
      <c r="F1774" s="23">
        <f>IFERROR(__xludf.DUMMYFUNCTION("""COMPUTED_VALUE"""),848.0)</f>
        <v>848</v>
      </c>
      <c r="G1774" s="23">
        <f>IFERROR(__xludf.DUMMYFUNCTION("""COMPUTED_VALUE"""),107.0)</f>
        <v>107</v>
      </c>
      <c r="H1774" s="23" t="str">
        <f>IFERROR(__xludf.DUMMYFUNCTION("""COMPUTED_VALUE"""),"Algorithms")</f>
        <v>Algorithms</v>
      </c>
      <c r="I1774" s="23">
        <f>IFERROR(__xludf.DUMMYFUNCTION("""COMPUTED_VALUE"""),0.844)</f>
        <v>0.844</v>
      </c>
      <c r="J1774" s="23">
        <f>IFERROR(__xludf.DUMMYFUNCTION("""COMPUTED_VALUE"""),1773.0)</f>
        <v>1773</v>
      </c>
      <c r="K1774" s="23" t="b">
        <f>IFERROR(__xludf.DUMMYFUNCTION("""COMPUTED_VALUE"""),FALSE)</f>
        <v>0</v>
      </c>
      <c r="L1774" s="23" t="str">
        <f>IFERROR(__xludf.DUMMYFUNCTION("""COMPUTED_VALUE"""),"Array;String;")</f>
        <v>Array;String;</v>
      </c>
      <c r="M1774" s="23" t="b">
        <f>IFERROR(__xludf.DUMMYFUNCTION("""COMPUTED_VALUE"""),FALSE)</f>
        <v>0</v>
      </c>
      <c r="N1774" s="23" t="b">
        <f>IFERROR(__xludf.DUMMYFUNCTION("""COMPUTED_VALUE"""),FALSE)</f>
        <v>0</v>
      </c>
      <c r="O1774" s="23">
        <f>IFERROR(__xludf.DUMMYFUNCTION("""COMPUTED_VALUE"""),84.4060331927628)</f>
        <v>84.40603319</v>
      </c>
      <c r="P1774" s="23">
        <f>IFERROR(__xludf.DUMMYFUNCTION("""COMPUTED_VALUE"""),99274.0)</f>
        <v>99274</v>
      </c>
      <c r="Q1774" s="23">
        <f>IFERROR(__xludf.DUMMYFUNCTION("""COMPUTED_VALUE"""),117615.0)</f>
        <v>117615</v>
      </c>
    </row>
    <row r="1775">
      <c r="A1775" s="23">
        <f>IFERROR(__xludf.DUMMYFUNCTION("""COMPUTED_VALUE"""),1900.0)</f>
        <v>1900</v>
      </c>
      <c r="B1775" s="23" t="str">
        <f>IFERROR(__xludf.DUMMYFUNCTION("""COMPUTED_VALUE"""),"Closest Dessert Cost")</f>
        <v>Closest Dessert Cost</v>
      </c>
      <c r="C1775" s="23" t="str">
        <f>IFERROR(__xludf.DUMMYFUNCTION("""COMPUTED_VALUE"""),"closest-dessert-cost")</f>
        <v>closest-dessert-cost</v>
      </c>
      <c r="D1775" s="23" t="b">
        <f>IFERROR(__xludf.DUMMYFUNCTION("""COMPUTED_VALUE"""),FALSE)</f>
        <v>0</v>
      </c>
      <c r="E1775" s="23" t="str">
        <f>IFERROR(__xludf.DUMMYFUNCTION("""COMPUTED_VALUE"""),"Medium")</f>
        <v>Medium</v>
      </c>
      <c r="F1775" s="23">
        <f>IFERROR(__xludf.DUMMYFUNCTION("""COMPUTED_VALUE"""),411.0)</f>
        <v>411</v>
      </c>
      <c r="G1775" s="23">
        <f>IFERROR(__xludf.DUMMYFUNCTION("""COMPUTED_VALUE"""),43.0)</f>
        <v>43</v>
      </c>
      <c r="H1775" s="23" t="str">
        <f>IFERROR(__xludf.DUMMYFUNCTION("""COMPUTED_VALUE"""),"Algorithms")</f>
        <v>Algorithms</v>
      </c>
      <c r="I1775" s="23">
        <f>IFERROR(__xludf.DUMMYFUNCTION("""COMPUTED_VALUE"""),0.458)</f>
        <v>0.458</v>
      </c>
      <c r="J1775" s="23">
        <f>IFERROR(__xludf.DUMMYFUNCTION("""COMPUTED_VALUE"""),1774.0)</f>
        <v>1774</v>
      </c>
      <c r="K1775" s="23" t="b">
        <f>IFERROR(__xludf.DUMMYFUNCTION("""COMPUTED_VALUE"""),FALSE)</f>
        <v>0</v>
      </c>
      <c r="L1775" s="23" t="str">
        <f>IFERROR(__xludf.DUMMYFUNCTION("""COMPUTED_VALUE"""),"Array;Dynamic Programming;Backtracking;")</f>
        <v>Array;Dynamic Programming;Backtracking;</v>
      </c>
      <c r="M1775" s="23" t="b">
        <f>IFERROR(__xludf.DUMMYFUNCTION("""COMPUTED_VALUE"""),FALSE)</f>
        <v>0</v>
      </c>
      <c r="N1775" s="23" t="b">
        <f>IFERROR(__xludf.DUMMYFUNCTION("""COMPUTED_VALUE"""),FALSE)</f>
        <v>0</v>
      </c>
      <c r="O1775" s="23">
        <f>IFERROR(__xludf.DUMMYFUNCTION("""COMPUTED_VALUE"""),45.8070386568434)</f>
        <v>45.80703866</v>
      </c>
      <c r="P1775" s="23">
        <f>IFERROR(__xludf.DUMMYFUNCTION("""COMPUTED_VALUE"""),15606.0)</f>
        <v>15606</v>
      </c>
      <c r="Q1775" s="23">
        <f>IFERROR(__xludf.DUMMYFUNCTION("""COMPUTED_VALUE"""),34069.0)</f>
        <v>34069</v>
      </c>
    </row>
    <row r="1776">
      <c r="A1776" s="23">
        <f>IFERROR(__xludf.DUMMYFUNCTION("""COMPUTED_VALUE"""),1901.0)</f>
        <v>1901</v>
      </c>
      <c r="B1776" s="23" t="str">
        <f>IFERROR(__xludf.DUMMYFUNCTION("""COMPUTED_VALUE"""),"Equal Sum Arrays With Minimum Number of Operations")</f>
        <v>Equal Sum Arrays With Minimum Number of Operations</v>
      </c>
      <c r="C1776" s="23" t="str">
        <f>IFERROR(__xludf.DUMMYFUNCTION("""COMPUTED_VALUE"""),"equal-sum-arrays-with-minimum-number-of-operations")</f>
        <v>equal-sum-arrays-with-minimum-number-of-operations</v>
      </c>
      <c r="D1776" s="23" t="b">
        <f>IFERROR(__xludf.DUMMYFUNCTION("""COMPUTED_VALUE"""),FALSE)</f>
        <v>0</v>
      </c>
      <c r="E1776" s="23" t="str">
        <f>IFERROR(__xludf.DUMMYFUNCTION("""COMPUTED_VALUE"""),"Medium")</f>
        <v>Medium</v>
      </c>
      <c r="F1776" s="23">
        <f>IFERROR(__xludf.DUMMYFUNCTION("""COMPUTED_VALUE"""),499.0)</f>
        <v>499</v>
      </c>
      <c r="G1776" s="23">
        <f>IFERROR(__xludf.DUMMYFUNCTION("""COMPUTED_VALUE"""),16.0)</f>
        <v>16</v>
      </c>
      <c r="H1776" s="23" t="str">
        <f>IFERROR(__xludf.DUMMYFUNCTION("""COMPUTED_VALUE"""),"Algorithms")</f>
        <v>Algorithms</v>
      </c>
      <c r="I1776" s="23">
        <f>IFERROR(__xludf.DUMMYFUNCTION("""COMPUTED_VALUE"""),0.514)</f>
        <v>0.514</v>
      </c>
      <c r="J1776" s="23">
        <f>IFERROR(__xludf.DUMMYFUNCTION("""COMPUTED_VALUE"""),1775.0)</f>
        <v>1775</v>
      </c>
      <c r="K1776" s="23" t="b">
        <f>IFERROR(__xludf.DUMMYFUNCTION("""COMPUTED_VALUE"""),FALSE)</f>
        <v>0</v>
      </c>
      <c r="L1776" s="23" t="str">
        <f>IFERROR(__xludf.DUMMYFUNCTION("""COMPUTED_VALUE"""),"Array;Hash Table;Greedy;Counting;")</f>
        <v>Array;Hash Table;Greedy;Counting;</v>
      </c>
      <c r="M1776" s="23" t="b">
        <f>IFERROR(__xludf.DUMMYFUNCTION("""COMPUTED_VALUE"""),FALSE)</f>
        <v>0</v>
      </c>
      <c r="N1776" s="23" t="b">
        <f>IFERROR(__xludf.DUMMYFUNCTION("""COMPUTED_VALUE"""),FALSE)</f>
        <v>0</v>
      </c>
      <c r="O1776" s="23">
        <f>IFERROR(__xludf.DUMMYFUNCTION("""COMPUTED_VALUE"""),51.447738885606)</f>
        <v>51.44773889</v>
      </c>
      <c r="P1776" s="23">
        <f>IFERROR(__xludf.DUMMYFUNCTION("""COMPUTED_VALUE"""),14801.0)</f>
        <v>14801</v>
      </c>
      <c r="Q1776" s="23">
        <f>IFERROR(__xludf.DUMMYFUNCTION("""COMPUTED_VALUE"""),28769.0)</f>
        <v>28769</v>
      </c>
    </row>
    <row r="1777">
      <c r="A1777" s="23">
        <f>IFERROR(__xludf.DUMMYFUNCTION("""COMPUTED_VALUE"""),1902.0)</f>
        <v>1902</v>
      </c>
      <c r="B1777" s="23" t="str">
        <f>IFERROR(__xludf.DUMMYFUNCTION("""COMPUTED_VALUE"""),"Car Fleet II")</f>
        <v>Car Fleet II</v>
      </c>
      <c r="C1777" s="23" t="str">
        <f>IFERROR(__xludf.DUMMYFUNCTION("""COMPUTED_VALUE"""),"car-fleet-ii")</f>
        <v>car-fleet-ii</v>
      </c>
      <c r="D1777" s="23" t="b">
        <f>IFERROR(__xludf.DUMMYFUNCTION("""COMPUTED_VALUE"""),FALSE)</f>
        <v>0</v>
      </c>
      <c r="E1777" s="23" t="str">
        <f>IFERROR(__xludf.DUMMYFUNCTION("""COMPUTED_VALUE"""),"Hard")</f>
        <v>Hard</v>
      </c>
      <c r="F1777" s="23">
        <f>IFERROR(__xludf.DUMMYFUNCTION("""COMPUTED_VALUE"""),579.0)</f>
        <v>579</v>
      </c>
      <c r="G1777" s="23">
        <f>IFERROR(__xludf.DUMMYFUNCTION("""COMPUTED_VALUE"""),15.0)</f>
        <v>15</v>
      </c>
      <c r="H1777" s="23" t="str">
        <f>IFERROR(__xludf.DUMMYFUNCTION("""COMPUTED_VALUE"""),"Algorithms")</f>
        <v>Algorithms</v>
      </c>
      <c r="I1777" s="23">
        <f>IFERROR(__xludf.DUMMYFUNCTION("""COMPUTED_VALUE"""),0.526)</f>
        <v>0.526</v>
      </c>
      <c r="J1777" s="23">
        <f>IFERROR(__xludf.DUMMYFUNCTION("""COMPUTED_VALUE"""),1776.0)</f>
        <v>1776</v>
      </c>
      <c r="K1777" s="23" t="b">
        <f>IFERROR(__xludf.DUMMYFUNCTION("""COMPUTED_VALUE"""),FALSE)</f>
        <v>0</v>
      </c>
      <c r="L1777" s="23" t="str">
        <f>IFERROR(__xludf.DUMMYFUNCTION("""COMPUTED_VALUE"""),"Array;Math;Stack;Heap (Priority Queue);Monotonic Stack;")</f>
        <v>Array;Math;Stack;Heap (Priority Queue);Monotonic Stack;</v>
      </c>
      <c r="M1777" s="23" t="b">
        <f>IFERROR(__xludf.DUMMYFUNCTION("""COMPUTED_VALUE"""),FALSE)</f>
        <v>0</v>
      </c>
      <c r="N1777" s="23" t="b">
        <f>IFERROR(__xludf.DUMMYFUNCTION("""COMPUTED_VALUE"""),FALSE)</f>
        <v>0</v>
      </c>
      <c r="O1777" s="23">
        <f>IFERROR(__xludf.DUMMYFUNCTION("""COMPUTED_VALUE"""),52.6344644506001)</f>
        <v>52.63446445</v>
      </c>
      <c r="P1777" s="23">
        <f>IFERROR(__xludf.DUMMYFUNCTION("""COMPUTED_VALUE"""),18241.0)</f>
        <v>18241</v>
      </c>
      <c r="Q1777" s="23">
        <f>IFERROR(__xludf.DUMMYFUNCTION("""COMPUTED_VALUE"""),34656.0)</f>
        <v>34656</v>
      </c>
    </row>
    <row r="1778">
      <c r="A1778" s="23">
        <f>IFERROR(__xludf.DUMMYFUNCTION("""COMPUTED_VALUE"""),1926.0)</f>
        <v>1926</v>
      </c>
      <c r="B1778" s="23" t="str">
        <f>IFERROR(__xludf.DUMMYFUNCTION("""COMPUTED_VALUE"""),"Product's Price for Each Store")</f>
        <v>Product's Price for Each Store</v>
      </c>
      <c r="C1778" s="23" t="str">
        <f>IFERROR(__xludf.DUMMYFUNCTION("""COMPUTED_VALUE"""),"products-price-for-each-store")</f>
        <v>products-price-for-each-store</v>
      </c>
      <c r="D1778" s="23" t="b">
        <f>IFERROR(__xludf.DUMMYFUNCTION("""COMPUTED_VALUE"""),TRUE)</f>
        <v>1</v>
      </c>
      <c r="E1778" s="23" t="str">
        <f>IFERROR(__xludf.DUMMYFUNCTION("""COMPUTED_VALUE"""),"Easy")</f>
        <v>Easy</v>
      </c>
      <c r="F1778" s="23">
        <f>IFERROR(__xludf.DUMMYFUNCTION("""COMPUTED_VALUE"""),81.0)</f>
        <v>81</v>
      </c>
      <c r="G1778" s="23">
        <f>IFERROR(__xludf.DUMMYFUNCTION("""COMPUTED_VALUE"""),7.0)</f>
        <v>7</v>
      </c>
      <c r="H1778" s="23" t="str">
        <f>IFERROR(__xludf.DUMMYFUNCTION("""COMPUTED_VALUE"""),"Database")</f>
        <v>Database</v>
      </c>
      <c r="I1778" s="23">
        <f>IFERROR(__xludf.DUMMYFUNCTION("""COMPUTED_VALUE"""),0.859)</f>
        <v>0.859</v>
      </c>
      <c r="J1778" s="23">
        <f>IFERROR(__xludf.DUMMYFUNCTION("""COMPUTED_VALUE"""),1777.0)</f>
        <v>1777</v>
      </c>
      <c r="K1778" s="23" t="b">
        <f>IFERROR(__xludf.DUMMYFUNCTION("""COMPUTED_VALUE"""),TRUE)</f>
        <v>1</v>
      </c>
      <c r="L1778" s="23" t="str">
        <f>IFERROR(__xludf.DUMMYFUNCTION("""COMPUTED_VALUE"""),"Database;")</f>
        <v>Database;</v>
      </c>
      <c r="M1778" s="23" t="b">
        <f>IFERROR(__xludf.DUMMYFUNCTION("""COMPUTED_VALUE"""),FALSE)</f>
        <v>0</v>
      </c>
      <c r="N1778" s="23" t="b">
        <f>IFERROR(__xludf.DUMMYFUNCTION("""COMPUTED_VALUE"""),FALSE)</f>
        <v>0</v>
      </c>
      <c r="O1778" s="23">
        <f>IFERROR(__xludf.DUMMYFUNCTION("""COMPUTED_VALUE"""),85.9066967644845)</f>
        <v>85.90669676</v>
      </c>
      <c r="P1778" s="23">
        <f>IFERROR(__xludf.DUMMYFUNCTION("""COMPUTED_VALUE"""),11417.0)</f>
        <v>11417</v>
      </c>
      <c r="Q1778" s="23">
        <f>IFERROR(__xludf.DUMMYFUNCTION("""COMPUTED_VALUE"""),13290.0)</f>
        <v>13290</v>
      </c>
    </row>
    <row r="1779">
      <c r="A1779" s="23">
        <f>IFERROR(__xludf.DUMMYFUNCTION("""COMPUTED_VALUE"""),1931.0)</f>
        <v>1931</v>
      </c>
      <c r="B1779" s="23" t="str">
        <f>IFERROR(__xludf.DUMMYFUNCTION("""COMPUTED_VALUE"""),"Shortest Path in a Hidden Grid")</f>
        <v>Shortest Path in a Hidden Grid</v>
      </c>
      <c r="C1779" s="23" t="str">
        <f>IFERROR(__xludf.DUMMYFUNCTION("""COMPUTED_VALUE"""),"shortest-path-in-a-hidden-grid")</f>
        <v>shortest-path-in-a-hidden-grid</v>
      </c>
      <c r="D1779" s="23" t="b">
        <f>IFERROR(__xludf.DUMMYFUNCTION("""COMPUTED_VALUE"""),TRUE)</f>
        <v>1</v>
      </c>
      <c r="E1779" s="23" t="str">
        <f>IFERROR(__xludf.DUMMYFUNCTION("""COMPUTED_VALUE"""),"Medium")</f>
        <v>Medium</v>
      </c>
      <c r="F1779" s="23">
        <f>IFERROR(__xludf.DUMMYFUNCTION("""COMPUTED_VALUE"""),113.0)</f>
        <v>113</v>
      </c>
      <c r="G1779" s="23">
        <f>IFERROR(__xludf.DUMMYFUNCTION("""COMPUTED_VALUE"""),45.0)</f>
        <v>45</v>
      </c>
      <c r="H1779" s="23" t="str">
        <f>IFERROR(__xludf.DUMMYFUNCTION("""COMPUTED_VALUE"""),"Algorithms")</f>
        <v>Algorithms</v>
      </c>
      <c r="I1779" s="23">
        <f>IFERROR(__xludf.DUMMYFUNCTION("""COMPUTED_VALUE"""),0.412)</f>
        <v>0.412</v>
      </c>
      <c r="J1779" s="23">
        <f>IFERROR(__xludf.DUMMYFUNCTION("""COMPUTED_VALUE"""),1778.0)</f>
        <v>1778</v>
      </c>
      <c r="K1779" s="23" t="b">
        <f>IFERROR(__xludf.DUMMYFUNCTION("""COMPUTED_VALUE"""),TRUE)</f>
        <v>1</v>
      </c>
      <c r="L1779" s="23" t="str">
        <f>IFERROR(__xludf.DUMMYFUNCTION("""COMPUTED_VALUE"""),"Depth-First Search;Breadth-First Search;Graph;Interactive;")</f>
        <v>Depth-First Search;Breadth-First Search;Graph;Interactive;</v>
      </c>
      <c r="M1779" s="23" t="b">
        <f>IFERROR(__xludf.DUMMYFUNCTION("""COMPUTED_VALUE"""),FALSE)</f>
        <v>0</v>
      </c>
      <c r="N1779" s="23" t="b">
        <f>IFERROR(__xludf.DUMMYFUNCTION("""COMPUTED_VALUE"""),FALSE)</f>
        <v>0</v>
      </c>
      <c r="O1779" s="23">
        <f>IFERROR(__xludf.DUMMYFUNCTION("""COMPUTED_VALUE"""),41.2294647588765)</f>
        <v>41.22946476</v>
      </c>
      <c r="P1779" s="23">
        <f>IFERROR(__xludf.DUMMYFUNCTION("""COMPUTED_VALUE"""),3890.0)</f>
        <v>3890</v>
      </c>
      <c r="Q1779" s="23">
        <f>IFERROR(__xludf.DUMMYFUNCTION("""COMPUTED_VALUE"""),9435.0)</f>
        <v>9435</v>
      </c>
    </row>
    <row r="1780">
      <c r="A1780" s="23">
        <f>IFERROR(__xludf.DUMMYFUNCTION("""COMPUTED_VALUE"""),1888.0)</f>
        <v>1888</v>
      </c>
      <c r="B1780" s="23" t="str">
        <f>IFERROR(__xludf.DUMMYFUNCTION("""COMPUTED_VALUE"""),"Find Nearest Point That Has the Same X or Y Coordinate")</f>
        <v>Find Nearest Point That Has the Same X or Y Coordinate</v>
      </c>
      <c r="C1780" s="23" t="str">
        <f>IFERROR(__xludf.DUMMYFUNCTION("""COMPUTED_VALUE"""),"find-nearest-point-that-has-the-same-x-or-y-coordinate")</f>
        <v>find-nearest-point-that-has-the-same-x-or-y-coordinate</v>
      </c>
      <c r="D1780" s="23" t="b">
        <f>IFERROR(__xludf.DUMMYFUNCTION("""COMPUTED_VALUE"""),FALSE)</f>
        <v>0</v>
      </c>
      <c r="E1780" s="23" t="str">
        <f>IFERROR(__xludf.DUMMYFUNCTION("""COMPUTED_VALUE"""),"Easy")</f>
        <v>Easy</v>
      </c>
      <c r="F1780" s="23">
        <f>IFERROR(__xludf.DUMMYFUNCTION("""COMPUTED_VALUE"""),390.0)</f>
        <v>390</v>
      </c>
      <c r="G1780" s="23">
        <f>IFERROR(__xludf.DUMMYFUNCTION("""COMPUTED_VALUE"""),74.0)</f>
        <v>74</v>
      </c>
      <c r="H1780" s="23" t="str">
        <f>IFERROR(__xludf.DUMMYFUNCTION("""COMPUTED_VALUE"""),"Algorithms")</f>
        <v>Algorithms</v>
      </c>
      <c r="I1780" s="23">
        <f>IFERROR(__xludf.DUMMYFUNCTION("""COMPUTED_VALUE"""),0.681)</f>
        <v>0.681</v>
      </c>
      <c r="J1780" s="23">
        <f>IFERROR(__xludf.DUMMYFUNCTION("""COMPUTED_VALUE"""),1779.0)</f>
        <v>1779</v>
      </c>
      <c r="K1780" s="23" t="b">
        <f>IFERROR(__xludf.DUMMYFUNCTION("""COMPUTED_VALUE"""),FALSE)</f>
        <v>0</v>
      </c>
      <c r="L1780" s="23" t="str">
        <f>IFERROR(__xludf.DUMMYFUNCTION("""COMPUTED_VALUE"""),"Array;")</f>
        <v>Array;</v>
      </c>
      <c r="M1780" s="23" t="b">
        <f>IFERROR(__xludf.DUMMYFUNCTION("""COMPUTED_VALUE"""),FALSE)</f>
        <v>0</v>
      </c>
      <c r="N1780" s="23" t="b">
        <f>IFERROR(__xludf.DUMMYFUNCTION("""COMPUTED_VALUE"""),FALSE)</f>
        <v>0</v>
      </c>
      <c r="O1780" s="23">
        <f>IFERROR(__xludf.DUMMYFUNCTION("""COMPUTED_VALUE"""),68.0929725589548)</f>
        <v>68.09297256</v>
      </c>
      <c r="P1780" s="23">
        <f>IFERROR(__xludf.DUMMYFUNCTION("""COMPUTED_VALUE"""),46228.0)</f>
        <v>46228</v>
      </c>
      <c r="Q1780" s="23">
        <f>IFERROR(__xludf.DUMMYFUNCTION("""COMPUTED_VALUE"""),67890.0)</f>
        <v>67890</v>
      </c>
    </row>
    <row r="1781">
      <c r="A1781" s="23">
        <f>IFERROR(__xludf.DUMMYFUNCTION("""COMPUTED_VALUE"""),1889.0)</f>
        <v>1889</v>
      </c>
      <c r="B1781" s="23" t="str">
        <f>IFERROR(__xludf.DUMMYFUNCTION("""COMPUTED_VALUE"""),"Check if Number is a Sum of Powers of Three")</f>
        <v>Check if Number is a Sum of Powers of Three</v>
      </c>
      <c r="C1781" s="23" t="str">
        <f>IFERROR(__xludf.DUMMYFUNCTION("""COMPUTED_VALUE"""),"check-if-number-is-a-sum-of-powers-of-three")</f>
        <v>check-if-number-is-a-sum-of-powers-of-three</v>
      </c>
      <c r="D1781" s="23" t="b">
        <f>IFERROR(__xludf.DUMMYFUNCTION("""COMPUTED_VALUE"""),FALSE)</f>
        <v>0</v>
      </c>
      <c r="E1781" s="23" t="str">
        <f>IFERROR(__xludf.DUMMYFUNCTION("""COMPUTED_VALUE"""),"Medium")</f>
        <v>Medium</v>
      </c>
      <c r="F1781" s="23">
        <f>IFERROR(__xludf.DUMMYFUNCTION("""COMPUTED_VALUE"""),509.0)</f>
        <v>509</v>
      </c>
      <c r="G1781" s="23">
        <f>IFERROR(__xludf.DUMMYFUNCTION("""COMPUTED_VALUE"""),18.0)</f>
        <v>18</v>
      </c>
      <c r="H1781" s="23" t="str">
        <f>IFERROR(__xludf.DUMMYFUNCTION("""COMPUTED_VALUE"""),"Algorithms")</f>
        <v>Algorithms</v>
      </c>
      <c r="I1781" s="23">
        <f>IFERROR(__xludf.DUMMYFUNCTION("""COMPUTED_VALUE"""),0.648)</f>
        <v>0.648</v>
      </c>
      <c r="J1781" s="23">
        <f>IFERROR(__xludf.DUMMYFUNCTION("""COMPUTED_VALUE"""),1780.0)</f>
        <v>1780</v>
      </c>
      <c r="K1781" s="23" t="b">
        <f>IFERROR(__xludf.DUMMYFUNCTION("""COMPUTED_VALUE"""),FALSE)</f>
        <v>0</v>
      </c>
      <c r="L1781" s="23" t="str">
        <f>IFERROR(__xludf.DUMMYFUNCTION("""COMPUTED_VALUE"""),"Math;")</f>
        <v>Math;</v>
      </c>
      <c r="M1781" s="23" t="b">
        <f>IFERROR(__xludf.DUMMYFUNCTION("""COMPUTED_VALUE"""),FALSE)</f>
        <v>0</v>
      </c>
      <c r="N1781" s="23" t="b">
        <f>IFERROR(__xludf.DUMMYFUNCTION("""COMPUTED_VALUE"""),FALSE)</f>
        <v>0</v>
      </c>
      <c r="O1781" s="23">
        <f>IFERROR(__xludf.DUMMYFUNCTION("""COMPUTED_VALUE"""),64.8330297510625)</f>
        <v>64.83302975</v>
      </c>
      <c r="P1781" s="23">
        <f>IFERROR(__xludf.DUMMYFUNCTION("""COMPUTED_VALUE"""),21356.0)</f>
        <v>21356</v>
      </c>
      <c r="Q1781" s="23">
        <f>IFERROR(__xludf.DUMMYFUNCTION("""COMPUTED_VALUE"""),32940.0)</f>
        <v>32940</v>
      </c>
    </row>
    <row r="1782">
      <c r="A1782" s="23">
        <f>IFERROR(__xludf.DUMMYFUNCTION("""COMPUTED_VALUE"""),1890.0)</f>
        <v>1890</v>
      </c>
      <c r="B1782" s="23" t="str">
        <f>IFERROR(__xludf.DUMMYFUNCTION("""COMPUTED_VALUE"""),"Sum of Beauty of All Substrings")</f>
        <v>Sum of Beauty of All Substrings</v>
      </c>
      <c r="C1782" s="23" t="str">
        <f>IFERROR(__xludf.DUMMYFUNCTION("""COMPUTED_VALUE"""),"sum-of-beauty-of-all-substrings")</f>
        <v>sum-of-beauty-of-all-substrings</v>
      </c>
      <c r="D1782" s="23" t="b">
        <f>IFERROR(__xludf.DUMMYFUNCTION("""COMPUTED_VALUE"""),FALSE)</f>
        <v>0</v>
      </c>
      <c r="E1782" s="23" t="str">
        <f>IFERROR(__xludf.DUMMYFUNCTION("""COMPUTED_VALUE"""),"Medium")</f>
        <v>Medium</v>
      </c>
      <c r="F1782" s="23">
        <f>IFERROR(__xludf.DUMMYFUNCTION("""COMPUTED_VALUE"""),308.0)</f>
        <v>308</v>
      </c>
      <c r="G1782" s="23">
        <f>IFERROR(__xludf.DUMMYFUNCTION("""COMPUTED_VALUE"""),83.0)</f>
        <v>83</v>
      </c>
      <c r="H1782" s="23" t="str">
        <f>IFERROR(__xludf.DUMMYFUNCTION("""COMPUTED_VALUE"""),"Algorithms")</f>
        <v>Algorithms</v>
      </c>
      <c r="I1782" s="23">
        <f>IFERROR(__xludf.DUMMYFUNCTION("""COMPUTED_VALUE"""),0.598)</f>
        <v>0.598</v>
      </c>
      <c r="J1782" s="23">
        <f>IFERROR(__xludf.DUMMYFUNCTION("""COMPUTED_VALUE"""),1781.0)</f>
        <v>1781</v>
      </c>
      <c r="K1782" s="23" t="b">
        <f>IFERROR(__xludf.DUMMYFUNCTION("""COMPUTED_VALUE"""),FALSE)</f>
        <v>0</v>
      </c>
      <c r="L1782" s="23" t="str">
        <f>IFERROR(__xludf.DUMMYFUNCTION("""COMPUTED_VALUE"""),"Hash Table;String;Counting;")</f>
        <v>Hash Table;String;Counting;</v>
      </c>
      <c r="M1782" s="23" t="b">
        <f>IFERROR(__xludf.DUMMYFUNCTION("""COMPUTED_VALUE"""),FALSE)</f>
        <v>0</v>
      </c>
      <c r="N1782" s="23" t="b">
        <f>IFERROR(__xludf.DUMMYFUNCTION("""COMPUTED_VALUE"""),FALSE)</f>
        <v>0</v>
      </c>
      <c r="O1782" s="23">
        <f>IFERROR(__xludf.DUMMYFUNCTION("""COMPUTED_VALUE"""),59.7861842105263)</f>
        <v>59.78618421</v>
      </c>
      <c r="P1782" s="23">
        <f>IFERROR(__xludf.DUMMYFUNCTION("""COMPUTED_VALUE"""),13086.0)</f>
        <v>13086</v>
      </c>
      <c r="Q1782" s="23">
        <f>IFERROR(__xludf.DUMMYFUNCTION("""COMPUTED_VALUE"""),21886.0)</f>
        <v>21886</v>
      </c>
    </row>
    <row r="1783">
      <c r="A1783" s="23">
        <f>IFERROR(__xludf.DUMMYFUNCTION("""COMPUTED_VALUE"""),1891.0)</f>
        <v>1891</v>
      </c>
      <c r="B1783" s="23" t="str">
        <f>IFERROR(__xludf.DUMMYFUNCTION("""COMPUTED_VALUE"""),"Count Pairs Of Nodes")</f>
        <v>Count Pairs Of Nodes</v>
      </c>
      <c r="C1783" s="23" t="str">
        <f>IFERROR(__xludf.DUMMYFUNCTION("""COMPUTED_VALUE"""),"count-pairs-of-nodes")</f>
        <v>count-pairs-of-nodes</v>
      </c>
      <c r="D1783" s="23" t="b">
        <f>IFERROR(__xludf.DUMMYFUNCTION("""COMPUTED_VALUE"""),FALSE)</f>
        <v>0</v>
      </c>
      <c r="E1783" s="23" t="str">
        <f>IFERROR(__xludf.DUMMYFUNCTION("""COMPUTED_VALUE"""),"Hard")</f>
        <v>Hard</v>
      </c>
      <c r="F1783" s="23">
        <f>IFERROR(__xludf.DUMMYFUNCTION("""COMPUTED_VALUE"""),198.0)</f>
        <v>198</v>
      </c>
      <c r="G1783" s="23">
        <f>IFERROR(__xludf.DUMMYFUNCTION("""COMPUTED_VALUE"""),123.0)</f>
        <v>123</v>
      </c>
      <c r="H1783" s="23" t="str">
        <f>IFERROR(__xludf.DUMMYFUNCTION("""COMPUTED_VALUE"""),"Algorithms")</f>
        <v>Algorithms</v>
      </c>
      <c r="I1783" s="23">
        <f>IFERROR(__xludf.DUMMYFUNCTION("""COMPUTED_VALUE"""),0.375)</f>
        <v>0.375</v>
      </c>
      <c r="J1783" s="23">
        <f>IFERROR(__xludf.DUMMYFUNCTION("""COMPUTED_VALUE"""),1782.0)</f>
        <v>1782</v>
      </c>
      <c r="K1783" s="23" t="b">
        <f>IFERROR(__xludf.DUMMYFUNCTION("""COMPUTED_VALUE"""),FALSE)</f>
        <v>0</v>
      </c>
      <c r="L1783" s="23" t="str">
        <f>IFERROR(__xludf.DUMMYFUNCTION("""COMPUTED_VALUE"""),"Two Pointers;Binary Search;Graph;")</f>
        <v>Two Pointers;Binary Search;Graph;</v>
      </c>
      <c r="M1783" s="23" t="b">
        <f>IFERROR(__xludf.DUMMYFUNCTION("""COMPUTED_VALUE"""),FALSE)</f>
        <v>0</v>
      </c>
      <c r="N1783" s="23" t="b">
        <f>IFERROR(__xludf.DUMMYFUNCTION("""COMPUTED_VALUE"""),FALSE)</f>
        <v>0</v>
      </c>
      <c r="O1783" s="23">
        <f>IFERROR(__xludf.DUMMYFUNCTION("""COMPUTED_VALUE"""),37.4666092201637)</f>
        <v>37.46660922</v>
      </c>
      <c r="P1783" s="23">
        <f>IFERROR(__xludf.DUMMYFUNCTION("""COMPUTED_VALUE"""),4348.0)</f>
        <v>4348</v>
      </c>
      <c r="Q1783" s="23">
        <f>IFERROR(__xludf.DUMMYFUNCTION("""COMPUTED_VALUE"""),11605.0)</f>
        <v>11605</v>
      </c>
    </row>
    <row r="1784">
      <c r="A1784" s="23">
        <f>IFERROR(__xludf.DUMMYFUNCTION("""COMPUTED_VALUE"""),1932.0)</f>
        <v>1932</v>
      </c>
      <c r="B1784" s="23" t="str">
        <f>IFERROR(__xludf.DUMMYFUNCTION("""COMPUTED_VALUE"""),"Grand Slam Titles")</f>
        <v>Grand Slam Titles</v>
      </c>
      <c r="C1784" s="23" t="str">
        <f>IFERROR(__xludf.DUMMYFUNCTION("""COMPUTED_VALUE"""),"grand-slam-titles")</f>
        <v>grand-slam-titles</v>
      </c>
      <c r="D1784" s="23" t="b">
        <f>IFERROR(__xludf.DUMMYFUNCTION("""COMPUTED_VALUE"""),TRUE)</f>
        <v>1</v>
      </c>
      <c r="E1784" s="23" t="str">
        <f>IFERROR(__xludf.DUMMYFUNCTION("""COMPUTED_VALUE"""),"Medium")</f>
        <v>Medium</v>
      </c>
      <c r="F1784" s="23">
        <f>IFERROR(__xludf.DUMMYFUNCTION("""COMPUTED_VALUE"""),99.0)</f>
        <v>99</v>
      </c>
      <c r="G1784" s="23">
        <f>IFERROR(__xludf.DUMMYFUNCTION("""COMPUTED_VALUE"""),2.0)</f>
        <v>2</v>
      </c>
      <c r="H1784" s="23" t="str">
        <f>IFERROR(__xludf.DUMMYFUNCTION("""COMPUTED_VALUE"""),"Database")</f>
        <v>Database</v>
      </c>
      <c r="I1784" s="23">
        <f>IFERROR(__xludf.DUMMYFUNCTION("""COMPUTED_VALUE"""),0.893)</f>
        <v>0.893</v>
      </c>
      <c r="J1784" s="23">
        <f>IFERROR(__xludf.DUMMYFUNCTION("""COMPUTED_VALUE"""),1783.0)</f>
        <v>1783</v>
      </c>
      <c r="K1784" s="23" t="b">
        <f>IFERROR(__xludf.DUMMYFUNCTION("""COMPUTED_VALUE"""),TRUE)</f>
        <v>1</v>
      </c>
      <c r="L1784" s="23" t="str">
        <f>IFERROR(__xludf.DUMMYFUNCTION("""COMPUTED_VALUE"""),"Database;")</f>
        <v>Database;</v>
      </c>
      <c r="M1784" s="23" t="b">
        <f>IFERROR(__xludf.DUMMYFUNCTION("""COMPUTED_VALUE"""),FALSE)</f>
        <v>0</v>
      </c>
      <c r="N1784" s="23" t="b">
        <f>IFERROR(__xludf.DUMMYFUNCTION("""COMPUTED_VALUE"""),FALSE)</f>
        <v>0</v>
      </c>
      <c r="O1784" s="23">
        <f>IFERROR(__xludf.DUMMYFUNCTION("""COMPUTED_VALUE"""),89.2787358763061)</f>
        <v>89.27873588</v>
      </c>
      <c r="P1784" s="23">
        <f>IFERROR(__xludf.DUMMYFUNCTION("""COMPUTED_VALUE"""),10509.0)</f>
        <v>10509</v>
      </c>
      <c r="Q1784" s="23">
        <f>IFERROR(__xludf.DUMMYFUNCTION("""COMPUTED_VALUE"""),11771.0)</f>
        <v>11771</v>
      </c>
    </row>
    <row r="1785">
      <c r="A1785" s="23">
        <f>IFERROR(__xludf.DUMMYFUNCTION("""COMPUTED_VALUE"""),1910.0)</f>
        <v>1910</v>
      </c>
      <c r="B1785" s="23" t="str">
        <f>IFERROR(__xludf.DUMMYFUNCTION("""COMPUTED_VALUE"""),"Check if Binary String Has at Most One Segment of Ones")</f>
        <v>Check if Binary String Has at Most One Segment of Ones</v>
      </c>
      <c r="C1785" s="23" t="str">
        <f>IFERROR(__xludf.DUMMYFUNCTION("""COMPUTED_VALUE"""),"check-if-binary-string-has-at-most-one-segment-of-ones")</f>
        <v>check-if-binary-string-has-at-most-one-segment-of-ones</v>
      </c>
      <c r="D1785" s="23" t="b">
        <f>IFERROR(__xludf.DUMMYFUNCTION("""COMPUTED_VALUE"""),FALSE)</f>
        <v>0</v>
      </c>
      <c r="E1785" s="23" t="str">
        <f>IFERROR(__xludf.DUMMYFUNCTION("""COMPUTED_VALUE"""),"Easy")</f>
        <v>Easy</v>
      </c>
      <c r="F1785" s="23">
        <f>IFERROR(__xludf.DUMMYFUNCTION("""COMPUTED_VALUE"""),166.0)</f>
        <v>166</v>
      </c>
      <c r="G1785" s="23">
        <f>IFERROR(__xludf.DUMMYFUNCTION("""COMPUTED_VALUE"""),525.0)</f>
        <v>525</v>
      </c>
      <c r="H1785" s="23" t="str">
        <f>IFERROR(__xludf.DUMMYFUNCTION("""COMPUTED_VALUE"""),"Algorithms")</f>
        <v>Algorithms</v>
      </c>
      <c r="I1785" s="23">
        <f>IFERROR(__xludf.DUMMYFUNCTION("""COMPUTED_VALUE"""),0.408)</f>
        <v>0.408</v>
      </c>
      <c r="J1785" s="23">
        <f>IFERROR(__xludf.DUMMYFUNCTION("""COMPUTED_VALUE"""),1784.0)</f>
        <v>1784</v>
      </c>
      <c r="K1785" s="23" t="b">
        <f>IFERROR(__xludf.DUMMYFUNCTION("""COMPUTED_VALUE"""),FALSE)</f>
        <v>0</v>
      </c>
      <c r="L1785" s="23" t="str">
        <f>IFERROR(__xludf.DUMMYFUNCTION("""COMPUTED_VALUE"""),"String;")</f>
        <v>String;</v>
      </c>
      <c r="M1785" s="23" t="b">
        <f>IFERROR(__xludf.DUMMYFUNCTION("""COMPUTED_VALUE"""),FALSE)</f>
        <v>0</v>
      </c>
      <c r="N1785" s="23" t="b">
        <f>IFERROR(__xludf.DUMMYFUNCTION("""COMPUTED_VALUE"""),FALSE)</f>
        <v>0</v>
      </c>
      <c r="O1785" s="23">
        <f>IFERROR(__xludf.DUMMYFUNCTION("""COMPUTED_VALUE"""),40.8349517900417)</f>
        <v>40.83495179</v>
      </c>
      <c r="P1785" s="23">
        <f>IFERROR(__xludf.DUMMYFUNCTION("""COMPUTED_VALUE"""),23759.0)</f>
        <v>23759</v>
      </c>
      <c r="Q1785" s="23">
        <f>IFERROR(__xludf.DUMMYFUNCTION("""COMPUTED_VALUE"""),58183.0)</f>
        <v>58183</v>
      </c>
    </row>
    <row r="1786">
      <c r="A1786" s="23">
        <f>IFERROR(__xludf.DUMMYFUNCTION("""COMPUTED_VALUE"""),1911.0)</f>
        <v>1911</v>
      </c>
      <c r="B1786" s="23" t="str">
        <f>IFERROR(__xludf.DUMMYFUNCTION("""COMPUTED_VALUE"""),"Minimum Elements to Add to Form a Given Sum")</f>
        <v>Minimum Elements to Add to Form a Given Sum</v>
      </c>
      <c r="C1786" s="23" t="str">
        <f>IFERROR(__xludf.DUMMYFUNCTION("""COMPUTED_VALUE"""),"minimum-elements-to-add-to-form-a-given-sum")</f>
        <v>minimum-elements-to-add-to-form-a-given-sum</v>
      </c>
      <c r="D1786" s="23" t="b">
        <f>IFERROR(__xludf.DUMMYFUNCTION("""COMPUTED_VALUE"""),FALSE)</f>
        <v>0</v>
      </c>
      <c r="E1786" s="23" t="str">
        <f>IFERROR(__xludf.DUMMYFUNCTION("""COMPUTED_VALUE"""),"Medium")</f>
        <v>Medium</v>
      </c>
      <c r="F1786" s="23">
        <f>IFERROR(__xludf.DUMMYFUNCTION("""COMPUTED_VALUE"""),151.0)</f>
        <v>151</v>
      </c>
      <c r="G1786" s="23">
        <f>IFERROR(__xludf.DUMMYFUNCTION("""COMPUTED_VALUE"""),145.0)</f>
        <v>145</v>
      </c>
      <c r="H1786" s="23" t="str">
        <f>IFERROR(__xludf.DUMMYFUNCTION("""COMPUTED_VALUE"""),"Algorithms")</f>
        <v>Algorithms</v>
      </c>
      <c r="I1786" s="23">
        <f>IFERROR(__xludf.DUMMYFUNCTION("""COMPUTED_VALUE"""),0.416)</f>
        <v>0.416</v>
      </c>
      <c r="J1786" s="23">
        <f>IFERROR(__xludf.DUMMYFUNCTION("""COMPUTED_VALUE"""),1785.0)</f>
        <v>1785</v>
      </c>
      <c r="K1786" s="23" t="b">
        <f>IFERROR(__xludf.DUMMYFUNCTION("""COMPUTED_VALUE"""),FALSE)</f>
        <v>0</v>
      </c>
      <c r="L1786" s="23" t="str">
        <f>IFERROR(__xludf.DUMMYFUNCTION("""COMPUTED_VALUE"""),"Array;Greedy;")</f>
        <v>Array;Greedy;</v>
      </c>
      <c r="M1786" s="23" t="b">
        <f>IFERROR(__xludf.DUMMYFUNCTION("""COMPUTED_VALUE"""),FALSE)</f>
        <v>0</v>
      </c>
      <c r="N1786" s="23" t="b">
        <f>IFERROR(__xludf.DUMMYFUNCTION("""COMPUTED_VALUE"""),FALSE)</f>
        <v>0</v>
      </c>
      <c r="O1786" s="23">
        <f>IFERROR(__xludf.DUMMYFUNCTION("""COMPUTED_VALUE"""),41.6056040799577)</f>
        <v>41.60560408</v>
      </c>
      <c r="P1786" s="23">
        <f>IFERROR(__xludf.DUMMYFUNCTION("""COMPUTED_VALUE"""),14195.0)</f>
        <v>14195</v>
      </c>
      <c r="Q1786" s="23">
        <f>IFERROR(__xludf.DUMMYFUNCTION("""COMPUTED_VALUE"""),34118.0)</f>
        <v>34118</v>
      </c>
    </row>
    <row r="1787">
      <c r="A1787" s="23">
        <f>IFERROR(__xludf.DUMMYFUNCTION("""COMPUTED_VALUE"""),1912.0)</f>
        <v>1912</v>
      </c>
      <c r="B1787" s="23" t="str">
        <f>IFERROR(__xludf.DUMMYFUNCTION("""COMPUTED_VALUE"""),"Number of Restricted Paths From First to Last Node")</f>
        <v>Number of Restricted Paths From First to Last Node</v>
      </c>
      <c r="C1787" s="23" t="str">
        <f>IFERROR(__xludf.DUMMYFUNCTION("""COMPUTED_VALUE"""),"number-of-restricted-paths-from-first-to-last-node")</f>
        <v>number-of-restricted-paths-from-first-to-last-node</v>
      </c>
      <c r="D1787" s="23" t="b">
        <f>IFERROR(__xludf.DUMMYFUNCTION("""COMPUTED_VALUE"""),FALSE)</f>
        <v>0</v>
      </c>
      <c r="E1787" s="23" t="str">
        <f>IFERROR(__xludf.DUMMYFUNCTION("""COMPUTED_VALUE"""),"Medium")</f>
        <v>Medium</v>
      </c>
      <c r="F1787" s="23">
        <f>IFERROR(__xludf.DUMMYFUNCTION("""COMPUTED_VALUE"""),580.0)</f>
        <v>580</v>
      </c>
      <c r="G1787" s="23">
        <f>IFERROR(__xludf.DUMMYFUNCTION("""COMPUTED_VALUE"""),102.0)</f>
        <v>102</v>
      </c>
      <c r="H1787" s="23" t="str">
        <f>IFERROR(__xludf.DUMMYFUNCTION("""COMPUTED_VALUE"""),"Algorithms")</f>
        <v>Algorithms</v>
      </c>
      <c r="I1787" s="23">
        <f>IFERROR(__xludf.DUMMYFUNCTION("""COMPUTED_VALUE"""),0.386)</f>
        <v>0.386</v>
      </c>
      <c r="J1787" s="23">
        <f>IFERROR(__xludf.DUMMYFUNCTION("""COMPUTED_VALUE"""),1786.0)</f>
        <v>1786</v>
      </c>
      <c r="K1787" s="23" t="b">
        <f>IFERROR(__xludf.DUMMYFUNCTION("""COMPUTED_VALUE"""),FALSE)</f>
        <v>0</v>
      </c>
      <c r="L1787" s="23" t="str">
        <f>IFERROR(__xludf.DUMMYFUNCTION("""COMPUTED_VALUE"""),"Dynamic Programming;Graph;Topological Sort;Heap (Priority Queue);Shortest Path;")</f>
        <v>Dynamic Programming;Graph;Topological Sort;Heap (Priority Queue);Shortest Path;</v>
      </c>
      <c r="M1787" s="23" t="b">
        <f>IFERROR(__xludf.DUMMYFUNCTION("""COMPUTED_VALUE"""),FALSE)</f>
        <v>0</v>
      </c>
      <c r="N1787" s="23" t="b">
        <f>IFERROR(__xludf.DUMMYFUNCTION("""COMPUTED_VALUE"""),FALSE)</f>
        <v>0</v>
      </c>
      <c r="O1787" s="23">
        <f>IFERROR(__xludf.DUMMYFUNCTION("""COMPUTED_VALUE"""),38.553814382896)</f>
        <v>38.55381438</v>
      </c>
      <c r="P1787" s="23">
        <f>IFERROR(__xludf.DUMMYFUNCTION("""COMPUTED_VALUE"""),12695.0)</f>
        <v>12695</v>
      </c>
      <c r="Q1787" s="23">
        <f>IFERROR(__xludf.DUMMYFUNCTION("""COMPUTED_VALUE"""),32927.0)</f>
        <v>32927</v>
      </c>
    </row>
    <row r="1788">
      <c r="A1788" s="23">
        <f>IFERROR(__xludf.DUMMYFUNCTION("""COMPUTED_VALUE"""),1913.0)</f>
        <v>1913</v>
      </c>
      <c r="B1788" s="23" t="str">
        <f>IFERROR(__xludf.DUMMYFUNCTION("""COMPUTED_VALUE"""),"Make the XOR of All Segments Equal to Zero")</f>
        <v>Make the XOR of All Segments Equal to Zero</v>
      </c>
      <c r="C1788" s="23" t="str">
        <f>IFERROR(__xludf.DUMMYFUNCTION("""COMPUTED_VALUE"""),"make-the-xor-of-all-segments-equal-to-zero")</f>
        <v>make-the-xor-of-all-segments-equal-to-zero</v>
      </c>
      <c r="D1788" s="23" t="b">
        <f>IFERROR(__xludf.DUMMYFUNCTION("""COMPUTED_VALUE"""),FALSE)</f>
        <v>0</v>
      </c>
      <c r="E1788" s="23" t="str">
        <f>IFERROR(__xludf.DUMMYFUNCTION("""COMPUTED_VALUE"""),"Hard")</f>
        <v>Hard</v>
      </c>
      <c r="F1788" s="23">
        <f>IFERROR(__xludf.DUMMYFUNCTION("""COMPUTED_VALUE"""),262.0)</f>
        <v>262</v>
      </c>
      <c r="G1788" s="23">
        <f>IFERROR(__xludf.DUMMYFUNCTION("""COMPUTED_VALUE"""),15.0)</f>
        <v>15</v>
      </c>
      <c r="H1788" s="23" t="str">
        <f>IFERROR(__xludf.DUMMYFUNCTION("""COMPUTED_VALUE"""),"Algorithms")</f>
        <v>Algorithms</v>
      </c>
      <c r="I1788" s="23">
        <f>IFERROR(__xludf.DUMMYFUNCTION("""COMPUTED_VALUE"""),0.392)</f>
        <v>0.392</v>
      </c>
      <c r="J1788" s="23">
        <f>IFERROR(__xludf.DUMMYFUNCTION("""COMPUTED_VALUE"""),1787.0)</f>
        <v>1787</v>
      </c>
      <c r="K1788" s="23" t="b">
        <f>IFERROR(__xludf.DUMMYFUNCTION("""COMPUTED_VALUE"""),FALSE)</f>
        <v>0</v>
      </c>
      <c r="L1788" s="23" t="str">
        <f>IFERROR(__xludf.DUMMYFUNCTION("""COMPUTED_VALUE"""),"Array;Dynamic Programming;Bit Manipulation;")</f>
        <v>Array;Dynamic Programming;Bit Manipulation;</v>
      </c>
      <c r="M1788" s="23" t="b">
        <f>IFERROR(__xludf.DUMMYFUNCTION("""COMPUTED_VALUE"""),FALSE)</f>
        <v>0</v>
      </c>
      <c r="N1788" s="23" t="b">
        <f>IFERROR(__xludf.DUMMYFUNCTION("""COMPUTED_VALUE"""),FALSE)</f>
        <v>0</v>
      </c>
      <c r="O1788" s="23">
        <f>IFERROR(__xludf.DUMMYFUNCTION("""COMPUTED_VALUE"""),39.171623705662)</f>
        <v>39.17162371</v>
      </c>
      <c r="P1788" s="23">
        <f>IFERROR(__xludf.DUMMYFUNCTION("""COMPUTED_VALUE"""),3556.0)</f>
        <v>3556</v>
      </c>
      <c r="Q1788" s="23">
        <f>IFERROR(__xludf.DUMMYFUNCTION("""COMPUTED_VALUE"""),9078.0)</f>
        <v>9078</v>
      </c>
    </row>
    <row r="1789">
      <c r="A1789" s="23">
        <f>IFERROR(__xludf.DUMMYFUNCTION("""COMPUTED_VALUE"""),1937.0)</f>
        <v>1937</v>
      </c>
      <c r="B1789" s="23" t="str">
        <f>IFERROR(__xludf.DUMMYFUNCTION("""COMPUTED_VALUE"""),"Maximize the Beauty of the Garden")</f>
        <v>Maximize the Beauty of the Garden</v>
      </c>
      <c r="C1789" s="23" t="str">
        <f>IFERROR(__xludf.DUMMYFUNCTION("""COMPUTED_VALUE"""),"maximize-the-beauty-of-the-garden")</f>
        <v>maximize-the-beauty-of-the-garden</v>
      </c>
      <c r="D1789" s="23" t="b">
        <f>IFERROR(__xludf.DUMMYFUNCTION("""COMPUTED_VALUE"""),TRUE)</f>
        <v>1</v>
      </c>
      <c r="E1789" s="23" t="str">
        <f>IFERROR(__xludf.DUMMYFUNCTION("""COMPUTED_VALUE"""),"Hard")</f>
        <v>Hard</v>
      </c>
      <c r="F1789" s="23">
        <f>IFERROR(__xludf.DUMMYFUNCTION("""COMPUTED_VALUE"""),46.0)</f>
        <v>46</v>
      </c>
      <c r="G1789" s="23">
        <f>IFERROR(__xludf.DUMMYFUNCTION("""COMPUTED_VALUE"""),5.0)</f>
        <v>5</v>
      </c>
      <c r="H1789" s="23" t="str">
        <f>IFERROR(__xludf.DUMMYFUNCTION("""COMPUTED_VALUE"""),"Algorithms")</f>
        <v>Algorithms</v>
      </c>
      <c r="I1789" s="23">
        <f>IFERROR(__xludf.DUMMYFUNCTION("""COMPUTED_VALUE"""),0.672)</f>
        <v>0.672</v>
      </c>
      <c r="J1789" s="23">
        <f>IFERROR(__xludf.DUMMYFUNCTION("""COMPUTED_VALUE"""),1788.0)</f>
        <v>1788</v>
      </c>
      <c r="K1789" s="23" t="b">
        <f>IFERROR(__xludf.DUMMYFUNCTION("""COMPUTED_VALUE"""),TRUE)</f>
        <v>1</v>
      </c>
      <c r="L1789" s="23" t="str">
        <f>IFERROR(__xludf.DUMMYFUNCTION("""COMPUTED_VALUE"""),"Array;Greedy;Prefix Sum;")</f>
        <v>Array;Greedy;Prefix Sum;</v>
      </c>
      <c r="M1789" s="23" t="b">
        <f>IFERROR(__xludf.DUMMYFUNCTION("""COMPUTED_VALUE"""),FALSE)</f>
        <v>0</v>
      </c>
      <c r="N1789" s="23" t="b">
        <f>IFERROR(__xludf.DUMMYFUNCTION("""COMPUTED_VALUE"""),FALSE)</f>
        <v>0</v>
      </c>
      <c r="O1789" s="23">
        <f>IFERROR(__xludf.DUMMYFUNCTION("""COMPUTED_VALUE"""),67.2463768115942)</f>
        <v>67.24637681</v>
      </c>
      <c r="P1789" s="23">
        <f>IFERROR(__xludf.DUMMYFUNCTION("""COMPUTED_VALUE"""),1392.0)</f>
        <v>1392</v>
      </c>
      <c r="Q1789" s="23">
        <f>IFERROR(__xludf.DUMMYFUNCTION("""COMPUTED_VALUE"""),2070.0)</f>
        <v>2070</v>
      </c>
    </row>
    <row r="1790">
      <c r="A1790" s="23">
        <f>IFERROR(__xludf.DUMMYFUNCTION("""COMPUTED_VALUE"""),1942.0)</f>
        <v>1942</v>
      </c>
      <c r="B1790" s="23" t="str">
        <f>IFERROR(__xludf.DUMMYFUNCTION("""COMPUTED_VALUE"""),"Primary Department for Each Employee")</f>
        <v>Primary Department for Each Employee</v>
      </c>
      <c r="C1790" s="23" t="str">
        <f>IFERROR(__xludf.DUMMYFUNCTION("""COMPUTED_VALUE"""),"primary-department-for-each-employee")</f>
        <v>primary-department-for-each-employee</v>
      </c>
      <c r="D1790" s="23" t="b">
        <f>IFERROR(__xludf.DUMMYFUNCTION("""COMPUTED_VALUE"""),TRUE)</f>
        <v>1</v>
      </c>
      <c r="E1790" s="23" t="str">
        <f>IFERROR(__xludf.DUMMYFUNCTION("""COMPUTED_VALUE"""),"Easy")</f>
        <v>Easy</v>
      </c>
      <c r="F1790" s="23">
        <f>IFERROR(__xludf.DUMMYFUNCTION("""COMPUTED_VALUE"""),59.0)</f>
        <v>59</v>
      </c>
      <c r="G1790" s="23">
        <f>IFERROR(__xludf.DUMMYFUNCTION("""COMPUTED_VALUE"""),30.0)</f>
        <v>30</v>
      </c>
      <c r="H1790" s="23" t="str">
        <f>IFERROR(__xludf.DUMMYFUNCTION("""COMPUTED_VALUE"""),"Database")</f>
        <v>Database</v>
      </c>
      <c r="I1790" s="23">
        <f>IFERROR(__xludf.DUMMYFUNCTION("""COMPUTED_VALUE"""),0.793)</f>
        <v>0.793</v>
      </c>
      <c r="J1790" s="23">
        <f>IFERROR(__xludf.DUMMYFUNCTION("""COMPUTED_VALUE"""),1789.0)</f>
        <v>1789</v>
      </c>
      <c r="K1790" s="23" t="b">
        <f>IFERROR(__xludf.DUMMYFUNCTION("""COMPUTED_VALUE"""),TRUE)</f>
        <v>1</v>
      </c>
      <c r="L1790" s="23" t="str">
        <f>IFERROR(__xludf.DUMMYFUNCTION("""COMPUTED_VALUE"""),"Database;")</f>
        <v>Database;</v>
      </c>
      <c r="M1790" s="23" t="b">
        <f>IFERROR(__xludf.DUMMYFUNCTION("""COMPUTED_VALUE"""),FALSE)</f>
        <v>0</v>
      </c>
      <c r="N1790" s="23" t="b">
        <f>IFERROR(__xludf.DUMMYFUNCTION("""COMPUTED_VALUE"""),FALSE)</f>
        <v>0</v>
      </c>
      <c r="O1790" s="23">
        <f>IFERROR(__xludf.DUMMYFUNCTION("""COMPUTED_VALUE"""),79.2817679558011)</f>
        <v>79.28176796</v>
      </c>
      <c r="P1790" s="23">
        <f>IFERROR(__xludf.DUMMYFUNCTION("""COMPUTED_VALUE"""),9758.0)</f>
        <v>9758</v>
      </c>
      <c r="Q1790" s="23">
        <f>IFERROR(__xludf.DUMMYFUNCTION("""COMPUTED_VALUE"""),12308.0)</f>
        <v>12308</v>
      </c>
    </row>
    <row r="1791">
      <c r="A1791" s="23">
        <f>IFERROR(__xludf.DUMMYFUNCTION("""COMPUTED_VALUE"""),1915.0)</f>
        <v>1915</v>
      </c>
      <c r="B1791" s="23" t="str">
        <f>IFERROR(__xludf.DUMMYFUNCTION("""COMPUTED_VALUE"""),"Check if One String Swap Can Make Strings Equal")</f>
        <v>Check if One String Swap Can Make Strings Equal</v>
      </c>
      <c r="C1791" s="23" t="str">
        <f>IFERROR(__xludf.DUMMYFUNCTION("""COMPUTED_VALUE"""),"check-if-one-string-swap-can-make-strings-equal")</f>
        <v>check-if-one-string-swap-can-make-strings-equal</v>
      </c>
      <c r="D1791" s="23" t="b">
        <f>IFERROR(__xludf.DUMMYFUNCTION("""COMPUTED_VALUE"""),FALSE)</f>
        <v>0</v>
      </c>
      <c r="E1791" s="23" t="str">
        <f>IFERROR(__xludf.DUMMYFUNCTION("""COMPUTED_VALUE"""),"Easy")</f>
        <v>Easy</v>
      </c>
      <c r="F1791" s="23">
        <f>IFERROR(__xludf.DUMMYFUNCTION("""COMPUTED_VALUE"""),466.0)</f>
        <v>466</v>
      </c>
      <c r="G1791" s="23">
        <f>IFERROR(__xludf.DUMMYFUNCTION("""COMPUTED_VALUE"""),18.0)</f>
        <v>18</v>
      </c>
      <c r="H1791" s="23" t="str">
        <f>IFERROR(__xludf.DUMMYFUNCTION("""COMPUTED_VALUE"""),"Algorithms")</f>
        <v>Algorithms</v>
      </c>
      <c r="I1791" s="23">
        <f>IFERROR(__xludf.DUMMYFUNCTION("""COMPUTED_VALUE"""),0.459)</f>
        <v>0.459</v>
      </c>
      <c r="J1791" s="23">
        <f>IFERROR(__xludf.DUMMYFUNCTION("""COMPUTED_VALUE"""),1790.0)</f>
        <v>1790</v>
      </c>
      <c r="K1791" s="23" t="b">
        <f>IFERROR(__xludf.DUMMYFUNCTION("""COMPUTED_VALUE"""),FALSE)</f>
        <v>0</v>
      </c>
      <c r="L1791" s="23" t="str">
        <f>IFERROR(__xludf.DUMMYFUNCTION("""COMPUTED_VALUE"""),"Hash Table;String;Counting;")</f>
        <v>Hash Table;String;Counting;</v>
      </c>
      <c r="M1791" s="23" t="b">
        <f>IFERROR(__xludf.DUMMYFUNCTION("""COMPUTED_VALUE"""),FALSE)</f>
        <v>0</v>
      </c>
      <c r="N1791" s="23" t="b">
        <f>IFERROR(__xludf.DUMMYFUNCTION("""COMPUTED_VALUE"""),FALSE)</f>
        <v>0</v>
      </c>
      <c r="O1791" s="23">
        <f>IFERROR(__xludf.DUMMYFUNCTION("""COMPUTED_VALUE"""),45.8843852604363)</f>
        <v>45.88438526</v>
      </c>
      <c r="P1791" s="23">
        <f>IFERROR(__xludf.DUMMYFUNCTION("""COMPUTED_VALUE"""),40108.0)</f>
        <v>40108</v>
      </c>
      <c r="Q1791" s="23">
        <f>IFERROR(__xludf.DUMMYFUNCTION("""COMPUTED_VALUE"""),87411.0)</f>
        <v>87411</v>
      </c>
    </row>
    <row r="1792">
      <c r="A1792" s="23">
        <f>IFERROR(__xludf.DUMMYFUNCTION("""COMPUTED_VALUE"""),1916.0)</f>
        <v>1916</v>
      </c>
      <c r="B1792" s="23" t="str">
        <f>IFERROR(__xludf.DUMMYFUNCTION("""COMPUTED_VALUE"""),"Find Center of Star Graph")</f>
        <v>Find Center of Star Graph</v>
      </c>
      <c r="C1792" s="23" t="str">
        <f>IFERROR(__xludf.DUMMYFUNCTION("""COMPUTED_VALUE"""),"find-center-of-star-graph")</f>
        <v>find-center-of-star-graph</v>
      </c>
      <c r="D1792" s="23" t="b">
        <f>IFERROR(__xludf.DUMMYFUNCTION("""COMPUTED_VALUE"""),FALSE)</f>
        <v>0</v>
      </c>
      <c r="E1792" s="23" t="str">
        <f>IFERROR(__xludf.DUMMYFUNCTION("""COMPUTED_VALUE"""),"Easy")</f>
        <v>Easy</v>
      </c>
      <c r="F1792" s="23">
        <f>IFERROR(__xludf.DUMMYFUNCTION("""COMPUTED_VALUE"""),543.0)</f>
        <v>543</v>
      </c>
      <c r="G1792" s="23">
        <f>IFERROR(__xludf.DUMMYFUNCTION("""COMPUTED_VALUE"""),73.0)</f>
        <v>73</v>
      </c>
      <c r="H1792" s="23" t="str">
        <f>IFERROR(__xludf.DUMMYFUNCTION("""COMPUTED_VALUE"""),"Algorithms")</f>
        <v>Algorithms</v>
      </c>
      <c r="I1792" s="23">
        <f>IFERROR(__xludf.DUMMYFUNCTION("""COMPUTED_VALUE"""),0.836)</f>
        <v>0.836</v>
      </c>
      <c r="J1792" s="23">
        <f>IFERROR(__xludf.DUMMYFUNCTION("""COMPUTED_VALUE"""),1791.0)</f>
        <v>1791</v>
      </c>
      <c r="K1792" s="23" t="b">
        <f>IFERROR(__xludf.DUMMYFUNCTION("""COMPUTED_VALUE"""),FALSE)</f>
        <v>0</v>
      </c>
      <c r="L1792" s="23" t="str">
        <f>IFERROR(__xludf.DUMMYFUNCTION("""COMPUTED_VALUE"""),"Graph;")</f>
        <v>Graph;</v>
      </c>
      <c r="M1792" s="23" t="b">
        <f>IFERROR(__xludf.DUMMYFUNCTION("""COMPUTED_VALUE"""),FALSE)</f>
        <v>0</v>
      </c>
      <c r="N1792" s="23" t="b">
        <f>IFERROR(__xludf.DUMMYFUNCTION("""COMPUTED_VALUE"""),FALSE)</f>
        <v>0</v>
      </c>
      <c r="O1792" s="23">
        <f>IFERROR(__xludf.DUMMYFUNCTION("""COMPUTED_VALUE"""),83.6468825002882)</f>
        <v>83.6468825</v>
      </c>
      <c r="P1792" s="23">
        <f>IFERROR(__xludf.DUMMYFUNCTION("""COMPUTED_VALUE"""),79809.0)</f>
        <v>79809</v>
      </c>
      <c r="Q1792" s="23">
        <f>IFERROR(__xludf.DUMMYFUNCTION("""COMPUTED_VALUE"""),95412.0)</f>
        <v>95412</v>
      </c>
    </row>
    <row r="1793">
      <c r="A1793" s="23">
        <f>IFERROR(__xludf.DUMMYFUNCTION("""COMPUTED_VALUE"""),1917.0)</f>
        <v>1917</v>
      </c>
      <c r="B1793" s="23" t="str">
        <f>IFERROR(__xludf.DUMMYFUNCTION("""COMPUTED_VALUE"""),"Maximum Average Pass Ratio")</f>
        <v>Maximum Average Pass Ratio</v>
      </c>
      <c r="C1793" s="23" t="str">
        <f>IFERROR(__xludf.DUMMYFUNCTION("""COMPUTED_VALUE"""),"maximum-average-pass-ratio")</f>
        <v>maximum-average-pass-ratio</v>
      </c>
      <c r="D1793" s="23" t="b">
        <f>IFERROR(__xludf.DUMMYFUNCTION("""COMPUTED_VALUE"""),FALSE)</f>
        <v>0</v>
      </c>
      <c r="E1793" s="23" t="str">
        <f>IFERROR(__xludf.DUMMYFUNCTION("""COMPUTED_VALUE"""),"Medium")</f>
        <v>Medium</v>
      </c>
      <c r="F1793" s="23">
        <f>IFERROR(__xludf.DUMMYFUNCTION("""COMPUTED_VALUE"""),482.0)</f>
        <v>482</v>
      </c>
      <c r="G1793" s="23">
        <f>IFERROR(__xludf.DUMMYFUNCTION("""COMPUTED_VALUE"""),58.0)</f>
        <v>58</v>
      </c>
      <c r="H1793" s="23" t="str">
        <f>IFERROR(__xludf.DUMMYFUNCTION("""COMPUTED_VALUE"""),"Algorithms")</f>
        <v>Algorithms</v>
      </c>
      <c r="I1793" s="23">
        <f>IFERROR(__xludf.DUMMYFUNCTION("""COMPUTED_VALUE"""),0.507)</f>
        <v>0.507</v>
      </c>
      <c r="J1793" s="23">
        <f>IFERROR(__xludf.DUMMYFUNCTION("""COMPUTED_VALUE"""),1792.0)</f>
        <v>1792</v>
      </c>
      <c r="K1793" s="23" t="b">
        <f>IFERROR(__xludf.DUMMYFUNCTION("""COMPUTED_VALUE"""),FALSE)</f>
        <v>0</v>
      </c>
      <c r="L1793" s="23" t="str">
        <f>IFERROR(__xludf.DUMMYFUNCTION("""COMPUTED_VALUE"""),"Array;Greedy;Heap (Priority Queue);")</f>
        <v>Array;Greedy;Heap (Priority Queue);</v>
      </c>
      <c r="M1793" s="23" t="b">
        <f>IFERROR(__xludf.DUMMYFUNCTION("""COMPUTED_VALUE"""),FALSE)</f>
        <v>0</v>
      </c>
      <c r="N1793" s="23" t="b">
        <f>IFERROR(__xludf.DUMMYFUNCTION("""COMPUTED_VALUE"""),FALSE)</f>
        <v>0</v>
      </c>
      <c r="O1793" s="23">
        <f>IFERROR(__xludf.DUMMYFUNCTION("""COMPUTED_VALUE"""),50.7459636215001)</f>
        <v>50.74596362</v>
      </c>
      <c r="P1793" s="23">
        <f>IFERROR(__xludf.DUMMYFUNCTION("""COMPUTED_VALUE"""),14898.0)</f>
        <v>14898</v>
      </c>
      <c r="Q1793" s="23">
        <f>IFERROR(__xludf.DUMMYFUNCTION("""COMPUTED_VALUE"""),29358.0)</f>
        <v>29358</v>
      </c>
    </row>
    <row r="1794">
      <c r="A1794" s="23">
        <f>IFERROR(__xludf.DUMMYFUNCTION("""COMPUTED_VALUE"""),1918.0)</f>
        <v>1918</v>
      </c>
      <c r="B1794" s="23" t="str">
        <f>IFERROR(__xludf.DUMMYFUNCTION("""COMPUTED_VALUE"""),"Maximum Score of a Good Subarray")</f>
        <v>Maximum Score of a Good Subarray</v>
      </c>
      <c r="C1794" s="23" t="str">
        <f>IFERROR(__xludf.DUMMYFUNCTION("""COMPUTED_VALUE"""),"maximum-score-of-a-good-subarray")</f>
        <v>maximum-score-of-a-good-subarray</v>
      </c>
      <c r="D1794" s="23" t="b">
        <f>IFERROR(__xludf.DUMMYFUNCTION("""COMPUTED_VALUE"""),FALSE)</f>
        <v>0</v>
      </c>
      <c r="E1794" s="23" t="str">
        <f>IFERROR(__xludf.DUMMYFUNCTION("""COMPUTED_VALUE"""),"Hard")</f>
        <v>Hard</v>
      </c>
      <c r="F1794" s="23">
        <f>IFERROR(__xludf.DUMMYFUNCTION("""COMPUTED_VALUE"""),586.0)</f>
        <v>586</v>
      </c>
      <c r="G1794" s="23">
        <f>IFERROR(__xludf.DUMMYFUNCTION("""COMPUTED_VALUE"""),24.0)</f>
        <v>24</v>
      </c>
      <c r="H1794" s="23" t="str">
        <f>IFERROR(__xludf.DUMMYFUNCTION("""COMPUTED_VALUE"""),"Algorithms")</f>
        <v>Algorithms</v>
      </c>
      <c r="I1794" s="23">
        <f>IFERROR(__xludf.DUMMYFUNCTION("""COMPUTED_VALUE"""),0.516)</f>
        <v>0.516</v>
      </c>
      <c r="J1794" s="23">
        <f>IFERROR(__xludf.DUMMYFUNCTION("""COMPUTED_VALUE"""),1793.0)</f>
        <v>1793</v>
      </c>
      <c r="K1794" s="23" t="b">
        <f>IFERROR(__xludf.DUMMYFUNCTION("""COMPUTED_VALUE"""),FALSE)</f>
        <v>0</v>
      </c>
      <c r="L1794" s="23" t="str">
        <f>IFERROR(__xludf.DUMMYFUNCTION("""COMPUTED_VALUE"""),"Array;Two Pointers;Binary Search;Stack;Monotonic Stack;")</f>
        <v>Array;Two Pointers;Binary Search;Stack;Monotonic Stack;</v>
      </c>
      <c r="M1794" s="23" t="b">
        <f>IFERROR(__xludf.DUMMYFUNCTION("""COMPUTED_VALUE"""),FALSE)</f>
        <v>0</v>
      </c>
      <c r="N1794" s="23" t="b">
        <f>IFERROR(__xludf.DUMMYFUNCTION("""COMPUTED_VALUE"""),FALSE)</f>
        <v>0</v>
      </c>
      <c r="O1794" s="23">
        <f>IFERROR(__xludf.DUMMYFUNCTION("""COMPUTED_VALUE"""),51.572663962654)</f>
        <v>51.57266396</v>
      </c>
      <c r="P1794" s="23">
        <f>IFERROR(__xludf.DUMMYFUNCTION("""COMPUTED_VALUE"""),13478.0)</f>
        <v>13478</v>
      </c>
      <c r="Q1794" s="23">
        <f>IFERROR(__xludf.DUMMYFUNCTION("""COMPUTED_VALUE"""),26134.0)</f>
        <v>26134</v>
      </c>
    </row>
    <row r="1795">
      <c r="A1795" s="23">
        <f>IFERROR(__xludf.DUMMYFUNCTION("""COMPUTED_VALUE"""),1943.0)</f>
        <v>1943</v>
      </c>
      <c r="B1795" s="23" t="str">
        <f>IFERROR(__xludf.DUMMYFUNCTION("""COMPUTED_VALUE"""),"Count Pairs of Equal Substrings With Minimum Difference")</f>
        <v>Count Pairs of Equal Substrings With Minimum Difference</v>
      </c>
      <c r="C1795" s="23" t="str">
        <f>IFERROR(__xludf.DUMMYFUNCTION("""COMPUTED_VALUE"""),"count-pairs-of-equal-substrings-with-minimum-difference")</f>
        <v>count-pairs-of-equal-substrings-with-minimum-difference</v>
      </c>
      <c r="D1795" s="23" t="b">
        <f>IFERROR(__xludf.DUMMYFUNCTION("""COMPUTED_VALUE"""),TRUE)</f>
        <v>1</v>
      </c>
      <c r="E1795" s="23" t="str">
        <f>IFERROR(__xludf.DUMMYFUNCTION("""COMPUTED_VALUE"""),"Medium")</f>
        <v>Medium</v>
      </c>
      <c r="F1795" s="23">
        <f>IFERROR(__xludf.DUMMYFUNCTION("""COMPUTED_VALUE"""),30.0)</f>
        <v>30</v>
      </c>
      <c r="G1795" s="23">
        <f>IFERROR(__xludf.DUMMYFUNCTION("""COMPUTED_VALUE"""),37.0)</f>
        <v>37</v>
      </c>
      <c r="H1795" s="23" t="str">
        <f>IFERROR(__xludf.DUMMYFUNCTION("""COMPUTED_VALUE"""),"Algorithms")</f>
        <v>Algorithms</v>
      </c>
      <c r="I1795" s="23">
        <f>IFERROR(__xludf.DUMMYFUNCTION("""COMPUTED_VALUE"""),0.651)</f>
        <v>0.651</v>
      </c>
      <c r="J1795" s="23">
        <f>IFERROR(__xludf.DUMMYFUNCTION("""COMPUTED_VALUE"""),1794.0)</f>
        <v>1794</v>
      </c>
      <c r="K1795" s="23" t="b">
        <f>IFERROR(__xludf.DUMMYFUNCTION("""COMPUTED_VALUE"""),TRUE)</f>
        <v>1</v>
      </c>
      <c r="L1795" s="23" t="str">
        <f>IFERROR(__xludf.DUMMYFUNCTION("""COMPUTED_VALUE"""),"Hash Table;String;Greedy;")</f>
        <v>Hash Table;String;Greedy;</v>
      </c>
      <c r="M1795" s="23" t="b">
        <f>IFERROR(__xludf.DUMMYFUNCTION("""COMPUTED_VALUE"""),FALSE)</f>
        <v>0</v>
      </c>
      <c r="N1795" s="23" t="b">
        <f>IFERROR(__xludf.DUMMYFUNCTION("""COMPUTED_VALUE"""),FALSE)</f>
        <v>0</v>
      </c>
      <c r="O1795" s="23">
        <f>IFERROR(__xludf.DUMMYFUNCTION("""COMPUTED_VALUE"""),65.0520833333333)</f>
        <v>65.05208333</v>
      </c>
      <c r="P1795" s="23">
        <f>IFERROR(__xludf.DUMMYFUNCTION("""COMPUTED_VALUE"""),1249.0)</f>
        <v>1249</v>
      </c>
      <c r="Q1795" s="23">
        <f>IFERROR(__xludf.DUMMYFUNCTION("""COMPUTED_VALUE"""),1920.0)</f>
        <v>1920</v>
      </c>
    </row>
    <row r="1796">
      <c r="A1796" s="23">
        <f>IFERROR(__xludf.DUMMYFUNCTION("""COMPUTED_VALUE"""),1948.0)</f>
        <v>1948</v>
      </c>
      <c r="B1796" s="23" t="str">
        <f>IFERROR(__xludf.DUMMYFUNCTION("""COMPUTED_VALUE"""),"Rearrange Products Table")</f>
        <v>Rearrange Products Table</v>
      </c>
      <c r="C1796" s="23" t="str">
        <f>IFERROR(__xludf.DUMMYFUNCTION("""COMPUTED_VALUE"""),"rearrange-products-table")</f>
        <v>rearrange-products-table</v>
      </c>
      <c r="D1796" s="23" t="b">
        <f>IFERROR(__xludf.DUMMYFUNCTION("""COMPUTED_VALUE"""),FALSE)</f>
        <v>0</v>
      </c>
      <c r="E1796" s="23" t="str">
        <f>IFERROR(__xludf.DUMMYFUNCTION("""COMPUTED_VALUE"""),"Easy")</f>
        <v>Easy</v>
      </c>
      <c r="F1796" s="23">
        <f>IFERROR(__xludf.DUMMYFUNCTION("""COMPUTED_VALUE"""),136.0)</f>
        <v>136</v>
      </c>
      <c r="G1796" s="23">
        <f>IFERROR(__xludf.DUMMYFUNCTION("""COMPUTED_VALUE"""),6.0)</f>
        <v>6</v>
      </c>
      <c r="H1796" s="23" t="str">
        <f>IFERROR(__xludf.DUMMYFUNCTION("""COMPUTED_VALUE"""),"Database")</f>
        <v>Database</v>
      </c>
      <c r="I1796" s="23">
        <f>IFERROR(__xludf.DUMMYFUNCTION("""COMPUTED_VALUE"""),0.907)</f>
        <v>0.907</v>
      </c>
      <c r="J1796" s="23">
        <f>IFERROR(__xludf.DUMMYFUNCTION("""COMPUTED_VALUE"""),1795.0)</f>
        <v>1795</v>
      </c>
      <c r="K1796" s="23" t="b">
        <f>IFERROR(__xludf.DUMMYFUNCTION("""COMPUTED_VALUE"""),FALSE)</f>
        <v>0</v>
      </c>
      <c r="L1796" s="23" t="str">
        <f>IFERROR(__xludf.DUMMYFUNCTION("""COMPUTED_VALUE"""),"Database;")</f>
        <v>Database;</v>
      </c>
      <c r="M1796" s="23" t="b">
        <f>IFERROR(__xludf.DUMMYFUNCTION("""COMPUTED_VALUE"""),FALSE)</f>
        <v>0</v>
      </c>
      <c r="N1796" s="23" t="b">
        <f>IFERROR(__xludf.DUMMYFUNCTION("""COMPUTED_VALUE"""),FALSE)</f>
        <v>0</v>
      </c>
      <c r="O1796" s="23">
        <f>IFERROR(__xludf.DUMMYFUNCTION("""COMPUTED_VALUE"""),90.6523243379253)</f>
        <v>90.65232434</v>
      </c>
      <c r="P1796" s="23">
        <f>IFERROR(__xludf.DUMMYFUNCTION("""COMPUTED_VALUE"""),14411.0)</f>
        <v>14411</v>
      </c>
      <c r="Q1796" s="23">
        <f>IFERROR(__xludf.DUMMYFUNCTION("""COMPUTED_VALUE"""),15897.0)</f>
        <v>15897</v>
      </c>
    </row>
    <row r="1797">
      <c r="A1797" s="23">
        <f>IFERROR(__xludf.DUMMYFUNCTION("""COMPUTED_VALUE"""),1904.0)</f>
        <v>1904</v>
      </c>
      <c r="B1797" s="23" t="str">
        <f>IFERROR(__xludf.DUMMYFUNCTION("""COMPUTED_VALUE"""),"Second Largest Digit in a String")</f>
        <v>Second Largest Digit in a String</v>
      </c>
      <c r="C1797" s="23" t="str">
        <f>IFERROR(__xludf.DUMMYFUNCTION("""COMPUTED_VALUE"""),"second-largest-digit-in-a-string")</f>
        <v>second-largest-digit-in-a-string</v>
      </c>
      <c r="D1797" s="23" t="b">
        <f>IFERROR(__xludf.DUMMYFUNCTION("""COMPUTED_VALUE"""),FALSE)</f>
        <v>0</v>
      </c>
      <c r="E1797" s="23" t="str">
        <f>IFERROR(__xludf.DUMMYFUNCTION("""COMPUTED_VALUE"""),"Easy")</f>
        <v>Easy</v>
      </c>
      <c r="F1797" s="23">
        <f>IFERROR(__xludf.DUMMYFUNCTION("""COMPUTED_VALUE"""),249.0)</f>
        <v>249</v>
      </c>
      <c r="G1797" s="23">
        <f>IFERROR(__xludf.DUMMYFUNCTION("""COMPUTED_VALUE"""),72.0)</f>
        <v>72</v>
      </c>
      <c r="H1797" s="23" t="str">
        <f>IFERROR(__xludf.DUMMYFUNCTION("""COMPUTED_VALUE"""),"Algorithms")</f>
        <v>Algorithms</v>
      </c>
      <c r="I1797" s="23">
        <f>IFERROR(__xludf.DUMMYFUNCTION("""COMPUTED_VALUE"""),0.491)</f>
        <v>0.491</v>
      </c>
      <c r="J1797" s="23">
        <f>IFERROR(__xludf.DUMMYFUNCTION("""COMPUTED_VALUE"""),1796.0)</f>
        <v>1796</v>
      </c>
      <c r="K1797" s="23" t="b">
        <f>IFERROR(__xludf.DUMMYFUNCTION("""COMPUTED_VALUE"""),FALSE)</f>
        <v>0</v>
      </c>
      <c r="L1797" s="23" t="str">
        <f>IFERROR(__xludf.DUMMYFUNCTION("""COMPUTED_VALUE"""),"Hash Table;String;")</f>
        <v>Hash Table;String;</v>
      </c>
      <c r="M1797" s="23" t="b">
        <f>IFERROR(__xludf.DUMMYFUNCTION("""COMPUTED_VALUE"""),FALSE)</f>
        <v>0</v>
      </c>
      <c r="N1797" s="23" t="b">
        <f>IFERROR(__xludf.DUMMYFUNCTION("""COMPUTED_VALUE"""),FALSE)</f>
        <v>0</v>
      </c>
      <c r="O1797" s="23">
        <f>IFERROR(__xludf.DUMMYFUNCTION("""COMPUTED_VALUE"""),49.0700027238413)</f>
        <v>49.07000272</v>
      </c>
      <c r="P1797" s="23">
        <f>IFERROR(__xludf.DUMMYFUNCTION("""COMPUTED_VALUE"""),25221.0)</f>
        <v>25221</v>
      </c>
      <c r="Q1797" s="23">
        <f>IFERROR(__xludf.DUMMYFUNCTION("""COMPUTED_VALUE"""),51398.0)</f>
        <v>51398</v>
      </c>
    </row>
    <row r="1798">
      <c r="A1798" s="23">
        <f>IFERROR(__xludf.DUMMYFUNCTION("""COMPUTED_VALUE"""),1905.0)</f>
        <v>1905</v>
      </c>
      <c r="B1798" s="23" t="str">
        <f>IFERROR(__xludf.DUMMYFUNCTION("""COMPUTED_VALUE"""),"Design Authentication Manager")</f>
        <v>Design Authentication Manager</v>
      </c>
      <c r="C1798" s="23" t="str">
        <f>IFERROR(__xludf.DUMMYFUNCTION("""COMPUTED_VALUE"""),"design-authentication-manager")</f>
        <v>design-authentication-manager</v>
      </c>
      <c r="D1798" s="23" t="b">
        <f>IFERROR(__xludf.DUMMYFUNCTION("""COMPUTED_VALUE"""),FALSE)</f>
        <v>0</v>
      </c>
      <c r="E1798" s="23" t="str">
        <f>IFERROR(__xludf.DUMMYFUNCTION("""COMPUTED_VALUE"""),"Medium")</f>
        <v>Medium</v>
      </c>
      <c r="F1798" s="23">
        <f>IFERROR(__xludf.DUMMYFUNCTION("""COMPUTED_VALUE"""),163.0)</f>
        <v>163</v>
      </c>
      <c r="G1798" s="23">
        <f>IFERROR(__xludf.DUMMYFUNCTION("""COMPUTED_VALUE"""),30.0)</f>
        <v>30</v>
      </c>
      <c r="H1798" s="23" t="str">
        <f>IFERROR(__xludf.DUMMYFUNCTION("""COMPUTED_VALUE"""),"Algorithms")</f>
        <v>Algorithms</v>
      </c>
      <c r="I1798" s="23">
        <f>IFERROR(__xludf.DUMMYFUNCTION("""COMPUTED_VALUE"""),0.54)</f>
        <v>0.54</v>
      </c>
      <c r="J1798" s="23">
        <f>IFERROR(__xludf.DUMMYFUNCTION("""COMPUTED_VALUE"""),1797.0)</f>
        <v>1797</v>
      </c>
      <c r="K1798" s="23" t="b">
        <f>IFERROR(__xludf.DUMMYFUNCTION("""COMPUTED_VALUE"""),FALSE)</f>
        <v>0</v>
      </c>
      <c r="L1798" s="23" t="str">
        <f>IFERROR(__xludf.DUMMYFUNCTION("""COMPUTED_VALUE"""),"Hash Table;Design;")</f>
        <v>Hash Table;Design;</v>
      </c>
      <c r="M1798" s="23" t="b">
        <f>IFERROR(__xludf.DUMMYFUNCTION("""COMPUTED_VALUE"""),FALSE)</f>
        <v>0</v>
      </c>
      <c r="N1798" s="23" t="b">
        <f>IFERROR(__xludf.DUMMYFUNCTION("""COMPUTED_VALUE"""),FALSE)</f>
        <v>0</v>
      </c>
      <c r="O1798" s="23">
        <f>IFERROR(__xludf.DUMMYFUNCTION("""COMPUTED_VALUE"""),54.0413821221078)</f>
        <v>54.04138212</v>
      </c>
      <c r="P1798" s="23">
        <f>IFERROR(__xludf.DUMMYFUNCTION("""COMPUTED_VALUE"""),10604.0)</f>
        <v>10604</v>
      </c>
      <c r="Q1798" s="23">
        <f>IFERROR(__xludf.DUMMYFUNCTION("""COMPUTED_VALUE"""),19622.0)</f>
        <v>19622</v>
      </c>
    </row>
    <row r="1799">
      <c r="A1799" s="23">
        <f>IFERROR(__xludf.DUMMYFUNCTION("""COMPUTED_VALUE"""),1930.0)</f>
        <v>1930</v>
      </c>
      <c r="B1799" s="23" t="str">
        <f>IFERROR(__xludf.DUMMYFUNCTION("""COMPUTED_VALUE"""),"Maximum Number of Consecutive Values You Can Make")</f>
        <v>Maximum Number of Consecutive Values You Can Make</v>
      </c>
      <c r="C1799" s="23" t="str">
        <f>IFERROR(__xludf.DUMMYFUNCTION("""COMPUTED_VALUE"""),"maximum-number-of-consecutive-values-you-can-make")</f>
        <v>maximum-number-of-consecutive-values-you-can-make</v>
      </c>
      <c r="D1799" s="23" t="b">
        <f>IFERROR(__xludf.DUMMYFUNCTION("""COMPUTED_VALUE"""),FALSE)</f>
        <v>0</v>
      </c>
      <c r="E1799" s="23" t="str">
        <f>IFERROR(__xludf.DUMMYFUNCTION("""COMPUTED_VALUE"""),"Medium")</f>
        <v>Medium</v>
      </c>
      <c r="F1799" s="23">
        <f>IFERROR(__xludf.DUMMYFUNCTION("""COMPUTED_VALUE"""),470.0)</f>
        <v>470</v>
      </c>
      <c r="G1799" s="23">
        <f>IFERROR(__xludf.DUMMYFUNCTION("""COMPUTED_VALUE"""),37.0)</f>
        <v>37</v>
      </c>
      <c r="H1799" s="23" t="str">
        <f>IFERROR(__xludf.DUMMYFUNCTION("""COMPUTED_VALUE"""),"Algorithms")</f>
        <v>Algorithms</v>
      </c>
      <c r="I1799" s="23">
        <f>IFERROR(__xludf.DUMMYFUNCTION("""COMPUTED_VALUE"""),0.517)</f>
        <v>0.517</v>
      </c>
      <c r="J1799" s="23">
        <f>IFERROR(__xludf.DUMMYFUNCTION("""COMPUTED_VALUE"""),1798.0)</f>
        <v>1798</v>
      </c>
      <c r="K1799" s="23" t="b">
        <f>IFERROR(__xludf.DUMMYFUNCTION("""COMPUTED_VALUE"""),FALSE)</f>
        <v>0</v>
      </c>
      <c r="L1799" s="23" t="str">
        <f>IFERROR(__xludf.DUMMYFUNCTION("""COMPUTED_VALUE"""),"Array;Greedy;")</f>
        <v>Array;Greedy;</v>
      </c>
      <c r="M1799" s="23" t="b">
        <f>IFERROR(__xludf.DUMMYFUNCTION("""COMPUTED_VALUE"""),FALSE)</f>
        <v>0</v>
      </c>
      <c r="N1799" s="23" t="b">
        <f>IFERROR(__xludf.DUMMYFUNCTION("""COMPUTED_VALUE"""),FALSE)</f>
        <v>0</v>
      </c>
      <c r="O1799" s="23">
        <f>IFERROR(__xludf.DUMMYFUNCTION("""COMPUTED_VALUE"""),51.7294593444018)</f>
        <v>51.72945934</v>
      </c>
      <c r="P1799" s="23">
        <f>IFERROR(__xludf.DUMMYFUNCTION("""COMPUTED_VALUE"""),9721.0)</f>
        <v>9721</v>
      </c>
      <c r="Q1799" s="23">
        <f>IFERROR(__xludf.DUMMYFUNCTION("""COMPUTED_VALUE"""),18792.0)</f>
        <v>18792</v>
      </c>
    </row>
    <row r="1800">
      <c r="A1800" s="23">
        <f>IFERROR(__xludf.DUMMYFUNCTION("""COMPUTED_VALUE"""),1906.0)</f>
        <v>1906</v>
      </c>
      <c r="B1800" s="23" t="str">
        <f>IFERROR(__xludf.DUMMYFUNCTION("""COMPUTED_VALUE"""),"Maximize Score After N Operations")</f>
        <v>Maximize Score After N Operations</v>
      </c>
      <c r="C1800" s="23" t="str">
        <f>IFERROR(__xludf.DUMMYFUNCTION("""COMPUTED_VALUE"""),"maximize-score-after-n-operations")</f>
        <v>maximize-score-after-n-operations</v>
      </c>
      <c r="D1800" s="23" t="b">
        <f>IFERROR(__xludf.DUMMYFUNCTION("""COMPUTED_VALUE"""),FALSE)</f>
        <v>0</v>
      </c>
      <c r="E1800" s="23" t="str">
        <f>IFERROR(__xludf.DUMMYFUNCTION("""COMPUTED_VALUE"""),"Hard")</f>
        <v>Hard</v>
      </c>
      <c r="F1800" s="23">
        <f>IFERROR(__xludf.DUMMYFUNCTION("""COMPUTED_VALUE"""),378.0)</f>
        <v>378</v>
      </c>
      <c r="G1800" s="23">
        <f>IFERROR(__xludf.DUMMYFUNCTION("""COMPUTED_VALUE"""),36.0)</f>
        <v>36</v>
      </c>
      <c r="H1800" s="23" t="str">
        <f>IFERROR(__xludf.DUMMYFUNCTION("""COMPUTED_VALUE"""),"Algorithms")</f>
        <v>Algorithms</v>
      </c>
      <c r="I1800" s="23">
        <f>IFERROR(__xludf.DUMMYFUNCTION("""COMPUTED_VALUE"""),0.466)</f>
        <v>0.466</v>
      </c>
      <c r="J1800" s="23">
        <f>IFERROR(__xludf.DUMMYFUNCTION("""COMPUTED_VALUE"""),1799.0)</f>
        <v>1799</v>
      </c>
      <c r="K1800" s="23" t="b">
        <f>IFERROR(__xludf.DUMMYFUNCTION("""COMPUTED_VALUE"""),FALSE)</f>
        <v>0</v>
      </c>
      <c r="L1800" s="23" t="str">
        <f>IFERROR(__xludf.DUMMYFUNCTION("""COMPUTED_VALUE"""),"Array;Math;Dynamic Programming;Backtracking;Bit Manipulation;Number Theory;Bitmask;")</f>
        <v>Array;Math;Dynamic Programming;Backtracking;Bit Manipulation;Number Theory;Bitmask;</v>
      </c>
      <c r="M1800" s="23" t="b">
        <f>IFERROR(__xludf.DUMMYFUNCTION("""COMPUTED_VALUE"""),FALSE)</f>
        <v>0</v>
      </c>
      <c r="N1800" s="23" t="b">
        <f>IFERROR(__xludf.DUMMYFUNCTION("""COMPUTED_VALUE"""),FALSE)</f>
        <v>0</v>
      </c>
      <c r="O1800" s="23">
        <f>IFERROR(__xludf.DUMMYFUNCTION("""COMPUTED_VALUE"""),46.5964501657889)</f>
        <v>46.59645017</v>
      </c>
      <c r="P1800" s="23">
        <f>IFERROR(__xludf.DUMMYFUNCTION("""COMPUTED_VALUE"""),11945.0)</f>
        <v>11945</v>
      </c>
      <c r="Q1800" s="23">
        <f>IFERROR(__xludf.DUMMYFUNCTION("""COMPUTED_VALUE"""),25635.0)</f>
        <v>25635</v>
      </c>
    </row>
    <row r="1801">
      <c r="A1801" s="23">
        <f>IFERROR(__xludf.DUMMYFUNCTION("""COMPUTED_VALUE"""),1927.0)</f>
        <v>1927</v>
      </c>
      <c r="B1801" s="23" t="str">
        <f>IFERROR(__xludf.DUMMYFUNCTION("""COMPUTED_VALUE"""),"Maximum Ascending Subarray Sum")</f>
        <v>Maximum Ascending Subarray Sum</v>
      </c>
      <c r="C1801" s="23" t="str">
        <f>IFERROR(__xludf.DUMMYFUNCTION("""COMPUTED_VALUE"""),"maximum-ascending-subarray-sum")</f>
        <v>maximum-ascending-subarray-sum</v>
      </c>
      <c r="D1801" s="23" t="b">
        <f>IFERROR(__xludf.DUMMYFUNCTION("""COMPUTED_VALUE"""),FALSE)</f>
        <v>0</v>
      </c>
      <c r="E1801" s="23" t="str">
        <f>IFERROR(__xludf.DUMMYFUNCTION("""COMPUTED_VALUE"""),"Easy")</f>
        <v>Easy</v>
      </c>
      <c r="F1801" s="23">
        <f>IFERROR(__xludf.DUMMYFUNCTION("""COMPUTED_VALUE"""),376.0)</f>
        <v>376</v>
      </c>
      <c r="G1801" s="23">
        <f>IFERROR(__xludf.DUMMYFUNCTION("""COMPUTED_VALUE"""),13.0)</f>
        <v>13</v>
      </c>
      <c r="H1801" s="23" t="str">
        <f>IFERROR(__xludf.DUMMYFUNCTION("""COMPUTED_VALUE"""),"Algorithms")</f>
        <v>Algorithms</v>
      </c>
      <c r="I1801" s="23">
        <f>IFERROR(__xludf.DUMMYFUNCTION("""COMPUTED_VALUE"""),0.643)</f>
        <v>0.643</v>
      </c>
      <c r="J1801" s="23">
        <f>IFERROR(__xludf.DUMMYFUNCTION("""COMPUTED_VALUE"""),1800.0)</f>
        <v>1800</v>
      </c>
      <c r="K1801" s="23" t="b">
        <f>IFERROR(__xludf.DUMMYFUNCTION("""COMPUTED_VALUE"""),FALSE)</f>
        <v>0</v>
      </c>
      <c r="L1801" s="23" t="str">
        <f>IFERROR(__xludf.DUMMYFUNCTION("""COMPUTED_VALUE"""),"Array;")</f>
        <v>Array;</v>
      </c>
      <c r="M1801" s="23" t="b">
        <f>IFERROR(__xludf.DUMMYFUNCTION("""COMPUTED_VALUE"""),FALSE)</f>
        <v>0</v>
      </c>
      <c r="N1801" s="23" t="b">
        <f>IFERROR(__xludf.DUMMYFUNCTION("""COMPUTED_VALUE"""),FALSE)</f>
        <v>0</v>
      </c>
      <c r="O1801" s="23">
        <f>IFERROR(__xludf.DUMMYFUNCTION("""COMPUTED_VALUE"""),64.3470846723945)</f>
        <v>64.34708467</v>
      </c>
      <c r="P1801" s="23">
        <f>IFERROR(__xludf.DUMMYFUNCTION("""COMPUTED_VALUE"""),29433.0)</f>
        <v>29433</v>
      </c>
      <c r="Q1801" s="23">
        <f>IFERROR(__xludf.DUMMYFUNCTION("""COMPUTED_VALUE"""),45741.0)</f>
        <v>45741</v>
      </c>
    </row>
    <row r="1802">
      <c r="A1802" s="23">
        <f>IFERROR(__xludf.DUMMYFUNCTION("""COMPUTED_VALUE"""),1928.0)</f>
        <v>1928</v>
      </c>
      <c r="B1802" s="23" t="str">
        <f>IFERROR(__xludf.DUMMYFUNCTION("""COMPUTED_VALUE"""),"Number of Orders in the Backlog")</f>
        <v>Number of Orders in the Backlog</v>
      </c>
      <c r="C1802" s="23" t="str">
        <f>IFERROR(__xludf.DUMMYFUNCTION("""COMPUTED_VALUE"""),"number-of-orders-in-the-backlog")</f>
        <v>number-of-orders-in-the-backlog</v>
      </c>
      <c r="D1802" s="23" t="b">
        <f>IFERROR(__xludf.DUMMYFUNCTION("""COMPUTED_VALUE"""),FALSE)</f>
        <v>0</v>
      </c>
      <c r="E1802" s="23" t="str">
        <f>IFERROR(__xludf.DUMMYFUNCTION("""COMPUTED_VALUE"""),"Medium")</f>
        <v>Medium</v>
      </c>
      <c r="F1802" s="23">
        <f>IFERROR(__xludf.DUMMYFUNCTION("""COMPUTED_VALUE"""),175.0)</f>
        <v>175</v>
      </c>
      <c r="G1802" s="23">
        <f>IFERROR(__xludf.DUMMYFUNCTION("""COMPUTED_VALUE"""),179.0)</f>
        <v>179</v>
      </c>
      <c r="H1802" s="23" t="str">
        <f>IFERROR(__xludf.DUMMYFUNCTION("""COMPUTED_VALUE"""),"Algorithms")</f>
        <v>Algorithms</v>
      </c>
      <c r="I1802" s="23">
        <f>IFERROR(__xludf.DUMMYFUNCTION("""COMPUTED_VALUE"""),0.459)</f>
        <v>0.459</v>
      </c>
      <c r="J1802" s="23">
        <f>IFERROR(__xludf.DUMMYFUNCTION("""COMPUTED_VALUE"""),1801.0)</f>
        <v>1801</v>
      </c>
      <c r="K1802" s="23" t="b">
        <f>IFERROR(__xludf.DUMMYFUNCTION("""COMPUTED_VALUE"""),FALSE)</f>
        <v>0</v>
      </c>
      <c r="L1802" s="23" t="str">
        <f>IFERROR(__xludf.DUMMYFUNCTION("""COMPUTED_VALUE"""),"Array;Heap (Priority Queue);Simulation;")</f>
        <v>Array;Heap (Priority Queue);Simulation;</v>
      </c>
      <c r="M1802" s="23" t="b">
        <f>IFERROR(__xludf.DUMMYFUNCTION("""COMPUTED_VALUE"""),FALSE)</f>
        <v>0</v>
      </c>
      <c r="N1802" s="23" t="b">
        <f>IFERROR(__xludf.DUMMYFUNCTION("""COMPUTED_VALUE"""),FALSE)</f>
        <v>0</v>
      </c>
      <c r="O1802" s="23">
        <f>IFERROR(__xludf.DUMMYFUNCTION("""COMPUTED_VALUE"""),45.9264378407433)</f>
        <v>45.92643784</v>
      </c>
      <c r="P1802" s="23">
        <f>IFERROR(__xludf.DUMMYFUNCTION("""COMPUTED_VALUE"""),11962.0)</f>
        <v>11962</v>
      </c>
      <c r="Q1802" s="23">
        <f>IFERROR(__xludf.DUMMYFUNCTION("""COMPUTED_VALUE"""),26046.0)</f>
        <v>26046</v>
      </c>
    </row>
    <row r="1803">
      <c r="A1803" s="23">
        <f>IFERROR(__xludf.DUMMYFUNCTION("""COMPUTED_VALUE"""),1929.0)</f>
        <v>1929</v>
      </c>
      <c r="B1803" s="23" t="str">
        <f>IFERROR(__xludf.DUMMYFUNCTION("""COMPUTED_VALUE"""),"Maximum Value at a Given Index in a Bounded Array")</f>
        <v>Maximum Value at a Given Index in a Bounded Array</v>
      </c>
      <c r="C1803" s="23" t="str">
        <f>IFERROR(__xludf.DUMMYFUNCTION("""COMPUTED_VALUE"""),"maximum-value-at-a-given-index-in-a-bounded-array")</f>
        <v>maximum-value-at-a-given-index-in-a-bounded-array</v>
      </c>
      <c r="D1803" s="23" t="b">
        <f>IFERROR(__xludf.DUMMYFUNCTION("""COMPUTED_VALUE"""),FALSE)</f>
        <v>0</v>
      </c>
      <c r="E1803" s="23" t="str">
        <f>IFERROR(__xludf.DUMMYFUNCTION("""COMPUTED_VALUE"""),"Medium")</f>
        <v>Medium</v>
      </c>
      <c r="F1803" s="23">
        <f>IFERROR(__xludf.DUMMYFUNCTION("""COMPUTED_VALUE"""),515.0)</f>
        <v>515</v>
      </c>
      <c r="G1803" s="23">
        <f>IFERROR(__xludf.DUMMYFUNCTION("""COMPUTED_VALUE"""),72.0)</f>
        <v>72</v>
      </c>
      <c r="H1803" s="23" t="str">
        <f>IFERROR(__xludf.DUMMYFUNCTION("""COMPUTED_VALUE"""),"Algorithms")</f>
        <v>Algorithms</v>
      </c>
      <c r="I1803" s="23">
        <f>IFERROR(__xludf.DUMMYFUNCTION("""COMPUTED_VALUE"""),0.303)</f>
        <v>0.303</v>
      </c>
      <c r="J1803" s="23">
        <f>IFERROR(__xludf.DUMMYFUNCTION("""COMPUTED_VALUE"""),1802.0)</f>
        <v>1802</v>
      </c>
      <c r="K1803" s="23" t="b">
        <f>IFERROR(__xludf.DUMMYFUNCTION("""COMPUTED_VALUE"""),FALSE)</f>
        <v>0</v>
      </c>
      <c r="L1803" s="23" t="str">
        <f>IFERROR(__xludf.DUMMYFUNCTION("""COMPUTED_VALUE"""),"Binary Search;Greedy;")</f>
        <v>Binary Search;Greedy;</v>
      </c>
      <c r="M1803" s="23" t="b">
        <f>IFERROR(__xludf.DUMMYFUNCTION("""COMPUTED_VALUE"""),FALSE)</f>
        <v>0</v>
      </c>
      <c r="N1803" s="23" t="b">
        <f>IFERROR(__xludf.DUMMYFUNCTION("""COMPUTED_VALUE"""),FALSE)</f>
        <v>0</v>
      </c>
      <c r="O1803" s="23">
        <f>IFERROR(__xludf.DUMMYFUNCTION("""COMPUTED_VALUE"""),30.2617341716625)</f>
        <v>30.26173417</v>
      </c>
      <c r="P1803" s="23">
        <f>IFERROR(__xludf.DUMMYFUNCTION("""COMPUTED_VALUE"""),10347.0)</f>
        <v>10347</v>
      </c>
      <c r="Q1803" s="23">
        <f>IFERROR(__xludf.DUMMYFUNCTION("""COMPUTED_VALUE"""),34194.0)</f>
        <v>34194</v>
      </c>
    </row>
    <row r="1804">
      <c r="A1804" s="23">
        <f>IFERROR(__xludf.DUMMYFUNCTION("""COMPUTED_VALUE"""),1907.0)</f>
        <v>1907</v>
      </c>
      <c r="B1804" s="23" t="str">
        <f>IFERROR(__xludf.DUMMYFUNCTION("""COMPUTED_VALUE"""),"Count Pairs With XOR in a Range")</f>
        <v>Count Pairs With XOR in a Range</v>
      </c>
      <c r="C1804" s="23" t="str">
        <f>IFERROR(__xludf.DUMMYFUNCTION("""COMPUTED_VALUE"""),"count-pairs-with-xor-in-a-range")</f>
        <v>count-pairs-with-xor-in-a-range</v>
      </c>
      <c r="D1804" s="23" t="b">
        <f>IFERROR(__xludf.DUMMYFUNCTION("""COMPUTED_VALUE"""),FALSE)</f>
        <v>0</v>
      </c>
      <c r="E1804" s="23" t="str">
        <f>IFERROR(__xludf.DUMMYFUNCTION("""COMPUTED_VALUE"""),"Hard")</f>
        <v>Hard</v>
      </c>
      <c r="F1804" s="23">
        <f>IFERROR(__xludf.DUMMYFUNCTION("""COMPUTED_VALUE"""),278.0)</f>
        <v>278</v>
      </c>
      <c r="G1804" s="23">
        <f>IFERROR(__xludf.DUMMYFUNCTION("""COMPUTED_VALUE"""),11.0)</f>
        <v>11</v>
      </c>
      <c r="H1804" s="23" t="str">
        <f>IFERROR(__xludf.DUMMYFUNCTION("""COMPUTED_VALUE"""),"Algorithms")</f>
        <v>Algorithms</v>
      </c>
      <c r="I1804" s="23">
        <f>IFERROR(__xludf.DUMMYFUNCTION("""COMPUTED_VALUE"""),0.462)</f>
        <v>0.462</v>
      </c>
      <c r="J1804" s="23">
        <f>IFERROR(__xludf.DUMMYFUNCTION("""COMPUTED_VALUE"""),1803.0)</f>
        <v>1803</v>
      </c>
      <c r="K1804" s="23" t="b">
        <f>IFERROR(__xludf.DUMMYFUNCTION("""COMPUTED_VALUE"""),FALSE)</f>
        <v>0</v>
      </c>
      <c r="L1804" s="23" t="str">
        <f>IFERROR(__xludf.DUMMYFUNCTION("""COMPUTED_VALUE"""),"Array;Bit Manipulation;Trie;")</f>
        <v>Array;Bit Manipulation;Trie;</v>
      </c>
      <c r="M1804" s="23" t="b">
        <f>IFERROR(__xludf.DUMMYFUNCTION("""COMPUTED_VALUE"""),FALSE)</f>
        <v>0</v>
      </c>
      <c r="N1804" s="23" t="b">
        <f>IFERROR(__xludf.DUMMYFUNCTION("""COMPUTED_VALUE"""),FALSE)</f>
        <v>0</v>
      </c>
      <c r="O1804" s="23">
        <f>IFERROR(__xludf.DUMMYFUNCTION("""COMPUTED_VALUE"""),46.2413203180034)</f>
        <v>46.24132032</v>
      </c>
      <c r="P1804" s="23">
        <f>IFERROR(__xludf.DUMMYFUNCTION("""COMPUTED_VALUE"""),4595.0)</f>
        <v>4595</v>
      </c>
      <c r="Q1804" s="23">
        <f>IFERROR(__xludf.DUMMYFUNCTION("""COMPUTED_VALUE"""),9937.0)</f>
        <v>9937</v>
      </c>
    </row>
    <row r="1805">
      <c r="A1805" s="23">
        <f>IFERROR(__xludf.DUMMYFUNCTION("""COMPUTED_VALUE"""),1949.0)</f>
        <v>1949</v>
      </c>
      <c r="B1805" s="23" t="str">
        <f>IFERROR(__xludf.DUMMYFUNCTION("""COMPUTED_VALUE"""),"Implement Trie II (Prefix Tree)")</f>
        <v>Implement Trie II (Prefix Tree)</v>
      </c>
      <c r="C1805" s="23" t="str">
        <f>IFERROR(__xludf.DUMMYFUNCTION("""COMPUTED_VALUE"""),"implement-trie-ii-prefix-tree")</f>
        <v>implement-trie-ii-prefix-tree</v>
      </c>
      <c r="D1805" s="23" t="b">
        <f>IFERROR(__xludf.DUMMYFUNCTION("""COMPUTED_VALUE"""),TRUE)</f>
        <v>1</v>
      </c>
      <c r="E1805" s="23" t="str">
        <f>IFERROR(__xludf.DUMMYFUNCTION("""COMPUTED_VALUE"""),"Medium")</f>
        <v>Medium</v>
      </c>
      <c r="F1805" s="23">
        <f>IFERROR(__xludf.DUMMYFUNCTION("""COMPUTED_VALUE"""),160.0)</f>
        <v>160</v>
      </c>
      <c r="G1805" s="23">
        <f>IFERROR(__xludf.DUMMYFUNCTION("""COMPUTED_VALUE"""),10.0)</f>
        <v>10</v>
      </c>
      <c r="H1805" s="23" t="str">
        <f>IFERROR(__xludf.DUMMYFUNCTION("""COMPUTED_VALUE"""),"Algorithms")</f>
        <v>Algorithms</v>
      </c>
      <c r="I1805" s="23">
        <f>IFERROR(__xludf.DUMMYFUNCTION("""COMPUTED_VALUE"""),0.593)</f>
        <v>0.593</v>
      </c>
      <c r="J1805" s="23">
        <f>IFERROR(__xludf.DUMMYFUNCTION("""COMPUTED_VALUE"""),1804.0)</f>
        <v>1804</v>
      </c>
      <c r="K1805" s="23" t="b">
        <f>IFERROR(__xludf.DUMMYFUNCTION("""COMPUTED_VALUE"""),TRUE)</f>
        <v>1</v>
      </c>
      <c r="L1805" s="23" t="str">
        <f>IFERROR(__xludf.DUMMYFUNCTION("""COMPUTED_VALUE"""),"Hash Table;String;Design;Trie;")</f>
        <v>Hash Table;String;Design;Trie;</v>
      </c>
      <c r="M1805" s="23" t="b">
        <f>IFERROR(__xludf.DUMMYFUNCTION("""COMPUTED_VALUE"""),FALSE)</f>
        <v>0</v>
      </c>
      <c r="N1805" s="23" t="b">
        <f>IFERROR(__xludf.DUMMYFUNCTION("""COMPUTED_VALUE"""),FALSE)</f>
        <v>0</v>
      </c>
      <c r="O1805" s="23">
        <f>IFERROR(__xludf.DUMMYFUNCTION("""COMPUTED_VALUE"""),59.3307086614173)</f>
        <v>59.33070866</v>
      </c>
      <c r="P1805" s="23">
        <f>IFERROR(__xludf.DUMMYFUNCTION("""COMPUTED_VALUE"""),7535.0)</f>
        <v>7535</v>
      </c>
      <c r="Q1805" s="23">
        <f>IFERROR(__xludf.DUMMYFUNCTION("""COMPUTED_VALUE"""),12700.0)</f>
        <v>12700</v>
      </c>
    </row>
    <row r="1806">
      <c r="A1806" s="23">
        <f>IFERROR(__xludf.DUMMYFUNCTION("""COMPUTED_VALUE"""),1933.0)</f>
        <v>1933</v>
      </c>
      <c r="B1806" s="23" t="str">
        <f>IFERROR(__xludf.DUMMYFUNCTION("""COMPUTED_VALUE"""),"Number of Different Integers in a String")</f>
        <v>Number of Different Integers in a String</v>
      </c>
      <c r="C1806" s="23" t="str">
        <f>IFERROR(__xludf.DUMMYFUNCTION("""COMPUTED_VALUE"""),"number-of-different-integers-in-a-string")</f>
        <v>number-of-different-integers-in-a-string</v>
      </c>
      <c r="D1806" s="23" t="b">
        <f>IFERROR(__xludf.DUMMYFUNCTION("""COMPUTED_VALUE"""),FALSE)</f>
        <v>0</v>
      </c>
      <c r="E1806" s="23" t="str">
        <f>IFERROR(__xludf.DUMMYFUNCTION("""COMPUTED_VALUE"""),"Easy")</f>
        <v>Easy</v>
      </c>
      <c r="F1806" s="23">
        <f>IFERROR(__xludf.DUMMYFUNCTION("""COMPUTED_VALUE"""),317.0)</f>
        <v>317</v>
      </c>
      <c r="G1806" s="23">
        <f>IFERROR(__xludf.DUMMYFUNCTION("""COMPUTED_VALUE"""),57.0)</f>
        <v>57</v>
      </c>
      <c r="H1806" s="23" t="str">
        <f>IFERROR(__xludf.DUMMYFUNCTION("""COMPUTED_VALUE"""),"Algorithms")</f>
        <v>Algorithms</v>
      </c>
      <c r="I1806" s="23">
        <f>IFERROR(__xludf.DUMMYFUNCTION("""COMPUTED_VALUE"""),0.356)</f>
        <v>0.356</v>
      </c>
      <c r="J1806" s="23">
        <f>IFERROR(__xludf.DUMMYFUNCTION("""COMPUTED_VALUE"""),1805.0)</f>
        <v>1805</v>
      </c>
      <c r="K1806" s="23" t="b">
        <f>IFERROR(__xludf.DUMMYFUNCTION("""COMPUTED_VALUE"""),FALSE)</f>
        <v>0</v>
      </c>
      <c r="L1806" s="23" t="str">
        <f>IFERROR(__xludf.DUMMYFUNCTION("""COMPUTED_VALUE"""),"Hash Table;String;")</f>
        <v>Hash Table;String;</v>
      </c>
      <c r="M1806" s="23" t="b">
        <f>IFERROR(__xludf.DUMMYFUNCTION("""COMPUTED_VALUE"""),FALSE)</f>
        <v>0</v>
      </c>
      <c r="N1806" s="23" t="b">
        <f>IFERROR(__xludf.DUMMYFUNCTION("""COMPUTED_VALUE"""),FALSE)</f>
        <v>0</v>
      </c>
      <c r="O1806" s="23">
        <f>IFERROR(__xludf.DUMMYFUNCTION("""COMPUTED_VALUE"""),35.6452150716905)</f>
        <v>35.64521507</v>
      </c>
      <c r="P1806" s="23">
        <f>IFERROR(__xludf.DUMMYFUNCTION("""COMPUTED_VALUE"""),25656.0)</f>
        <v>25656</v>
      </c>
      <c r="Q1806" s="23">
        <f>IFERROR(__xludf.DUMMYFUNCTION("""COMPUTED_VALUE"""),71976.0)</f>
        <v>71976</v>
      </c>
    </row>
    <row r="1807">
      <c r="A1807" s="23">
        <f>IFERROR(__xludf.DUMMYFUNCTION("""COMPUTED_VALUE"""),1935.0)</f>
        <v>1935</v>
      </c>
      <c r="B1807" s="23" t="str">
        <f>IFERROR(__xludf.DUMMYFUNCTION("""COMPUTED_VALUE"""),"Minimum Number of Operations to Reinitialize a Permutation")</f>
        <v>Minimum Number of Operations to Reinitialize a Permutation</v>
      </c>
      <c r="C1807" s="23" t="str">
        <f>IFERROR(__xludf.DUMMYFUNCTION("""COMPUTED_VALUE"""),"minimum-number-of-operations-to-reinitialize-a-permutation")</f>
        <v>minimum-number-of-operations-to-reinitialize-a-permutation</v>
      </c>
      <c r="D1807" s="23" t="b">
        <f>IFERROR(__xludf.DUMMYFUNCTION("""COMPUTED_VALUE"""),FALSE)</f>
        <v>0</v>
      </c>
      <c r="E1807" s="23" t="str">
        <f>IFERROR(__xludf.DUMMYFUNCTION("""COMPUTED_VALUE"""),"Medium")</f>
        <v>Medium</v>
      </c>
      <c r="F1807" s="23">
        <f>IFERROR(__xludf.DUMMYFUNCTION("""COMPUTED_VALUE"""),202.0)</f>
        <v>202</v>
      </c>
      <c r="G1807" s="23">
        <f>IFERROR(__xludf.DUMMYFUNCTION("""COMPUTED_VALUE"""),115.0)</f>
        <v>115</v>
      </c>
      <c r="H1807" s="23" t="str">
        <f>IFERROR(__xludf.DUMMYFUNCTION("""COMPUTED_VALUE"""),"Algorithms")</f>
        <v>Algorithms</v>
      </c>
      <c r="I1807" s="23">
        <f>IFERROR(__xludf.DUMMYFUNCTION("""COMPUTED_VALUE"""),0.709)</f>
        <v>0.709</v>
      </c>
      <c r="J1807" s="23">
        <f>IFERROR(__xludf.DUMMYFUNCTION("""COMPUTED_VALUE"""),1806.0)</f>
        <v>1806</v>
      </c>
      <c r="K1807" s="23" t="b">
        <f>IFERROR(__xludf.DUMMYFUNCTION("""COMPUTED_VALUE"""),FALSE)</f>
        <v>0</v>
      </c>
      <c r="L1807" s="23" t="str">
        <f>IFERROR(__xludf.DUMMYFUNCTION("""COMPUTED_VALUE"""),"Array;Math;Simulation;")</f>
        <v>Array;Math;Simulation;</v>
      </c>
      <c r="M1807" s="23" t="b">
        <f>IFERROR(__xludf.DUMMYFUNCTION("""COMPUTED_VALUE"""),FALSE)</f>
        <v>0</v>
      </c>
      <c r="N1807" s="23" t="b">
        <f>IFERROR(__xludf.DUMMYFUNCTION("""COMPUTED_VALUE"""),FALSE)</f>
        <v>0</v>
      </c>
      <c r="O1807" s="23">
        <f>IFERROR(__xludf.DUMMYFUNCTION("""COMPUTED_VALUE"""),70.888961250407)</f>
        <v>70.88896125</v>
      </c>
      <c r="P1807" s="23">
        <f>IFERROR(__xludf.DUMMYFUNCTION("""COMPUTED_VALUE"""),13062.0)</f>
        <v>13062</v>
      </c>
      <c r="Q1807" s="23">
        <f>IFERROR(__xludf.DUMMYFUNCTION("""COMPUTED_VALUE"""),18426.0)</f>
        <v>18426</v>
      </c>
    </row>
    <row r="1808">
      <c r="A1808" s="23">
        <f>IFERROR(__xludf.DUMMYFUNCTION("""COMPUTED_VALUE"""),1934.0)</f>
        <v>1934</v>
      </c>
      <c r="B1808" s="23" t="str">
        <f>IFERROR(__xludf.DUMMYFUNCTION("""COMPUTED_VALUE"""),"Evaluate the Bracket Pairs of a String")</f>
        <v>Evaluate the Bracket Pairs of a String</v>
      </c>
      <c r="C1808" s="23" t="str">
        <f>IFERROR(__xludf.DUMMYFUNCTION("""COMPUTED_VALUE"""),"evaluate-the-bracket-pairs-of-a-string")</f>
        <v>evaluate-the-bracket-pairs-of-a-string</v>
      </c>
      <c r="D1808" s="23" t="b">
        <f>IFERROR(__xludf.DUMMYFUNCTION("""COMPUTED_VALUE"""),FALSE)</f>
        <v>0</v>
      </c>
      <c r="E1808" s="23" t="str">
        <f>IFERROR(__xludf.DUMMYFUNCTION("""COMPUTED_VALUE"""),"Medium")</f>
        <v>Medium</v>
      </c>
      <c r="F1808" s="23">
        <f>IFERROR(__xludf.DUMMYFUNCTION("""COMPUTED_VALUE"""),298.0)</f>
        <v>298</v>
      </c>
      <c r="G1808" s="23">
        <f>IFERROR(__xludf.DUMMYFUNCTION("""COMPUTED_VALUE"""),27.0)</f>
        <v>27</v>
      </c>
      <c r="H1808" s="23" t="str">
        <f>IFERROR(__xludf.DUMMYFUNCTION("""COMPUTED_VALUE"""),"Algorithms")</f>
        <v>Algorithms</v>
      </c>
      <c r="I1808" s="23">
        <f>IFERROR(__xludf.DUMMYFUNCTION("""COMPUTED_VALUE"""),0.667)</f>
        <v>0.667</v>
      </c>
      <c r="J1808" s="23">
        <f>IFERROR(__xludf.DUMMYFUNCTION("""COMPUTED_VALUE"""),1807.0)</f>
        <v>1807</v>
      </c>
      <c r="K1808" s="23" t="b">
        <f>IFERROR(__xludf.DUMMYFUNCTION("""COMPUTED_VALUE"""),FALSE)</f>
        <v>0</v>
      </c>
      <c r="L1808" s="23" t="str">
        <f>IFERROR(__xludf.DUMMYFUNCTION("""COMPUTED_VALUE"""),"Array;Hash Table;String;")</f>
        <v>Array;Hash Table;String;</v>
      </c>
      <c r="M1808" s="23" t="b">
        <f>IFERROR(__xludf.DUMMYFUNCTION("""COMPUTED_VALUE"""),FALSE)</f>
        <v>0</v>
      </c>
      <c r="N1808" s="23" t="b">
        <f>IFERROR(__xludf.DUMMYFUNCTION("""COMPUTED_VALUE"""),FALSE)</f>
        <v>0</v>
      </c>
      <c r="O1808" s="23">
        <f>IFERROR(__xludf.DUMMYFUNCTION("""COMPUTED_VALUE"""),66.7148549063855)</f>
        <v>66.71485491</v>
      </c>
      <c r="P1808" s="23">
        <f>IFERROR(__xludf.DUMMYFUNCTION("""COMPUTED_VALUE"""),18921.0)</f>
        <v>18921</v>
      </c>
      <c r="Q1808" s="23">
        <f>IFERROR(__xludf.DUMMYFUNCTION("""COMPUTED_VALUE"""),28361.0)</f>
        <v>28361</v>
      </c>
    </row>
    <row r="1809">
      <c r="A1809" s="23">
        <f>IFERROR(__xludf.DUMMYFUNCTION("""COMPUTED_VALUE"""),1936.0)</f>
        <v>1936</v>
      </c>
      <c r="B1809" s="23" t="str">
        <f>IFERROR(__xludf.DUMMYFUNCTION("""COMPUTED_VALUE"""),"Maximize Number of Nice Divisors")</f>
        <v>Maximize Number of Nice Divisors</v>
      </c>
      <c r="C1809" s="23" t="str">
        <f>IFERROR(__xludf.DUMMYFUNCTION("""COMPUTED_VALUE"""),"maximize-number-of-nice-divisors")</f>
        <v>maximize-number-of-nice-divisors</v>
      </c>
      <c r="D1809" s="23" t="b">
        <f>IFERROR(__xludf.DUMMYFUNCTION("""COMPUTED_VALUE"""),FALSE)</f>
        <v>0</v>
      </c>
      <c r="E1809" s="23" t="str">
        <f>IFERROR(__xludf.DUMMYFUNCTION("""COMPUTED_VALUE"""),"Hard")</f>
        <v>Hard</v>
      </c>
      <c r="F1809" s="23">
        <f>IFERROR(__xludf.DUMMYFUNCTION("""COMPUTED_VALUE"""),143.0)</f>
        <v>143</v>
      </c>
      <c r="G1809" s="23">
        <f>IFERROR(__xludf.DUMMYFUNCTION("""COMPUTED_VALUE"""),137.0)</f>
        <v>137</v>
      </c>
      <c r="H1809" s="23" t="str">
        <f>IFERROR(__xludf.DUMMYFUNCTION("""COMPUTED_VALUE"""),"Algorithms")</f>
        <v>Algorithms</v>
      </c>
      <c r="I1809" s="23">
        <f>IFERROR(__xludf.DUMMYFUNCTION("""COMPUTED_VALUE"""),0.304)</f>
        <v>0.304</v>
      </c>
      <c r="J1809" s="23">
        <f>IFERROR(__xludf.DUMMYFUNCTION("""COMPUTED_VALUE"""),1808.0)</f>
        <v>1808</v>
      </c>
      <c r="K1809" s="23" t="b">
        <f>IFERROR(__xludf.DUMMYFUNCTION("""COMPUTED_VALUE"""),FALSE)</f>
        <v>0</v>
      </c>
      <c r="L1809" s="23" t="str">
        <f>IFERROR(__xludf.DUMMYFUNCTION("""COMPUTED_VALUE"""),"Math;Recursion;")</f>
        <v>Math;Recursion;</v>
      </c>
      <c r="M1809" s="23" t="b">
        <f>IFERROR(__xludf.DUMMYFUNCTION("""COMPUTED_VALUE"""),FALSE)</f>
        <v>0</v>
      </c>
      <c r="N1809" s="23" t="b">
        <f>IFERROR(__xludf.DUMMYFUNCTION("""COMPUTED_VALUE"""),FALSE)</f>
        <v>0</v>
      </c>
      <c r="O1809" s="23">
        <f>IFERROR(__xludf.DUMMYFUNCTION("""COMPUTED_VALUE"""),30.4014167650531)</f>
        <v>30.40141677</v>
      </c>
      <c r="P1809" s="23">
        <f>IFERROR(__xludf.DUMMYFUNCTION("""COMPUTED_VALUE"""),4635.0)</f>
        <v>4635</v>
      </c>
      <c r="Q1809" s="23">
        <f>IFERROR(__xludf.DUMMYFUNCTION("""COMPUTED_VALUE"""),15246.0)</f>
        <v>15246</v>
      </c>
    </row>
    <row r="1810">
      <c r="A1810" s="23">
        <f>IFERROR(__xludf.DUMMYFUNCTION("""COMPUTED_VALUE"""),1958.0)</f>
        <v>1958</v>
      </c>
      <c r="B1810" s="23" t="str">
        <f>IFERROR(__xludf.DUMMYFUNCTION("""COMPUTED_VALUE"""),"Ad-Free Sessions")</f>
        <v>Ad-Free Sessions</v>
      </c>
      <c r="C1810" s="23" t="str">
        <f>IFERROR(__xludf.DUMMYFUNCTION("""COMPUTED_VALUE"""),"ad-free-sessions")</f>
        <v>ad-free-sessions</v>
      </c>
      <c r="D1810" s="23" t="b">
        <f>IFERROR(__xludf.DUMMYFUNCTION("""COMPUTED_VALUE"""),TRUE)</f>
        <v>1</v>
      </c>
      <c r="E1810" s="23" t="str">
        <f>IFERROR(__xludf.DUMMYFUNCTION("""COMPUTED_VALUE"""),"Easy")</f>
        <v>Easy</v>
      </c>
      <c r="F1810" s="23">
        <f>IFERROR(__xludf.DUMMYFUNCTION("""COMPUTED_VALUE"""),49.0)</f>
        <v>49</v>
      </c>
      <c r="G1810" s="23">
        <f>IFERROR(__xludf.DUMMYFUNCTION("""COMPUTED_VALUE"""),31.0)</f>
        <v>31</v>
      </c>
      <c r="H1810" s="23" t="str">
        <f>IFERROR(__xludf.DUMMYFUNCTION("""COMPUTED_VALUE"""),"Database")</f>
        <v>Database</v>
      </c>
      <c r="I1810" s="23">
        <f>IFERROR(__xludf.DUMMYFUNCTION("""COMPUTED_VALUE"""),0.599)</f>
        <v>0.599</v>
      </c>
      <c r="J1810" s="23">
        <f>IFERROR(__xludf.DUMMYFUNCTION("""COMPUTED_VALUE"""),1809.0)</f>
        <v>1809</v>
      </c>
      <c r="K1810" s="23" t="b">
        <f>IFERROR(__xludf.DUMMYFUNCTION("""COMPUTED_VALUE"""),TRUE)</f>
        <v>1</v>
      </c>
      <c r="L1810" s="23" t="str">
        <f>IFERROR(__xludf.DUMMYFUNCTION("""COMPUTED_VALUE"""),"Database;")</f>
        <v>Database;</v>
      </c>
      <c r="M1810" s="23" t="b">
        <f>IFERROR(__xludf.DUMMYFUNCTION("""COMPUTED_VALUE"""),FALSE)</f>
        <v>0</v>
      </c>
      <c r="N1810" s="23" t="b">
        <f>IFERROR(__xludf.DUMMYFUNCTION("""COMPUTED_VALUE"""),FALSE)</f>
        <v>0</v>
      </c>
      <c r="O1810" s="23">
        <f>IFERROR(__xludf.DUMMYFUNCTION("""COMPUTED_VALUE"""),59.9079276961614)</f>
        <v>59.9079277</v>
      </c>
      <c r="P1810" s="23">
        <f>IFERROR(__xludf.DUMMYFUNCTION("""COMPUTED_VALUE"""),8849.0)</f>
        <v>8849</v>
      </c>
      <c r="Q1810" s="23">
        <f>IFERROR(__xludf.DUMMYFUNCTION("""COMPUTED_VALUE"""),14771.0)</f>
        <v>14771</v>
      </c>
    </row>
    <row r="1811">
      <c r="A1811" s="23">
        <f>IFERROR(__xludf.DUMMYFUNCTION("""COMPUTED_VALUE"""),1959.0)</f>
        <v>1959</v>
      </c>
      <c r="B1811" s="23" t="str">
        <f>IFERROR(__xludf.DUMMYFUNCTION("""COMPUTED_VALUE"""),"Minimum Path Cost in a Hidden Grid")</f>
        <v>Minimum Path Cost in a Hidden Grid</v>
      </c>
      <c r="C1811" s="23" t="str">
        <f>IFERROR(__xludf.DUMMYFUNCTION("""COMPUTED_VALUE"""),"minimum-path-cost-in-a-hidden-grid")</f>
        <v>minimum-path-cost-in-a-hidden-grid</v>
      </c>
      <c r="D1811" s="23" t="b">
        <f>IFERROR(__xludf.DUMMYFUNCTION("""COMPUTED_VALUE"""),TRUE)</f>
        <v>1</v>
      </c>
      <c r="E1811" s="23" t="str">
        <f>IFERROR(__xludf.DUMMYFUNCTION("""COMPUTED_VALUE"""),"Medium")</f>
        <v>Medium</v>
      </c>
      <c r="F1811" s="23">
        <f>IFERROR(__xludf.DUMMYFUNCTION("""COMPUTED_VALUE"""),51.0)</f>
        <v>51</v>
      </c>
      <c r="G1811" s="23">
        <f>IFERROR(__xludf.DUMMYFUNCTION("""COMPUTED_VALUE"""),18.0)</f>
        <v>18</v>
      </c>
      <c r="H1811" s="23" t="str">
        <f>IFERROR(__xludf.DUMMYFUNCTION("""COMPUTED_VALUE"""),"Algorithms")</f>
        <v>Algorithms</v>
      </c>
      <c r="I1811" s="23">
        <f>IFERROR(__xludf.DUMMYFUNCTION("""COMPUTED_VALUE"""),0.535)</f>
        <v>0.535</v>
      </c>
      <c r="J1811" s="23">
        <f>IFERROR(__xludf.DUMMYFUNCTION("""COMPUTED_VALUE"""),1810.0)</f>
        <v>1810</v>
      </c>
      <c r="K1811" s="23" t="b">
        <f>IFERROR(__xludf.DUMMYFUNCTION("""COMPUTED_VALUE"""),TRUE)</f>
        <v>1</v>
      </c>
      <c r="L1811" s="23" t="str">
        <f>IFERROR(__xludf.DUMMYFUNCTION("""COMPUTED_VALUE"""),"Depth-First Search;Breadth-First Search;Graph;Heap (Priority Queue);Interactive;")</f>
        <v>Depth-First Search;Breadth-First Search;Graph;Heap (Priority Queue);Interactive;</v>
      </c>
      <c r="M1811" s="23" t="b">
        <f>IFERROR(__xludf.DUMMYFUNCTION("""COMPUTED_VALUE"""),FALSE)</f>
        <v>0</v>
      </c>
      <c r="N1811" s="23" t="b">
        <f>IFERROR(__xludf.DUMMYFUNCTION("""COMPUTED_VALUE"""),FALSE)</f>
        <v>0</v>
      </c>
      <c r="O1811" s="23">
        <f>IFERROR(__xludf.DUMMYFUNCTION("""COMPUTED_VALUE"""),53.4849379799173)</f>
        <v>53.48493798</v>
      </c>
      <c r="P1811" s="23">
        <f>IFERROR(__xludf.DUMMYFUNCTION("""COMPUTED_VALUE"""),1811.0)</f>
        <v>1811</v>
      </c>
      <c r="Q1811" s="23">
        <f>IFERROR(__xludf.DUMMYFUNCTION("""COMPUTED_VALUE"""),3386.0)</f>
        <v>3386</v>
      </c>
    </row>
    <row r="1812">
      <c r="A1812" s="23">
        <f>IFERROR(__xludf.DUMMYFUNCTION("""COMPUTED_VALUE"""),1964.0)</f>
        <v>1964</v>
      </c>
      <c r="B1812" s="23" t="str">
        <f>IFERROR(__xludf.DUMMYFUNCTION("""COMPUTED_VALUE"""),"Find Interview Candidates")</f>
        <v>Find Interview Candidates</v>
      </c>
      <c r="C1812" s="23" t="str">
        <f>IFERROR(__xludf.DUMMYFUNCTION("""COMPUTED_VALUE"""),"find-interview-candidates")</f>
        <v>find-interview-candidates</v>
      </c>
      <c r="D1812" s="23" t="b">
        <f>IFERROR(__xludf.DUMMYFUNCTION("""COMPUTED_VALUE"""),TRUE)</f>
        <v>1</v>
      </c>
      <c r="E1812" s="23" t="str">
        <f>IFERROR(__xludf.DUMMYFUNCTION("""COMPUTED_VALUE"""),"Medium")</f>
        <v>Medium</v>
      </c>
      <c r="F1812" s="23">
        <f>IFERROR(__xludf.DUMMYFUNCTION("""COMPUTED_VALUE"""),112.0)</f>
        <v>112</v>
      </c>
      <c r="G1812" s="23">
        <f>IFERROR(__xludf.DUMMYFUNCTION("""COMPUTED_VALUE"""),17.0)</f>
        <v>17</v>
      </c>
      <c r="H1812" s="23" t="str">
        <f>IFERROR(__xludf.DUMMYFUNCTION("""COMPUTED_VALUE"""),"Database")</f>
        <v>Database</v>
      </c>
      <c r="I1812" s="23">
        <f>IFERROR(__xludf.DUMMYFUNCTION("""COMPUTED_VALUE"""),0.65)</f>
        <v>0.65</v>
      </c>
      <c r="J1812" s="23">
        <f>IFERROR(__xludf.DUMMYFUNCTION("""COMPUTED_VALUE"""),1811.0)</f>
        <v>1811</v>
      </c>
      <c r="K1812" s="23" t="b">
        <f>IFERROR(__xludf.DUMMYFUNCTION("""COMPUTED_VALUE"""),TRUE)</f>
        <v>1</v>
      </c>
      <c r="L1812" s="23" t="str">
        <f>IFERROR(__xludf.DUMMYFUNCTION("""COMPUTED_VALUE"""),"Database;")</f>
        <v>Database;</v>
      </c>
      <c r="M1812" s="23" t="b">
        <f>IFERROR(__xludf.DUMMYFUNCTION("""COMPUTED_VALUE"""),FALSE)</f>
        <v>0</v>
      </c>
      <c r="N1812" s="23" t="b">
        <f>IFERROR(__xludf.DUMMYFUNCTION("""COMPUTED_VALUE"""),FALSE)</f>
        <v>0</v>
      </c>
      <c r="O1812" s="23">
        <f>IFERROR(__xludf.DUMMYFUNCTION("""COMPUTED_VALUE"""),65.0203825650674)</f>
        <v>65.02038257</v>
      </c>
      <c r="P1812" s="23">
        <f>IFERROR(__xludf.DUMMYFUNCTION("""COMPUTED_VALUE"""),8294.0)</f>
        <v>8294</v>
      </c>
      <c r="Q1812" s="23">
        <f>IFERROR(__xludf.DUMMYFUNCTION("""COMPUTED_VALUE"""),12756.0)</f>
        <v>12756</v>
      </c>
    </row>
    <row r="1813">
      <c r="A1813" s="23">
        <f>IFERROR(__xludf.DUMMYFUNCTION("""COMPUTED_VALUE"""),1920.0)</f>
        <v>1920</v>
      </c>
      <c r="B1813" s="23" t="str">
        <f>IFERROR(__xludf.DUMMYFUNCTION("""COMPUTED_VALUE"""),"Determine Color of a Chessboard Square")</f>
        <v>Determine Color of a Chessboard Square</v>
      </c>
      <c r="C1813" s="23" t="str">
        <f>IFERROR(__xludf.DUMMYFUNCTION("""COMPUTED_VALUE"""),"determine-color-of-a-chessboard-square")</f>
        <v>determine-color-of-a-chessboard-square</v>
      </c>
      <c r="D1813" s="23" t="b">
        <f>IFERROR(__xludf.DUMMYFUNCTION("""COMPUTED_VALUE"""),FALSE)</f>
        <v>0</v>
      </c>
      <c r="E1813" s="23" t="str">
        <f>IFERROR(__xludf.DUMMYFUNCTION("""COMPUTED_VALUE"""),"Easy")</f>
        <v>Easy</v>
      </c>
      <c r="F1813" s="23">
        <f>IFERROR(__xludf.DUMMYFUNCTION("""COMPUTED_VALUE"""),409.0)</f>
        <v>409</v>
      </c>
      <c r="G1813" s="23">
        <f>IFERROR(__xludf.DUMMYFUNCTION("""COMPUTED_VALUE"""),13.0)</f>
        <v>13</v>
      </c>
      <c r="H1813" s="23" t="str">
        <f>IFERROR(__xludf.DUMMYFUNCTION("""COMPUTED_VALUE"""),"Algorithms")</f>
        <v>Algorithms</v>
      </c>
      <c r="I1813" s="23">
        <f>IFERROR(__xludf.DUMMYFUNCTION("""COMPUTED_VALUE"""),0.777)</f>
        <v>0.777</v>
      </c>
      <c r="J1813" s="23">
        <f>IFERROR(__xludf.DUMMYFUNCTION("""COMPUTED_VALUE"""),1812.0)</f>
        <v>1812</v>
      </c>
      <c r="K1813" s="23" t="b">
        <f>IFERROR(__xludf.DUMMYFUNCTION("""COMPUTED_VALUE"""),FALSE)</f>
        <v>0</v>
      </c>
      <c r="L1813" s="23" t="str">
        <f>IFERROR(__xludf.DUMMYFUNCTION("""COMPUTED_VALUE"""),"Math;String;")</f>
        <v>Math;String;</v>
      </c>
      <c r="M1813" s="23" t="b">
        <f>IFERROR(__xludf.DUMMYFUNCTION("""COMPUTED_VALUE"""),FALSE)</f>
        <v>0</v>
      </c>
      <c r="N1813" s="23" t="b">
        <f>IFERROR(__xludf.DUMMYFUNCTION("""COMPUTED_VALUE"""),FALSE)</f>
        <v>0</v>
      </c>
      <c r="O1813" s="23">
        <f>IFERROR(__xludf.DUMMYFUNCTION("""COMPUTED_VALUE"""),77.6672908460859)</f>
        <v>77.66729085</v>
      </c>
      <c r="P1813" s="23">
        <f>IFERROR(__xludf.DUMMYFUNCTION("""COMPUTED_VALUE"""),36085.0)</f>
        <v>36085</v>
      </c>
      <c r="Q1813" s="23">
        <f>IFERROR(__xludf.DUMMYFUNCTION("""COMPUTED_VALUE"""),46461.0)</f>
        <v>46461</v>
      </c>
    </row>
    <row r="1814">
      <c r="A1814" s="23">
        <f>IFERROR(__xludf.DUMMYFUNCTION("""COMPUTED_VALUE"""),1923.0)</f>
        <v>1923</v>
      </c>
      <c r="B1814" s="23" t="str">
        <f>IFERROR(__xludf.DUMMYFUNCTION("""COMPUTED_VALUE"""),"Sentence Similarity III")</f>
        <v>Sentence Similarity III</v>
      </c>
      <c r="C1814" s="23" t="str">
        <f>IFERROR(__xludf.DUMMYFUNCTION("""COMPUTED_VALUE"""),"sentence-similarity-iii")</f>
        <v>sentence-similarity-iii</v>
      </c>
      <c r="D1814" s="23" t="b">
        <f>IFERROR(__xludf.DUMMYFUNCTION("""COMPUTED_VALUE"""),FALSE)</f>
        <v>0</v>
      </c>
      <c r="E1814" s="23" t="str">
        <f>IFERROR(__xludf.DUMMYFUNCTION("""COMPUTED_VALUE"""),"Medium")</f>
        <v>Medium</v>
      </c>
      <c r="F1814" s="23">
        <f>IFERROR(__xludf.DUMMYFUNCTION("""COMPUTED_VALUE"""),214.0)</f>
        <v>214</v>
      </c>
      <c r="G1814" s="23">
        <f>IFERROR(__xludf.DUMMYFUNCTION("""COMPUTED_VALUE"""),39.0)</f>
        <v>39</v>
      </c>
      <c r="H1814" s="23" t="str">
        <f>IFERROR(__xludf.DUMMYFUNCTION("""COMPUTED_VALUE"""),"Algorithms")</f>
        <v>Algorithms</v>
      </c>
      <c r="I1814" s="23">
        <f>IFERROR(__xludf.DUMMYFUNCTION("""COMPUTED_VALUE"""),0.324)</f>
        <v>0.324</v>
      </c>
      <c r="J1814" s="23">
        <f>IFERROR(__xludf.DUMMYFUNCTION("""COMPUTED_VALUE"""),1813.0)</f>
        <v>1813</v>
      </c>
      <c r="K1814" s="23" t="b">
        <f>IFERROR(__xludf.DUMMYFUNCTION("""COMPUTED_VALUE"""),FALSE)</f>
        <v>0</v>
      </c>
      <c r="L1814" s="23" t="str">
        <f>IFERROR(__xludf.DUMMYFUNCTION("""COMPUTED_VALUE"""),"Array;Two Pointers;String;")</f>
        <v>Array;Two Pointers;String;</v>
      </c>
      <c r="M1814" s="23" t="b">
        <f>IFERROR(__xludf.DUMMYFUNCTION("""COMPUTED_VALUE"""),FALSE)</f>
        <v>0</v>
      </c>
      <c r="N1814" s="23" t="b">
        <f>IFERROR(__xludf.DUMMYFUNCTION("""COMPUTED_VALUE"""),FALSE)</f>
        <v>0</v>
      </c>
      <c r="O1814" s="23">
        <f>IFERROR(__xludf.DUMMYFUNCTION("""COMPUTED_VALUE"""),32.394698681415)</f>
        <v>32.39469868</v>
      </c>
      <c r="P1814" s="23">
        <f>IFERROR(__xludf.DUMMYFUNCTION("""COMPUTED_VALUE"""),9606.0)</f>
        <v>9606</v>
      </c>
      <c r="Q1814" s="23">
        <f>IFERROR(__xludf.DUMMYFUNCTION("""COMPUTED_VALUE"""),29653.0)</f>
        <v>29653</v>
      </c>
    </row>
    <row r="1815">
      <c r="A1815" s="23">
        <f>IFERROR(__xludf.DUMMYFUNCTION("""COMPUTED_VALUE"""),1925.0)</f>
        <v>1925</v>
      </c>
      <c r="B1815" s="23" t="str">
        <f>IFERROR(__xludf.DUMMYFUNCTION("""COMPUTED_VALUE"""),"Count Nice Pairs in an Array")</f>
        <v>Count Nice Pairs in an Array</v>
      </c>
      <c r="C1815" s="23" t="str">
        <f>IFERROR(__xludf.DUMMYFUNCTION("""COMPUTED_VALUE"""),"count-nice-pairs-in-an-array")</f>
        <v>count-nice-pairs-in-an-array</v>
      </c>
      <c r="D1815" s="23" t="b">
        <f>IFERROR(__xludf.DUMMYFUNCTION("""COMPUTED_VALUE"""),FALSE)</f>
        <v>0</v>
      </c>
      <c r="E1815" s="23" t="str">
        <f>IFERROR(__xludf.DUMMYFUNCTION("""COMPUTED_VALUE"""),"Medium")</f>
        <v>Medium</v>
      </c>
      <c r="F1815" s="23">
        <f>IFERROR(__xludf.DUMMYFUNCTION("""COMPUTED_VALUE"""),413.0)</f>
        <v>413</v>
      </c>
      <c r="G1815" s="23">
        <f>IFERROR(__xludf.DUMMYFUNCTION("""COMPUTED_VALUE"""),19.0)</f>
        <v>19</v>
      </c>
      <c r="H1815" s="23" t="str">
        <f>IFERROR(__xludf.DUMMYFUNCTION("""COMPUTED_VALUE"""),"Algorithms")</f>
        <v>Algorithms</v>
      </c>
      <c r="I1815" s="23">
        <f>IFERROR(__xludf.DUMMYFUNCTION("""COMPUTED_VALUE"""),0.403)</f>
        <v>0.403</v>
      </c>
      <c r="J1815" s="23">
        <f>IFERROR(__xludf.DUMMYFUNCTION("""COMPUTED_VALUE"""),1814.0)</f>
        <v>1814</v>
      </c>
      <c r="K1815" s="23" t="b">
        <f>IFERROR(__xludf.DUMMYFUNCTION("""COMPUTED_VALUE"""),FALSE)</f>
        <v>0</v>
      </c>
      <c r="L1815" s="23" t="str">
        <f>IFERROR(__xludf.DUMMYFUNCTION("""COMPUTED_VALUE"""),"Array;Hash Table;Math;Counting;")</f>
        <v>Array;Hash Table;Math;Counting;</v>
      </c>
      <c r="M1815" s="23" t="b">
        <f>IFERROR(__xludf.DUMMYFUNCTION("""COMPUTED_VALUE"""),FALSE)</f>
        <v>0</v>
      </c>
      <c r="N1815" s="23" t="b">
        <f>IFERROR(__xludf.DUMMYFUNCTION("""COMPUTED_VALUE"""),FALSE)</f>
        <v>0</v>
      </c>
      <c r="O1815" s="23">
        <f>IFERROR(__xludf.DUMMYFUNCTION("""COMPUTED_VALUE"""),40.2727826038842)</f>
        <v>40.2727826</v>
      </c>
      <c r="P1815" s="23">
        <f>IFERROR(__xludf.DUMMYFUNCTION("""COMPUTED_VALUE"""),14557.0)</f>
        <v>14557</v>
      </c>
      <c r="Q1815" s="23">
        <f>IFERROR(__xludf.DUMMYFUNCTION("""COMPUTED_VALUE"""),36146.0)</f>
        <v>36146</v>
      </c>
    </row>
    <row r="1816">
      <c r="A1816" s="23">
        <f>IFERROR(__xludf.DUMMYFUNCTION("""COMPUTED_VALUE"""),1924.0)</f>
        <v>1924</v>
      </c>
      <c r="B1816" s="23" t="str">
        <f>IFERROR(__xludf.DUMMYFUNCTION("""COMPUTED_VALUE"""),"Maximum Number of Groups Getting Fresh Donuts")</f>
        <v>Maximum Number of Groups Getting Fresh Donuts</v>
      </c>
      <c r="C1816" s="23" t="str">
        <f>IFERROR(__xludf.DUMMYFUNCTION("""COMPUTED_VALUE"""),"maximum-number-of-groups-getting-fresh-donuts")</f>
        <v>maximum-number-of-groups-getting-fresh-donuts</v>
      </c>
      <c r="D1816" s="23" t="b">
        <f>IFERROR(__xludf.DUMMYFUNCTION("""COMPUTED_VALUE"""),FALSE)</f>
        <v>0</v>
      </c>
      <c r="E1816" s="23" t="str">
        <f>IFERROR(__xludf.DUMMYFUNCTION("""COMPUTED_VALUE"""),"Hard")</f>
        <v>Hard</v>
      </c>
      <c r="F1816" s="23">
        <f>IFERROR(__xludf.DUMMYFUNCTION("""COMPUTED_VALUE"""),226.0)</f>
        <v>226</v>
      </c>
      <c r="G1816" s="23">
        <f>IFERROR(__xludf.DUMMYFUNCTION("""COMPUTED_VALUE"""),15.0)</f>
        <v>15</v>
      </c>
      <c r="H1816" s="23" t="str">
        <f>IFERROR(__xludf.DUMMYFUNCTION("""COMPUTED_VALUE"""),"Algorithms")</f>
        <v>Algorithms</v>
      </c>
      <c r="I1816" s="23">
        <f>IFERROR(__xludf.DUMMYFUNCTION("""COMPUTED_VALUE"""),0.399)</f>
        <v>0.399</v>
      </c>
      <c r="J1816" s="23">
        <f>IFERROR(__xludf.DUMMYFUNCTION("""COMPUTED_VALUE"""),1815.0)</f>
        <v>1815</v>
      </c>
      <c r="K1816" s="23" t="b">
        <f>IFERROR(__xludf.DUMMYFUNCTION("""COMPUTED_VALUE"""),FALSE)</f>
        <v>0</v>
      </c>
      <c r="L1816" s="23" t="str">
        <f>IFERROR(__xludf.DUMMYFUNCTION("""COMPUTED_VALUE"""),"Array;Dynamic Programming;Bit Manipulation;Memoization;Bitmask;")</f>
        <v>Array;Dynamic Programming;Bit Manipulation;Memoization;Bitmask;</v>
      </c>
      <c r="M1816" s="23" t="b">
        <f>IFERROR(__xludf.DUMMYFUNCTION("""COMPUTED_VALUE"""),FALSE)</f>
        <v>0</v>
      </c>
      <c r="N1816" s="23" t="b">
        <f>IFERROR(__xludf.DUMMYFUNCTION("""COMPUTED_VALUE"""),FALSE)</f>
        <v>0</v>
      </c>
      <c r="O1816" s="23">
        <f>IFERROR(__xludf.DUMMYFUNCTION("""COMPUTED_VALUE"""),39.9243140964995)</f>
        <v>39.9243141</v>
      </c>
      <c r="P1816" s="23">
        <f>IFERROR(__xludf.DUMMYFUNCTION("""COMPUTED_VALUE"""),4220.0)</f>
        <v>4220</v>
      </c>
      <c r="Q1816" s="23">
        <f>IFERROR(__xludf.DUMMYFUNCTION("""COMPUTED_VALUE"""),10570.0)</f>
        <v>10570</v>
      </c>
    </row>
    <row r="1817">
      <c r="A1817" s="23">
        <f>IFERROR(__xludf.DUMMYFUNCTION("""COMPUTED_VALUE"""),1944.0)</f>
        <v>1944</v>
      </c>
      <c r="B1817" s="23" t="str">
        <f>IFERROR(__xludf.DUMMYFUNCTION("""COMPUTED_VALUE"""),"Truncate Sentence")</f>
        <v>Truncate Sentence</v>
      </c>
      <c r="C1817" s="23" t="str">
        <f>IFERROR(__xludf.DUMMYFUNCTION("""COMPUTED_VALUE"""),"truncate-sentence")</f>
        <v>truncate-sentence</v>
      </c>
      <c r="D1817" s="23" t="b">
        <f>IFERROR(__xludf.DUMMYFUNCTION("""COMPUTED_VALUE"""),FALSE)</f>
        <v>0</v>
      </c>
      <c r="E1817" s="23" t="str">
        <f>IFERROR(__xludf.DUMMYFUNCTION("""COMPUTED_VALUE"""),"Easy")</f>
        <v>Easy</v>
      </c>
      <c r="F1817" s="23">
        <f>IFERROR(__xludf.DUMMYFUNCTION("""COMPUTED_VALUE"""),485.0)</f>
        <v>485</v>
      </c>
      <c r="G1817" s="23">
        <f>IFERROR(__xludf.DUMMYFUNCTION("""COMPUTED_VALUE"""),15.0)</f>
        <v>15</v>
      </c>
      <c r="H1817" s="23" t="str">
        <f>IFERROR(__xludf.DUMMYFUNCTION("""COMPUTED_VALUE"""),"Algorithms")</f>
        <v>Algorithms</v>
      </c>
      <c r="I1817" s="23">
        <f>IFERROR(__xludf.DUMMYFUNCTION("""COMPUTED_VALUE"""),0.813)</f>
        <v>0.813</v>
      </c>
      <c r="J1817" s="23">
        <f>IFERROR(__xludf.DUMMYFUNCTION("""COMPUTED_VALUE"""),1816.0)</f>
        <v>1816</v>
      </c>
      <c r="K1817" s="23" t="b">
        <f>IFERROR(__xludf.DUMMYFUNCTION("""COMPUTED_VALUE"""),FALSE)</f>
        <v>0</v>
      </c>
      <c r="L1817" s="23" t="str">
        <f>IFERROR(__xludf.DUMMYFUNCTION("""COMPUTED_VALUE"""),"Array;String;")</f>
        <v>Array;String;</v>
      </c>
      <c r="M1817" s="23" t="b">
        <f>IFERROR(__xludf.DUMMYFUNCTION("""COMPUTED_VALUE"""),FALSE)</f>
        <v>0</v>
      </c>
      <c r="N1817" s="23" t="b">
        <f>IFERROR(__xludf.DUMMYFUNCTION("""COMPUTED_VALUE"""),FALSE)</f>
        <v>0</v>
      </c>
      <c r="O1817" s="23">
        <f>IFERROR(__xludf.DUMMYFUNCTION("""COMPUTED_VALUE"""),81.2650512251867)</f>
        <v>81.26505123</v>
      </c>
      <c r="P1817" s="23">
        <f>IFERROR(__xludf.DUMMYFUNCTION("""COMPUTED_VALUE"""),59728.0)</f>
        <v>59728</v>
      </c>
      <c r="Q1817" s="23">
        <f>IFERROR(__xludf.DUMMYFUNCTION("""COMPUTED_VALUE"""),73498.0)</f>
        <v>73498</v>
      </c>
    </row>
    <row r="1818">
      <c r="A1818" s="23">
        <f>IFERROR(__xludf.DUMMYFUNCTION("""COMPUTED_VALUE"""),1945.0)</f>
        <v>1945</v>
      </c>
      <c r="B1818" s="23" t="str">
        <f>IFERROR(__xludf.DUMMYFUNCTION("""COMPUTED_VALUE"""),"Finding the Users Active Minutes")</f>
        <v>Finding the Users Active Minutes</v>
      </c>
      <c r="C1818" s="23" t="str">
        <f>IFERROR(__xludf.DUMMYFUNCTION("""COMPUTED_VALUE"""),"finding-the-users-active-minutes")</f>
        <v>finding-the-users-active-minutes</v>
      </c>
      <c r="D1818" s="23" t="b">
        <f>IFERROR(__xludf.DUMMYFUNCTION("""COMPUTED_VALUE"""),FALSE)</f>
        <v>0</v>
      </c>
      <c r="E1818" s="23" t="str">
        <f>IFERROR(__xludf.DUMMYFUNCTION("""COMPUTED_VALUE"""),"Medium")</f>
        <v>Medium</v>
      </c>
      <c r="F1818" s="23">
        <f>IFERROR(__xludf.DUMMYFUNCTION("""COMPUTED_VALUE"""),413.0)</f>
        <v>413</v>
      </c>
      <c r="G1818" s="23">
        <f>IFERROR(__xludf.DUMMYFUNCTION("""COMPUTED_VALUE"""),161.0)</f>
        <v>161</v>
      </c>
      <c r="H1818" s="23" t="str">
        <f>IFERROR(__xludf.DUMMYFUNCTION("""COMPUTED_VALUE"""),"Algorithms")</f>
        <v>Algorithms</v>
      </c>
      <c r="I1818" s="23">
        <f>IFERROR(__xludf.DUMMYFUNCTION("""COMPUTED_VALUE"""),0.807)</f>
        <v>0.807</v>
      </c>
      <c r="J1818" s="23">
        <f>IFERROR(__xludf.DUMMYFUNCTION("""COMPUTED_VALUE"""),1817.0)</f>
        <v>1817</v>
      </c>
      <c r="K1818" s="23" t="b">
        <f>IFERROR(__xludf.DUMMYFUNCTION("""COMPUTED_VALUE"""),FALSE)</f>
        <v>0</v>
      </c>
      <c r="L1818" s="23" t="str">
        <f>IFERROR(__xludf.DUMMYFUNCTION("""COMPUTED_VALUE"""),"Array;Hash Table;")</f>
        <v>Array;Hash Table;</v>
      </c>
      <c r="M1818" s="23" t="b">
        <f>IFERROR(__xludf.DUMMYFUNCTION("""COMPUTED_VALUE"""),FALSE)</f>
        <v>0</v>
      </c>
      <c r="N1818" s="23" t="b">
        <f>IFERROR(__xludf.DUMMYFUNCTION("""COMPUTED_VALUE"""),FALSE)</f>
        <v>0</v>
      </c>
      <c r="O1818" s="23">
        <f>IFERROR(__xludf.DUMMYFUNCTION("""COMPUTED_VALUE"""),80.7409212771143)</f>
        <v>80.74092128</v>
      </c>
      <c r="P1818" s="23">
        <f>IFERROR(__xludf.DUMMYFUNCTION("""COMPUTED_VALUE"""),33128.0)</f>
        <v>33128</v>
      </c>
      <c r="Q1818" s="23">
        <f>IFERROR(__xludf.DUMMYFUNCTION("""COMPUTED_VALUE"""),41029.0)</f>
        <v>41029</v>
      </c>
    </row>
    <row r="1819">
      <c r="A1819" s="23">
        <f>IFERROR(__xludf.DUMMYFUNCTION("""COMPUTED_VALUE"""),1946.0)</f>
        <v>1946</v>
      </c>
      <c r="B1819" s="23" t="str">
        <f>IFERROR(__xludf.DUMMYFUNCTION("""COMPUTED_VALUE"""),"Minimum Absolute Sum Difference")</f>
        <v>Minimum Absolute Sum Difference</v>
      </c>
      <c r="C1819" s="23" t="str">
        <f>IFERROR(__xludf.DUMMYFUNCTION("""COMPUTED_VALUE"""),"minimum-absolute-sum-difference")</f>
        <v>minimum-absolute-sum-difference</v>
      </c>
      <c r="D1819" s="23" t="b">
        <f>IFERROR(__xludf.DUMMYFUNCTION("""COMPUTED_VALUE"""),FALSE)</f>
        <v>0</v>
      </c>
      <c r="E1819" s="23" t="str">
        <f>IFERROR(__xludf.DUMMYFUNCTION("""COMPUTED_VALUE"""),"Medium")</f>
        <v>Medium</v>
      </c>
      <c r="F1819" s="23">
        <f>IFERROR(__xludf.DUMMYFUNCTION("""COMPUTED_VALUE"""),532.0)</f>
        <v>532</v>
      </c>
      <c r="G1819" s="23">
        <f>IFERROR(__xludf.DUMMYFUNCTION("""COMPUTED_VALUE"""),51.0)</f>
        <v>51</v>
      </c>
      <c r="H1819" s="23" t="str">
        <f>IFERROR(__xludf.DUMMYFUNCTION("""COMPUTED_VALUE"""),"Algorithms")</f>
        <v>Algorithms</v>
      </c>
      <c r="I1819" s="23">
        <f>IFERROR(__xludf.DUMMYFUNCTION("""COMPUTED_VALUE"""),0.293)</f>
        <v>0.293</v>
      </c>
      <c r="J1819" s="23">
        <f>IFERROR(__xludf.DUMMYFUNCTION("""COMPUTED_VALUE"""),1818.0)</f>
        <v>1818</v>
      </c>
      <c r="K1819" s="23" t="b">
        <f>IFERROR(__xludf.DUMMYFUNCTION("""COMPUTED_VALUE"""),FALSE)</f>
        <v>0</v>
      </c>
      <c r="L1819" s="23" t="str">
        <f>IFERROR(__xludf.DUMMYFUNCTION("""COMPUTED_VALUE"""),"Array;Binary Search;Sorting;Ordered Set;")</f>
        <v>Array;Binary Search;Sorting;Ordered Set;</v>
      </c>
      <c r="M1819" s="23" t="b">
        <f>IFERROR(__xludf.DUMMYFUNCTION("""COMPUTED_VALUE"""),FALSE)</f>
        <v>0</v>
      </c>
      <c r="N1819" s="23" t="b">
        <f>IFERROR(__xludf.DUMMYFUNCTION("""COMPUTED_VALUE"""),FALSE)</f>
        <v>0</v>
      </c>
      <c r="O1819" s="23">
        <f>IFERROR(__xludf.DUMMYFUNCTION("""COMPUTED_VALUE"""),29.3261231281198)</f>
        <v>29.32612313</v>
      </c>
      <c r="P1819" s="23">
        <f>IFERROR(__xludf.DUMMYFUNCTION("""COMPUTED_VALUE"""),14100.0)</f>
        <v>14100</v>
      </c>
      <c r="Q1819" s="23">
        <f>IFERROR(__xludf.DUMMYFUNCTION("""COMPUTED_VALUE"""),48080.0)</f>
        <v>48080</v>
      </c>
    </row>
    <row r="1820">
      <c r="A1820" s="23">
        <f>IFERROR(__xludf.DUMMYFUNCTION("""COMPUTED_VALUE"""),1947.0)</f>
        <v>1947</v>
      </c>
      <c r="B1820" s="23" t="str">
        <f>IFERROR(__xludf.DUMMYFUNCTION("""COMPUTED_VALUE"""),"Number of Different Subsequences GCDs")</f>
        <v>Number of Different Subsequences GCDs</v>
      </c>
      <c r="C1820" s="23" t="str">
        <f>IFERROR(__xludf.DUMMYFUNCTION("""COMPUTED_VALUE"""),"number-of-different-subsequences-gcds")</f>
        <v>number-of-different-subsequences-gcds</v>
      </c>
      <c r="D1820" s="23" t="b">
        <f>IFERROR(__xludf.DUMMYFUNCTION("""COMPUTED_VALUE"""),FALSE)</f>
        <v>0</v>
      </c>
      <c r="E1820" s="23" t="str">
        <f>IFERROR(__xludf.DUMMYFUNCTION("""COMPUTED_VALUE"""),"Hard")</f>
        <v>Hard</v>
      </c>
      <c r="F1820" s="23">
        <f>IFERROR(__xludf.DUMMYFUNCTION("""COMPUTED_VALUE"""),255.0)</f>
        <v>255</v>
      </c>
      <c r="G1820" s="23">
        <f>IFERROR(__xludf.DUMMYFUNCTION("""COMPUTED_VALUE"""),33.0)</f>
        <v>33</v>
      </c>
      <c r="H1820" s="23" t="str">
        <f>IFERROR(__xludf.DUMMYFUNCTION("""COMPUTED_VALUE"""),"Algorithms")</f>
        <v>Algorithms</v>
      </c>
      <c r="I1820" s="23">
        <f>IFERROR(__xludf.DUMMYFUNCTION("""COMPUTED_VALUE"""),0.37)</f>
        <v>0.37</v>
      </c>
      <c r="J1820" s="23">
        <f>IFERROR(__xludf.DUMMYFUNCTION("""COMPUTED_VALUE"""),1819.0)</f>
        <v>1819</v>
      </c>
      <c r="K1820" s="23" t="b">
        <f>IFERROR(__xludf.DUMMYFUNCTION("""COMPUTED_VALUE"""),FALSE)</f>
        <v>0</v>
      </c>
      <c r="L1820" s="23" t="str">
        <f>IFERROR(__xludf.DUMMYFUNCTION("""COMPUTED_VALUE"""),"Array;Math;Counting;Number Theory;")</f>
        <v>Array;Math;Counting;Number Theory;</v>
      </c>
      <c r="M1820" s="23" t="b">
        <f>IFERROR(__xludf.DUMMYFUNCTION("""COMPUTED_VALUE"""),FALSE)</f>
        <v>0</v>
      </c>
      <c r="N1820" s="23" t="b">
        <f>IFERROR(__xludf.DUMMYFUNCTION("""COMPUTED_VALUE"""),FALSE)</f>
        <v>0</v>
      </c>
      <c r="O1820" s="23">
        <f>IFERROR(__xludf.DUMMYFUNCTION("""COMPUTED_VALUE"""),36.9968429360694)</f>
        <v>36.99684294</v>
      </c>
      <c r="P1820" s="23">
        <f>IFERROR(__xludf.DUMMYFUNCTION("""COMPUTED_VALUE"""),5625.0)</f>
        <v>5625</v>
      </c>
      <c r="Q1820" s="23">
        <f>IFERROR(__xludf.DUMMYFUNCTION("""COMPUTED_VALUE"""),15204.0)</f>
        <v>15204</v>
      </c>
    </row>
    <row r="1821">
      <c r="A1821" s="23">
        <f>IFERROR(__xludf.DUMMYFUNCTION("""COMPUTED_VALUE"""),1969.0)</f>
        <v>1969</v>
      </c>
      <c r="B1821" s="23" t="str">
        <f>IFERROR(__xludf.DUMMYFUNCTION("""COMPUTED_VALUE"""),"Maximum Number of Accepted Invitations")</f>
        <v>Maximum Number of Accepted Invitations</v>
      </c>
      <c r="C1821" s="23" t="str">
        <f>IFERROR(__xludf.DUMMYFUNCTION("""COMPUTED_VALUE"""),"maximum-number-of-accepted-invitations")</f>
        <v>maximum-number-of-accepted-invitations</v>
      </c>
      <c r="D1821" s="23" t="b">
        <f>IFERROR(__xludf.DUMMYFUNCTION("""COMPUTED_VALUE"""),TRUE)</f>
        <v>1</v>
      </c>
      <c r="E1821" s="23" t="str">
        <f>IFERROR(__xludf.DUMMYFUNCTION("""COMPUTED_VALUE"""),"Medium")</f>
        <v>Medium</v>
      </c>
      <c r="F1821" s="23">
        <f>IFERROR(__xludf.DUMMYFUNCTION("""COMPUTED_VALUE"""),72.0)</f>
        <v>72</v>
      </c>
      <c r="G1821" s="23">
        <f>IFERROR(__xludf.DUMMYFUNCTION("""COMPUTED_VALUE"""),21.0)</f>
        <v>21</v>
      </c>
      <c r="H1821" s="23" t="str">
        <f>IFERROR(__xludf.DUMMYFUNCTION("""COMPUTED_VALUE"""),"Algorithms")</f>
        <v>Algorithms</v>
      </c>
      <c r="I1821" s="23">
        <f>IFERROR(__xludf.DUMMYFUNCTION("""COMPUTED_VALUE"""),0.472)</f>
        <v>0.472</v>
      </c>
      <c r="J1821" s="23">
        <f>IFERROR(__xludf.DUMMYFUNCTION("""COMPUTED_VALUE"""),1820.0)</f>
        <v>1820</v>
      </c>
      <c r="K1821" s="23" t="b">
        <f>IFERROR(__xludf.DUMMYFUNCTION("""COMPUTED_VALUE"""),TRUE)</f>
        <v>1</v>
      </c>
      <c r="L1821" s="23" t="str">
        <f>IFERROR(__xludf.DUMMYFUNCTION("""COMPUTED_VALUE"""),"Array;Backtracking;Matrix;")</f>
        <v>Array;Backtracking;Matrix;</v>
      </c>
      <c r="M1821" s="23" t="b">
        <f>IFERROR(__xludf.DUMMYFUNCTION("""COMPUTED_VALUE"""),FALSE)</f>
        <v>0</v>
      </c>
      <c r="N1821" s="23" t="b">
        <f>IFERROR(__xludf.DUMMYFUNCTION("""COMPUTED_VALUE"""),FALSE)</f>
        <v>0</v>
      </c>
      <c r="O1821" s="23">
        <f>IFERROR(__xludf.DUMMYFUNCTION("""COMPUTED_VALUE"""),47.2327044025157)</f>
        <v>47.2327044</v>
      </c>
      <c r="P1821" s="23">
        <f>IFERROR(__xludf.DUMMYFUNCTION("""COMPUTED_VALUE"""),1502.0)</f>
        <v>1502</v>
      </c>
      <c r="Q1821" s="23">
        <f>IFERROR(__xludf.DUMMYFUNCTION("""COMPUTED_VALUE"""),3180.0)</f>
        <v>3180</v>
      </c>
    </row>
    <row r="1822">
      <c r="A1822" s="23">
        <f>IFERROR(__xludf.DUMMYFUNCTION("""COMPUTED_VALUE"""),1974.0)</f>
        <v>1974</v>
      </c>
      <c r="B1822" s="23" t="str">
        <f>IFERROR(__xludf.DUMMYFUNCTION("""COMPUTED_VALUE"""),"Find Customers With Positive Revenue this Year")</f>
        <v>Find Customers With Positive Revenue this Year</v>
      </c>
      <c r="C1822" s="23" t="str">
        <f>IFERROR(__xludf.DUMMYFUNCTION("""COMPUTED_VALUE"""),"find-customers-with-positive-revenue-this-year")</f>
        <v>find-customers-with-positive-revenue-this-year</v>
      </c>
      <c r="D1822" s="23" t="b">
        <f>IFERROR(__xludf.DUMMYFUNCTION("""COMPUTED_VALUE"""),TRUE)</f>
        <v>1</v>
      </c>
      <c r="E1822" s="23" t="str">
        <f>IFERROR(__xludf.DUMMYFUNCTION("""COMPUTED_VALUE"""),"Easy")</f>
        <v>Easy</v>
      </c>
      <c r="F1822" s="23">
        <f>IFERROR(__xludf.DUMMYFUNCTION("""COMPUTED_VALUE"""),22.0)</f>
        <v>22</v>
      </c>
      <c r="G1822" s="23">
        <f>IFERROR(__xludf.DUMMYFUNCTION("""COMPUTED_VALUE"""),17.0)</f>
        <v>17</v>
      </c>
      <c r="H1822" s="23" t="str">
        <f>IFERROR(__xludf.DUMMYFUNCTION("""COMPUTED_VALUE"""),"Database")</f>
        <v>Database</v>
      </c>
      <c r="I1822" s="23">
        <f>IFERROR(__xludf.DUMMYFUNCTION("""COMPUTED_VALUE"""),0.897)</f>
        <v>0.897</v>
      </c>
      <c r="J1822" s="23">
        <f>IFERROR(__xludf.DUMMYFUNCTION("""COMPUTED_VALUE"""),1821.0)</f>
        <v>1821</v>
      </c>
      <c r="K1822" s="23" t="b">
        <f>IFERROR(__xludf.DUMMYFUNCTION("""COMPUTED_VALUE"""),TRUE)</f>
        <v>1</v>
      </c>
      <c r="L1822" s="23" t="str">
        <f>IFERROR(__xludf.DUMMYFUNCTION("""COMPUTED_VALUE"""),"Database;")</f>
        <v>Database;</v>
      </c>
      <c r="M1822" s="23" t="b">
        <f>IFERROR(__xludf.DUMMYFUNCTION("""COMPUTED_VALUE"""),FALSE)</f>
        <v>0</v>
      </c>
      <c r="N1822" s="23" t="b">
        <f>IFERROR(__xludf.DUMMYFUNCTION("""COMPUTED_VALUE"""),FALSE)</f>
        <v>0</v>
      </c>
      <c r="O1822" s="23">
        <f>IFERROR(__xludf.DUMMYFUNCTION("""COMPUTED_VALUE"""),89.7483175071448)</f>
        <v>89.74831751</v>
      </c>
      <c r="P1822" s="23">
        <f>IFERROR(__xludf.DUMMYFUNCTION("""COMPUTED_VALUE"""),9735.0)</f>
        <v>9735</v>
      </c>
      <c r="Q1822" s="23">
        <f>IFERROR(__xludf.DUMMYFUNCTION("""COMPUTED_VALUE"""),10847.0)</f>
        <v>10847</v>
      </c>
    </row>
    <row r="1823">
      <c r="A1823" s="23">
        <f>IFERROR(__xludf.DUMMYFUNCTION("""COMPUTED_VALUE"""),1950.0)</f>
        <v>1950</v>
      </c>
      <c r="B1823" s="23" t="str">
        <f>IFERROR(__xludf.DUMMYFUNCTION("""COMPUTED_VALUE"""),"Sign of the Product of an Array")</f>
        <v>Sign of the Product of an Array</v>
      </c>
      <c r="C1823" s="23" t="str">
        <f>IFERROR(__xludf.DUMMYFUNCTION("""COMPUTED_VALUE"""),"sign-of-the-product-of-an-array")</f>
        <v>sign-of-the-product-of-an-array</v>
      </c>
      <c r="D1823" s="23" t="b">
        <f>IFERROR(__xludf.DUMMYFUNCTION("""COMPUTED_VALUE"""),FALSE)</f>
        <v>0</v>
      </c>
      <c r="E1823" s="23" t="str">
        <f>IFERROR(__xludf.DUMMYFUNCTION("""COMPUTED_VALUE"""),"Easy")</f>
        <v>Easy</v>
      </c>
      <c r="F1823" s="23">
        <f>IFERROR(__xludf.DUMMYFUNCTION("""COMPUTED_VALUE"""),530.0)</f>
        <v>530</v>
      </c>
      <c r="G1823" s="23">
        <f>IFERROR(__xludf.DUMMYFUNCTION("""COMPUTED_VALUE"""),70.0)</f>
        <v>70</v>
      </c>
      <c r="H1823" s="23" t="str">
        <f>IFERROR(__xludf.DUMMYFUNCTION("""COMPUTED_VALUE"""),"Algorithms")</f>
        <v>Algorithms</v>
      </c>
      <c r="I1823" s="23">
        <f>IFERROR(__xludf.DUMMYFUNCTION("""COMPUTED_VALUE"""),0.67)</f>
        <v>0.67</v>
      </c>
      <c r="J1823" s="23">
        <f>IFERROR(__xludf.DUMMYFUNCTION("""COMPUTED_VALUE"""),1822.0)</f>
        <v>1822</v>
      </c>
      <c r="K1823" s="23" t="b">
        <f>IFERROR(__xludf.DUMMYFUNCTION("""COMPUTED_VALUE"""),FALSE)</f>
        <v>0</v>
      </c>
      <c r="L1823" s="23" t="str">
        <f>IFERROR(__xludf.DUMMYFUNCTION("""COMPUTED_VALUE"""),"Array;Math;")</f>
        <v>Array;Math;</v>
      </c>
      <c r="M1823" s="23" t="b">
        <f>IFERROR(__xludf.DUMMYFUNCTION("""COMPUTED_VALUE"""),FALSE)</f>
        <v>0</v>
      </c>
      <c r="N1823" s="23" t="b">
        <f>IFERROR(__xludf.DUMMYFUNCTION("""COMPUTED_VALUE"""),FALSE)</f>
        <v>0</v>
      </c>
      <c r="O1823" s="23">
        <f>IFERROR(__xludf.DUMMYFUNCTION("""COMPUTED_VALUE"""),66.9907518923219)</f>
        <v>66.99075189</v>
      </c>
      <c r="P1823" s="23">
        <f>IFERROR(__xludf.DUMMYFUNCTION("""COMPUTED_VALUE"""),91777.0)</f>
        <v>91777</v>
      </c>
      <c r="Q1823" s="23">
        <f>IFERROR(__xludf.DUMMYFUNCTION("""COMPUTED_VALUE"""),137000.0)</f>
        <v>137000</v>
      </c>
    </row>
    <row r="1824">
      <c r="A1824" s="23">
        <f>IFERROR(__xludf.DUMMYFUNCTION("""COMPUTED_VALUE"""),1951.0)</f>
        <v>1951</v>
      </c>
      <c r="B1824" s="23" t="str">
        <f>IFERROR(__xludf.DUMMYFUNCTION("""COMPUTED_VALUE"""),"Find the Winner of the Circular Game")</f>
        <v>Find the Winner of the Circular Game</v>
      </c>
      <c r="C1824" s="23" t="str">
        <f>IFERROR(__xludf.DUMMYFUNCTION("""COMPUTED_VALUE"""),"find-the-winner-of-the-circular-game")</f>
        <v>find-the-winner-of-the-circular-game</v>
      </c>
      <c r="D1824" s="23" t="b">
        <f>IFERROR(__xludf.DUMMYFUNCTION("""COMPUTED_VALUE"""),FALSE)</f>
        <v>0</v>
      </c>
      <c r="E1824" s="23" t="str">
        <f>IFERROR(__xludf.DUMMYFUNCTION("""COMPUTED_VALUE"""),"Medium")</f>
        <v>Medium</v>
      </c>
      <c r="F1824" s="23">
        <f>IFERROR(__xludf.DUMMYFUNCTION("""COMPUTED_VALUE"""),1161.0)</f>
        <v>1161</v>
      </c>
      <c r="G1824" s="23">
        <f>IFERROR(__xludf.DUMMYFUNCTION("""COMPUTED_VALUE"""),31.0)</f>
        <v>31</v>
      </c>
      <c r="H1824" s="23" t="str">
        <f>IFERROR(__xludf.DUMMYFUNCTION("""COMPUTED_VALUE"""),"Algorithms")</f>
        <v>Algorithms</v>
      </c>
      <c r="I1824" s="23">
        <f>IFERROR(__xludf.DUMMYFUNCTION("""COMPUTED_VALUE"""),0.763)</f>
        <v>0.763</v>
      </c>
      <c r="J1824" s="23">
        <f>IFERROR(__xludf.DUMMYFUNCTION("""COMPUTED_VALUE"""),1823.0)</f>
        <v>1823</v>
      </c>
      <c r="K1824" s="23" t="b">
        <f>IFERROR(__xludf.DUMMYFUNCTION("""COMPUTED_VALUE"""),FALSE)</f>
        <v>0</v>
      </c>
      <c r="L1824" s="23" t="str">
        <f>IFERROR(__xludf.DUMMYFUNCTION("""COMPUTED_VALUE"""),"Array;Math;Recursion;Queue;Simulation;")</f>
        <v>Array;Math;Recursion;Queue;Simulation;</v>
      </c>
      <c r="M1824" s="23" t="b">
        <f>IFERROR(__xludf.DUMMYFUNCTION("""COMPUTED_VALUE"""),FALSE)</f>
        <v>0</v>
      </c>
      <c r="N1824" s="23" t="b">
        <f>IFERROR(__xludf.DUMMYFUNCTION("""COMPUTED_VALUE"""),FALSE)</f>
        <v>0</v>
      </c>
      <c r="O1824" s="23">
        <f>IFERROR(__xludf.DUMMYFUNCTION("""COMPUTED_VALUE"""),76.3049166781435)</f>
        <v>76.30491668</v>
      </c>
      <c r="P1824" s="23">
        <f>IFERROR(__xludf.DUMMYFUNCTION("""COMPUTED_VALUE"""),44322.0)</f>
        <v>44322</v>
      </c>
      <c r="Q1824" s="23">
        <f>IFERROR(__xludf.DUMMYFUNCTION("""COMPUTED_VALUE"""),58086.0)</f>
        <v>58086</v>
      </c>
    </row>
    <row r="1825">
      <c r="A1825" s="23">
        <f>IFERROR(__xludf.DUMMYFUNCTION("""COMPUTED_VALUE"""),1952.0)</f>
        <v>1952</v>
      </c>
      <c r="B1825" s="23" t="str">
        <f>IFERROR(__xludf.DUMMYFUNCTION("""COMPUTED_VALUE"""),"Minimum Sideway Jumps")</f>
        <v>Minimum Sideway Jumps</v>
      </c>
      <c r="C1825" s="23" t="str">
        <f>IFERROR(__xludf.DUMMYFUNCTION("""COMPUTED_VALUE"""),"minimum-sideway-jumps")</f>
        <v>minimum-sideway-jumps</v>
      </c>
      <c r="D1825" s="23" t="b">
        <f>IFERROR(__xludf.DUMMYFUNCTION("""COMPUTED_VALUE"""),FALSE)</f>
        <v>0</v>
      </c>
      <c r="E1825" s="23" t="str">
        <f>IFERROR(__xludf.DUMMYFUNCTION("""COMPUTED_VALUE"""),"Medium")</f>
        <v>Medium</v>
      </c>
      <c r="F1825" s="23">
        <f>IFERROR(__xludf.DUMMYFUNCTION("""COMPUTED_VALUE"""),567.0)</f>
        <v>567</v>
      </c>
      <c r="G1825" s="23">
        <f>IFERROR(__xludf.DUMMYFUNCTION("""COMPUTED_VALUE"""),28.0)</f>
        <v>28</v>
      </c>
      <c r="H1825" s="23" t="str">
        <f>IFERROR(__xludf.DUMMYFUNCTION("""COMPUTED_VALUE"""),"Algorithms")</f>
        <v>Algorithms</v>
      </c>
      <c r="I1825" s="23">
        <f>IFERROR(__xludf.DUMMYFUNCTION("""COMPUTED_VALUE"""),0.492)</f>
        <v>0.492</v>
      </c>
      <c r="J1825" s="23">
        <f>IFERROR(__xludf.DUMMYFUNCTION("""COMPUTED_VALUE"""),1824.0)</f>
        <v>1824</v>
      </c>
      <c r="K1825" s="23" t="b">
        <f>IFERROR(__xludf.DUMMYFUNCTION("""COMPUTED_VALUE"""),FALSE)</f>
        <v>0</v>
      </c>
      <c r="L1825" s="23" t="str">
        <f>IFERROR(__xludf.DUMMYFUNCTION("""COMPUTED_VALUE"""),"Array;Dynamic Programming;Greedy;")</f>
        <v>Array;Dynamic Programming;Greedy;</v>
      </c>
      <c r="M1825" s="23" t="b">
        <f>IFERROR(__xludf.DUMMYFUNCTION("""COMPUTED_VALUE"""),FALSE)</f>
        <v>0</v>
      </c>
      <c r="N1825" s="23" t="b">
        <f>IFERROR(__xludf.DUMMYFUNCTION("""COMPUTED_VALUE"""),FALSE)</f>
        <v>0</v>
      </c>
      <c r="O1825" s="23">
        <f>IFERROR(__xludf.DUMMYFUNCTION("""COMPUTED_VALUE"""),49.2472398795583)</f>
        <v>49.24723988</v>
      </c>
      <c r="P1825" s="23">
        <f>IFERROR(__xludf.DUMMYFUNCTION("""COMPUTED_VALUE"""),16192.0)</f>
        <v>16192</v>
      </c>
      <c r="Q1825" s="23">
        <f>IFERROR(__xludf.DUMMYFUNCTION("""COMPUTED_VALUE"""),32879.0)</f>
        <v>32879</v>
      </c>
    </row>
    <row r="1826">
      <c r="A1826" s="23">
        <f>IFERROR(__xludf.DUMMYFUNCTION("""COMPUTED_VALUE"""),1953.0)</f>
        <v>1953</v>
      </c>
      <c r="B1826" s="23" t="str">
        <f>IFERROR(__xludf.DUMMYFUNCTION("""COMPUTED_VALUE"""),"Finding MK Average")</f>
        <v>Finding MK Average</v>
      </c>
      <c r="C1826" s="23" t="str">
        <f>IFERROR(__xludf.DUMMYFUNCTION("""COMPUTED_VALUE"""),"finding-mk-average")</f>
        <v>finding-mk-average</v>
      </c>
      <c r="D1826" s="23" t="b">
        <f>IFERROR(__xludf.DUMMYFUNCTION("""COMPUTED_VALUE"""),FALSE)</f>
        <v>0</v>
      </c>
      <c r="E1826" s="23" t="str">
        <f>IFERROR(__xludf.DUMMYFUNCTION("""COMPUTED_VALUE"""),"Hard")</f>
        <v>Hard</v>
      </c>
      <c r="F1826" s="23">
        <f>IFERROR(__xludf.DUMMYFUNCTION("""COMPUTED_VALUE"""),214.0)</f>
        <v>214</v>
      </c>
      <c r="G1826" s="23">
        <f>IFERROR(__xludf.DUMMYFUNCTION("""COMPUTED_VALUE"""),81.0)</f>
        <v>81</v>
      </c>
      <c r="H1826" s="23" t="str">
        <f>IFERROR(__xludf.DUMMYFUNCTION("""COMPUTED_VALUE"""),"Algorithms")</f>
        <v>Algorithms</v>
      </c>
      <c r="I1826" s="23">
        <f>IFERROR(__xludf.DUMMYFUNCTION("""COMPUTED_VALUE"""),0.335)</f>
        <v>0.335</v>
      </c>
      <c r="J1826" s="23">
        <f>IFERROR(__xludf.DUMMYFUNCTION("""COMPUTED_VALUE"""),1825.0)</f>
        <v>1825</v>
      </c>
      <c r="K1826" s="23" t="b">
        <f>IFERROR(__xludf.DUMMYFUNCTION("""COMPUTED_VALUE"""),FALSE)</f>
        <v>0</v>
      </c>
      <c r="L1826" s="23" t="str">
        <f>IFERROR(__xludf.DUMMYFUNCTION("""COMPUTED_VALUE"""),"Design;Queue;Heap (Priority Queue);Ordered Set;")</f>
        <v>Design;Queue;Heap (Priority Queue);Ordered Set;</v>
      </c>
      <c r="M1826" s="23" t="b">
        <f>IFERROR(__xludf.DUMMYFUNCTION("""COMPUTED_VALUE"""),FALSE)</f>
        <v>0</v>
      </c>
      <c r="N1826" s="23" t="b">
        <f>IFERROR(__xludf.DUMMYFUNCTION("""COMPUTED_VALUE"""),FALSE)</f>
        <v>0</v>
      </c>
      <c r="O1826" s="23">
        <f>IFERROR(__xludf.DUMMYFUNCTION("""COMPUTED_VALUE"""),33.489260143198)</f>
        <v>33.48926014</v>
      </c>
      <c r="P1826" s="23">
        <f>IFERROR(__xludf.DUMMYFUNCTION("""COMPUTED_VALUE"""),7016.0)</f>
        <v>7016</v>
      </c>
      <c r="Q1826" s="23">
        <f>IFERROR(__xludf.DUMMYFUNCTION("""COMPUTED_VALUE"""),20950.0)</f>
        <v>20950</v>
      </c>
    </row>
    <row r="1827">
      <c r="A1827" s="23">
        <f>IFERROR(__xludf.DUMMYFUNCTION("""COMPUTED_VALUE"""),1980.0)</f>
        <v>1980</v>
      </c>
      <c r="B1827" s="23" t="str">
        <f>IFERROR(__xludf.DUMMYFUNCTION("""COMPUTED_VALUE"""),"Faulty Sensor")</f>
        <v>Faulty Sensor</v>
      </c>
      <c r="C1827" s="23" t="str">
        <f>IFERROR(__xludf.DUMMYFUNCTION("""COMPUTED_VALUE"""),"faulty-sensor")</f>
        <v>faulty-sensor</v>
      </c>
      <c r="D1827" s="23" t="b">
        <f>IFERROR(__xludf.DUMMYFUNCTION("""COMPUTED_VALUE"""),TRUE)</f>
        <v>1</v>
      </c>
      <c r="E1827" s="23" t="str">
        <f>IFERROR(__xludf.DUMMYFUNCTION("""COMPUTED_VALUE"""),"Easy")</f>
        <v>Easy</v>
      </c>
      <c r="F1827" s="23">
        <f>IFERROR(__xludf.DUMMYFUNCTION("""COMPUTED_VALUE"""),45.0)</f>
        <v>45</v>
      </c>
      <c r="G1827" s="23">
        <f>IFERROR(__xludf.DUMMYFUNCTION("""COMPUTED_VALUE"""),37.0)</f>
        <v>37</v>
      </c>
      <c r="H1827" s="23" t="str">
        <f>IFERROR(__xludf.DUMMYFUNCTION("""COMPUTED_VALUE"""),"Algorithms")</f>
        <v>Algorithms</v>
      </c>
      <c r="I1827" s="23">
        <f>IFERROR(__xludf.DUMMYFUNCTION("""COMPUTED_VALUE"""),0.497)</f>
        <v>0.497</v>
      </c>
      <c r="J1827" s="23">
        <f>IFERROR(__xludf.DUMMYFUNCTION("""COMPUTED_VALUE"""),1826.0)</f>
        <v>1826</v>
      </c>
      <c r="K1827" s="23" t="b">
        <f>IFERROR(__xludf.DUMMYFUNCTION("""COMPUTED_VALUE"""),TRUE)</f>
        <v>1</v>
      </c>
      <c r="L1827" s="23" t="str">
        <f>IFERROR(__xludf.DUMMYFUNCTION("""COMPUTED_VALUE"""),"Array;Two Pointers;")</f>
        <v>Array;Two Pointers;</v>
      </c>
      <c r="M1827" s="23" t="b">
        <f>IFERROR(__xludf.DUMMYFUNCTION("""COMPUTED_VALUE"""),FALSE)</f>
        <v>0</v>
      </c>
      <c r="N1827" s="23" t="b">
        <f>IFERROR(__xludf.DUMMYFUNCTION("""COMPUTED_VALUE"""),FALSE)</f>
        <v>0</v>
      </c>
      <c r="O1827" s="23">
        <f>IFERROR(__xludf.DUMMYFUNCTION("""COMPUTED_VALUE"""),49.6744186046511)</f>
        <v>49.6744186</v>
      </c>
      <c r="P1827" s="23">
        <f>IFERROR(__xludf.DUMMYFUNCTION("""COMPUTED_VALUE"""),2670.0)</f>
        <v>2670</v>
      </c>
      <c r="Q1827" s="23">
        <f>IFERROR(__xludf.DUMMYFUNCTION("""COMPUTED_VALUE"""),5375.0)</f>
        <v>5375</v>
      </c>
    </row>
    <row r="1828">
      <c r="A1828" s="23">
        <f>IFERROR(__xludf.DUMMYFUNCTION("""COMPUTED_VALUE"""),1938.0)</f>
        <v>1938</v>
      </c>
      <c r="B1828" s="23" t="str">
        <f>IFERROR(__xludf.DUMMYFUNCTION("""COMPUTED_VALUE"""),"Minimum Operations to Make the Array Increasing")</f>
        <v>Minimum Operations to Make the Array Increasing</v>
      </c>
      <c r="C1828" s="23" t="str">
        <f>IFERROR(__xludf.DUMMYFUNCTION("""COMPUTED_VALUE"""),"minimum-operations-to-make-the-array-increasing")</f>
        <v>minimum-operations-to-make-the-array-increasing</v>
      </c>
      <c r="D1828" s="23" t="b">
        <f>IFERROR(__xludf.DUMMYFUNCTION("""COMPUTED_VALUE"""),FALSE)</f>
        <v>0</v>
      </c>
      <c r="E1828" s="23" t="str">
        <f>IFERROR(__xludf.DUMMYFUNCTION("""COMPUTED_VALUE"""),"Easy")</f>
        <v>Easy</v>
      </c>
      <c r="F1828" s="23">
        <f>IFERROR(__xludf.DUMMYFUNCTION("""COMPUTED_VALUE"""),579.0)</f>
        <v>579</v>
      </c>
      <c r="G1828" s="23">
        <f>IFERROR(__xludf.DUMMYFUNCTION("""COMPUTED_VALUE"""),30.0)</f>
        <v>30</v>
      </c>
      <c r="H1828" s="23" t="str">
        <f>IFERROR(__xludf.DUMMYFUNCTION("""COMPUTED_VALUE"""),"Algorithms")</f>
        <v>Algorithms</v>
      </c>
      <c r="I1828" s="23">
        <f>IFERROR(__xludf.DUMMYFUNCTION("""COMPUTED_VALUE"""),0.783)</f>
        <v>0.783</v>
      </c>
      <c r="J1828" s="23">
        <f>IFERROR(__xludf.DUMMYFUNCTION("""COMPUTED_VALUE"""),1827.0)</f>
        <v>1827</v>
      </c>
      <c r="K1828" s="23" t="b">
        <f>IFERROR(__xludf.DUMMYFUNCTION("""COMPUTED_VALUE"""),FALSE)</f>
        <v>0</v>
      </c>
      <c r="L1828" s="23" t="str">
        <f>IFERROR(__xludf.DUMMYFUNCTION("""COMPUTED_VALUE"""),"Array;Greedy;")</f>
        <v>Array;Greedy;</v>
      </c>
      <c r="M1828" s="23" t="b">
        <f>IFERROR(__xludf.DUMMYFUNCTION("""COMPUTED_VALUE"""),FALSE)</f>
        <v>0</v>
      </c>
      <c r="N1828" s="23" t="b">
        <f>IFERROR(__xludf.DUMMYFUNCTION("""COMPUTED_VALUE"""),FALSE)</f>
        <v>0</v>
      </c>
      <c r="O1828" s="23">
        <f>IFERROR(__xludf.DUMMYFUNCTION("""COMPUTED_VALUE"""),78.3329252904951)</f>
        <v>78.33292529</v>
      </c>
      <c r="P1828" s="23">
        <f>IFERROR(__xludf.DUMMYFUNCTION("""COMPUTED_VALUE"""),41594.0)</f>
        <v>41594</v>
      </c>
      <c r="Q1828" s="23">
        <f>IFERROR(__xludf.DUMMYFUNCTION("""COMPUTED_VALUE"""),53099.0)</f>
        <v>53099</v>
      </c>
    </row>
    <row r="1829">
      <c r="A1829" s="23">
        <f>IFERROR(__xludf.DUMMYFUNCTION("""COMPUTED_VALUE"""),1939.0)</f>
        <v>1939</v>
      </c>
      <c r="B1829" s="23" t="str">
        <f>IFERROR(__xludf.DUMMYFUNCTION("""COMPUTED_VALUE"""),"Queries on Number of Points Inside a Circle")</f>
        <v>Queries on Number of Points Inside a Circle</v>
      </c>
      <c r="C1829" s="23" t="str">
        <f>IFERROR(__xludf.DUMMYFUNCTION("""COMPUTED_VALUE"""),"queries-on-number-of-points-inside-a-circle")</f>
        <v>queries-on-number-of-points-inside-a-circle</v>
      </c>
      <c r="D1829" s="23" t="b">
        <f>IFERROR(__xludf.DUMMYFUNCTION("""COMPUTED_VALUE"""),FALSE)</f>
        <v>0</v>
      </c>
      <c r="E1829" s="23" t="str">
        <f>IFERROR(__xludf.DUMMYFUNCTION("""COMPUTED_VALUE"""),"Medium")</f>
        <v>Medium</v>
      </c>
      <c r="F1829" s="23">
        <f>IFERROR(__xludf.DUMMYFUNCTION("""COMPUTED_VALUE"""),547.0)</f>
        <v>547</v>
      </c>
      <c r="G1829" s="23">
        <f>IFERROR(__xludf.DUMMYFUNCTION("""COMPUTED_VALUE"""),54.0)</f>
        <v>54</v>
      </c>
      <c r="H1829" s="23" t="str">
        <f>IFERROR(__xludf.DUMMYFUNCTION("""COMPUTED_VALUE"""),"Algorithms")</f>
        <v>Algorithms</v>
      </c>
      <c r="I1829" s="23">
        <f>IFERROR(__xludf.DUMMYFUNCTION("""COMPUTED_VALUE"""),0.864)</f>
        <v>0.864</v>
      </c>
      <c r="J1829" s="23">
        <f>IFERROR(__xludf.DUMMYFUNCTION("""COMPUTED_VALUE"""),1828.0)</f>
        <v>1828</v>
      </c>
      <c r="K1829" s="23" t="b">
        <f>IFERROR(__xludf.DUMMYFUNCTION("""COMPUTED_VALUE"""),FALSE)</f>
        <v>0</v>
      </c>
      <c r="L1829" s="23" t="str">
        <f>IFERROR(__xludf.DUMMYFUNCTION("""COMPUTED_VALUE"""),"Array;Math;Geometry;")</f>
        <v>Array;Math;Geometry;</v>
      </c>
      <c r="M1829" s="23" t="b">
        <f>IFERROR(__xludf.DUMMYFUNCTION("""COMPUTED_VALUE"""),FALSE)</f>
        <v>0</v>
      </c>
      <c r="N1829" s="23" t="b">
        <f>IFERROR(__xludf.DUMMYFUNCTION("""COMPUTED_VALUE"""),FALSE)</f>
        <v>0</v>
      </c>
      <c r="O1829" s="23">
        <f>IFERROR(__xludf.DUMMYFUNCTION("""COMPUTED_VALUE"""),86.4383130035558)</f>
        <v>86.438313</v>
      </c>
      <c r="P1829" s="23">
        <f>IFERROR(__xludf.DUMMYFUNCTION("""COMPUTED_VALUE"""),38408.0)</f>
        <v>38408</v>
      </c>
      <c r="Q1829" s="23">
        <f>IFERROR(__xludf.DUMMYFUNCTION("""COMPUTED_VALUE"""),44434.0)</f>
        <v>44434</v>
      </c>
    </row>
    <row r="1830">
      <c r="A1830" s="23">
        <f>IFERROR(__xludf.DUMMYFUNCTION("""COMPUTED_VALUE"""),1940.0)</f>
        <v>1940</v>
      </c>
      <c r="B1830" s="23" t="str">
        <f>IFERROR(__xludf.DUMMYFUNCTION("""COMPUTED_VALUE"""),"Maximum XOR for Each Query")</f>
        <v>Maximum XOR for Each Query</v>
      </c>
      <c r="C1830" s="23" t="str">
        <f>IFERROR(__xludf.DUMMYFUNCTION("""COMPUTED_VALUE"""),"maximum-xor-for-each-query")</f>
        <v>maximum-xor-for-each-query</v>
      </c>
      <c r="D1830" s="23" t="b">
        <f>IFERROR(__xludf.DUMMYFUNCTION("""COMPUTED_VALUE"""),FALSE)</f>
        <v>0</v>
      </c>
      <c r="E1830" s="23" t="str">
        <f>IFERROR(__xludf.DUMMYFUNCTION("""COMPUTED_VALUE"""),"Medium")</f>
        <v>Medium</v>
      </c>
      <c r="F1830" s="23">
        <f>IFERROR(__xludf.DUMMYFUNCTION("""COMPUTED_VALUE"""),397.0)</f>
        <v>397</v>
      </c>
      <c r="G1830" s="23">
        <f>IFERROR(__xludf.DUMMYFUNCTION("""COMPUTED_VALUE"""),33.0)</f>
        <v>33</v>
      </c>
      <c r="H1830" s="23" t="str">
        <f>IFERROR(__xludf.DUMMYFUNCTION("""COMPUTED_VALUE"""),"Algorithms")</f>
        <v>Algorithms</v>
      </c>
      <c r="I1830" s="23">
        <f>IFERROR(__xludf.DUMMYFUNCTION("""COMPUTED_VALUE"""),0.762)</f>
        <v>0.762</v>
      </c>
      <c r="J1830" s="23">
        <f>IFERROR(__xludf.DUMMYFUNCTION("""COMPUTED_VALUE"""),1829.0)</f>
        <v>1829</v>
      </c>
      <c r="K1830" s="23" t="b">
        <f>IFERROR(__xludf.DUMMYFUNCTION("""COMPUTED_VALUE"""),FALSE)</f>
        <v>0</v>
      </c>
      <c r="L1830" s="23" t="str">
        <f>IFERROR(__xludf.DUMMYFUNCTION("""COMPUTED_VALUE"""),"Array;Bit Manipulation;Prefix Sum;")</f>
        <v>Array;Bit Manipulation;Prefix Sum;</v>
      </c>
      <c r="M1830" s="23" t="b">
        <f>IFERROR(__xludf.DUMMYFUNCTION("""COMPUTED_VALUE"""),FALSE)</f>
        <v>0</v>
      </c>
      <c r="N1830" s="23" t="b">
        <f>IFERROR(__xludf.DUMMYFUNCTION("""COMPUTED_VALUE"""),FALSE)</f>
        <v>0</v>
      </c>
      <c r="O1830" s="23">
        <f>IFERROR(__xludf.DUMMYFUNCTION("""COMPUTED_VALUE"""),76.1522260861047)</f>
        <v>76.15222609</v>
      </c>
      <c r="P1830" s="23">
        <f>IFERROR(__xludf.DUMMYFUNCTION("""COMPUTED_VALUE"""),15548.0)</f>
        <v>15548</v>
      </c>
      <c r="Q1830" s="23">
        <f>IFERROR(__xludf.DUMMYFUNCTION("""COMPUTED_VALUE"""),20417.0)</f>
        <v>20417</v>
      </c>
    </row>
    <row r="1831">
      <c r="A1831" s="23">
        <f>IFERROR(__xludf.DUMMYFUNCTION("""COMPUTED_VALUE"""),1941.0)</f>
        <v>1941</v>
      </c>
      <c r="B1831" s="23" t="str">
        <f>IFERROR(__xludf.DUMMYFUNCTION("""COMPUTED_VALUE"""),"Minimum Number of Operations to Make String Sorted")</f>
        <v>Minimum Number of Operations to Make String Sorted</v>
      </c>
      <c r="C1831" s="23" t="str">
        <f>IFERROR(__xludf.DUMMYFUNCTION("""COMPUTED_VALUE"""),"minimum-number-of-operations-to-make-string-sorted")</f>
        <v>minimum-number-of-operations-to-make-string-sorted</v>
      </c>
      <c r="D1831" s="23" t="b">
        <f>IFERROR(__xludf.DUMMYFUNCTION("""COMPUTED_VALUE"""),FALSE)</f>
        <v>0</v>
      </c>
      <c r="E1831" s="23" t="str">
        <f>IFERROR(__xludf.DUMMYFUNCTION("""COMPUTED_VALUE"""),"Hard")</f>
        <v>Hard</v>
      </c>
      <c r="F1831" s="23">
        <f>IFERROR(__xludf.DUMMYFUNCTION("""COMPUTED_VALUE"""),119.0)</f>
        <v>119</v>
      </c>
      <c r="G1831" s="23">
        <f>IFERROR(__xludf.DUMMYFUNCTION("""COMPUTED_VALUE"""),92.0)</f>
        <v>92</v>
      </c>
      <c r="H1831" s="23" t="str">
        <f>IFERROR(__xludf.DUMMYFUNCTION("""COMPUTED_VALUE"""),"Algorithms")</f>
        <v>Algorithms</v>
      </c>
      <c r="I1831" s="23">
        <f>IFERROR(__xludf.DUMMYFUNCTION("""COMPUTED_VALUE"""),0.478)</f>
        <v>0.478</v>
      </c>
      <c r="J1831" s="23">
        <f>IFERROR(__xludf.DUMMYFUNCTION("""COMPUTED_VALUE"""),1830.0)</f>
        <v>1830</v>
      </c>
      <c r="K1831" s="23" t="b">
        <f>IFERROR(__xludf.DUMMYFUNCTION("""COMPUTED_VALUE"""),FALSE)</f>
        <v>0</v>
      </c>
      <c r="L1831" s="23" t="str">
        <f>IFERROR(__xludf.DUMMYFUNCTION("""COMPUTED_VALUE"""),"Math;String;Combinatorics;")</f>
        <v>Math;String;Combinatorics;</v>
      </c>
      <c r="M1831" s="23" t="b">
        <f>IFERROR(__xludf.DUMMYFUNCTION("""COMPUTED_VALUE"""),FALSE)</f>
        <v>0</v>
      </c>
      <c r="N1831" s="23" t="b">
        <f>IFERROR(__xludf.DUMMYFUNCTION("""COMPUTED_VALUE"""),FALSE)</f>
        <v>0</v>
      </c>
      <c r="O1831" s="23">
        <f>IFERROR(__xludf.DUMMYFUNCTION("""COMPUTED_VALUE"""),47.8061558611656)</f>
        <v>47.80615586</v>
      </c>
      <c r="P1831" s="23">
        <f>IFERROR(__xludf.DUMMYFUNCTION("""COMPUTED_VALUE"""),2190.0)</f>
        <v>2190</v>
      </c>
      <c r="Q1831" s="23">
        <f>IFERROR(__xludf.DUMMYFUNCTION("""COMPUTED_VALUE"""),4581.0)</f>
        <v>4581</v>
      </c>
    </row>
    <row r="1832">
      <c r="A1832" s="23">
        <f>IFERROR(__xludf.DUMMYFUNCTION("""COMPUTED_VALUE"""),1981.0)</f>
        <v>1981</v>
      </c>
      <c r="B1832" s="23" t="str">
        <f>IFERROR(__xludf.DUMMYFUNCTION("""COMPUTED_VALUE"""),"Maximum Transaction Each Day")</f>
        <v>Maximum Transaction Each Day</v>
      </c>
      <c r="C1832" s="23" t="str">
        <f>IFERROR(__xludf.DUMMYFUNCTION("""COMPUTED_VALUE"""),"maximum-transaction-each-day")</f>
        <v>maximum-transaction-each-day</v>
      </c>
      <c r="D1832" s="23" t="b">
        <f>IFERROR(__xludf.DUMMYFUNCTION("""COMPUTED_VALUE"""),TRUE)</f>
        <v>1</v>
      </c>
      <c r="E1832" s="23" t="str">
        <f>IFERROR(__xludf.DUMMYFUNCTION("""COMPUTED_VALUE"""),"Medium")</f>
        <v>Medium</v>
      </c>
      <c r="F1832" s="23">
        <f>IFERROR(__xludf.DUMMYFUNCTION("""COMPUTED_VALUE"""),40.0)</f>
        <v>40</v>
      </c>
      <c r="G1832" s="23">
        <f>IFERROR(__xludf.DUMMYFUNCTION("""COMPUTED_VALUE"""),1.0)</f>
        <v>1</v>
      </c>
      <c r="H1832" s="23" t="str">
        <f>IFERROR(__xludf.DUMMYFUNCTION("""COMPUTED_VALUE"""),"Database")</f>
        <v>Database</v>
      </c>
      <c r="I1832" s="23">
        <f>IFERROR(__xludf.DUMMYFUNCTION("""COMPUTED_VALUE"""),0.827)</f>
        <v>0.827</v>
      </c>
      <c r="J1832" s="23">
        <f>IFERROR(__xludf.DUMMYFUNCTION("""COMPUTED_VALUE"""),1831.0)</f>
        <v>1831</v>
      </c>
      <c r="K1832" s="23" t="b">
        <f>IFERROR(__xludf.DUMMYFUNCTION("""COMPUTED_VALUE"""),TRUE)</f>
        <v>1</v>
      </c>
      <c r="L1832" s="23" t="str">
        <f>IFERROR(__xludf.DUMMYFUNCTION("""COMPUTED_VALUE"""),"Database;")</f>
        <v>Database;</v>
      </c>
      <c r="M1832" s="23" t="b">
        <f>IFERROR(__xludf.DUMMYFUNCTION("""COMPUTED_VALUE"""),FALSE)</f>
        <v>0</v>
      </c>
      <c r="N1832" s="23" t="b">
        <f>IFERROR(__xludf.DUMMYFUNCTION("""COMPUTED_VALUE"""),FALSE)</f>
        <v>0</v>
      </c>
      <c r="O1832" s="23">
        <f>IFERROR(__xludf.DUMMYFUNCTION("""COMPUTED_VALUE"""),82.7008043502888)</f>
        <v>82.70080435</v>
      </c>
      <c r="P1832" s="23">
        <f>IFERROR(__xludf.DUMMYFUNCTION("""COMPUTED_VALUE"""),7300.0)</f>
        <v>7300</v>
      </c>
      <c r="Q1832" s="23">
        <f>IFERROR(__xludf.DUMMYFUNCTION("""COMPUTED_VALUE"""),8827.0)</f>
        <v>8827</v>
      </c>
    </row>
    <row r="1833">
      <c r="A1833" s="23">
        <f>IFERROR(__xludf.DUMMYFUNCTION("""COMPUTED_VALUE"""),1960.0)</f>
        <v>1960</v>
      </c>
      <c r="B1833" s="23" t="str">
        <f>IFERROR(__xludf.DUMMYFUNCTION("""COMPUTED_VALUE"""),"Check if the Sentence Is Pangram")</f>
        <v>Check if the Sentence Is Pangram</v>
      </c>
      <c r="C1833" s="23" t="str">
        <f>IFERROR(__xludf.DUMMYFUNCTION("""COMPUTED_VALUE"""),"check-if-the-sentence-is-pangram")</f>
        <v>check-if-the-sentence-is-pangram</v>
      </c>
      <c r="D1833" s="23" t="b">
        <f>IFERROR(__xludf.DUMMYFUNCTION("""COMPUTED_VALUE"""),FALSE)</f>
        <v>0</v>
      </c>
      <c r="E1833" s="23" t="str">
        <f>IFERROR(__xludf.DUMMYFUNCTION("""COMPUTED_VALUE"""),"Easy")</f>
        <v>Easy</v>
      </c>
      <c r="F1833" s="23">
        <f>IFERROR(__xludf.DUMMYFUNCTION("""COMPUTED_VALUE"""),720.0)</f>
        <v>720</v>
      </c>
      <c r="G1833" s="23">
        <f>IFERROR(__xludf.DUMMYFUNCTION("""COMPUTED_VALUE"""),18.0)</f>
        <v>18</v>
      </c>
      <c r="H1833" s="23" t="str">
        <f>IFERROR(__xludf.DUMMYFUNCTION("""COMPUTED_VALUE"""),"Algorithms")</f>
        <v>Algorithms</v>
      </c>
      <c r="I1833" s="23">
        <f>IFERROR(__xludf.DUMMYFUNCTION("""COMPUTED_VALUE"""),0.814)</f>
        <v>0.814</v>
      </c>
      <c r="J1833" s="23">
        <f>IFERROR(__xludf.DUMMYFUNCTION("""COMPUTED_VALUE"""),1832.0)</f>
        <v>1832</v>
      </c>
      <c r="K1833" s="23" t="b">
        <f>IFERROR(__xludf.DUMMYFUNCTION("""COMPUTED_VALUE"""),FALSE)</f>
        <v>0</v>
      </c>
      <c r="L1833" s="23" t="str">
        <f>IFERROR(__xludf.DUMMYFUNCTION("""COMPUTED_VALUE"""),"Hash Table;String;")</f>
        <v>Hash Table;String;</v>
      </c>
      <c r="M1833" s="23" t="b">
        <f>IFERROR(__xludf.DUMMYFUNCTION("""COMPUTED_VALUE"""),FALSE)</f>
        <v>0</v>
      </c>
      <c r="N1833" s="23" t="b">
        <f>IFERROR(__xludf.DUMMYFUNCTION("""COMPUTED_VALUE"""),FALSE)</f>
        <v>0</v>
      </c>
      <c r="O1833" s="23">
        <f>IFERROR(__xludf.DUMMYFUNCTION("""COMPUTED_VALUE"""),81.4259881167657)</f>
        <v>81.42598812</v>
      </c>
      <c r="P1833" s="23">
        <f>IFERROR(__xludf.DUMMYFUNCTION("""COMPUTED_VALUE"""),81951.0)</f>
        <v>81951</v>
      </c>
      <c r="Q1833" s="23">
        <f>IFERROR(__xludf.DUMMYFUNCTION("""COMPUTED_VALUE"""),100645.0)</f>
        <v>100645</v>
      </c>
    </row>
    <row r="1834">
      <c r="A1834" s="23">
        <f>IFERROR(__xludf.DUMMYFUNCTION("""COMPUTED_VALUE"""),1961.0)</f>
        <v>1961</v>
      </c>
      <c r="B1834" s="23" t="str">
        <f>IFERROR(__xludf.DUMMYFUNCTION("""COMPUTED_VALUE"""),"Maximum Ice Cream Bars")</f>
        <v>Maximum Ice Cream Bars</v>
      </c>
      <c r="C1834" s="23" t="str">
        <f>IFERROR(__xludf.DUMMYFUNCTION("""COMPUTED_VALUE"""),"maximum-ice-cream-bars")</f>
        <v>maximum-ice-cream-bars</v>
      </c>
      <c r="D1834" s="23" t="b">
        <f>IFERROR(__xludf.DUMMYFUNCTION("""COMPUTED_VALUE"""),FALSE)</f>
        <v>0</v>
      </c>
      <c r="E1834" s="23" t="str">
        <f>IFERROR(__xludf.DUMMYFUNCTION("""COMPUTED_VALUE"""),"Medium")</f>
        <v>Medium</v>
      </c>
      <c r="F1834" s="23">
        <f>IFERROR(__xludf.DUMMYFUNCTION("""COMPUTED_VALUE"""),325.0)</f>
        <v>325</v>
      </c>
      <c r="G1834" s="23">
        <f>IFERROR(__xludf.DUMMYFUNCTION("""COMPUTED_VALUE"""),138.0)</f>
        <v>138</v>
      </c>
      <c r="H1834" s="23" t="str">
        <f>IFERROR(__xludf.DUMMYFUNCTION("""COMPUTED_VALUE"""),"Algorithms")</f>
        <v>Algorithms</v>
      </c>
      <c r="I1834" s="23">
        <f>IFERROR(__xludf.DUMMYFUNCTION("""COMPUTED_VALUE"""),0.648)</f>
        <v>0.648</v>
      </c>
      <c r="J1834" s="23">
        <f>IFERROR(__xludf.DUMMYFUNCTION("""COMPUTED_VALUE"""),1833.0)</f>
        <v>1833</v>
      </c>
      <c r="K1834" s="23" t="b">
        <f>IFERROR(__xludf.DUMMYFUNCTION("""COMPUTED_VALUE"""),FALSE)</f>
        <v>0</v>
      </c>
      <c r="L1834" s="23" t="str">
        <f>IFERROR(__xludf.DUMMYFUNCTION("""COMPUTED_VALUE"""),"Array;Greedy;Sorting;")</f>
        <v>Array;Greedy;Sorting;</v>
      </c>
      <c r="M1834" s="23" t="b">
        <f>IFERROR(__xludf.DUMMYFUNCTION("""COMPUTED_VALUE"""),FALSE)</f>
        <v>0</v>
      </c>
      <c r="N1834" s="23" t="b">
        <f>IFERROR(__xludf.DUMMYFUNCTION("""COMPUTED_VALUE"""),FALSE)</f>
        <v>0</v>
      </c>
      <c r="O1834" s="23">
        <f>IFERROR(__xludf.DUMMYFUNCTION("""COMPUTED_VALUE"""),64.7865602895213)</f>
        <v>64.78656029</v>
      </c>
      <c r="P1834" s="23">
        <f>IFERROR(__xludf.DUMMYFUNCTION("""COMPUTED_VALUE"""),31507.0)</f>
        <v>31507</v>
      </c>
      <c r="Q1834" s="23">
        <f>IFERROR(__xludf.DUMMYFUNCTION("""COMPUTED_VALUE"""),48632.0)</f>
        <v>48632</v>
      </c>
    </row>
    <row r="1835">
      <c r="A1835" s="23">
        <f>IFERROR(__xludf.DUMMYFUNCTION("""COMPUTED_VALUE"""),1962.0)</f>
        <v>1962</v>
      </c>
      <c r="B1835" s="23" t="str">
        <f>IFERROR(__xludf.DUMMYFUNCTION("""COMPUTED_VALUE"""),"Single-Threaded CPU")</f>
        <v>Single-Threaded CPU</v>
      </c>
      <c r="C1835" s="23" t="str">
        <f>IFERROR(__xludf.DUMMYFUNCTION("""COMPUTED_VALUE"""),"single-threaded-cpu")</f>
        <v>single-threaded-cpu</v>
      </c>
      <c r="D1835" s="23" t="b">
        <f>IFERROR(__xludf.DUMMYFUNCTION("""COMPUTED_VALUE"""),FALSE)</f>
        <v>0</v>
      </c>
      <c r="E1835" s="23" t="str">
        <f>IFERROR(__xludf.DUMMYFUNCTION("""COMPUTED_VALUE"""),"Medium")</f>
        <v>Medium</v>
      </c>
      <c r="F1835" s="23">
        <f>IFERROR(__xludf.DUMMYFUNCTION("""COMPUTED_VALUE"""),880.0)</f>
        <v>880</v>
      </c>
      <c r="G1835" s="23">
        <f>IFERROR(__xludf.DUMMYFUNCTION("""COMPUTED_VALUE"""),110.0)</f>
        <v>110</v>
      </c>
      <c r="H1835" s="23" t="str">
        <f>IFERROR(__xludf.DUMMYFUNCTION("""COMPUTED_VALUE"""),"Algorithms")</f>
        <v>Algorithms</v>
      </c>
      <c r="I1835" s="23">
        <f>IFERROR(__xludf.DUMMYFUNCTION("""COMPUTED_VALUE"""),0.41)</f>
        <v>0.41</v>
      </c>
      <c r="J1835" s="23">
        <f>IFERROR(__xludf.DUMMYFUNCTION("""COMPUTED_VALUE"""),1834.0)</f>
        <v>1834</v>
      </c>
      <c r="K1835" s="23" t="b">
        <f>IFERROR(__xludf.DUMMYFUNCTION("""COMPUTED_VALUE"""),FALSE)</f>
        <v>0</v>
      </c>
      <c r="L1835" s="23" t="str">
        <f>IFERROR(__xludf.DUMMYFUNCTION("""COMPUTED_VALUE"""),"Array;Sorting;Heap (Priority Queue);")</f>
        <v>Array;Sorting;Heap (Priority Queue);</v>
      </c>
      <c r="M1835" s="23" t="b">
        <f>IFERROR(__xludf.DUMMYFUNCTION("""COMPUTED_VALUE"""),FALSE)</f>
        <v>0</v>
      </c>
      <c r="N1835" s="23" t="b">
        <f>IFERROR(__xludf.DUMMYFUNCTION("""COMPUTED_VALUE"""),FALSE)</f>
        <v>0</v>
      </c>
      <c r="O1835" s="23">
        <f>IFERROR(__xludf.DUMMYFUNCTION("""COMPUTED_VALUE"""),41.0129709697344)</f>
        <v>41.01297097</v>
      </c>
      <c r="P1835" s="23">
        <f>IFERROR(__xludf.DUMMYFUNCTION("""COMPUTED_VALUE"""),34528.0)</f>
        <v>34528</v>
      </c>
      <c r="Q1835" s="23">
        <f>IFERROR(__xludf.DUMMYFUNCTION("""COMPUTED_VALUE"""),84188.0)</f>
        <v>84188</v>
      </c>
    </row>
    <row r="1836">
      <c r="A1836" s="23">
        <f>IFERROR(__xludf.DUMMYFUNCTION("""COMPUTED_VALUE"""),1963.0)</f>
        <v>1963</v>
      </c>
      <c r="B1836" s="23" t="str">
        <f>IFERROR(__xludf.DUMMYFUNCTION("""COMPUTED_VALUE"""),"Find XOR Sum of All Pairs Bitwise AND")</f>
        <v>Find XOR Sum of All Pairs Bitwise AND</v>
      </c>
      <c r="C1836" s="23" t="str">
        <f>IFERROR(__xludf.DUMMYFUNCTION("""COMPUTED_VALUE"""),"find-xor-sum-of-all-pairs-bitwise-and")</f>
        <v>find-xor-sum-of-all-pairs-bitwise-and</v>
      </c>
      <c r="D1836" s="23" t="b">
        <f>IFERROR(__xludf.DUMMYFUNCTION("""COMPUTED_VALUE"""),FALSE)</f>
        <v>0</v>
      </c>
      <c r="E1836" s="23" t="str">
        <f>IFERROR(__xludf.DUMMYFUNCTION("""COMPUTED_VALUE"""),"Hard")</f>
        <v>Hard</v>
      </c>
      <c r="F1836" s="23">
        <f>IFERROR(__xludf.DUMMYFUNCTION("""COMPUTED_VALUE"""),308.0)</f>
        <v>308</v>
      </c>
      <c r="G1836" s="23">
        <f>IFERROR(__xludf.DUMMYFUNCTION("""COMPUTED_VALUE"""),32.0)</f>
        <v>32</v>
      </c>
      <c r="H1836" s="23" t="str">
        <f>IFERROR(__xludf.DUMMYFUNCTION("""COMPUTED_VALUE"""),"Algorithms")</f>
        <v>Algorithms</v>
      </c>
      <c r="I1836" s="23">
        <f>IFERROR(__xludf.DUMMYFUNCTION("""COMPUTED_VALUE"""),0.587)</f>
        <v>0.587</v>
      </c>
      <c r="J1836" s="23">
        <f>IFERROR(__xludf.DUMMYFUNCTION("""COMPUTED_VALUE"""),1835.0)</f>
        <v>1835</v>
      </c>
      <c r="K1836" s="23" t="b">
        <f>IFERROR(__xludf.DUMMYFUNCTION("""COMPUTED_VALUE"""),FALSE)</f>
        <v>0</v>
      </c>
      <c r="L1836" s="23" t="str">
        <f>IFERROR(__xludf.DUMMYFUNCTION("""COMPUTED_VALUE"""),"Array;Math;Bit Manipulation;")</f>
        <v>Array;Math;Bit Manipulation;</v>
      </c>
      <c r="M1836" s="23" t="b">
        <f>IFERROR(__xludf.DUMMYFUNCTION("""COMPUTED_VALUE"""),FALSE)</f>
        <v>0</v>
      </c>
      <c r="N1836" s="23" t="b">
        <f>IFERROR(__xludf.DUMMYFUNCTION("""COMPUTED_VALUE"""),FALSE)</f>
        <v>0</v>
      </c>
      <c r="O1836" s="23">
        <f>IFERROR(__xludf.DUMMYFUNCTION("""COMPUTED_VALUE"""),58.7384945507933)</f>
        <v>58.73849455</v>
      </c>
      <c r="P1836" s="23">
        <f>IFERROR(__xludf.DUMMYFUNCTION("""COMPUTED_VALUE"""),10402.0)</f>
        <v>10402</v>
      </c>
      <c r="Q1836" s="23">
        <f>IFERROR(__xludf.DUMMYFUNCTION("""COMPUTED_VALUE"""),17709.0)</f>
        <v>17709</v>
      </c>
    </row>
    <row r="1837">
      <c r="A1837" s="23">
        <f>IFERROR(__xludf.DUMMYFUNCTION("""COMPUTED_VALUE"""),1982.0)</f>
        <v>1982</v>
      </c>
      <c r="B1837" s="23" t="str">
        <f>IFERROR(__xludf.DUMMYFUNCTION("""COMPUTED_VALUE"""),"Remove Duplicates From an Unsorted Linked List")</f>
        <v>Remove Duplicates From an Unsorted Linked List</v>
      </c>
      <c r="C1837" s="23" t="str">
        <f>IFERROR(__xludf.DUMMYFUNCTION("""COMPUTED_VALUE"""),"remove-duplicates-from-an-unsorted-linked-list")</f>
        <v>remove-duplicates-from-an-unsorted-linked-list</v>
      </c>
      <c r="D1837" s="23" t="b">
        <f>IFERROR(__xludf.DUMMYFUNCTION("""COMPUTED_VALUE"""),TRUE)</f>
        <v>1</v>
      </c>
      <c r="E1837" s="23" t="str">
        <f>IFERROR(__xludf.DUMMYFUNCTION("""COMPUTED_VALUE"""),"Medium")</f>
        <v>Medium</v>
      </c>
      <c r="F1837" s="23">
        <f>IFERROR(__xludf.DUMMYFUNCTION("""COMPUTED_VALUE"""),203.0)</f>
        <v>203</v>
      </c>
      <c r="G1837" s="23">
        <f>IFERROR(__xludf.DUMMYFUNCTION("""COMPUTED_VALUE"""),5.0)</f>
        <v>5</v>
      </c>
      <c r="H1837" s="23" t="str">
        <f>IFERROR(__xludf.DUMMYFUNCTION("""COMPUTED_VALUE"""),"Algorithms")</f>
        <v>Algorithms</v>
      </c>
      <c r="I1837" s="23">
        <f>IFERROR(__xludf.DUMMYFUNCTION("""COMPUTED_VALUE"""),0.698)</f>
        <v>0.698</v>
      </c>
      <c r="J1837" s="23">
        <f>IFERROR(__xludf.DUMMYFUNCTION("""COMPUTED_VALUE"""),1836.0)</f>
        <v>1836</v>
      </c>
      <c r="K1837" s="23" t="b">
        <f>IFERROR(__xludf.DUMMYFUNCTION("""COMPUTED_VALUE"""),TRUE)</f>
        <v>1</v>
      </c>
      <c r="L1837" s="23" t="str">
        <f>IFERROR(__xludf.DUMMYFUNCTION("""COMPUTED_VALUE"""),"Hash Table;Linked List;")</f>
        <v>Hash Table;Linked List;</v>
      </c>
      <c r="M1837" s="23" t="b">
        <f>IFERROR(__xludf.DUMMYFUNCTION("""COMPUTED_VALUE"""),FALSE)</f>
        <v>0</v>
      </c>
      <c r="N1837" s="23" t="b">
        <f>IFERROR(__xludf.DUMMYFUNCTION("""COMPUTED_VALUE"""),FALSE)</f>
        <v>0</v>
      </c>
      <c r="O1837" s="23">
        <f>IFERROR(__xludf.DUMMYFUNCTION("""COMPUTED_VALUE"""),69.8290741050052)</f>
        <v>69.82907411</v>
      </c>
      <c r="P1837" s="23">
        <f>IFERROR(__xludf.DUMMYFUNCTION("""COMPUTED_VALUE"""),12542.0)</f>
        <v>12542</v>
      </c>
      <c r="Q1837" s="23">
        <f>IFERROR(__xludf.DUMMYFUNCTION("""COMPUTED_VALUE"""),17961.0)</f>
        <v>17961</v>
      </c>
    </row>
    <row r="1838">
      <c r="A1838" s="23">
        <f>IFERROR(__xludf.DUMMYFUNCTION("""COMPUTED_VALUE"""),1965.0)</f>
        <v>1965</v>
      </c>
      <c r="B1838" s="23" t="str">
        <f>IFERROR(__xludf.DUMMYFUNCTION("""COMPUTED_VALUE"""),"Sum of Digits in Base K")</f>
        <v>Sum of Digits in Base K</v>
      </c>
      <c r="C1838" s="23" t="str">
        <f>IFERROR(__xludf.DUMMYFUNCTION("""COMPUTED_VALUE"""),"sum-of-digits-in-base-k")</f>
        <v>sum-of-digits-in-base-k</v>
      </c>
      <c r="D1838" s="23" t="b">
        <f>IFERROR(__xludf.DUMMYFUNCTION("""COMPUTED_VALUE"""),FALSE)</f>
        <v>0</v>
      </c>
      <c r="E1838" s="23" t="str">
        <f>IFERROR(__xludf.DUMMYFUNCTION("""COMPUTED_VALUE"""),"Easy")</f>
        <v>Easy</v>
      </c>
      <c r="F1838" s="23">
        <f>IFERROR(__xludf.DUMMYFUNCTION("""COMPUTED_VALUE"""),285.0)</f>
        <v>285</v>
      </c>
      <c r="G1838" s="23">
        <f>IFERROR(__xludf.DUMMYFUNCTION("""COMPUTED_VALUE"""),24.0)</f>
        <v>24</v>
      </c>
      <c r="H1838" s="23" t="str">
        <f>IFERROR(__xludf.DUMMYFUNCTION("""COMPUTED_VALUE"""),"Algorithms")</f>
        <v>Algorithms</v>
      </c>
      <c r="I1838" s="23">
        <f>IFERROR(__xludf.DUMMYFUNCTION("""COMPUTED_VALUE"""),0.764)</f>
        <v>0.764</v>
      </c>
      <c r="J1838" s="23">
        <f>IFERROR(__xludf.DUMMYFUNCTION("""COMPUTED_VALUE"""),1837.0)</f>
        <v>1837</v>
      </c>
      <c r="K1838" s="23" t="b">
        <f>IFERROR(__xludf.DUMMYFUNCTION("""COMPUTED_VALUE"""),FALSE)</f>
        <v>0</v>
      </c>
      <c r="L1838" s="23" t="str">
        <f>IFERROR(__xludf.DUMMYFUNCTION("""COMPUTED_VALUE"""),"Math;")</f>
        <v>Math;</v>
      </c>
      <c r="M1838" s="23" t="b">
        <f>IFERROR(__xludf.DUMMYFUNCTION("""COMPUTED_VALUE"""),FALSE)</f>
        <v>0</v>
      </c>
      <c r="N1838" s="23" t="b">
        <f>IFERROR(__xludf.DUMMYFUNCTION("""COMPUTED_VALUE"""),FALSE)</f>
        <v>0</v>
      </c>
      <c r="O1838" s="23">
        <f>IFERROR(__xludf.DUMMYFUNCTION("""COMPUTED_VALUE"""),76.4029975020815)</f>
        <v>76.4029975</v>
      </c>
      <c r="P1838" s="23">
        <f>IFERROR(__xludf.DUMMYFUNCTION("""COMPUTED_VALUE"""),27528.0)</f>
        <v>27528</v>
      </c>
      <c r="Q1838" s="23">
        <f>IFERROR(__xludf.DUMMYFUNCTION("""COMPUTED_VALUE"""),36030.0)</f>
        <v>36030</v>
      </c>
    </row>
    <row r="1839">
      <c r="A1839" s="23">
        <f>IFERROR(__xludf.DUMMYFUNCTION("""COMPUTED_VALUE"""),1966.0)</f>
        <v>1966</v>
      </c>
      <c r="B1839" s="23" t="str">
        <f>IFERROR(__xludf.DUMMYFUNCTION("""COMPUTED_VALUE"""),"Frequency of the Most Frequent Element")</f>
        <v>Frequency of the Most Frequent Element</v>
      </c>
      <c r="C1839" s="23" t="str">
        <f>IFERROR(__xludf.DUMMYFUNCTION("""COMPUTED_VALUE"""),"frequency-of-the-most-frequent-element")</f>
        <v>frequency-of-the-most-frequent-element</v>
      </c>
      <c r="D1839" s="23" t="b">
        <f>IFERROR(__xludf.DUMMYFUNCTION("""COMPUTED_VALUE"""),FALSE)</f>
        <v>0</v>
      </c>
      <c r="E1839" s="23" t="str">
        <f>IFERROR(__xludf.DUMMYFUNCTION("""COMPUTED_VALUE"""),"Medium")</f>
        <v>Medium</v>
      </c>
      <c r="F1839" s="23">
        <f>IFERROR(__xludf.DUMMYFUNCTION("""COMPUTED_VALUE"""),1197.0)</f>
        <v>1197</v>
      </c>
      <c r="G1839" s="23">
        <f>IFERROR(__xludf.DUMMYFUNCTION("""COMPUTED_VALUE"""),27.0)</f>
        <v>27</v>
      </c>
      <c r="H1839" s="23" t="str">
        <f>IFERROR(__xludf.DUMMYFUNCTION("""COMPUTED_VALUE"""),"Algorithms")</f>
        <v>Algorithms</v>
      </c>
      <c r="I1839" s="23">
        <f>IFERROR(__xludf.DUMMYFUNCTION("""COMPUTED_VALUE"""),0.369)</f>
        <v>0.369</v>
      </c>
      <c r="J1839" s="23">
        <f>IFERROR(__xludf.DUMMYFUNCTION("""COMPUTED_VALUE"""),1838.0)</f>
        <v>1838</v>
      </c>
      <c r="K1839" s="23" t="b">
        <f>IFERROR(__xludf.DUMMYFUNCTION("""COMPUTED_VALUE"""),FALSE)</f>
        <v>0</v>
      </c>
      <c r="L1839" s="23" t="str">
        <f>IFERROR(__xludf.DUMMYFUNCTION("""COMPUTED_VALUE"""),"Array;Binary Search;Greedy;Sliding Window;Sorting;Prefix Sum;")</f>
        <v>Array;Binary Search;Greedy;Sliding Window;Sorting;Prefix Sum;</v>
      </c>
      <c r="M1839" s="23" t="b">
        <f>IFERROR(__xludf.DUMMYFUNCTION("""COMPUTED_VALUE"""),FALSE)</f>
        <v>0</v>
      </c>
      <c r="N1839" s="23" t="b">
        <f>IFERROR(__xludf.DUMMYFUNCTION("""COMPUTED_VALUE"""),FALSE)</f>
        <v>0</v>
      </c>
      <c r="O1839" s="23">
        <f>IFERROR(__xludf.DUMMYFUNCTION("""COMPUTED_VALUE"""),36.8946261762779)</f>
        <v>36.89462618</v>
      </c>
      <c r="P1839" s="23">
        <f>IFERROR(__xludf.DUMMYFUNCTION("""COMPUTED_VALUE"""),21407.0)</f>
        <v>21407</v>
      </c>
      <c r="Q1839" s="23">
        <f>IFERROR(__xludf.DUMMYFUNCTION("""COMPUTED_VALUE"""),58021.0)</f>
        <v>58021</v>
      </c>
    </row>
    <row r="1840">
      <c r="A1840" s="23">
        <f>IFERROR(__xludf.DUMMYFUNCTION("""COMPUTED_VALUE"""),1967.0)</f>
        <v>1967</v>
      </c>
      <c r="B1840" s="23" t="str">
        <f>IFERROR(__xludf.DUMMYFUNCTION("""COMPUTED_VALUE"""),"Longest Substring Of All Vowels in Order")</f>
        <v>Longest Substring Of All Vowels in Order</v>
      </c>
      <c r="C1840" s="23" t="str">
        <f>IFERROR(__xludf.DUMMYFUNCTION("""COMPUTED_VALUE"""),"longest-substring-of-all-vowels-in-order")</f>
        <v>longest-substring-of-all-vowels-in-order</v>
      </c>
      <c r="D1840" s="23" t="b">
        <f>IFERROR(__xludf.DUMMYFUNCTION("""COMPUTED_VALUE"""),FALSE)</f>
        <v>0</v>
      </c>
      <c r="E1840" s="23" t="str">
        <f>IFERROR(__xludf.DUMMYFUNCTION("""COMPUTED_VALUE"""),"Medium")</f>
        <v>Medium</v>
      </c>
      <c r="F1840" s="23">
        <f>IFERROR(__xludf.DUMMYFUNCTION("""COMPUTED_VALUE"""),396.0)</f>
        <v>396</v>
      </c>
      <c r="G1840" s="23">
        <f>IFERROR(__xludf.DUMMYFUNCTION("""COMPUTED_VALUE"""),13.0)</f>
        <v>13</v>
      </c>
      <c r="H1840" s="23" t="str">
        <f>IFERROR(__xludf.DUMMYFUNCTION("""COMPUTED_VALUE"""),"Algorithms")</f>
        <v>Algorithms</v>
      </c>
      <c r="I1840" s="23">
        <f>IFERROR(__xludf.DUMMYFUNCTION("""COMPUTED_VALUE"""),0.479)</f>
        <v>0.479</v>
      </c>
      <c r="J1840" s="23">
        <f>IFERROR(__xludf.DUMMYFUNCTION("""COMPUTED_VALUE"""),1839.0)</f>
        <v>1839</v>
      </c>
      <c r="K1840" s="23" t="b">
        <f>IFERROR(__xludf.DUMMYFUNCTION("""COMPUTED_VALUE"""),FALSE)</f>
        <v>0</v>
      </c>
      <c r="L1840" s="23" t="str">
        <f>IFERROR(__xludf.DUMMYFUNCTION("""COMPUTED_VALUE"""),"String;Sliding Window;")</f>
        <v>String;Sliding Window;</v>
      </c>
      <c r="M1840" s="23" t="b">
        <f>IFERROR(__xludf.DUMMYFUNCTION("""COMPUTED_VALUE"""),FALSE)</f>
        <v>0</v>
      </c>
      <c r="N1840" s="23" t="b">
        <f>IFERROR(__xludf.DUMMYFUNCTION("""COMPUTED_VALUE"""),FALSE)</f>
        <v>0</v>
      </c>
      <c r="O1840" s="23">
        <f>IFERROR(__xludf.DUMMYFUNCTION("""COMPUTED_VALUE"""),47.9416335238496)</f>
        <v>47.94163352</v>
      </c>
      <c r="P1840" s="23">
        <f>IFERROR(__xludf.DUMMYFUNCTION("""COMPUTED_VALUE"""),18202.0)</f>
        <v>18202</v>
      </c>
      <c r="Q1840" s="23">
        <f>IFERROR(__xludf.DUMMYFUNCTION("""COMPUTED_VALUE"""),37967.0)</f>
        <v>37967</v>
      </c>
    </row>
    <row r="1841">
      <c r="A1841" s="23">
        <f>IFERROR(__xludf.DUMMYFUNCTION("""COMPUTED_VALUE"""),1968.0)</f>
        <v>1968</v>
      </c>
      <c r="B1841" s="23" t="str">
        <f>IFERROR(__xludf.DUMMYFUNCTION("""COMPUTED_VALUE"""),"Maximum Building Height")</f>
        <v>Maximum Building Height</v>
      </c>
      <c r="C1841" s="23" t="str">
        <f>IFERROR(__xludf.DUMMYFUNCTION("""COMPUTED_VALUE"""),"maximum-building-height")</f>
        <v>maximum-building-height</v>
      </c>
      <c r="D1841" s="23" t="b">
        <f>IFERROR(__xludf.DUMMYFUNCTION("""COMPUTED_VALUE"""),FALSE)</f>
        <v>0</v>
      </c>
      <c r="E1841" s="23" t="str">
        <f>IFERROR(__xludf.DUMMYFUNCTION("""COMPUTED_VALUE"""),"Hard")</f>
        <v>Hard</v>
      </c>
      <c r="F1841" s="23">
        <f>IFERROR(__xludf.DUMMYFUNCTION("""COMPUTED_VALUE"""),251.0)</f>
        <v>251</v>
      </c>
      <c r="G1841" s="23">
        <f>IFERROR(__xludf.DUMMYFUNCTION("""COMPUTED_VALUE"""),9.0)</f>
        <v>9</v>
      </c>
      <c r="H1841" s="23" t="str">
        <f>IFERROR(__xludf.DUMMYFUNCTION("""COMPUTED_VALUE"""),"Algorithms")</f>
        <v>Algorithms</v>
      </c>
      <c r="I1841" s="23">
        <f>IFERROR(__xludf.DUMMYFUNCTION("""COMPUTED_VALUE"""),0.347)</f>
        <v>0.347</v>
      </c>
      <c r="J1841" s="23">
        <f>IFERROR(__xludf.DUMMYFUNCTION("""COMPUTED_VALUE"""),1840.0)</f>
        <v>1840</v>
      </c>
      <c r="K1841" s="23" t="b">
        <f>IFERROR(__xludf.DUMMYFUNCTION("""COMPUTED_VALUE"""),FALSE)</f>
        <v>0</v>
      </c>
      <c r="L1841" s="23" t="str">
        <f>IFERROR(__xludf.DUMMYFUNCTION("""COMPUTED_VALUE"""),"Array;Math;")</f>
        <v>Array;Math;</v>
      </c>
      <c r="M1841" s="23" t="b">
        <f>IFERROR(__xludf.DUMMYFUNCTION("""COMPUTED_VALUE"""),FALSE)</f>
        <v>0</v>
      </c>
      <c r="N1841" s="23" t="b">
        <f>IFERROR(__xludf.DUMMYFUNCTION("""COMPUTED_VALUE"""),FALSE)</f>
        <v>0</v>
      </c>
      <c r="O1841" s="23">
        <f>IFERROR(__xludf.DUMMYFUNCTION("""COMPUTED_VALUE"""),34.6911210634819)</f>
        <v>34.69112106</v>
      </c>
      <c r="P1841" s="23">
        <f>IFERROR(__xludf.DUMMYFUNCTION("""COMPUTED_VALUE"""),4880.0)</f>
        <v>4880</v>
      </c>
      <c r="Q1841" s="23">
        <f>IFERROR(__xludf.DUMMYFUNCTION("""COMPUTED_VALUE"""),14067.0)</f>
        <v>14067</v>
      </c>
    </row>
    <row r="1842">
      <c r="A1842" s="23">
        <f>IFERROR(__xludf.DUMMYFUNCTION("""COMPUTED_VALUE"""),1991.0)</f>
        <v>1991</v>
      </c>
      <c r="B1842" s="23" t="str">
        <f>IFERROR(__xludf.DUMMYFUNCTION("""COMPUTED_VALUE"""),"League Statistics")</f>
        <v>League Statistics</v>
      </c>
      <c r="C1842" s="23" t="str">
        <f>IFERROR(__xludf.DUMMYFUNCTION("""COMPUTED_VALUE"""),"league-statistics")</f>
        <v>league-statistics</v>
      </c>
      <c r="D1842" s="23" t="b">
        <f>IFERROR(__xludf.DUMMYFUNCTION("""COMPUTED_VALUE"""),TRUE)</f>
        <v>1</v>
      </c>
      <c r="E1842" s="23" t="str">
        <f>IFERROR(__xludf.DUMMYFUNCTION("""COMPUTED_VALUE"""),"Medium")</f>
        <v>Medium</v>
      </c>
      <c r="F1842" s="23">
        <f>IFERROR(__xludf.DUMMYFUNCTION("""COMPUTED_VALUE"""),52.0)</f>
        <v>52</v>
      </c>
      <c r="G1842" s="23">
        <f>IFERROR(__xludf.DUMMYFUNCTION("""COMPUTED_VALUE"""),44.0)</f>
        <v>44</v>
      </c>
      <c r="H1842" s="23" t="str">
        <f>IFERROR(__xludf.DUMMYFUNCTION("""COMPUTED_VALUE"""),"Database")</f>
        <v>Database</v>
      </c>
      <c r="I1842" s="23">
        <f>IFERROR(__xludf.DUMMYFUNCTION("""COMPUTED_VALUE"""),0.576)</f>
        <v>0.576</v>
      </c>
      <c r="J1842" s="23">
        <f>IFERROR(__xludf.DUMMYFUNCTION("""COMPUTED_VALUE"""),1841.0)</f>
        <v>1841</v>
      </c>
      <c r="K1842" s="23" t="b">
        <f>IFERROR(__xludf.DUMMYFUNCTION("""COMPUTED_VALUE"""),TRUE)</f>
        <v>1</v>
      </c>
      <c r="L1842" s="23" t="str">
        <f>IFERROR(__xludf.DUMMYFUNCTION("""COMPUTED_VALUE"""),"Database;")</f>
        <v>Database;</v>
      </c>
      <c r="M1842" s="23" t="b">
        <f>IFERROR(__xludf.DUMMYFUNCTION("""COMPUTED_VALUE"""),FALSE)</f>
        <v>0</v>
      </c>
      <c r="N1842" s="23" t="b">
        <f>IFERROR(__xludf.DUMMYFUNCTION("""COMPUTED_VALUE"""),FALSE)</f>
        <v>0</v>
      </c>
      <c r="O1842" s="23">
        <f>IFERROR(__xludf.DUMMYFUNCTION("""COMPUTED_VALUE"""),57.6386913229018)</f>
        <v>57.63869132</v>
      </c>
      <c r="P1842" s="23">
        <f>IFERROR(__xludf.DUMMYFUNCTION("""COMPUTED_VALUE"""),6078.0)</f>
        <v>6078</v>
      </c>
      <c r="Q1842" s="23">
        <f>IFERROR(__xludf.DUMMYFUNCTION("""COMPUTED_VALUE"""),10545.0)</f>
        <v>10545</v>
      </c>
    </row>
    <row r="1843">
      <c r="A1843" s="23">
        <f>IFERROR(__xludf.DUMMYFUNCTION("""COMPUTED_VALUE"""),1997.0)</f>
        <v>1997</v>
      </c>
      <c r="B1843" s="23" t="str">
        <f>IFERROR(__xludf.DUMMYFUNCTION("""COMPUTED_VALUE"""),"Next Palindrome Using Same Digits")</f>
        <v>Next Palindrome Using Same Digits</v>
      </c>
      <c r="C1843" s="23" t="str">
        <f>IFERROR(__xludf.DUMMYFUNCTION("""COMPUTED_VALUE"""),"next-palindrome-using-same-digits")</f>
        <v>next-palindrome-using-same-digits</v>
      </c>
      <c r="D1843" s="23" t="b">
        <f>IFERROR(__xludf.DUMMYFUNCTION("""COMPUTED_VALUE"""),TRUE)</f>
        <v>1</v>
      </c>
      <c r="E1843" s="23" t="str">
        <f>IFERROR(__xludf.DUMMYFUNCTION("""COMPUTED_VALUE"""),"Hard")</f>
        <v>Hard</v>
      </c>
      <c r="F1843" s="23">
        <f>IFERROR(__xludf.DUMMYFUNCTION("""COMPUTED_VALUE"""),48.0)</f>
        <v>48</v>
      </c>
      <c r="G1843" s="23">
        <f>IFERROR(__xludf.DUMMYFUNCTION("""COMPUTED_VALUE"""),8.0)</f>
        <v>8</v>
      </c>
      <c r="H1843" s="23" t="str">
        <f>IFERROR(__xludf.DUMMYFUNCTION("""COMPUTED_VALUE"""),"Algorithms")</f>
        <v>Algorithms</v>
      </c>
      <c r="I1843" s="23">
        <f>IFERROR(__xludf.DUMMYFUNCTION("""COMPUTED_VALUE"""),0.55)</f>
        <v>0.55</v>
      </c>
      <c r="J1843" s="23">
        <f>IFERROR(__xludf.DUMMYFUNCTION("""COMPUTED_VALUE"""),1842.0)</f>
        <v>1842</v>
      </c>
      <c r="K1843" s="23" t="b">
        <f>IFERROR(__xludf.DUMMYFUNCTION("""COMPUTED_VALUE"""),TRUE)</f>
        <v>1</v>
      </c>
      <c r="L1843" s="23" t="str">
        <f>IFERROR(__xludf.DUMMYFUNCTION("""COMPUTED_VALUE"""),"Two Pointers;String;")</f>
        <v>Two Pointers;String;</v>
      </c>
      <c r="M1843" s="23" t="b">
        <f>IFERROR(__xludf.DUMMYFUNCTION("""COMPUTED_VALUE"""),FALSE)</f>
        <v>0</v>
      </c>
      <c r="N1843" s="23" t="b">
        <f>IFERROR(__xludf.DUMMYFUNCTION("""COMPUTED_VALUE"""),FALSE)</f>
        <v>0</v>
      </c>
      <c r="O1843" s="23">
        <f>IFERROR(__xludf.DUMMYFUNCTION("""COMPUTED_VALUE"""),55.0)</f>
        <v>55</v>
      </c>
      <c r="P1843" s="23">
        <f>IFERROR(__xludf.DUMMYFUNCTION("""COMPUTED_VALUE"""),1793.0)</f>
        <v>1793</v>
      </c>
      <c r="Q1843" s="23">
        <f>IFERROR(__xludf.DUMMYFUNCTION("""COMPUTED_VALUE"""),3260.0)</f>
        <v>3260</v>
      </c>
    </row>
    <row r="1844">
      <c r="A1844" s="23">
        <f>IFERROR(__xludf.DUMMYFUNCTION("""COMPUTED_VALUE"""),1998.0)</f>
        <v>1998</v>
      </c>
      <c r="B1844" s="23" t="str">
        <f>IFERROR(__xludf.DUMMYFUNCTION("""COMPUTED_VALUE"""),"Suspicious Bank Accounts")</f>
        <v>Suspicious Bank Accounts</v>
      </c>
      <c r="C1844" s="23" t="str">
        <f>IFERROR(__xludf.DUMMYFUNCTION("""COMPUTED_VALUE"""),"suspicious-bank-accounts")</f>
        <v>suspicious-bank-accounts</v>
      </c>
      <c r="D1844" s="23" t="b">
        <f>IFERROR(__xludf.DUMMYFUNCTION("""COMPUTED_VALUE"""),TRUE)</f>
        <v>1</v>
      </c>
      <c r="E1844" s="23" t="str">
        <f>IFERROR(__xludf.DUMMYFUNCTION("""COMPUTED_VALUE"""),"Medium")</f>
        <v>Medium</v>
      </c>
      <c r="F1844" s="23">
        <f>IFERROR(__xludf.DUMMYFUNCTION("""COMPUTED_VALUE"""),45.0)</f>
        <v>45</v>
      </c>
      <c r="G1844" s="23">
        <f>IFERROR(__xludf.DUMMYFUNCTION("""COMPUTED_VALUE"""),28.0)</f>
        <v>28</v>
      </c>
      <c r="H1844" s="23" t="str">
        <f>IFERROR(__xludf.DUMMYFUNCTION("""COMPUTED_VALUE"""),"Database")</f>
        <v>Database</v>
      </c>
      <c r="I1844" s="23">
        <f>IFERROR(__xludf.DUMMYFUNCTION("""COMPUTED_VALUE"""),0.484)</f>
        <v>0.484</v>
      </c>
      <c r="J1844" s="23">
        <f>IFERROR(__xludf.DUMMYFUNCTION("""COMPUTED_VALUE"""),1843.0)</f>
        <v>1843</v>
      </c>
      <c r="K1844" s="23" t="b">
        <f>IFERROR(__xludf.DUMMYFUNCTION("""COMPUTED_VALUE"""),TRUE)</f>
        <v>1</v>
      </c>
      <c r="L1844" s="23" t="str">
        <f>IFERROR(__xludf.DUMMYFUNCTION("""COMPUTED_VALUE"""),"Database;")</f>
        <v>Database;</v>
      </c>
      <c r="M1844" s="23" t="b">
        <f>IFERROR(__xludf.DUMMYFUNCTION("""COMPUTED_VALUE"""),FALSE)</f>
        <v>0</v>
      </c>
      <c r="N1844" s="23" t="b">
        <f>IFERROR(__xludf.DUMMYFUNCTION("""COMPUTED_VALUE"""),FALSE)</f>
        <v>0</v>
      </c>
      <c r="O1844" s="23">
        <f>IFERROR(__xludf.DUMMYFUNCTION("""COMPUTED_VALUE"""),48.3754512635379)</f>
        <v>48.37545126</v>
      </c>
      <c r="P1844" s="23">
        <f>IFERROR(__xludf.DUMMYFUNCTION("""COMPUTED_VALUE"""),5360.0)</f>
        <v>5360</v>
      </c>
      <c r="Q1844" s="23">
        <f>IFERROR(__xludf.DUMMYFUNCTION("""COMPUTED_VALUE"""),11080.0)</f>
        <v>11080</v>
      </c>
    </row>
    <row r="1845">
      <c r="A1845" s="23">
        <f>IFERROR(__xludf.DUMMYFUNCTION("""COMPUTED_VALUE"""),1954.0)</f>
        <v>1954</v>
      </c>
      <c r="B1845" s="23" t="str">
        <f>IFERROR(__xludf.DUMMYFUNCTION("""COMPUTED_VALUE"""),"Replace All Digits with Characters")</f>
        <v>Replace All Digits with Characters</v>
      </c>
      <c r="C1845" s="23" t="str">
        <f>IFERROR(__xludf.DUMMYFUNCTION("""COMPUTED_VALUE"""),"replace-all-digits-with-characters")</f>
        <v>replace-all-digits-with-characters</v>
      </c>
      <c r="D1845" s="23" t="b">
        <f>IFERROR(__xludf.DUMMYFUNCTION("""COMPUTED_VALUE"""),FALSE)</f>
        <v>0</v>
      </c>
      <c r="E1845" s="23" t="str">
        <f>IFERROR(__xludf.DUMMYFUNCTION("""COMPUTED_VALUE"""),"Easy")</f>
        <v>Easy</v>
      </c>
      <c r="F1845" s="23">
        <f>IFERROR(__xludf.DUMMYFUNCTION("""COMPUTED_VALUE"""),386.0)</f>
        <v>386</v>
      </c>
      <c r="G1845" s="23">
        <f>IFERROR(__xludf.DUMMYFUNCTION("""COMPUTED_VALUE"""),47.0)</f>
        <v>47</v>
      </c>
      <c r="H1845" s="23" t="str">
        <f>IFERROR(__xludf.DUMMYFUNCTION("""COMPUTED_VALUE"""),"Algorithms")</f>
        <v>Algorithms</v>
      </c>
      <c r="I1845" s="23">
        <f>IFERROR(__xludf.DUMMYFUNCTION("""COMPUTED_VALUE"""),0.8)</f>
        <v>0.8</v>
      </c>
      <c r="J1845" s="23">
        <f>IFERROR(__xludf.DUMMYFUNCTION("""COMPUTED_VALUE"""),1844.0)</f>
        <v>1844</v>
      </c>
      <c r="K1845" s="23" t="b">
        <f>IFERROR(__xludf.DUMMYFUNCTION("""COMPUTED_VALUE"""),FALSE)</f>
        <v>0</v>
      </c>
      <c r="L1845" s="23" t="str">
        <f>IFERROR(__xludf.DUMMYFUNCTION("""COMPUTED_VALUE"""),"String;")</f>
        <v>String;</v>
      </c>
      <c r="M1845" s="23" t="b">
        <f>IFERROR(__xludf.DUMMYFUNCTION("""COMPUTED_VALUE"""),FALSE)</f>
        <v>0</v>
      </c>
      <c r="N1845" s="23" t="b">
        <f>IFERROR(__xludf.DUMMYFUNCTION("""COMPUTED_VALUE"""),FALSE)</f>
        <v>0</v>
      </c>
      <c r="O1845" s="23">
        <f>IFERROR(__xludf.DUMMYFUNCTION("""COMPUTED_VALUE"""),80.0435295553476)</f>
        <v>80.04352956</v>
      </c>
      <c r="P1845" s="23">
        <f>IFERROR(__xludf.DUMMYFUNCTION("""COMPUTED_VALUE"""),39349.0)</f>
        <v>39349</v>
      </c>
      <c r="Q1845" s="23">
        <f>IFERROR(__xludf.DUMMYFUNCTION("""COMPUTED_VALUE"""),49160.0)</f>
        <v>49160</v>
      </c>
    </row>
    <row r="1846">
      <c r="A1846" s="23">
        <f>IFERROR(__xludf.DUMMYFUNCTION("""COMPUTED_VALUE"""),1955.0)</f>
        <v>1955</v>
      </c>
      <c r="B1846" s="23" t="str">
        <f>IFERROR(__xludf.DUMMYFUNCTION("""COMPUTED_VALUE"""),"Seat Reservation Manager")</f>
        <v>Seat Reservation Manager</v>
      </c>
      <c r="C1846" s="23" t="str">
        <f>IFERROR(__xludf.DUMMYFUNCTION("""COMPUTED_VALUE"""),"seat-reservation-manager")</f>
        <v>seat-reservation-manager</v>
      </c>
      <c r="D1846" s="23" t="b">
        <f>IFERROR(__xludf.DUMMYFUNCTION("""COMPUTED_VALUE"""),FALSE)</f>
        <v>0</v>
      </c>
      <c r="E1846" s="23" t="str">
        <f>IFERROR(__xludf.DUMMYFUNCTION("""COMPUTED_VALUE"""),"Medium")</f>
        <v>Medium</v>
      </c>
      <c r="F1846" s="23">
        <f>IFERROR(__xludf.DUMMYFUNCTION("""COMPUTED_VALUE"""),305.0)</f>
        <v>305</v>
      </c>
      <c r="G1846" s="23">
        <f>IFERROR(__xludf.DUMMYFUNCTION("""COMPUTED_VALUE"""),24.0)</f>
        <v>24</v>
      </c>
      <c r="H1846" s="23" t="str">
        <f>IFERROR(__xludf.DUMMYFUNCTION("""COMPUTED_VALUE"""),"Algorithms")</f>
        <v>Algorithms</v>
      </c>
      <c r="I1846" s="23">
        <f>IFERROR(__xludf.DUMMYFUNCTION("""COMPUTED_VALUE"""),0.615)</f>
        <v>0.615</v>
      </c>
      <c r="J1846" s="23">
        <f>IFERROR(__xludf.DUMMYFUNCTION("""COMPUTED_VALUE"""),1845.0)</f>
        <v>1845</v>
      </c>
      <c r="K1846" s="23" t="b">
        <f>IFERROR(__xludf.DUMMYFUNCTION("""COMPUTED_VALUE"""),FALSE)</f>
        <v>0</v>
      </c>
      <c r="L1846" s="23" t="str">
        <f>IFERROR(__xludf.DUMMYFUNCTION("""COMPUTED_VALUE"""),"Design;Heap (Priority Queue);")</f>
        <v>Design;Heap (Priority Queue);</v>
      </c>
      <c r="M1846" s="23" t="b">
        <f>IFERROR(__xludf.DUMMYFUNCTION("""COMPUTED_VALUE"""),FALSE)</f>
        <v>0</v>
      </c>
      <c r="N1846" s="23" t="b">
        <f>IFERROR(__xludf.DUMMYFUNCTION("""COMPUTED_VALUE"""),FALSE)</f>
        <v>0</v>
      </c>
      <c r="O1846" s="23">
        <f>IFERROR(__xludf.DUMMYFUNCTION("""COMPUTED_VALUE"""),61.4579526198624)</f>
        <v>61.45795262</v>
      </c>
      <c r="P1846" s="23">
        <f>IFERROR(__xludf.DUMMYFUNCTION("""COMPUTED_VALUE"""),18495.0)</f>
        <v>18495</v>
      </c>
      <c r="Q1846" s="23">
        <f>IFERROR(__xludf.DUMMYFUNCTION("""COMPUTED_VALUE"""),30093.0)</f>
        <v>30093</v>
      </c>
    </row>
    <row r="1847">
      <c r="A1847" s="23">
        <f>IFERROR(__xludf.DUMMYFUNCTION("""COMPUTED_VALUE"""),1956.0)</f>
        <v>1956</v>
      </c>
      <c r="B1847" s="23" t="str">
        <f>IFERROR(__xludf.DUMMYFUNCTION("""COMPUTED_VALUE"""),"Maximum Element After Decreasing and Rearranging")</f>
        <v>Maximum Element After Decreasing and Rearranging</v>
      </c>
      <c r="C1847" s="23" t="str">
        <f>IFERROR(__xludf.DUMMYFUNCTION("""COMPUTED_VALUE"""),"maximum-element-after-decreasing-and-rearranging")</f>
        <v>maximum-element-after-decreasing-and-rearranging</v>
      </c>
      <c r="D1847" s="23" t="b">
        <f>IFERROR(__xludf.DUMMYFUNCTION("""COMPUTED_VALUE"""),FALSE)</f>
        <v>0</v>
      </c>
      <c r="E1847" s="23" t="str">
        <f>IFERROR(__xludf.DUMMYFUNCTION("""COMPUTED_VALUE"""),"Medium")</f>
        <v>Medium</v>
      </c>
      <c r="F1847" s="23">
        <f>IFERROR(__xludf.DUMMYFUNCTION("""COMPUTED_VALUE"""),210.0)</f>
        <v>210</v>
      </c>
      <c r="G1847" s="23">
        <f>IFERROR(__xludf.DUMMYFUNCTION("""COMPUTED_VALUE"""),47.0)</f>
        <v>47</v>
      </c>
      <c r="H1847" s="23" t="str">
        <f>IFERROR(__xludf.DUMMYFUNCTION("""COMPUTED_VALUE"""),"Algorithms")</f>
        <v>Algorithms</v>
      </c>
      <c r="I1847" s="23">
        <f>IFERROR(__xludf.DUMMYFUNCTION("""COMPUTED_VALUE"""),0.579)</f>
        <v>0.579</v>
      </c>
      <c r="J1847" s="23">
        <f>IFERROR(__xludf.DUMMYFUNCTION("""COMPUTED_VALUE"""),1846.0)</f>
        <v>1846</v>
      </c>
      <c r="K1847" s="23" t="b">
        <f>IFERROR(__xludf.DUMMYFUNCTION("""COMPUTED_VALUE"""),FALSE)</f>
        <v>0</v>
      </c>
      <c r="L1847" s="23" t="str">
        <f>IFERROR(__xludf.DUMMYFUNCTION("""COMPUTED_VALUE"""),"Array;Greedy;Sorting;")</f>
        <v>Array;Greedy;Sorting;</v>
      </c>
      <c r="M1847" s="23" t="b">
        <f>IFERROR(__xludf.DUMMYFUNCTION("""COMPUTED_VALUE"""),FALSE)</f>
        <v>0</v>
      </c>
      <c r="N1847" s="23" t="b">
        <f>IFERROR(__xludf.DUMMYFUNCTION("""COMPUTED_VALUE"""),FALSE)</f>
        <v>0</v>
      </c>
      <c r="O1847" s="23">
        <f>IFERROR(__xludf.DUMMYFUNCTION("""COMPUTED_VALUE"""),57.8674861087725)</f>
        <v>57.86748611</v>
      </c>
      <c r="P1847" s="23">
        <f>IFERROR(__xludf.DUMMYFUNCTION("""COMPUTED_VALUE"""),13747.0)</f>
        <v>13747</v>
      </c>
      <c r="Q1847" s="23">
        <f>IFERROR(__xludf.DUMMYFUNCTION("""COMPUTED_VALUE"""),23755.0)</f>
        <v>23755</v>
      </c>
    </row>
    <row r="1848">
      <c r="A1848" s="23">
        <f>IFERROR(__xludf.DUMMYFUNCTION("""COMPUTED_VALUE"""),1957.0)</f>
        <v>1957</v>
      </c>
      <c r="B1848" s="23" t="str">
        <f>IFERROR(__xludf.DUMMYFUNCTION("""COMPUTED_VALUE"""),"Closest Room")</f>
        <v>Closest Room</v>
      </c>
      <c r="C1848" s="23" t="str">
        <f>IFERROR(__xludf.DUMMYFUNCTION("""COMPUTED_VALUE"""),"closest-room")</f>
        <v>closest-room</v>
      </c>
      <c r="D1848" s="23" t="b">
        <f>IFERROR(__xludf.DUMMYFUNCTION("""COMPUTED_VALUE"""),FALSE)</f>
        <v>0</v>
      </c>
      <c r="E1848" s="23" t="str">
        <f>IFERROR(__xludf.DUMMYFUNCTION("""COMPUTED_VALUE"""),"Hard")</f>
        <v>Hard</v>
      </c>
      <c r="F1848" s="23">
        <f>IFERROR(__xludf.DUMMYFUNCTION("""COMPUTED_VALUE"""),315.0)</f>
        <v>315</v>
      </c>
      <c r="G1848" s="23">
        <f>IFERROR(__xludf.DUMMYFUNCTION("""COMPUTED_VALUE"""),13.0)</f>
        <v>13</v>
      </c>
      <c r="H1848" s="23" t="str">
        <f>IFERROR(__xludf.DUMMYFUNCTION("""COMPUTED_VALUE"""),"Algorithms")</f>
        <v>Algorithms</v>
      </c>
      <c r="I1848" s="23">
        <f>IFERROR(__xludf.DUMMYFUNCTION("""COMPUTED_VALUE"""),0.333)</f>
        <v>0.333</v>
      </c>
      <c r="J1848" s="23">
        <f>IFERROR(__xludf.DUMMYFUNCTION("""COMPUTED_VALUE"""),1847.0)</f>
        <v>1847</v>
      </c>
      <c r="K1848" s="23" t="b">
        <f>IFERROR(__xludf.DUMMYFUNCTION("""COMPUTED_VALUE"""),FALSE)</f>
        <v>0</v>
      </c>
      <c r="L1848" s="23" t="str">
        <f>IFERROR(__xludf.DUMMYFUNCTION("""COMPUTED_VALUE"""),"Array;Binary Search;Sorting;")</f>
        <v>Array;Binary Search;Sorting;</v>
      </c>
      <c r="M1848" s="23" t="b">
        <f>IFERROR(__xludf.DUMMYFUNCTION("""COMPUTED_VALUE"""),FALSE)</f>
        <v>0</v>
      </c>
      <c r="N1848" s="23" t="b">
        <f>IFERROR(__xludf.DUMMYFUNCTION("""COMPUTED_VALUE"""),FALSE)</f>
        <v>0</v>
      </c>
      <c r="O1848" s="23">
        <f>IFERROR(__xludf.DUMMYFUNCTION("""COMPUTED_VALUE"""),33.3230712394557)</f>
        <v>33.32307124</v>
      </c>
      <c r="P1848" s="23">
        <f>IFERROR(__xludf.DUMMYFUNCTION("""COMPUTED_VALUE"""),5412.0)</f>
        <v>5412</v>
      </c>
      <c r="Q1848" s="23">
        <f>IFERROR(__xludf.DUMMYFUNCTION("""COMPUTED_VALUE"""),16241.0)</f>
        <v>16241</v>
      </c>
    </row>
    <row r="1849">
      <c r="A1849" s="23">
        <f>IFERROR(__xludf.DUMMYFUNCTION("""COMPUTED_VALUE"""),1975.0)</f>
        <v>1975</v>
      </c>
      <c r="B1849" s="23" t="str">
        <f>IFERROR(__xludf.DUMMYFUNCTION("""COMPUTED_VALUE"""),"Minimum Distance to the Target Element")</f>
        <v>Minimum Distance to the Target Element</v>
      </c>
      <c r="C1849" s="23" t="str">
        <f>IFERROR(__xludf.DUMMYFUNCTION("""COMPUTED_VALUE"""),"minimum-distance-to-the-target-element")</f>
        <v>minimum-distance-to-the-target-element</v>
      </c>
      <c r="D1849" s="23" t="b">
        <f>IFERROR(__xludf.DUMMYFUNCTION("""COMPUTED_VALUE"""),FALSE)</f>
        <v>0</v>
      </c>
      <c r="E1849" s="23" t="str">
        <f>IFERROR(__xludf.DUMMYFUNCTION("""COMPUTED_VALUE"""),"Easy")</f>
        <v>Easy</v>
      </c>
      <c r="F1849" s="23">
        <f>IFERROR(__xludf.DUMMYFUNCTION("""COMPUTED_VALUE"""),173.0)</f>
        <v>173</v>
      </c>
      <c r="G1849" s="23">
        <f>IFERROR(__xludf.DUMMYFUNCTION("""COMPUTED_VALUE"""),39.0)</f>
        <v>39</v>
      </c>
      <c r="H1849" s="23" t="str">
        <f>IFERROR(__xludf.DUMMYFUNCTION("""COMPUTED_VALUE"""),"Algorithms")</f>
        <v>Algorithms</v>
      </c>
      <c r="I1849" s="23">
        <f>IFERROR(__xludf.DUMMYFUNCTION("""COMPUTED_VALUE"""),0.597)</f>
        <v>0.597</v>
      </c>
      <c r="J1849" s="23">
        <f>IFERROR(__xludf.DUMMYFUNCTION("""COMPUTED_VALUE"""),1848.0)</f>
        <v>1848</v>
      </c>
      <c r="K1849" s="23" t="b">
        <f>IFERROR(__xludf.DUMMYFUNCTION("""COMPUTED_VALUE"""),FALSE)</f>
        <v>0</v>
      </c>
      <c r="L1849" s="23" t="str">
        <f>IFERROR(__xludf.DUMMYFUNCTION("""COMPUTED_VALUE"""),"Array;")</f>
        <v>Array;</v>
      </c>
      <c r="M1849" s="23" t="b">
        <f>IFERROR(__xludf.DUMMYFUNCTION("""COMPUTED_VALUE"""),FALSE)</f>
        <v>0</v>
      </c>
      <c r="N1849" s="23" t="b">
        <f>IFERROR(__xludf.DUMMYFUNCTION("""COMPUTED_VALUE"""),FALSE)</f>
        <v>0</v>
      </c>
      <c r="O1849" s="23">
        <f>IFERROR(__xludf.DUMMYFUNCTION("""COMPUTED_VALUE"""),59.6800577339427)</f>
        <v>59.68005773</v>
      </c>
      <c r="P1849" s="23">
        <f>IFERROR(__xludf.DUMMYFUNCTION("""COMPUTED_VALUE"""),24808.0)</f>
        <v>24808</v>
      </c>
      <c r="Q1849" s="23">
        <f>IFERROR(__xludf.DUMMYFUNCTION("""COMPUTED_VALUE"""),41569.0)</f>
        <v>41569</v>
      </c>
    </row>
    <row r="1850">
      <c r="A1850" s="23">
        <f>IFERROR(__xludf.DUMMYFUNCTION("""COMPUTED_VALUE"""),1976.0)</f>
        <v>1976</v>
      </c>
      <c r="B1850" s="23" t="str">
        <f>IFERROR(__xludf.DUMMYFUNCTION("""COMPUTED_VALUE"""),"Splitting a String Into Descending Consecutive Values")</f>
        <v>Splitting a String Into Descending Consecutive Values</v>
      </c>
      <c r="C1850" s="23" t="str">
        <f>IFERROR(__xludf.DUMMYFUNCTION("""COMPUTED_VALUE"""),"splitting-a-string-into-descending-consecutive-values")</f>
        <v>splitting-a-string-into-descending-consecutive-values</v>
      </c>
      <c r="D1850" s="23" t="b">
        <f>IFERROR(__xludf.DUMMYFUNCTION("""COMPUTED_VALUE"""),FALSE)</f>
        <v>0</v>
      </c>
      <c r="E1850" s="23" t="str">
        <f>IFERROR(__xludf.DUMMYFUNCTION("""COMPUTED_VALUE"""),"Medium")</f>
        <v>Medium</v>
      </c>
      <c r="F1850" s="23">
        <f>IFERROR(__xludf.DUMMYFUNCTION("""COMPUTED_VALUE"""),313.0)</f>
        <v>313</v>
      </c>
      <c r="G1850" s="23">
        <f>IFERROR(__xludf.DUMMYFUNCTION("""COMPUTED_VALUE"""),83.0)</f>
        <v>83</v>
      </c>
      <c r="H1850" s="23" t="str">
        <f>IFERROR(__xludf.DUMMYFUNCTION("""COMPUTED_VALUE"""),"Algorithms")</f>
        <v>Algorithms</v>
      </c>
      <c r="I1850" s="23">
        <f>IFERROR(__xludf.DUMMYFUNCTION("""COMPUTED_VALUE"""),0.313)</f>
        <v>0.313</v>
      </c>
      <c r="J1850" s="23">
        <f>IFERROR(__xludf.DUMMYFUNCTION("""COMPUTED_VALUE"""),1849.0)</f>
        <v>1849</v>
      </c>
      <c r="K1850" s="23" t="b">
        <f>IFERROR(__xludf.DUMMYFUNCTION("""COMPUTED_VALUE"""),FALSE)</f>
        <v>0</v>
      </c>
      <c r="L1850" s="23" t="str">
        <f>IFERROR(__xludf.DUMMYFUNCTION("""COMPUTED_VALUE"""),"String;Backtracking;")</f>
        <v>String;Backtracking;</v>
      </c>
      <c r="M1850" s="23" t="b">
        <f>IFERROR(__xludf.DUMMYFUNCTION("""COMPUTED_VALUE"""),FALSE)</f>
        <v>0</v>
      </c>
      <c r="N1850" s="23" t="b">
        <f>IFERROR(__xludf.DUMMYFUNCTION("""COMPUTED_VALUE"""),FALSE)</f>
        <v>0</v>
      </c>
      <c r="O1850" s="23">
        <f>IFERROR(__xludf.DUMMYFUNCTION("""COMPUTED_VALUE"""),31.3070443598935)</f>
        <v>31.30704436</v>
      </c>
      <c r="P1850" s="23">
        <f>IFERROR(__xludf.DUMMYFUNCTION("""COMPUTED_VALUE"""),14235.0)</f>
        <v>14235</v>
      </c>
      <c r="Q1850" s="23">
        <f>IFERROR(__xludf.DUMMYFUNCTION("""COMPUTED_VALUE"""),45469.0)</f>
        <v>45469</v>
      </c>
    </row>
    <row r="1851">
      <c r="A1851" s="23">
        <f>IFERROR(__xludf.DUMMYFUNCTION("""COMPUTED_VALUE"""),1978.0)</f>
        <v>1978</v>
      </c>
      <c r="B1851" s="23" t="str">
        <f>IFERROR(__xludf.DUMMYFUNCTION("""COMPUTED_VALUE"""),"Minimum Adjacent Swaps to Reach the Kth Smallest Number")</f>
        <v>Minimum Adjacent Swaps to Reach the Kth Smallest Number</v>
      </c>
      <c r="C1851" s="23" t="str">
        <f>IFERROR(__xludf.DUMMYFUNCTION("""COMPUTED_VALUE"""),"minimum-adjacent-swaps-to-reach-the-kth-smallest-number")</f>
        <v>minimum-adjacent-swaps-to-reach-the-kth-smallest-number</v>
      </c>
      <c r="D1851" s="23" t="b">
        <f>IFERROR(__xludf.DUMMYFUNCTION("""COMPUTED_VALUE"""),FALSE)</f>
        <v>0</v>
      </c>
      <c r="E1851" s="23" t="str">
        <f>IFERROR(__xludf.DUMMYFUNCTION("""COMPUTED_VALUE"""),"Medium")</f>
        <v>Medium</v>
      </c>
      <c r="F1851" s="23">
        <f>IFERROR(__xludf.DUMMYFUNCTION("""COMPUTED_VALUE"""),451.0)</f>
        <v>451</v>
      </c>
      <c r="G1851" s="23">
        <f>IFERROR(__xludf.DUMMYFUNCTION("""COMPUTED_VALUE"""),57.0)</f>
        <v>57</v>
      </c>
      <c r="H1851" s="23" t="str">
        <f>IFERROR(__xludf.DUMMYFUNCTION("""COMPUTED_VALUE"""),"Algorithms")</f>
        <v>Algorithms</v>
      </c>
      <c r="I1851" s="23">
        <f>IFERROR(__xludf.DUMMYFUNCTION("""COMPUTED_VALUE"""),0.721)</f>
        <v>0.721</v>
      </c>
      <c r="J1851" s="23">
        <f>IFERROR(__xludf.DUMMYFUNCTION("""COMPUTED_VALUE"""),1850.0)</f>
        <v>1850</v>
      </c>
      <c r="K1851" s="23" t="b">
        <f>IFERROR(__xludf.DUMMYFUNCTION("""COMPUTED_VALUE"""),FALSE)</f>
        <v>0</v>
      </c>
      <c r="L1851" s="23" t="str">
        <f>IFERROR(__xludf.DUMMYFUNCTION("""COMPUTED_VALUE"""),"Two Pointers;String;Greedy;")</f>
        <v>Two Pointers;String;Greedy;</v>
      </c>
      <c r="M1851" s="23" t="b">
        <f>IFERROR(__xludf.DUMMYFUNCTION("""COMPUTED_VALUE"""),FALSE)</f>
        <v>0</v>
      </c>
      <c r="N1851" s="23" t="b">
        <f>IFERROR(__xludf.DUMMYFUNCTION("""COMPUTED_VALUE"""),FALSE)</f>
        <v>0</v>
      </c>
      <c r="O1851" s="23">
        <f>IFERROR(__xludf.DUMMYFUNCTION("""COMPUTED_VALUE"""),72.0507509062661)</f>
        <v>72.05075091</v>
      </c>
      <c r="P1851" s="23">
        <f>IFERROR(__xludf.DUMMYFUNCTION("""COMPUTED_VALUE"""),13913.0)</f>
        <v>13913</v>
      </c>
      <c r="Q1851" s="23">
        <f>IFERROR(__xludf.DUMMYFUNCTION("""COMPUTED_VALUE"""),19310.0)</f>
        <v>19310</v>
      </c>
    </row>
    <row r="1852">
      <c r="A1852" s="23">
        <f>IFERROR(__xludf.DUMMYFUNCTION("""COMPUTED_VALUE"""),1977.0)</f>
        <v>1977</v>
      </c>
      <c r="B1852" s="23" t="str">
        <f>IFERROR(__xludf.DUMMYFUNCTION("""COMPUTED_VALUE"""),"Minimum Interval to Include Each Query")</f>
        <v>Minimum Interval to Include Each Query</v>
      </c>
      <c r="C1852" s="23" t="str">
        <f>IFERROR(__xludf.DUMMYFUNCTION("""COMPUTED_VALUE"""),"minimum-interval-to-include-each-query")</f>
        <v>minimum-interval-to-include-each-query</v>
      </c>
      <c r="D1852" s="23" t="b">
        <f>IFERROR(__xludf.DUMMYFUNCTION("""COMPUTED_VALUE"""),FALSE)</f>
        <v>0</v>
      </c>
      <c r="E1852" s="23" t="str">
        <f>IFERROR(__xludf.DUMMYFUNCTION("""COMPUTED_VALUE"""),"Hard")</f>
        <v>Hard</v>
      </c>
      <c r="F1852" s="23">
        <f>IFERROR(__xludf.DUMMYFUNCTION("""COMPUTED_VALUE"""),348.0)</f>
        <v>348</v>
      </c>
      <c r="G1852" s="23">
        <f>IFERROR(__xludf.DUMMYFUNCTION("""COMPUTED_VALUE"""),6.0)</f>
        <v>6</v>
      </c>
      <c r="H1852" s="23" t="str">
        <f>IFERROR(__xludf.DUMMYFUNCTION("""COMPUTED_VALUE"""),"Algorithms")</f>
        <v>Algorithms</v>
      </c>
      <c r="I1852" s="23">
        <f>IFERROR(__xludf.DUMMYFUNCTION("""COMPUTED_VALUE"""),0.457)</f>
        <v>0.457</v>
      </c>
      <c r="J1852" s="23">
        <f>IFERROR(__xludf.DUMMYFUNCTION("""COMPUTED_VALUE"""),1851.0)</f>
        <v>1851</v>
      </c>
      <c r="K1852" s="23" t="b">
        <f>IFERROR(__xludf.DUMMYFUNCTION("""COMPUTED_VALUE"""),FALSE)</f>
        <v>0</v>
      </c>
      <c r="L1852" s="23" t="str">
        <f>IFERROR(__xludf.DUMMYFUNCTION("""COMPUTED_VALUE"""),"Array;Binary Search;Line Sweep;Sorting;Heap (Priority Queue);")</f>
        <v>Array;Binary Search;Line Sweep;Sorting;Heap (Priority Queue);</v>
      </c>
      <c r="M1852" s="23" t="b">
        <f>IFERROR(__xludf.DUMMYFUNCTION("""COMPUTED_VALUE"""),FALSE)</f>
        <v>0</v>
      </c>
      <c r="N1852" s="23" t="b">
        <f>IFERROR(__xludf.DUMMYFUNCTION("""COMPUTED_VALUE"""),FALSE)</f>
        <v>0</v>
      </c>
      <c r="O1852" s="23">
        <f>IFERROR(__xludf.DUMMYFUNCTION("""COMPUTED_VALUE"""),45.7376280720551)</f>
        <v>45.73762807</v>
      </c>
      <c r="P1852" s="23">
        <f>IFERROR(__xludf.DUMMYFUNCTION("""COMPUTED_VALUE"""),6830.0)</f>
        <v>6830</v>
      </c>
      <c r="Q1852" s="23">
        <f>IFERROR(__xludf.DUMMYFUNCTION("""COMPUTED_VALUE"""),14933.0)</f>
        <v>14933</v>
      </c>
    </row>
    <row r="1853">
      <c r="A1853" s="23">
        <f>IFERROR(__xludf.DUMMYFUNCTION("""COMPUTED_VALUE"""),2003.0)</f>
        <v>2003</v>
      </c>
      <c r="B1853" s="23" t="str">
        <f>IFERROR(__xludf.DUMMYFUNCTION("""COMPUTED_VALUE"""),"Distinct Numbers in Each Subarray")</f>
        <v>Distinct Numbers in Each Subarray</v>
      </c>
      <c r="C1853" s="23" t="str">
        <f>IFERROR(__xludf.DUMMYFUNCTION("""COMPUTED_VALUE"""),"distinct-numbers-in-each-subarray")</f>
        <v>distinct-numbers-in-each-subarray</v>
      </c>
      <c r="D1853" s="23" t="b">
        <f>IFERROR(__xludf.DUMMYFUNCTION("""COMPUTED_VALUE"""),TRUE)</f>
        <v>1</v>
      </c>
      <c r="E1853" s="23" t="str">
        <f>IFERROR(__xludf.DUMMYFUNCTION("""COMPUTED_VALUE"""),"Medium")</f>
        <v>Medium</v>
      </c>
      <c r="F1853" s="23">
        <f>IFERROR(__xludf.DUMMYFUNCTION("""COMPUTED_VALUE"""),75.0)</f>
        <v>75</v>
      </c>
      <c r="G1853" s="23">
        <f>IFERROR(__xludf.DUMMYFUNCTION("""COMPUTED_VALUE"""),3.0)</f>
        <v>3</v>
      </c>
      <c r="H1853" s="23" t="str">
        <f>IFERROR(__xludf.DUMMYFUNCTION("""COMPUTED_VALUE"""),"Algorithms")</f>
        <v>Algorithms</v>
      </c>
      <c r="I1853" s="23">
        <f>IFERROR(__xludf.DUMMYFUNCTION("""COMPUTED_VALUE"""),0.725)</f>
        <v>0.725</v>
      </c>
      <c r="J1853" s="23">
        <f>IFERROR(__xludf.DUMMYFUNCTION("""COMPUTED_VALUE"""),1852.0)</f>
        <v>1852</v>
      </c>
      <c r="K1853" s="23" t="b">
        <f>IFERROR(__xludf.DUMMYFUNCTION("""COMPUTED_VALUE"""),TRUE)</f>
        <v>1</v>
      </c>
      <c r="L1853" s="23" t="str">
        <f>IFERROR(__xludf.DUMMYFUNCTION("""COMPUTED_VALUE"""),"Array;Hash Table;Sliding Window;")</f>
        <v>Array;Hash Table;Sliding Window;</v>
      </c>
      <c r="M1853" s="23" t="b">
        <f>IFERROR(__xludf.DUMMYFUNCTION("""COMPUTED_VALUE"""),FALSE)</f>
        <v>0</v>
      </c>
      <c r="N1853" s="23" t="b">
        <f>IFERROR(__xludf.DUMMYFUNCTION("""COMPUTED_VALUE"""),FALSE)</f>
        <v>0</v>
      </c>
      <c r="O1853" s="23">
        <f>IFERROR(__xludf.DUMMYFUNCTION("""COMPUTED_VALUE"""),72.5380612834843)</f>
        <v>72.53806128</v>
      </c>
      <c r="P1853" s="23">
        <f>IFERROR(__xludf.DUMMYFUNCTION("""COMPUTED_VALUE"""),3764.0)</f>
        <v>3764</v>
      </c>
      <c r="Q1853" s="23">
        <f>IFERROR(__xludf.DUMMYFUNCTION("""COMPUTED_VALUE"""),5189.0)</f>
        <v>5189</v>
      </c>
    </row>
    <row r="1854">
      <c r="A1854" s="23">
        <f>IFERROR(__xludf.DUMMYFUNCTION("""COMPUTED_VALUE"""),2004.0)</f>
        <v>2004</v>
      </c>
      <c r="B1854" s="23" t="str">
        <f>IFERROR(__xludf.DUMMYFUNCTION("""COMPUTED_VALUE"""),"Convert Date Format")</f>
        <v>Convert Date Format</v>
      </c>
      <c r="C1854" s="23" t="str">
        <f>IFERROR(__xludf.DUMMYFUNCTION("""COMPUTED_VALUE"""),"convert-date-format")</f>
        <v>convert-date-format</v>
      </c>
      <c r="D1854" s="23" t="b">
        <f>IFERROR(__xludf.DUMMYFUNCTION("""COMPUTED_VALUE"""),TRUE)</f>
        <v>1</v>
      </c>
      <c r="E1854" s="23" t="str">
        <f>IFERROR(__xludf.DUMMYFUNCTION("""COMPUTED_VALUE"""),"Easy")</f>
        <v>Easy</v>
      </c>
      <c r="F1854" s="23">
        <f>IFERROR(__xludf.DUMMYFUNCTION("""COMPUTED_VALUE"""),28.0)</f>
        <v>28</v>
      </c>
      <c r="G1854" s="23">
        <f>IFERROR(__xludf.DUMMYFUNCTION("""COMPUTED_VALUE"""),32.0)</f>
        <v>32</v>
      </c>
      <c r="H1854" s="23" t="str">
        <f>IFERROR(__xludf.DUMMYFUNCTION("""COMPUTED_VALUE"""),"Database")</f>
        <v>Database</v>
      </c>
      <c r="I1854" s="23">
        <f>IFERROR(__xludf.DUMMYFUNCTION("""COMPUTED_VALUE"""),0.877)</f>
        <v>0.877</v>
      </c>
      <c r="J1854" s="23">
        <f>IFERROR(__xludf.DUMMYFUNCTION("""COMPUTED_VALUE"""),1853.0)</f>
        <v>1853</v>
      </c>
      <c r="K1854" s="23" t="b">
        <f>IFERROR(__xludf.DUMMYFUNCTION("""COMPUTED_VALUE"""),TRUE)</f>
        <v>1</v>
      </c>
      <c r="L1854" s="23" t="str">
        <f>IFERROR(__xludf.DUMMYFUNCTION("""COMPUTED_VALUE"""),"Database;")</f>
        <v>Database;</v>
      </c>
      <c r="M1854" s="23" t="b">
        <f>IFERROR(__xludf.DUMMYFUNCTION("""COMPUTED_VALUE"""),FALSE)</f>
        <v>0</v>
      </c>
      <c r="N1854" s="23" t="b">
        <f>IFERROR(__xludf.DUMMYFUNCTION("""COMPUTED_VALUE"""),FALSE)</f>
        <v>0</v>
      </c>
      <c r="O1854" s="23">
        <f>IFERROR(__xludf.DUMMYFUNCTION("""COMPUTED_VALUE"""),87.7053455019556)</f>
        <v>87.7053455</v>
      </c>
      <c r="P1854" s="23">
        <f>IFERROR(__xludf.DUMMYFUNCTION("""COMPUTED_VALUE"""),6727.0)</f>
        <v>6727</v>
      </c>
      <c r="Q1854" s="23">
        <f>IFERROR(__xludf.DUMMYFUNCTION("""COMPUTED_VALUE"""),7670.0)</f>
        <v>7670</v>
      </c>
    </row>
    <row r="1855">
      <c r="A1855" s="23">
        <f>IFERROR(__xludf.DUMMYFUNCTION("""COMPUTED_VALUE"""),1983.0)</f>
        <v>1983</v>
      </c>
      <c r="B1855" s="23" t="str">
        <f>IFERROR(__xludf.DUMMYFUNCTION("""COMPUTED_VALUE"""),"Maximum Population Year")</f>
        <v>Maximum Population Year</v>
      </c>
      <c r="C1855" s="23" t="str">
        <f>IFERROR(__xludf.DUMMYFUNCTION("""COMPUTED_VALUE"""),"maximum-population-year")</f>
        <v>maximum-population-year</v>
      </c>
      <c r="D1855" s="23" t="b">
        <f>IFERROR(__xludf.DUMMYFUNCTION("""COMPUTED_VALUE"""),FALSE)</f>
        <v>0</v>
      </c>
      <c r="E1855" s="23" t="str">
        <f>IFERROR(__xludf.DUMMYFUNCTION("""COMPUTED_VALUE"""),"Easy")</f>
        <v>Easy</v>
      </c>
      <c r="F1855" s="23">
        <f>IFERROR(__xludf.DUMMYFUNCTION("""COMPUTED_VALUE"""),547.0)</f>
        <v>547</v>
      </c>
      <c r="G1855" s="23">
        <f>IFERROR(__xludf.DUMMYFUNCTION("""COMPUTED_VALUE"""),79.0)</f>
        <v>79</v>
      </c>
      <c r="H1855" s="23" t="str">
        <f>IFERROR(__xludf.DUMMYFUNCTION("""COMPUTED_VALUE"""),"Algorithms")</f>
        <v>Algorithms</v>
      </c>
      <c r="I1855" s="23">
        <f>IFERROR(__xludf.DUMMYFUNCTION("""COMPUTED_VALUE"""),0.587)</f>
        <v>0.587</v>
      </c>
      <c r="J1855" s="23">
        <f>IFERROR(__xludf.DUMMYFUNCTION("""COMPUTED_VALUE"""),1854.0)</f>
        <v>1854</v>
      </c>
      <c r="K1855" s="23" t="b">
        <f>IFERROR(__xludf.DUMMYFUNCTION("""COMPUTED_VALUE"""),FALSE)</f>
        <v>0</v>
      </c>
      <c r="L1855" s="23" t="str">
        <f>IFERROR(__xludf.DUMMYFUNCTION("""COMPUTED_VALUE"""),"Array;Counting;")</f>
        <v>Array;Counting;</v>
      </c>
      <c r="M1855" s="23" t="b">
        <f>IFERROR(__xludf.DUMMYFUNCTION("""COMPUTED_VALUE"""),FALSE)</f>
        <v>0</v>
      </c>
      <c r="N1855" s="23" t="b">
        <f>IFERROR(__xludf.DUMMYFUNCTION("""COMPUTED_VALUE"""),FALSE)</f>
        <v>0</v>
      </c>
      <c r="O1855" s="23">
        <f>IFERROR(__xludf.DUMMYFUNCTION("""COMPUTED_VALUE"""),58.7058940463174)</f>
        <v>58.70589405</v>
      </c>
      <c r="P1855" s="23">
        <f>IFERROR(__xludf.DUMMYFUNCTION("""COMPUTED_VALUE"""),29531.0)</f>
        <v>29531</v>
      </c>
      <c r="Q1855" s="23">
        <f>IFERROR(__xludf.DUMMYFUNCTION("""COMPUTED_VALUE"""),50304.0)</f>
        <v>50304</v>
      </c>
    </row>
    <row r="1856">
      <c r="A1856" s="23">
        <f>IFERROR(__xludf.DUMMYFUNCTION("""COMPUTED_VALUE"""),1984.0)</f>
        <v>1984</v>
      </c>
      <c r="B1856" s="23" t="str">
        <f>IFERROR(__xludf.DUMMYFUNCTION("""COMPUTED_VALUE"""),"Maximum Distance Between a Pair of Values")</f>
        <v>Maximum Distance Between a Pair of Values</v>
      </c>
      <c r="C1856" s="23" t="str">
        <f>IFERROR(__xludf.DUMMYFUNCTION("""COMPUTED_VALUE"""),"maximum-distance-between-a-pair-of-values")</f>
        <v>maximum-distance-between-a-pair-of-values</v>
      </c>
      <c r="D1856" s="23" t="b">
        <f>IFERROR(__xludf.DUMMYFUNCTION("""COMPUTED_VALUE"""),FALSE)</f>
        <v>0</v>
      </c>
      <c r="E1856" s="23" t="str">
        <f>IFERROR(__xludf.DUMMYFUNCTION("""COMPUTED_VALUE"""),"Medium")</f>
        <v>Medium</v>
      </c>
      <c r="F1856" s="23">
        <f>IFERROR(__xludf.DUMMYFUNCTION("""COMPUTED_VALUE"""),588.0)</f>
        <v>588</v>
      </c>
      <c r="G1856" s="23">
        <f>IFERROR(__xludf.DUMMYFUNCTION("""COMPUTED_VALUE"""),12.0)</f>
        <v>12</v>
      </c>
      <c r="H1856" s="23" t="str">
        <f>IFERROR(__xludf.DUMMYFUNCTION("""COMPUTED_VALUE"""),"Algorithms")</f>
        <v>Algorithms</v>
      </c>
      <c r="I1856" s="23">
        <f>IFERROR(__xludf.DUMMYFUNCTION("""COMPUTED_VALUE"""),0.504)</f>
        <v>0.504</v>
      </c>
      <c r="J1856" s="23">
        <f>IFERROR(__xludf.DUMMYFUNCTION("""COMPUTED_VALUE"""),1855.0)</f>
        <v>1855</v>
      </c>
      <c r="K1856" s="23" t="b">
        <f>IFERROR(__xludf.DUMMYFUNCTION("""COMPUTED_VALUE"""),FALSE)</f>
        <v>0</v>
      </c>
      <c r="L1856" s="23" t="str">
        <f>IFERROR(__xludf.DUMMYFUNCTION("""COMPUTED_VALUE"""),"Array;Two Pointers;Binary Search;Greedy;")</f>
        <v>Array;Two Pointers;Binary Search;Greedy;</v>
      </c>
      <c r="M1856" s="23" t="b">
        <f>IFERROR(__xludf.DUMMYFUNCTION("""COMPUTED_VALUE"""),FALSE)</f>
        <v>0</v>
      </c>
      <c r="N1856" s="23" t="b">
        <f>IFERROR(__xludf.DUMMYFUNCTION("""COMPUTED_VALUE"""),FALSE)</f>
        <v>0</v>
      </c>
      <c r="O1856" s="23">
        <f>IFERROR(__xludf.DUMMYFUNCTION("""COMPUTED_VALUE"""),50.3659480375898)</f>
        <v>50.36594804</v>
      </c>
      <c r="P1856" s="23">
        <f>IFERROR(__xludf.DUMMYFUNCTION("""COMPUTED_VALUE"""),22778.0)</f>
        <v>22778</v>
      </c>
      <c r="Q1856" s="23">
        <f>IFERROR(__xludf.DUMMYFUNCTION("""COMPUTED_VALUE"""),45224.0)</f>
        <v>45224</v>
      </c>
    </row>
    <row r="1857">
      <c r="A1857" s="23">
        <f>IFERROR(__xludf.DUMMYFUNCTION("""COMPUTED_VALUE"""),1985.0)</f>
        <v>1985</v>
      </c>
      <c r="B1857" s="23" t="str">
        <f>IFERROR(__xludf.DUMMYFUNCTION("""COMPUTED_VALUE"""),"Maximum Subarray Min-Product")</f>
        <v>Maximum Subarray Min-Product</v>
      </c>
      <c r="C1857" s="23" t="str">
        <f>IFERROR(__xludf.DUMMYFUNCTION("""COMPUTED_VALUE"""),"maximum-subarray-min-product")</f>
        <v>maximum-subarray-min-product</v>
      </c>
      <c r="D1857" s="23" t="b">
        <f>IFERROR(__xludf.DUMMYFUNCTION("""COMPUTED_VALUE"""),FALSE)</f>
        <v>0</v>
      </c>
      <c r="E1857" s="23" t="str">
        <f>IFERROR(__xludf.DUMMYFUNCTION("""COMPUTED_VALUE"""),"Medium")</f>
        <v>Medium</v>
      </c>
      <c r="F1857" s="23">
        <f>IFERROR(__xludf.DUMMYFUNCTION("""COMPUTED_VALUE"""),759.0)</f>
        <v>759</v>
      </c>
      <c r="G1857" s="23">
        <f>IFERROR(__xludf.DUMMYFUNCTION("""COMPUTED_VALUE"""),44.0)</f>
        <v>44</v>
      </c>
      <c r="H1857" s="23" t="str">
        <f>IFERROR(__xludf.DUMMYFUNCTION("""COMPUTED_VALUE"""),"Algorithms")</f>
        <v>Algorithms</v>
      </c>
      <c r="I1857" s="23">
        <f>IFERROR(__xludf.DUMMYFUNCTION("""COMPUTED_VALUE"""),0.354)</f>
        <v>0.354</v>
      </c>
      <c r="J1857" s="23">
        <f>IFERROR(__xludf.DUMMYFUNCTION("""COMPUTED_VALUE"""),1856.0)</f>
        <v>1856</v>
      </c>
      <c r="K1857" s="23" t="b">
        <f>IFERROR(__xludf.DUMMYFUNCTION("""COMPUTED_VALUE"""),FALSE)</f>
        <v>0</v>
      </c>
      <c r="L1857" s="23" t="str">
        <f>IFERROR(__xludf.DUMMYFUNCTION("""COMPUTED_VALUE"""),"Array;Stack;Monotonic Stack;Prefix Sum;")</f>
        <v>Array;Stack;Monotonic Stack;Prefix Sum;</v>
      </c>
      <c r="M1857" s="23" t="b">
        <f>IFERROR(__xludf.DUMMYFUNCTION("""COMPUTED_VALUE"""),FALSE)</f>
        <v>0</v>
      </c>
      <c r="N1857" s="23" t="b">
        <f>IFERROR(__xludf.DUMMYFUNCTION("""COMPUTED_VALUE"""),FALSE)</f>
        <v>0</v>
      </c>
      <c r="O1857" s="23">
        <f>IFERROR(__xludf.DUMMYFUNCTION("""COMPUTED_VALUE"""),35.3756510991436)</f>
        <v>35.3756511</v>
      </c>
      <c r="P1857" s="23">
        <f>IFERROR(__xludf.DUMMYFUNCTION("""COMPUTED_VALUE"""),12021.0)</f>
        <v>12021</v>
      </c>
      <c r="Q1857" s="23">
        <f>IFERROR(__xludf.DUMMYFUNCTION("""COMPUTED_VALUE"""),33981.0)</f>
        <v>33981</v>
      </c>
    </row>
    <row r="1858">
      <c r="A1858" s="23">
        <f>IFERROR(__xludf.DUMMYFUNCTION("""COMPUTED_VALUE"""),1986.0)</f>
        <v>1986</v>
      </c>
      <c r="B1858" s="23" t="str">
        <f>IFERROR(__xludf.DUMMYFUNCTION("""COMPUTED_VALUE"""),"Largest Color Value in a Directed Graph")</f>
        <v>Largest Color Value in a Directed Graph</v>
      </c>
      <c r="C1858" s="23" t="str">
        <f>IFERROR(__xludf.DUMMYFUNCTION("""COMPUTED_VALUE"""),"largest-color-value-in-a-directed-graph")</f>
        <v>largest-color-value-in-a-directed-graph</v>
      </c>
      <c r="D1858" s="23" t="b">
        <f>IFERROR(__xludf.DUMMYFUNCTION("""COMPUTED_VALUE"""),FALSE)</f>
        <v>0</v>
      </c>
      <c r="E1858" s="23" t="str">
        <f>IFERROR(__xludf.DUMMYFUNCTION("""COMPUTED_VALUE"""),"Hard")</f>
        <v>Hard</v>
      </c>
      <c r="F1858" s="23">
        <f>IFERROR(__xludf.DUMMYFUNCTION("""COMPUTED_VALUE"""),439.0)</f>
        <v>439</v>
      </c>
      <c r="G1858" s="23">
        <f>IFERROR(__xludf.DUMMYFUNCTION("""COMPUTED_VALUE"""),16.0)</f>
        <v>16</v>
      </c>
      <c r="H1858" s="23" t="str">
        <f>IFERROR(__xludf.DUMMYFUNCTION("""COMPUTED_VALUE"""),"Algorithms")</f>
        <v>Algorithms</v>
      </c>
      <c r="I1858" s="23">
        <f>IFERROR(__xludf.DUMMYFUNCTION("""COMPUTED_VALUE"""),0.397)</f>
        <v>0.397</v>
      </c>
      <c r="J1858" s="23">
        <f>IFERROR(__xludf.DUMMYFUNCTION("""COMPUTED_VALUE"""),1857.0)</f>
        <v>1857</v>
      </c>
      <c r="K1858" s="23" t="b">
        <f>IFERROR(__xludf.DUMMYFUNCTION("""COMPUTED_VALUE"""),FALSE)</f>
        <v>0</v>
      </c>
      <c r="L1858" s="23" t="str">
        <f>IFERROR(__xludf.DUMMYFUNCTION("""COMPUTED_VALUE"""),"Hash Table;Dynamic Programming;Graph;Topological Sort;Memoization;Counting;")</f>
        <v>Hash Table;Dynamic Programming;Graph;Topological Sort;Memoization;Counting;</v>
      </c>
      <c r="M1858" s="23" t="b">
        <f>IFERROR(__xludf.DUMMYFUNCTION("""COMPUTED_VALUE"""),FALSE)</f>
        <v>0</v>
      </c>
      <c r="N1858" s="23" t="b">
        <f>IFERROR(__xludf.DUMMYFUNCTION("""COMPUTED_VALUE"""),FALSE)</f>
        <v>0</v>
      </c>
      <c r="O1858" s="23">
        <f>IFERROR(__xludf.DUMMYFUNCTION("""COMPUTED_VALUE"""),39.7337171644476)</f>
        <v>39.73371716</v>
      </c>
      <c r="P1858" s="23">
        <f>IFERROR(__xludf.DUMMYFUNCTION("""COMPUTED_VALUE"""),11042.0)</f>
        <v>11042</v>
      </c>
      <c r="Q1858" s="23">
        <f>IFERROR(__xludf.DUMMYFUNCTION("""COMPUTED_VALUE"""),27790.0)</f>
        <v>27790</v>
      </c>
    </row>
    <row r="1859">
      <c r="A1859" s="23">
        <f>IFERROR(__xludf.DUMMYFUNCTION("""COMPUTED_VALUE"""),2009.0)</f>
        <v>2009</v>
      </c>
      <c r="B1859" s="23" t="str">
        <f>IFERROR(__xludf.DUMMYFUNCTION("""COMPUTED_VALUE"""),"Longest Word With All Prefixes")</f>
        <v>Longest Word With All Prefixes</v>
      </c>
      <c r="C1859" s="23" t="str">
        <f>IFERROR(__xludf.DUMMYFUNCTION("""COMPUTED_VALUE"""),"longest-word-with-all-prefixes")</f>
        <v>longest-word-with-all-prefixes</v>
      </c>
      <c r="D1859" s="23" t="b">
        <f>IFERROR(__xludf.DUMMYFUNCTION("""COMPUTED_VALUE"""),TRUE)</f>
        <v>1</v>
      </c>
      <c r="E1859" s="23" t="str">
        <f>IFERROR(__xludf.DUMMYFUNCTION("""COMPUTED_VALUE"""),"Medium")</f>
        <v>Medium</v>
      </c>
      <c r="F1859" s="23">
        <f>IFERROR(__xludf.DUMMYFUNCTION("""COMPUTED_VALUE"""),104.0)</f>
        <v>104</v>
      </c>
      <c r="G1859" s="23">
        <f>IFERROR(__xludf.DUMMYFUNCTION("""COMPUTED_VALUE"""),3.0)</f>
        <v>3</v>
      </c>
      <c r="H1859" s="23" t="str">
        <f>IFERROR(__xludf.DUMMYFUNCTION("""COMPUTED_VALUE"""),"Algorithms")</f>
        <v>Algorithms</v>
      </c>
      <c r="I1859" s="23">
        <f>IFERROR(__xludf.DUMMYFUNCTION("""COMPUTED_VALUE"""),0.664)</f>
        <v>0.664</v>
      </c>
      <c r="J1859" s="23">
        <f>IFERROR(__xludf.DUMMYFUNCTION("""COMPUTED_VALUE"""),1858.0)</f>
        <v>1858</v>
      </c>
      <c r="K1859" s="23" t="b">
        <f>IFERROR(__xludf.DUMMYFUNCTION("""COMPUTED_VALUE"""),TRUE)</f>
        <v>1</v>
      </c>
      <c r="L1859" s="23" t="str">
        <f>IFERROR(__xludf.DUMMYFUNCTION("""COMPUTED_VALUE"""),"Depth-First Search;Trie;")</f>
        <v>Depth-First Search;Trie;</v>
      </c>
      <c r="M1859" s="23" t="b">
        <f>IFERROR(__xludf.DUMMYFUNCTION("""COMPUTED_VALUE"""),FALSE)</f>
        <v>0</v>
      </c>
      <c r="N1859" s="23" t="b">
        <f>IFERROR(__xludf.DUMMYFUNCTION("""COMPUTED_VALUE"""),FALSE)</f>
        <v>0</v>
      </c>
      <c r="O1859" s="23">
        <f>IFERROR(__xludf.DUMMYFUNCTION("""COMPUTED_VALUE"""),66.4450664800559)</f>
        <v>66.44506648</v>
      </c>
      <c r="P1859" s="23">
        <f>IFERROR(__xludf.DUMMYFUNCTION("""COMPUTED_VALUE"""),3798.0)</f>
        <v>3798</v>
      </c>
      <c r="Q1859" s="23">
        <f>IFERROR(__xludf.DUMMYFUNCTION("""COMPUTED_VALUE"""),5716.0)</f>
        <v>5716</v>
      </c>
    </row>
    <row r="1860">
      <c r="A1860" s="23">
        <f>IFERROR(__xludf.DUMMYFUNCTION("""COMPUTED_VALUE"""),1970.0)</f>
        <v>1970</v>
      </c>
      <c r="B1860" s="23" t="str">
        <f>IFERROR(__xludf.DUMMYFUNCTION("""COMPUTED_VALUE"""),"Sorting the Sentence")</f>
        <v>Sorting the Sentence</v>
      </c>
      <c r="C1860" s="23" t="str">
        <f>IFERROR(__xludf.DUMMYFUNCTION("""COMPUTED_VALUE"""),"sorting-the-sentence")</f>
        <v>sorting-the-sentence</v>
      </c>
      <c r="D1860" s="23" t="b">
        <f>IFERROR(__xludf.DUMMYFUNCTION("""COMPUTED_VALUE"""),FALSE)</f>
        <v>0</v>
      </c>
      <c r="E1860" s="23" t="str">
        <f>IFERROR(__xludf.DUMMYFUNCTION("""COMPUTED_VALUE"""),"Easy")</f>
        <v>Easy</v>
      </c>
      <c r="F1860" s="23">
        <f>IFERROR(__xludf.DUMMYFUNCTION("""COMPUTED_VALUE"""),929.0)</f>
        <v>929</v>
      </c>
      <c r="G1860" s="23">
        <f>IFERROR(__xludf.DUMMYFUNCTION("""COMPUTED_VALUE"""),27.0)</f>
        <v>27</v>
      </c>
      <c r="H1860" s="23" t="str">
        <f>IFERROR(__xludf.DUMMYFUNCTION("""COMPUTED_VALUE"""),"Algorithms")</f>
        <v>Algorithms</v>
      </c>
      <c r="I1860" s="23">
        <f>IFERROR(__xludf.DUMMYFUNCTION("""COMPUTED_VALUE"""),0.845)</f>
        <v>0.845</v>
      </c>
      <c r="J1860" s="23">
        <f>IFERROR(__xludf.DUMMYFUNCTION("""COMPUTED_VALUE"""),1859.0)</f>
        <v>1859</v>
      </c>
      <c r="K1860" s="23" t="b">
        <f>IFERROR(__xludf.DUMMYFUNCTION("""COMPUTED_VALUE"""),FALSE)</f>
        <v>0</v>
      </c>
      <c r="L1860" s="23" t="str">
        <f>IFERROR(__xludf.DUMMYFUNCTION("""COMPUTED_VALUE"""),"String;Sorting;")</f>
        <v>String;Sorting;</v>
      </c>
      <c r="M1860" s="23" t="b">
        <f>IFERROR(__xludf.DUMMYFUNCTION("""COMPUTED_VALUE"""),FALSE)</f>
        <v>0</v>
      </c>
      <c r="N1860" s="23" t="b">
        <f>IFERROR(__xludf.DUMMYFUNCTION("""COMPUTED_VALUE"""),FALSE)</f>
        <v>0</v>
      </c>
      <c r="O1860" s="23">
        <f>IFERROR(__xludf.DUMMYFUNCTION("""COMPUTED_VALUE"""),84.5062474808544)</f>
        <v>84.50624748</v>
      </c>
      <c r="P1860" s="23">
        <f>IFERROR(__xludf.DUMMYFUNCTION("""COMPUTED_VALUE"""),62898.0)</f>
        <v>62898</v>
      </c>
      <c r="Q1860" s="23">
        <f>IFERROR(__xludf.DUMMYFUNCTION("""COMPUTED_VALUE"""),74430.0)</f>
        <v>74430</v>
      </c>
    </row>
    <row r="1861">
      <c r="A1861" s="23">
        <f>IFERROR(__xludf.DUMMYFUNCTION("""COMPUTED_VALUE"""),1971.0)</f>
        <v>1971</v>
      </c>
      <c r="B1861" s="23" t="str">
        <f>IFERROR(__xludf.DUMMYFUNCTION("""COMPUTED_VALUE"""),"Incremental Memory Leak")</f>
        <v>Incremental Memory Leak</v>
      </c>
      <c r="C1861" s="23" t="str">
        <f>IFERROR(__xludf.DUMMYFUNCTION("""COMPUTED_VALUE"""),"incremental-memory-leak")</f>
        <v>incremental-memory-leak</v>
      </c>
      <c r="D1861" s="23" t="b">
        <f>IFERROR(__xludf.DUMMYFUNCTION("""COMPUTED_VALUE"""),FALSE)</f>
        <v>0</v>
      </c>
      <c r="E1861" s="23" t="str">
        <f>IFERROR(__xludf.DUMMYFUNCTION("""COMPUTED_VALUE"""),"Medium")</f>
        <v>Medium</v>
      </c>
      <c r="F1861" s="23">
        <f>IFERROR(__xludf.DUMMYFUNCTION("""COMPUTED_VALUE"""),136.0)</f>
        <v>136</v>
      </c>
      <c r="G1861" s="23">
        <f>IFERROR(__xludf.DUMMYFUNCTION("""COMPUTED_VALUE"""),58.0)</f>
        <v>58</v>
      </c>
      <c r="H1861" s="23" t="str">
        <f>IFERROR(__xludf.DUMMYFUNCTION("""COMPUTED_VALUE"""),"Algorithms")</f>
        <v>Algorithms</v>
      </c>
      <c r="I1861" s="23">
        <f>IFERROR(__xludf.DUMMYFUNCTION("""COMPUTED_VALUE"""),0.711)</f>
        <v>0.711</v>
      </c>
      <c r="J1861" s="23">
        <f>IFERROR(__xludf.DUMMYFUNCTION("""COMPUTED_VALUE"""),1860.0)</f>
        <v>1860</v>
      </c>
      <c r="K1861" s="23" t="b">
        <f>IFERROR(__xludf.DUMMYFUNCTION("""COMPUTED_VALUE"""),FALSE)</f>
        <v>0</v>
      </c>
      <c r="L1861" s="23" t="str">
        <f>IFERROR(__xludf.DUMMYFUNCTION("""COMPUTED_VALUE"""),"Simulation;")</f>
        <v>Simulation;</v>
      </c>
      <c r="M1861" s="23" t="b">
        <f>IFERROR(__xludf.DUMMYFUNCTION("""COMPUTED_VALUE"""),FALSE)</f>
        <v>0</v>
      </c>
      <c r="N1861" s="23" t="b">
        <f>IFERROR(__xludf.DUMMYFUNCTION("""COMPUTED_VALUE"""),FALSE)</f>
        <v>0</v>
      </c>
      <c r="O1861" s="23">
        <f>IFERROR(__xludf.DUMMYFUNCTION("""COMPUTED_VALUE"""),71.0503497311983)</f>
        <v>71.05034973</v>
      </c>
      <c r="P1861" s="23">
        <f>IFERROR(__xludf.DUMMYFUNCTION("""COMPUTED_VALUE"""),12291.0)</f>
        <v>12291</v>
      </c>
      <c r="Q1861" s="23">
        <f>IFERROR(__xludf.DUMMYFUNCTION("""COMPUTED_VALUE"""),17299.0)</f>
        <v>17299</v>
      </c>
    </row>
    <row r="1862">
      <c r="A1862" s="23">
        <f>IFERROR(__xludf.DUMMYFUNCTION("""COMPUTED_VALUE"""),1972.0)</f>
        <v>1972</v>
      </c>
      <c r="B1862" s="23" t="str">
        <f>IFERROR(__xludf.DUMMYFUNCTION("""COMPUTED_VALUE"""),"Rotating the Box")</f>
        <v>Rotating the Box</v>
      </c>
      <c r="C1862" s="23" t="str">
        <f>IFERROR(__xludf.DUMMYFUNCTION("""COMPUTED_VALUE"""),"rotating-the-box")</f>
        <v>rotating-the-box</v>
      </c>
      <c r="D1862" s="23" t="b">
        <f>IFERROR(__xludf.DUMMYFUNCTION("""COMPUTED_VALUE"""),FALSE)</f>
        <v>0</v>
      </c>
      <c r="E1862" s="23" t="str">
        <f>IFERROR(__xludf.DUMMYFUNCTION("""COMPUTED_VALUE"""),"Medium")</f>
        <v>Medium</v>
      </c>
      <c r="F1862" s="23">
        <f>IFERROR(__xludf.DUMMYFUNCTION("""COMPUTED_VALUE"""),557.0)</f>
        <v>557</v>
      </c>
      <c r="G1862" s="23">
        <f>IFERROR(__xludf.DUMMYFUNCTION("""COMPUTED_VALUE"""),35.0)</f>
        <v>35</v>
      </c>
      <c r="H1862" s="23" t="str">
        <f>IFERROR(__xludf.DUMMYFUNCTION("""COMPUTED_VALUE"""),"Algorithms")</f>
        <v>Algorithms</v>
      </c>
      <c r="I1862" s="23">
        <f>IFERROR(__xludf.DUMMYFUNCTION("""COMPUTED_VALUE"""),0.645)</f>
        <v>0.645</v>
      </c>
      <c r="J1862" s="23">
        <f>IFERROR(__xludf.DUMMYFUNCTION("""COMPUTED_VALUE"""),1861.0)</f>
        <v>1861</v>
      </c>
      <c r="K1862" s="23" t="b">
        <f>IFERROR(__xludf.DUMMYFUNCTION("""COMPUTED_VALUE"""),FALSE)</f>
        <v>0</v>
      </c>
      <c r="L1862" s="23" t="str">
        <f>IFERROR(__xludf.DUMMYFUNCTION("""COMPUTED_VALUE"""),"Array;Two Pointers;Matrix;")</f>
        <v>Array;Two Pointers;Matrix;</v>
      </c>
      <c r="M1862" s="23" t="b">
        <f>IFERROR(__xludf.DUMMYFUNCTION("""COMPUTED_VALUE"""),FALSE)</f>
        <v>0</v>
      </c>
      <c r="N1862" s="23" t="b">
        <f>IFERROR(__xludf.DUMMYFUNCTION("""COMPUTED_VALUE"""),FALSE)</f>
        <v>0</v>
      </c>
      <c r="O1862" s="23">
        <f>IFERROR(__xludf.DUMMYFUNCTION("""COMPUTED_VALUE"""),64.5230360307147)</f>
        <v>64.52303603</v>
      </c>
      <c r="P1862" s="23">
        <f>IFERROR(__xludf.DUMMYFUNCTION("""COMPUTED_VALUE"""),26217.0)</f>
        <v>26217</v>
      </c>
      <c r="Q1862" s="23">
        <f>IFERROR(__xludf.DUMMYFUNCTION("""COMPUTED_VALUE"""),40632.0)</f>
        <v>40632</v>
      </c>
    </row>
    <row r="1863">
      <c r="A1863" s="23">
        <f>IFERROR(__xludf.DUMMYFUNCTION("""COMPUTED_VALUE"""),1326.0)</f>
        <v>1326</v>
      </c>
      <c r="B1863" s="23" t="str">
        <f>IFERROR(__xludf.DUMMYFUNCTION("""COMPUTED_VALUE"""),"Sum of Floored Pairs")</f>
        <v>Sum of Floored Pairs</v>
      </c>
      <c r="C1863" s="23" t="str">
        <f>IFERROR(__xludf.DUMMYFUNCTION("""COMPUTED_VALUE"""),"sum-of-floored-pairs")</f>
        <v>sum-of-floored-pairs</v>
      </c>
      <c r="D1863" s="23" t="b">
        <f>IFERROR(__xludf.DUMMYFUNCTION("""COMPUTED_VALUE"""),FALSE)</f>
        <v>0</v>
      </c>
      <c r="E1863" s="23" t="str">
        <f>IFERROR(__xludf.DUMMYFUNCTION("""COMPUTED_VALUE"""),"Hard")</f>
        <v>Hard</v>
      </c>
      <c r="F1863" s="23">
        <f>IFERROR(__xludf.DUMMYFUNCTION("""COMPUTED_VALUE"""),287.0)</f>
        <v>287</v>
      </c>
      <c r="G1863" s="23">
        <f>IFERROR(__xludf.DUMMYFUNCTION("""COMPUTED_VALUE"""),26.0)</f>
        <v>26</v>
      </c>
      <c r="H1863" s="23" t="str">
        <f>IFERROR(__xludf.DUMMYFUNCTION("""COMPUTED_VALUE"""),"Algorithms")</f>
        <v>Algorithms</v>
      </c>
      <c r="I1863" s="23">
        <f>IFERROR(__xludf.DUMMYFUNCTION("""COMPUTED_VALUE"""),0.28)</f>
        <v>0.28</v>
      </c>
      <c r="J1863" s="23">
        <f>IFERROR(__xludf.DUMMYFUNCTION("""COMPUTED_VALUE"""),1862.0)</f>
        <v>1862</v>
      </c>
      <c r="K1863" s="23" t="b">
        <f>IFERROR(__xludf.DUMMYFUNCTION("""COMPUTED_VALUE"""),FALSE)</f>
        <v>0</v>
      </c>
      <c r="L1863" s="23" t="str">
        <f>IFERROR(__xludf.DUMMYFUNCTION("""COMPUTED_VALUE"""),"Array;Math;Binary Search;Prefix Sum;")</f>
        <v>Array;Math;Binary Search;Prefix Sum;</v>
      </c>
      <c r="M1863" s="23" t="b">
        <f>IFERROR(__xludf.DUMMYFUNCTION("""COMPUTED_VALUE"""),FALSE)</f>
        <v>0</v>
      </c>
      <c r="N1863" s="23" t="b">
        <f>IFERROR(__xludf.DUMMYFUNCTION("""COMPUTED_VALUE"""),FALSE)</f>
        <v>0</v>
      </c>
      <c r="O1863" s="23">
        <f>IFERROR(__xludf.DUMMYFUNCTION("""COMPUTED_VALUE"""),27.9605418416953)</f>
        <v>27.96054184</v>
      </c>
      <c r="P1863" s="23">
        <f>IFERROR(__xludf.DUMMYFUNCTION("""COMPUTED_VALUE"""),5924.0)</f>
        <v>5924</v>
      </c>
      <c r="Q1863" s="23">
        <f>IFERROR(__xludf.DUMMYFUNCTION("""COMPUTED_VALUE"""),21187.0)</f>
        <v>21187</v>
      </c>
    </row>
    <row r="1864">
      <c r="A1864" s="23">
        <f>IFERROR(__xludf.DUMMYFUNCTION("""COMPUTED_VALUE"""),1993.0)</f>
        <v>1993</v>
      </c>
      <c r="B1864" s="23" t="str">
        <f>IFERROR(__xludf.DUMMYFUNCTION("""COMPUTED_VALUE"""),"Sum of All Subset XOR Totals")</f>
        <v>Sum of All Subset XOR Totals</v>
      </c>
      <c r="C1864" s="23" t="str">
        <f>IFERROR(__xludf.DUMMYFUNCTION("""COMPUTED_VALUE"""),"sum-of-all-subset-xor-totals")</f>
        <v>sum-of-all-subset-xor-totals</v>
      </c>
      <c r="D1864" s="23" t="b">
        <f>IFERROR(__xludf.DUMMYFUNCTION("""COMPUTED_VALUE"""),FALSE)</f>
        <v>0</v>
      </c>
      <c r="E1864" s="23" t="str">
        <f>IFERROR(__xludf.DUMMYFUNCTION("""COMPUTED_VALUE"""),"Easy")</f>
        <v>Easy</v>
      </c>
      <c r="F1864" s="23">
        <f>IFERROR(__xludf.DUMMYFUNCTION("""COMPUTED_VALUE"""),740.0)</f>
        <v>740</v>
      </c>
      <c r="G1864" s="23">
        <f>IFERROR(__xludf.DUMMYFUNCTION("""COMPUTED_VALUE"""),78.0)</f>
        <v>78</v>
      </c>
      <c r="H1864" s="23" t="str">
        <f>IFERROR(__xludf.DUMMYFUNCTION("""COMPUTED_VALUE"""),"Algorithms")</f>
        <v>Algorithms</v>
      </c>
      <c r="I1864" s="23">
        <f>IFERROR(__xludf.DUMMYFUNCTION("""COMPUTED_VALUE"""),0.786)</f>
        <v>0.786</v>
      </c>
      <c r="J1864" s="23">
        <f>IFERROR(__xludf.DUMMYFUNCTION("""COMPUTED_VALUE"""),1863.0)</f>
        <v>1863</v>
      </c>
      <c r="K1864" s="23" t="b">
        <f>IFERROR(__xludf.DUMMYFUNCTION("""COMPUTED_VALUE"""),FALSE)</f>
        <v>0</v>
      </c>
      <c r="L1864" s="23" t="str">
        <f>IFERROR(__xludf.DUMMYFUNCTION("""COMPUTED_VALUE"""),"Array;Math;Backtracking;Bit Manipulation;Combinatorics;")</f>
        <v>Array;Math;Backtracking;Bit Manipulation;Combinatorics;</v>
      </c>
      <c r="M1864" s="23" t="b">
        <f>IFERROR(__xludf.DUMMYFUNCTION("""COMPUTED_VALUE"""),FALSE)</f>
        <v>0</v>
      </c>
      <c r="N1864" s="23" t="b">
        <f>IFERROR(__xludf.DUMMYFUNCTION("""COMPUTED_VALUE"""),FALSE)</f>
        <v>0</v>
      </c>
      <c r="O1864" s="23">
        <f>IFERROR(__xludf.DUMMYFUNCTION("""COMPUTED_VALUE"""),78.5981873111782)</f>
        <v>78.59818731</v>
      </c>
      <c r="P1864" s="23">
        <f>IFERROR(__xludf.DUMMYFUNCTION("""COMPUTED_VALUE"""),32520.0)</f>
        <v>32520</v>
      </c>
      <c r="Q1864" s="23">
        <f>IFERROR(__xludf.DUMMYFUNCTION("""COMPUTED_VALUE"""),41375.0)</f>
        <v>41375</v>
      </c>
    </row>
    <row r="1865">
      <c r="A1865" s="23">
        <f>IFERROR(__xludf.DUMMYFUNCTION("""COMPUTED_VALUE"""),1994.0)</f>
        <v>1994</v>
      </c>
      <c r="B1865" s="23" t="str">
        <f>IFERROR(__xludf.DUMMYFUNCTION("""COMPUTED_VALUE"""),"Minimum Number of Swaps to Make the Binary String Alternating")</f>
        <v>Minimum Number of Swaps to Make the Binary String Alternating</v>
      </c>
      <c r="C1865" s="23" t="str">
        <f>IFERROR(__xludf.DUMMYFUNCTION("""COMPUTED_VALUE"""),"minimum-number-of-swaps-to-make-the-binary-string-alternating")</f>
        <v>minimum-number-of-swaps-to-make-the-binary-string-alternating</v>
      </c>
      <c r="D1865" s="23" t="b">
        <f>IFERROR(__xludf.DUMMYFUNCTION("""COMPUTED_VALUE"""),FALSE)</f>
        <v>0</v>
      </c>
      <c r="E1865" s="23" t="str">
        <f>IFERROR(__xludf.DUMMYFUNCTION("""COMPUTED_VALUE"""),"Medium")</f>
        <v>Medium</v>
      </c>
      <c r="F1865" s="23">
        <f>IFERROR(__xludf.DUMMYFUNCTION("""COMPUTED_VALUE"""),308.0)</f>
        <v>308</v>
      </c>
      <c r="G1865" s="23">
        <f>IFERROR(__xludf.DUMMYFUNCTION("""COMPUTED_VALUE"""),22.0)</f>
        <v>22</v>
      </c>
      <c r="H1865" s="23" t="str">
        <f>IFERROR(__xludf.DUMMYFUNCTION("""COMPUTED_VALUE"""),"Algorithms")</f>
        <v>Algorithms</v>
      </c>
      <c r="I1865" s="23">
        <f>IFERROR(__xludf.DUMMYFUNCTION("""COMPUTED_VALUE"""),0.389)</f>
        <v>0.389</v>
      </c>
      <c r="J1865" s="23">
        <f>IFERROR(__xludf.DUMMYFUNCTION("""COMPUTED_VALUE"""),1864.0)</f>
        <v>1864</v>
      </c>
      <c r="K1865" s="23" t="b">
        <f>IFERROR(__xludf.DUMMYFUNCTION("""COMPUTED_VALUE"""),FALSE)</f>
        <v>0</v>
      </c>
      <c r="L1865" s="23" t="str">
        <f>IFERROR(__xludf.DUMMYFUNCTION("""COMPUTED_VALUE"""),"String;Greedy;")</f>
        <v>String;Greedy;</v>
      </c>
      <c r="M1865" s="23" t="b">
        <f>IFERROR(__xludf.DUMMYFUNCTION("""COMPUTED_VALUE"""),FALSE)</f>
        <v>0</v>
      </c>
      <c r="N1865" s="23" t="b">
        <f>IFERROR(__xludf.DUMMYFUNCTION("""COMPUTED_VALUE"""),FALSE)</f>
        <v>0</v>
      </c>
      <c r="O1865" s="23">
        <f>IFERROR(__xludf.DUMMYFUNCTION("""COMPUTED_VALUE"""),38.9230318993268)</f>
        <v>38.9230319</v>
      </c>
      <c r="P1865" s="23">
        <f>IFERROR(__xludf.DUMMYFUNCTION("""COMPUTED_VALUE"""),13300.0)</f>
        <v>13300</v>
      </c>
      <c r="Q1865" s="23">
        <f>IFERROR(__xludf.DUMMYFUNCTION("""COMPUTED_VALUE"""),34170.0)</f>
        <v>34170</v>
      </c>
    </row>
    <row r="1866">
      <c r="A1866" s="23">
        <f>IFERROR(__xludf.DUMMYFUNCTION("""COMPUTED_VALUE"""),1995.0)</f>
        <v>1995</v>
      </c>
      <c r="B1866" s="23" t="str">
        <f>IFERROR(__xludf.DUMMYFUNCTION("""COMPUTED_VALUE"""),"Finding Pairs With a Certain Sum")</f>
        <v>Finding Pairs With a Certain Sum</v>
      </c>
      <c r="C1866" s="23" t="str">
        <f>IFERROR(__xludf.DUMMYFUNCTION("""COMPUTED_VALUE"""),"finding-pairs-with-a-certain-sum")</f>
        <v>finding-pairs-with-a-certain-sum</v>
      </c>
      <c r="D1866" s="23" t="b">
        <f>IFERROR(__xludf.DUMMYFUNCTION("""COMPUTED_VALUE"""),FALSE)</f>
        <v>0</v>
      </c>
      <c r="E1866" s="23" t="str">
        <f>IFERROR(__xludf.DUMMYFUNCTION("""COMPUTED_VALUE"""),"Medium")</f>
        <v>Medium</v>
      </c>
      <c r="F1866" s="23">
        <f>IFERROR(__xludf.DUMMYFUNCTION("""COMPUTED_VALUE"""),309.0)</f>
        <v>309</v>
      </c>
      <c r="G1866" s="23">
        <f>IFERROR(__xludf.DUMMYFUNCTION("""COMPUTED_VALUE"""),77.0)</f>
        <v>77</v>
      </c>
      <c r="H1866" s="23" t="str">
        <f>IFERROR(__xludf.DUMMYFUNCTION("""COMPUTED_VALUE"""),"Algorithms")</f>
        <v>Algorithms</v>
      </c>
      <c r="I1866" s="23">
        <f>IFERROR(__xludf.DUMMYFUNCTION("""COMPUTED_VALUE"""),0.494)</f>
        <v>0.494</v>
      </c>
      <c r="J1866" s="23">
        <f>IFERROR(__xludf.DUMMYFUNCTION("""COMPUTED_VALUE"""),1865.0)</f>
        <v>1865</v>
      </c>
      <c r="K1866" s="23" t="b">
        <f>IFERROR(__xludf.DUMMYFUNCTION("""COMPUTED_VALUE"""),FALSE)</f>
        <v>0</v>
      </c>
      <c r="L1866" s="23" t="str">
        <f>IFERROR(__xludf.DUMMYFUNCTION("""COMPUTED_VALUE"""),"Array;Hash Table;Design;")</f>
        <v>Array;Hash Table;Design;</v>
      </c>
      <c r="M1866" s="23" t="b">
        <f>IFERROR(__xludf.DUMMYFUNCTION("""COMPUTED_VALUE"""),FALSE)</f>
        <v>0</v>
      </c>
      <c r="N1866" s="23" t="b">
        <f>IFERROR(__xludf.DUMMYFUNCTION("""COMPUTED_VALUE"""),FALSE)</f>
        <v>0</v>
      </c>
      <c r="O1866" s="23">
        <f>IFERROR(__xludf.DUMMYFUNCTION("""COMPUTED_VALUE"""),49.3934983017952)</f>
        <v>49.3934983</v>
      </c>
      <c r="P1866" s="23">
        <f>IFERROR(__xludf.DUMMYFUNCTION("""COMPUTED_VALUE"""),15270.0)</f>
        <v>15270</v>
      </c>
      <c r="Q1866" s="23">
        <f>IFERROR(__xludf.DUMMYFUNCTION("""COMPUTED_VALUE"""),30915.0)</f>
        <v>30915</v>
      </c>
    </row>
    <row r="1867">
      <c r="A1867" s="23">
        <f>IFERROR(__xludf.DUMMYFUNCTION("""COMPUTED_VALUE"""),1996.0)</f>
        <v>1996</v>
      </c>
      <c r="B1867" s="23" t="str">
        <f>IFERROR(__xludf.DUMMYFUNCTION("""COMPUTED_VALUE"""),"Number of Ways to Rearrange Sticks With K Sticks Visible")</f>
        <v>Number of Ways to Rearrange Sticks With K Sticks Visible</v>
      </c>
      <c r="C1867" s="23" t="str">
        <f>IFERROR(__xludf.DUMMYFUNCTION("""COMPUTED_VALUE"""),"number-of-ways-to-rearrange-sticks-with-k-sticks-visible")</f>
        <v>number-of-ways-to-rearrange-sticks-with-k-sticks-visible</v>
      </c>
      <c r="D1867" s="23" t="b">
        <f>IFERROR(__xludf.DUMMYFUNCTION("""COMPUTED_VALUE"""),FALSE)</f>
        <v>0</v>
      </c>
      <c r="E1867" s="23" t="str">
        <f>IFERROR(__xludf.DUMMYFUNCTION("""COMPUTED_VALUE"""),"Hard")</f>
        <v>Hard</v>
      </c>
      <c r="F1867" s="23">
        <f>IFERROR(__xludf.DUMMYFUNCTION("""COMPUTED_VALUE"""),439.0)</f>
        <v>439</v>
      </c>
      <c r="G1867" s="23">
        <f>IFERROR(__xludf.DUMMYFUNCTION("""COMPUTED_VALUE"""),10.0)</f>
        <v>10</v>
      </c>
      <c r="H1867" s="23" t="str">
        <f>IFERROR(__xludf.DUMMYFUNCTION("""COMPUTED_VALUE"""),"Algorithms")</f>
        <v>Algorithms</v>
      </c>
      <c r="I1867" s="23">
        <f>IFERROR(__xludf.DUMMYFUNCTION("""COMPUTED_VALUE"""),0.553)</f>
        <v>0.553</v>
      </c>
      <c r="J1867" s="23">
        <f>IFERROR(__xludf.DUMMYFUNCTION("""COMPUTED_VALUE"""),1866.0)</f>
        <v>1866</v>
      </c>
      <c r="K1867" s="23" t="b">
        <f>IFERROR(__xludf.DUMMYFUNCTION("""COMPUTED_VALUE"""),FALSE)</f>
        <v>0</v>
      </c>
      <c r="L1867" s="23" t="str">
        <f>IFERROR(__xludf.DUMMYFUNCTION("""COMPUTED_VALUE"""),"Math;Dynamic Programming;Combinatorics;")</f>
        <v>Math;Dynamic Programming;Combinatorics;</v>
      </c>
      <c r="M1867" s="23" t="b">
        <f>IFERROR(__xludf.DUMMYFUNCTION("""COMPUTED_VALUE"""),FALSE)</f>
        <v>0</v>
      </c>
      <c r="N1867" s="23" t="b">
        <f>IFERROR(__xludf.DUMMYFUNCTION("""COMPUTED_VALUE"""),FALSE)</f>
        <v>0</v>
      </c>
      <c r="O1867" s="23">
        <f>IFERROR(__xludf.DUMMYFUNCTION("""COMPUTED_VALUE"""),55.2894900282934)</f>
        <v>55.28949003</v>
      </c>
      <c r="P1867" s="23">
        <f>IFERROR(__xludf.DUMMYFUNCTION("""COMPUTED_VALUE"""),8012.0)</f>
        <v>8012</v>
      </c>
      <c r="Q1867" s="23">
        <f>IFERROR(__xludf.DUMMYFUNCTION("""COMPUTED_VALUE"""),14491.0)</f>
        <v>14491</v>
      </c>
    </row>
    <row r="1868">
      <c r="A1868" s="23">
        <f>IFERROR(__xludf.DUMMYFUNCTION("""COMPUTED_VALUE"""),2014.0)</f>
        <v>2014</v>
      </c>
      <c r="B1868" s="23" t="str">
        <f>IFERROR(__xludf.DUMMYFUNCTION("""COMPUTED_VALUE"""),"Orders With Maximum Quantity Above Average")</f>
        <v>Orders With Maximum Quantity Above Average</v>
      </c>
      <c r="C1868" s="23" t="str">
        <f>IFERROR(__xludf.DUMMYFUNCTION("""COMPUTED_VALUE"""),"orders-with-maximum-quantity-above-average")</f>
        <v>orders-with-maximum-quantity-above-average</v>
      </c>
      <c r="D1868" s="23" t="b">
        <f>IFERROR(__xludf.DUMMYFUNCTION("""COMPUTED_VALUE"""),TRUE)</f>
        <v>1</v>
      </c>
      <c r="E1868" s="23" t="str">
        <f>IFERROR(__xludf.DUMMYFUNCTION("""COMPUTED_VALUE"""),"Medium")</f>
        <v>Medium</v>
      </c>
      <c r="F1868" s="23">
        <f>IFERROR(__xludf.DUMMYFUNCTION("""COMPUTED_VALUE"""),34.0)</f>
        <v>34</v>
      </c>
      <c r="G1868" s="23">
        <f>IFERROR(__xludf.DUMMYFUNCTION("""COMPUTED_VALUE"""),120.0)</f>
        <v>120</v>
      </c>
      <c r="H1868" s="23" t="str">
        <f>IFERROR(__xludf.DUMMYFUNCTION("""COMPUTED_VALUE"""),"Database")</f>
        <v>Database</v>
      </c>
      <c r="I1868" s="23">
        <f>IFERROR(__xludf.DUMMYFUNCTION("""COMPUTED_VALUE"""),0.761)</f>
        <v>0.761</v>
      </c>
      <c r="J1868" s="23">
        <f>IFERROR(__xludf.DUMMYFUNCTION("""COMPUTED_VALUE"""),1867.0)</f>
        <v>1867</v>
      </c>
      <c r="K1868" s="23" t="b">
        <f>IFERROR(__xludf.DUMMYFUNCTION("""COMPUTED_VALUE"""),TRUE)</f>
        <v>1</v>
      </c>
      <c r="L1868" s="23" t="str">
        <f>IFERROR(__xludf.DUMMYFUNCTION("""COMPUTED_VALUE"""),"Database;")</f>
        <v>Database;</v>
      </c>
      <c r="M1868" s="23" t="b">
        <f>IFERROR(__xludf.DUMMYFUNCTION("""COMPUTED_VALUE"""),FALSE)</f>
        <v>0</v>
      </c>
      <c r="N1868" s="23" t="b">
        <f>IFERROR(__xludf.DUMMYFUNCTION("""COMPUTED_VALUE"""),FALSE)</f>
        <v>0</v>
      </c>
      <c r="O1868" s="23">
        <f>IFERROR(__xludf.DUMMYFUNCTION("""COMPUTED_VALUE"""),76.0924881070915)</f>
        <v>76.09248811</v>
      </c>
      <c r="P1868" s="23">
        <f>IFERROR(__xludf.DUMMYFUNCTION("""COMPUTED_VALUE"""),6878.0)</f>
        <v>6878</v>
      </c>
      <c r="Q1868" s="23">
        <f>IFERROR(__xludf.DUMMYFUNCTION("""COMPUTED_VALUE"""),9039.0)</f>
        <v>9039</v>
      </c>
    </row>
    <row r="1869">
      <c r="A1869" s="23">
        <f>IFERROR(__xludf.DUMMYFUNCTION("""COMPUTED_VALUE"""),2019.0)</f>
        <v>2019</v>
      </c>
      <c r="B1869" s="23" t="str">
        <f>IFERROR(__xludf.DUMMYFUNCTION("""COMPUTED_VALUE"""),"Product of Two Run-Length Encoded Arrays")</f>
        <v>Product of Two Run-Length Encoded Arrays</v>
      </c>
      <c r="C1869" s="23" t="str">
        <f>IFERROR(__xludf.DUMMYFUNCTION("""COMPUTED_VALUE"""),"product-of-two-run-length-encoded-arrays")</f>
        <v>product-of-two-run-length-encoded-arrays</v>
      </c>
      <c r="D1869" s="23" t="b">
        <f>IFERROR(__xludf.DUMMYFUNCTION("""COMPUTED_VALUE"""),TRUE)</f>
        <v>1</v>
      </c>
      <c r="E1869" s="23" t="str">
        <f>IFERROR(__xludf.DUMMYFUNCTION("""COMPUTED_VALUE"""),"Medium")</f>
        <v>Medium</v>
      </c>
      <c r="F1869" s="23">
        <f>IFERROR(__xludf.DUMMYFUNCTION("""COMPUTED_VALUE"""),226.0)</f>
        <v>226</v>
      </c>
      <c r="G1869" s="23">
        <f>IFERROR(__xludf.DUMMYFUNCTION("""COMPUTED_VALUE"""),37.0)</f>
        <v>37</v>
      </c>
      <c r="H1869" s="23" t="str">
        <f>IFERROR(__xludf.DUMMYFUNCTION("""COMPUTED_VALUE"""),"Algorithms")</f>
        <v>Algorithms</v>
      </c>
      <c r="I1869" s="23">
        <f>IFERROR(__xludf.DUMMYFUNCTION("""COMPUTED_VALUE"""),0.581)</f>
        <v>0.581</v>
      </c>
      <c r="J1869" s="23">
        <f>IFERROR(__xludf.DUMMYFUNCTION("""COMPUTED_VALUE"""),1868.0)</f>
        <v>1868</v>
      </c>
      <c r="K1869" s="23" t="b">
        <f>IFERROR(__xludf.DUMMYFUNCTION("""COMPUTED_VALUE"""),TRUE)</f>
        <v>1</v>
      </c>
      <c r="L1869" s="23" t="str">
        <f>IFERROR(__xludf.DUMMYFUNCTION("""COMPUTED_VALUE"""),"Array;Two Pointers;")</f>
        <v>Array;Two Pointers;</v>
      </c>
      <c r="M1869" s="23" t="b">
        <f>IFERROR(__xludf.DUMMYFUNCTION("""COMPUTED_VALUE"""),FALSE)</f>
        <v>0</v>
      </c>
      <c r="N1869" s="23" t="b">
        <f>IFERROR(__xludf.DUMMYFUNCTION("""COMPUTED_VALUE"""),FALSE)</f>
        <v>0</v>
      </c>
      <c r="O1869" s="23">
        <f>IFERROR(__xludf.DUMMYFUNCTION("""COMPUTED_VALUE"""),58.1255703058311)</f>
        <v>58.12557031</v>
      </c>
      <c r="P1869" s="23">
        <f>IFERROR(__xludf.DUMMYFUNCTION("""COMPUTED_VALUE"""),19747.0)</f>
        <v>19747</v>
      </c>
      <c r="Q1869" s="23">
        <f>IFERROR(__xludf.DUMMYFUNCTION("""COMPUTED_VALUE"""),33973.0)</f>
        <v>33973</v>
      </c>
    </row>
    <row r="1870">
      <c r="A1870" s="23">
        <f>IFERROR(__xludf.DUMMYFUNCTION("""COMPUTED_VALUE"""),1999.0)</f>
        <v>1999</v>
      </c>
      <c r="B1870" s="23" t="str">
        <f>IFERROR(__xludf.DUMMYFUNCTION("""COMPUTED_VALUE"""),"Longer Contiguous Segments of Ones than Zeros")</f>
        <v>Longer Contiguous Segments of Ones than Zeros</v>
      </c>
      <c r="C1870" s="23" t="str">
        <f>IFERROR(__xludf.DUMMYFUNCTION("""COMPUTED_VALUE"""),"longer-contiguous-segments-of-ones-than-zeros")</f>
        <v>longer-contiguous-segments-of-ones-than-zeros</v>
      </c>
      <c r="D1870" s="23" t="b">
        <f>IFERROR(__xludf.DUMMYFUNCTION("""COMPUTED_VALUE"""),FALSE)</f>
        <v>0</v>
      </c>
      <c r="E1870" s="23" t="str">
        <f>IFERROR(__xludf.DUMMYFUNCTION("""COMPUTED_VALUE"""),"Easy")</f>
        <v>Easy</v>
      </c>
      <c r="F1870" s="23">
        <f>IFERROR(__xludf.DUMMYFUNCTION("""COMPUTED_VALUE"""),282.0)</f>
        <v>282</v>
      </c>
      <c r="G1870" s="23">
        <f>IFERROR(__xludf.DUMMYFUNCTION("""COMPUTED_VALUE"""),6.0)</f>
        <v>6</v>
      </c>
      <c r="H1870" s="23" t="str">
        <f>IFERROR(__xludf.DUMMYFUNCTION("""COMPUTED_VALUE"""),"Algorithms")</f>
        <v>Algorithms</v>
      </c>
      <c r="I1870" s="23">
        <f>IFERROR(__xludf.DUMMYFUNCTION("""COMPUTED_VALUE"""),0.603)</f>
        <v>0.603</v>
      </c>
      <c r="J1870" s="23">
        <f>IFERROR(__xludf.DUMMYFUNCTION("""COMPUTED_VALUE"""),1869.0)</f>
        <v>1869</v>
      </c>
      <c r="K1870" s="23" t="b">
        <f>IFERROR(__xludf.DUMMYFUNCTION("""COMPUTED_VALUE"""),FALSE)</f>
        <v>0</v>
      </c>
      <c r="L1870" s="23" t="str">
        <f>IFERROR(__xludf.DUMMYFUNCTION("""COMPUTED_VALUE"""),"String;")</f>
        <v>String;</v>
      </c>
      <c r="M1870" s="23" t="b">
        <f>IFERROR(__xludf.DUMMYFUNCTION("""COMPUTED_VALUE"""),FALSE)</f>
        <v>0</v>
      </c>
      <c r="N1870" s="23" t="b">
        <f>IFERROR(__xludf.DUMMYFUNCTION("""COMPUTED_VALUE"""),FALSE)</f>
        <v>0</v>
      </c>
      <c r="O1870" s="23">
        <f>IFERROR(__xludf.DUMMYFUNCTION("""COMPUTED_VALUE"""),60.2700464938538)</f>
        <v>60.27004649</v>
      </c>
      <c r="P1870" s="23">
        <f>IFERROR(__xludf.DUMMYFUNCTION("""COMPUTED_VALUE"""),28389.0)</f>
        <v>28389</v>
      </c>
      <c r="Q1870" s="23">
        <f>IFERROR(__xludf.DUMMYFUNCTION("""COMPUTED_VALUE"""),47103.0)</f>
        <v>47103</v>
      </c>
    </row>
    <row r="1871">
      <c r="A1871" s="23">
        <f>IFERROR(__xludf.DUMMYFUNCTION("""COMPUTED_VALUE"""),2000.0)</f>
        <v>2000</v>
      </c>
      <c r="B1871" s="23" t="str">
        <f>IFERROR(__xludf.DUMMYFUNCTION("""COMPUTED_VALUE"""),"Minimum Speed to Arrive on Time")</f>
        <v>Minimum Speed to Arrive on Time</v>
      </c>
      <c r="C1871" s="23" t="str">
        <f>IFERROR(__xludf.DUMMYFUNCTION("""COMPUTED_VALUE"""),"minimum-speed-to-arrive-on-time")</f>
        <v>minimum-speed-to-arrive-on-time</v>
      </c>
      <c r="D1871" s="23" t="b">
        <f>IFERROR(__xludf.DUMMYFUNCTION("""COMPUTED_VALUE"""),FALSE)</f>
        <v>0</v>
      </c>
      <c r="E1871" s="23" t="str">
        <f>IFERROR(__xludf.DUMMYFUNCTION("""COMPUTED_VALUE"""),"Medium")</f>
        <v>Medium</v>
      </c>
      <c r="F1871" s="23">
        <f>IFERROR(__xludf.DUMMYFUNCTION("""COMPUTED_VALUE"""),475.0)</f>
        <v>475</v>
      </c>
      <c r="G1871" s="23">
        <f>IFERROR(__xludf.DUMMYFUNCTION("""COMPUTED_VALUE"""),77.0)</f>
        <v>77</v>
      </c>
      <c r="H1871" s="23" t="str">
        <f>IFERROR(__xludf.DUMMYFUNCTION("""COMPUTED_VALUE"""),"Algorithms")</f>
        <v>Algorithms</v>
      </c>
      <c r="I1871" s="23">
        <f>IFERROR(__xludf.DUMMYFUNCTION("""COMPUTED_VALUE"""),0.361)</f>
        <v>0.361</v>
      </c>
      <c r="J1871" s="23">
        <f>IFERROR(__xludf.DUMMYFUNCTION("""COMPUTED_VALUE"""),1870.0)</f>
        <v>1870</v>
      </c>
      <c r="K1871" s="23" t="b">
        <f>IFERROR(__xludf.DUMMYFUNCTION("""COMPUTED_VALUE"""),FALSE)</f>
        <v>0</v>
      </c>
      <c r="L1871" s="23" t="str">
        <f>IFERROR(__xludf.DUMMYFUNCTION("""COMPUTED_VALUE"""),"Array;Binary Search;")</f>
        <v>Array;Binary Search;</v>
      </c>
      <c r="M1871" s="23" t="b">
        <f>IFERROR(__xludf.DUMMYFUNCTION("""COMPUTED_VALUE"""),FALSE)</f>
        <v>0</v>
      </c>
      <c r="N1871" s="23" t="b">
        <f>IFERROR(__xludf.DUMMYFUNCTION("""COMPUTED_VALUE"""),FALSE)</f>
        <v>0</v>
      </c>
      <c r="O1871" s="23">
        <f>IFERROR(__xludf.DUMMYFUNCTION("""COMPUTED_VALUE"""),36.1206761621537)</f>
        <v>36.12067616</v>
      </c>
      <c r="P1871" s="23">
        <f>IFERROR(__xludf.DUMMYFUNCTION("""COMPUTED_VALUE"""),18462.0)</f>
        <v>18462</v>
      </c>
      <c r="Q1871" s="23">
        <f>IFERROR(__xludf.DUMMYFUNCTION("""COMPUTED_VALUE"""),51112.0)</f>
        <v>51112</v>
      </c>
    </row>
    <row r="1872">
      <c r="A1872" s="23">
        <f>IFERROR(__xludf.DUMMYFUNCTION("""COMPUTED_VALUE"""),2001.0)</f>
        <v>2001</v>
      </c>
      <c r="B1872" s="23" t="str">
        <f>IFERROR(__xludf.DUMMYFUNCTION("""COMPUTED_VALUE"""),"Jump Game VII")</f>
        <v>Jump Game VII</v>
      </c>
      <c r="C1872" s="23" t="str">
        <f>IFERROR(__xludf.DUMMYFUNCTION("""COMPUTED_VALUE"""),"jump-game-vii")</f>
        <v>jump-game-vii</v>
      </c>
      <c r="D1872" s="23" t="b">
        <f>IFERROR(__xludf.DUMMYFUNCTION("""COMPUTED_VALUE"""),FALSE)</f>
        <v>0</v>
      </c>
      <c r="E1872" s="23" t="str">
        <f>IFERROR(__xludf.DUMMYFUNCTION("""COMPUTED_VALUE"""),"Medium")</f>
        <v>Medium</v>
      </c>
      <c r="F1872" s="23">
        <f>IFERROR(__xludf.DUMMYFUNCTION("""COMPUTED_VALUE"""),837.0)</f>
        <v>837</v>
      </c>
      <c r="G1872" s="23">
        <f>IFERROR(__xludf.DUMMYFUNCTION("""COMPUTED_VALUE"""),51.0)</f>
        <v>51</v>
      </c>
      <c r="H1872" s="23" t="str">
        <f>IFERROR(__xludf.DUMMYFUNCTION("""COMPUTED_VALUE"""),"Algorithms")</f>
        <v>Algorithms</v>
      </c>
      <c r="I1872" s="23">
        <f>IFERROR(__xludf.DUMMYFUNCTION("""COMPUTED_VALUE"""),0.248)</f>
        <v>0.248</v>
      </c>
      <c r="J1872" s="23">
        <f>IFERROR(__xludf.DUMMYFUNCTION("""COMPUTED_VALUE"""),1871.0)</f>
        <v>1871</v>
      </c>
      <c r="K1872" s="23" t="b">
        <f>IFERROR(__xludf.DUMMYFUNCTION("""COMPUTED_VALUE"""),FALSE)</f>
        <v>0</v>
      </c>
      <c r="L1872" s="23" t="str">
        <f>IFERROR(__xludf.DUMMYFUNCTION("""COMPUTED_VALUE"""),"Two Pointers;String;Prefix Sum;")</f>
        <v>Two Pointers;String;Prefix Sum;</v>
      </c>
      <c r="M1872" s="23" t="b">
        <f>IFERROR(__xludf.DUMMYFUNCTION("""COMPUTED_VALUE"""),FALSE)</f>
        <v>0</v>
      </c>
      <c r="N1872" s="23" t="b">
        <f>IFERROR(__xludf.DUMMYFUNCTION("""COMPUTED_VALUE"""),FALSE)</f>
        <v>0</v>
      </c>
      <c r="O1872" s="23">
        <f>IFERROR(__xludf.DUMMYFUNCTION("""COMPUTED_VALUE"""),24.8373415051184)</f>
        <v>24.83734151</v>
      </c>
      <c r="P1872" s="23">
        <f>IFERROR(__xludf.DUMMYFUNCTION("""COMPUTED_VALUE"""),22370.0)</f>
        <v>22370</v>
      </c>
      <c r="Q1872" s="23">
        <f>IFERROR(__xludf.DUMMYFUNCTION("""COMPUTED_VALUE"""),90066.0)</f>
        <v>90066</v>
      </c>
    </row>
    <row r="1873">
      <c r="A1873" s="23">
        <f>IFERROR(__xludf.DUMMYFUNCTION("""COMPUTED_VALUE"""),2002.0)</f>
        <v>2002</v>
      </c>
      <c r="B1873" s="23" t="str">
        <f>IFERROR(__xludf.DUMMYFUNCTION("""COMPUTED_VALUE"""),"Stone Game VIII")</f>
        <v>Stone Game VIII</v>
      </c>
      <c r="C1873" s="23" t="str">
        <f>IFERROR(__xludf.DUMMYFUNCTION("""COMPUTED_VALUE"""),"stone-game-viii")</f>
        <v>stone-game-viii</v>
      </c>
      <c r="D1873" s="23" t="b">
        <f>IFERROR(__xludf.DUMMYFUNCTION("""COMPUTED_VALUE"""),FALSE)</f>
        <v>0</v>
      </c>
      <c r="E1873" s="23" t="str">
        <f>IFERROR(__xludf.DUMMYFUNCTION("""COMPUTED_VALUE"""),"Hard")</f>
        <v>Hard</v>
      </c>
      <c r="F1873" s="23">
        <f>IFERROR(__xludf.DUMMYFUNCTION("""COMPUTED_VALUE"""),265.0)</f>
        <v>265</v>
      </c>
      <c r="G1873" s="23">
        <f>IFERROR(__xludf.DUMMYFUNCTION("""COMPUTED_VALUE"""),11.0)</f>
        <v>11</v>
      </c>
      <c r="H1873" s="23" t="str">
        <f>IFERROR(__xludf.DUMMYFUNCTION("""COMPUTED_VALUE"""),"Algorithms")</f>
        <v>Algorithms</v>
      </c>
      <c r="I1873" s="23">
        <f>IFERROR(__xludf.DUMMYFUNCTION("""COMPUTED_VALUE"""),0.524)</f>
        <v>0.524</v>
      </c>
      <c r="J1873" s="23">
        <f>IFERROR(__xludf.DUMMYFUNCTION("""COMPUTED_VALUE"""),1872.0)</f>
        <v>1872</v>
      </c>
      <c r="K1873" s="23" t="b">
        <f>IFERROR(__xludf.DUMMYFUNCTION("""COMPUTED_VALUE"""),FALSE)</f>
        <v>0</v>
      </c>
      <c r="L1873" s="23" t="str">
        <f>IFERROR(__xludf.DUMMYFUNCTION("""COMPUTED_VALUE"""),"Array;Math;Dynamic Programming;Prefix Sum;Game Theory;")</f>
        <v>Array;Math;Dynamic Programming;Prefix Sum;Game Theory;</v>
      </c>
      <c r="M1873" s="23" t="b">
        <f>IFERROR(__xludf.DUMMYFUNCTION("""COMPUTED_VALUE"""),FALSE)</f>
        <v>0</v>
      </c>
      <c r="N1873" s="23" t="b">
        <f>IFERROR(__xludf.DUMMYFUNCTION("""COMPUTED_VALUE"""),FALSE)</f>
        <v>0</v>
      </c>
      <c r="O1873" s="23">
        <f>IFERROR(__xludf.DUMMYFUNCTION("""COMPUTED_VALUE"""),52.3677147239263)</f>
        <v>52.36771472</v>
      </c>
      <c r="P1873" s="23">
        <f>IFERROR(__xludf.DUMMYFUNCTION("""COMPUTED_VALUE"""),5463.0)</f>
        <v>5463</v>
      </c>
      <c r="Q1873" s="23">
        <f>IFERROR(__xludf.DUMMYFUNCTION("""COMPUTED_VALUE"""),10432.0)</f>
        <v>10432</v>
      </c>
    </row>
    <row r="1874">
      <c r="A1874" s="23">
        <f>IFERROR(__xludf.DUMMYFUNCTION("""COMPUTED_VALUE"""),2024.0)</f>
        <v>2024</v>
      </c>
      <c r="B1874" s="23" t="str">
        <f>IFERROR(__xludf.DUMMYFUNCTION("""COMPUTED_VALUE"""),"Calculate Special Bonus")</f>
        <v>Calculate Special Bonus</v>
      </c>
      <c r="C1874" s="23" t="str">
        <f>IFERROR(__xludf.DUMMYFUNCTION("""COMPUTED_VALUE"""),"calculate-special-bonus")</f>
        <v>calculate-special-bonus</v>
      </c>
      <c r="D1874" s="23" t="b">
        <f>IFERROR(__xludf.DUMMYFUNCTION("""COMPUTED_VALUE"""),FALSE)</f>
        <v>0</v>
      </c>
      <c r="E1874" s="23" t="str">
        <f>IFERROR(__xludf.DUMMYFUNCTION("""COMPUTED_VALUE"""),"Easy")</f>
        <v>Easy</v>
      </c>
      <c r="F1874" s="23">
        <f>IFERROR(__xludf.DUMMYFUNCTION("""COMPUTED_VALUE"""),142.0)</f>
        <v>142</v>
      </c>
      <c r="G1874" s="23">
        <f>IFERROR(__xludf.DUMMYFUNCTION("""COMPUTED_VALUE"""),4.0)</f>
        <v>4</v>
      </c>
      <c r="H1874" s="23" t="str">
        <f>IFERROR(__xludf.DUMMYFUNCTION("""COMPUTED_VALUE"""),"Database")</f>
        <v>Database</v>
      </c>
      <c r="I1874" s="23">
        <f>IFERROR(__xludf.DUMMYFUNCTION("""COMPUTED_VALUE"""),0.896)</f>
        <v>0.896</v>
      </c>
      <c r="J1874" s="23">
        <f>IFERROR(__xludf.DUMMYFUNCTION("""COMPUTED_VALUE"""),1873.0)</f>
        <v>1873</v>
      </c>
      <c r="K1874" s="23" t="b">
        <f>IFERROR(__xludf.DUMMYFUNCTION("""COMPUTED_VALUE"""),FALSE)</f>
        <v>0</v>
      </c>
      <c r="L1874" s="23" t="str">
        <f>IFERROR(__xludf.DUMMYFUNCTION("""COMPUTED_VALUE"""),"Database;")</f>
        <v>Database;</v>
      </c>
      <c r="M1874" s="23" t="b">
        <f>IFERROR(__xludf.DUMMYFUNCTION("""COMPUTED_VALUE"""),FALSE)</f>
        <v>0</v>
      </c>
      <c r="N1874" s="23" t="b">
        <f>IFERROR(__xludf.DUMMYFUNCTION("""COMPUTED_VALUE"""),FALSE)</f>
        <v>0</v>
      </c>
      <c r="O1874" s="23">
        <f>IFERROR(__xludf.DUMMYFUNCTION("""COMPUTED_VALUE"""),89.5761965351864)</f>
        <v>89.57619654</v>
      </c>
      <c r="P1874" s="23">
        <f>IFERROR(__xludf.DUMMYFUNCTION("""COMPUTED_VALUE"""),18302.0)</f>
        <v>18302</v>
      </c>
      <c r="Q1874" s="23">
        <f>IFERROR(__xludf.DUMMYFUNCTION("""COMPUTED_VALUE"""),20432.0)</f>
        <v>20432</v>
      </c>
    </row>
    <row r="1875">
      <c r="A1875" s="23">
        <f>IFERROR(__xludf.DUMMYFUNCTION("""COMPUTED_VALUE"""),2029.0)</f>
        <v>2029</v>
      </c>
      <c r="B1875" s="23" t="str">
        <f>IFERROR(__xludf.DUMMYFUNCTION("""COMPUTED_VALUE"""),"Minimize Product Sum of Two Arrays")</f>
        <v>Minimize Product Sum of Two Arrays</v>
      </c>
      <c r="C1875" s="23" t="str">
        <f>IFERROR(__xludf.DUMMYFUNCTION("""COMPUTED_VALUE"""),"minimize-product-sum-of-two-arrays")</f>
        <v>minimize-product-sum-of-two-arrays</v>
      </c>
      <c r="D1875" s="23" t="b">
        <f>IFERROR(__xludf.DUMMYFUNCTION("""COMPUTED_VALUE"""),TRUE)</f>
        <v>1</v>
      </c>
      <c r="E1875" s="23" t="str">
        <f>IFERROR(__xludf.DUMMYFUNCTION("""COMPUTED_VALUE"""),"Medium")</f>
        <v>Medium</v>
      </c>
      <c r="F1875" s="23">
        <f>IFERROR(__xludf.DUMMYFUNCTION("""COMPUTED_VALUE"""),154.0)</f>
        <v>154</v>
      </c>
      <c r="G1875" s="23">
        <f>IFERROR(__xludf.DUMMYFUNCTION("""COMPUTED_VALUE"""),21.0)</f>
        <v>21</v>
      </c>
      <c r="H1875" s="23" t="str">
        <f>IFERROR(__xludf.DUMMYFUNCTION("""COMPUTED_VALUE"""),"Algorithms")</f>
        <v>Algorithms</v>
      </c>
      <c r="I1875" s="23">
        <f>IFERROR(__xludf.DUMMYFUNCTION("""COMPUTED_VALUE"""),0.913)</f>
        <v>0.913</v>
      </c>
      <c r="J1875" s="23">
        <f>IFERROR(__xludf.DUMMYFUNCTION("""COMPUTED_VALUE"""),1874.0)</f>
        <v>1874</v>
      </c>
      <c r="K1875" s="23" t="b">
        <f>IFERROR(__xludf.DUMMYFUNCTION("""COMPUTED_VALUE"""),TRUE)</f>
        <v>1</v>
      </c>
      <c r="L1875" s="23" t="str">
        <f>IFERROR(__xludf.DUMMYFUNCTION("""COMPUTED_VALUE"""),"Array;Greedy;Sorting;")</f>
        <v>Array;Greedy;Sorting;</v>
      </c>
      <c r="M1875" s="23" t="b">
        <f>IFERROR(__xludf.DUMMYFUNCTION("""COMPUTED_VALUE"""),TRUE)</f>
        <v>1</v>
      </c>
      <c r="N1875" s="23" t="b">
        <f>IFERROR(__xludf.DUMMYFUNCTION("""COMPUTED_VALUE"""),FALSE)</f>
        <v>0</v>
      </c>
      <c r="O1875" s="23">
        <f>IFERROR(__xludf.DUMMYFUNCTION("""COMPUTED_VALUE"""),91.3197729422895)</f>
        <v>91.31977294</v>
      </c>
      <c r="P1875" s="23">
        <f>IFERROR(__xludf.DUMMYFUNCTION("""COMPUTED_VALUE"""),11583.0)</f>
        <v>11583</v>
      </c>
      <c r="Q1875" s="23">
        <f>IFERROR(__xludf.DUMMYFUNCTION("""COMPUTED_VALUE"""),12684.0)</f>
        <v>12684</v>
      </c>
    </row>
    <row r="1876">
      <c r="A1876" s="23">
        <f>IFERROR(__xludf.DUMMYFUNCTION("""COMPUTED_VALUE"""),2030.0)</f>
        <v>2030</v>
      </c>
      <c r="B1876" s="23" t="str">
        <f>IFERROR(__xludf.DUMMYFUNCTION("""COMPUTED_VALUE"""),"Group Employees of the Same Salary")</f>
        <v>Group Employees of the Same Salary</v>
      </c>
      <c r="C1876" s="23" t="str">
        <f>IFERROR(__xludf.DUMMYFUNCTION("""COMPUTED_VALUE"""),"group-employees-of-the-same-salary")</f>
        <v>group-employees-of-the-same-salary</v>
      </c>
      <c r="D1876" s="23" t="b">
        <f>IFERROR(__xludf.DUMMYFUNCTION("""COMPUTED_VALUE"""),TRUE)</f>
        <v>1</v>
      </c>
      <c r="E1876" s="23" t="str">
        <f>IFERROR(__xludf.DUMMYFUNCTION("""COMPUTED_VALUE"""),"Medium")</f>
        <v>Medium</v>
      </c>
      <c r="F1876" s="23">
        <f>IFERROR(__xludf.DUMMYFUNCTION("""COMPUTED_VALUE"""),38.0)</f>
        <v>38</v>
      </c>
      <c r="G1876" s="23">
        <f>IFERROR(__xludf.DUMMYFUNCTION("""COMPUTED_VALUE"""),3.0)</f>
        <v>3</v>
      </c>
      <c r="H1876" s="23" t="str">
        <f>IFERROR(__xludf.DUMMYFUNCTION("""COMPUTED_VALUE"""),"Database")</f>
        <v>Database</v>
      </c>
      <c r="I1876" s="23">
        <f>IFERROR(__xludf.DUMMYFUNCTION("""COMPUTED_VALUE"""),0.757)</f>
        <v>0.757</v>
      </c>
      <c r="J1876" s="23">
        <f>IFERROR(__xludf.DUMMYFUNCTION("""COMPUTED_VALUE"""),1875.0)</f>
        <v>1875</v>
      </c>
      <c r="K1876" s="23" t="b">
        <f>IFERROR(__xludf.DUMMYFUNCTION("""COMPUTED_VALUE"""),TRUE)</f>
        <v>1</v>
      </c>
      <c r="L1876" s="23" t="str">
        <f>IFERROR(__xludf.DUMMYFUNCTION("""COMPUTED_VALUE"""),"Database;")</f>
        <v>Database;</v>
      </c>
      <c r="M1876" s="23" t="b">
        <f>IFERROR(__xludf.DUMMYFUNCTION("""COMPUTED_VALUE"""),FALSE)</f>
        <v>0</v>
      </c>
      <c r="N1876" s="23" t="b">
        <f>IFERROR(__xludf.DUMMYFUNCTION("""COMPUTED_VALUE"""),FALSE)</f>
        <v>0</v>
      </c>
      <c r="O1876" s="23">
        <f>IFERROR(__xludf.DUMMYFUNCTION("""COMPUTED_VALUE"""),75.6756756756756)</f>
        <v>75.67567568</v>
      </c>
      <c r="P1876" s="23">
        <f>IFERROR(__xludf.DUMMYFUNCTION("""COMPUTED_VALUE"""),5404.0)</f>
        <v>5404</v>
      </c>
      <c r="Q1876" s="23">
        <f>IFERROR(__xludf.DUMMYFUNCTION("""COMPUTED_VALUE"""),7141.0)</f>
        <v>7141</v>
      </c>
    </row>
    <row r="1877">
      <c r="A1877" s="23">
        <f>IFERROR(__xludf.DUMMYFUNCTION("""COMPUTED_VALUE"""),1987.0)</f>
        <v>1987</v>
      </c>
      <c r="B1877" s="23" t="str">
        <f>IFERROR(__xludf.DUMMYFUNCTION("""COMPUTED_VALUE"""),"Substrings of Size Three with Distinct Characters")</f>
        <v>Substrings of Size Three with Distinct Characters</v>
      </c>
      <c r="C1877" s="23" t="str">
        <f>IFERROR(__xludf.DUMMYFUNCTION("""COMPUTED_VALUE"""),"substrings-of-size-three-with-distinct-characters")</f>
        <v>substrings-of-size-three-with-distinct-characters</v>
      </c>
      <c r="D1877" s="23" t="b">
        <f>IFERROR(__xludf.DUMMYFUNCTION("""COMPUTED_VALUE"""),FALSE)</f>
        <v>0</v>
      </c>
      <c r="E1877" s="23" t="str">
        <f>IFERROR(__xludf.DUMMYFUNCTION("""COMPUTED_VALUE"""),"Easy")</f>
        <v>Easy</v>
      </c>
      <c r="F1877" s="23">
        <f>IFERROR(__xludf.DUMMYFUNCTION("""COMPUTED_VALUE"""),565.0)</f>
        <v>565</v>
      </c>
      <c r="G1877" s="23">
        <f>IFERROR(__xludf.DUMMYFUNCTION("""COMPUTED_VALUE"""),19.0)</f>
        <v>19</v>
      </c>
      <c r="H1877" s="23" t="str">
        <f>IFERROR(__xludf.DUMMYFUNCTION("""COMPUTED_VALUE"""),"Algorithms")</f>
        <v>Algorithms</v>
      </c>
      <c r="I1877" s="23">
        <f>IFERROR(__xludf.DUMMYFUNCTION("""COMPUTED_VALUE"""),0.697)</f>
        <v>0.697</v>
      </c>
      <c r="J1877" s="23">
        <f>IFERROR(__xludf.DUMMYFUNCTION("""COMPUTED_VALUE"""),1876.0)</f>
        <v>1876</v>
      </c>
      <c r="K1877" s="23" t="b">
        <f>IFERROR(__xludf.DUMMYFUNCTION("""COMPUTED_VALUE"""),FALSE)</f>
        <v>0</v>
      </c>
      <c r="L1877" s="23" t="str">
        <f>IFERROR(__xludf.DUMMYFUNCTION("""COMPUTED_VALUE"""),"Hash Table;String;Sliding Window;Counting;")</f>
        <v>Hash Table;String;Sliding Window;Counting;</v>
      </c>
      <c r="M1877" s="23" t="b">
        <f>IFERROR(__xludf.DUMMYFUNCTION("""COMPUTED_VALUE"""),FALSE)</f>
        <v>0</v>
      </c>
      <c r="N1877" s="23" t="b">
        <f>IFERROR(__xludf.DUMMYFUNCTION("""COMPUTED_VALUE"""),FALSE)</f>
        <v>0</v>
      </c>
      <c r="O1877" s="23">
        <f>IFERROR(__xludf.DUMMYFUNCTION("""COMPUTED_VALUE"""),69.6742024659532)</f>
        <v>69.67420247</v>
      </c>
      <c r="P1877" s="23">
        <f>IFERROR(__xludf.DUMMYFUNCTION("""COMPUTED_VALUE"""),41082.0)</f>
        <v>41082</v>
      </c>
      <c r="Q1877" s="23">
        <f>IFERROR(__xludf.DUMMYFUNCTION("""COMPUTED_VALUE"""),58963.0)</f>
        <v>58963</v>
      </c>
    </row>
    <row r="1878">
      <c r="A1878" s="23">
        <f>IFERROR(__xludf.DUMMYFUNCTION("""COMPUTED_VALUE"""),1988.0)</f>
        <v>1988</v>
      </c>
      <c r="B1878" s="23" t="str">
        <f>IFERROR(__xludf.DUMMYFUNCTION("""COMPUTED_VALUE"""),"Minimize Maximum Pair Sum in Array")</f>
        <v>Minimize Maximum Pair Sum in Array</v>
      </c>
      <c r="C1878" s="23" t="str">
        <f>IFERROR(__xludf.DUMMYFUNCTION("""COMPUTED_VALUE"""),"minimize-maximum-pair-sum-in-array")</f>
        <v>minimize-maximum-pair-sum-in-array</v>
      </c>
      <c r="D1878" s="23" t="b">
        <f>IFERROR(__xludf.DUMMYFUNCTION("""COMPUTED_VALUE"""),FALSE)</f>
        <v>0</v>
      </c>
      <c r="E1878" s="23" t="str">
        <f>IFERROR(__xludf.DUMMYFUNCTION("""COMPUTED_VALUE"""),"Medium")</f>
        <v>Medium</v>
      </c>
      <c r="F1878" s="23">
        <f>IFERROR(__xludf.DUMMYFUNCTION("""COMPUTED_VALUE"""),627.0)</f>
        <v>627</v>
      </c>
      <c r="G1878" s="23">
        <f>IFERROR(__xludf.DUMMYFUNCTION("""COMPUTED_VALUE"""),160.0)</f>
        <v>160</v>
      </c>
      <c r="H1878" s="23" t="str">
        <f>IFERROR(__xludf.DUMMYFUNCTION("""COMPUTED_VALUE"""),"Algorithms")</f>
        <v>Algorithms</v>
      </c>
      <c r="I1878" s="23">
        <f>IFERROR(__xludf.DUMMYFUNCTION("""COMPUTED_VALUE"""),0.807)</f>
        <v>0.807</v>
      </c>
      <c r="J1878" s="23">
        <f>IFERROR(__xludf.DUMMYFUNCTION("""COMPUTED_VALUE"""),1877.0)</f>
        <v>1877</v>
      </c>
      <c r="K1878" s="23" t="b">
        <f>IFERROR(__xludf.DUMMYFUNCTION("""COMPUTED_VALUE"""),FALSE)</f>
        <v>0</v>
      </c>
      <c r="L1878" s="23" t="str">
        <f>IFERROR(__xludf.DUMMYFUNCTION("""COMPUTED_VALUE"""),"Array;Two Pointers;Greedy;Sorting;")</f>
        <v>Array;Two Pointers;Greedy;Sorting;</v>
      </c>
      <c r="M1878" s="23" t="b">
        <f>IFERROR(__xludf.DUMMYFUNCTION("""COMPUTED_VALUE"""),FALSE)</f>
        <v>0</v>
      </c>
      <c r="N1878" s="23" t="b">
        <f>IFERROR(__xludf.DUMMYFUNCTION("""COMPUTED_VALUE"""),FALSE)</f>
        <v>0</v>
      </c>
      <c r="O1878" s="23">
        <f>IFERROR(__xludf.DUMMYFUNCTION("""COMPUTED_VALUE"""),80.6704155161963)</f>
        <v>80.67041552</v>
      </c>
      <c r="P1878" s="23">
        <f>IFERROR(__xludf.DUMMYFUNCTION("""COMPUTED_VALUE"""),47915.0)</f>
        <v>47915</v>
      </c>
      <c r="Q1878" s="23">
        <f>IFERROR(__xludf.DUMMYFUNCTION("""COMPUTED_VALUE"""),59396.0)</f>
        <v>59396</v>
      </c>
    </row>
    <row r="1879">
      <c r="A1879" s="23">
        <f>IFERROR(__xludf.DUMMYFUNCTION("""COMPUTED_VALUE"""),1990.0)</f>
        <v>1990</v>
      </c>
      <c r="B1879" s="23" t="str">
        <f>IFERROR(__xludf.DUMMYFUNCTION("""COMPUTED_VALUE"""),"Get Biggest Three Rhombus Sums in a Grid")</f>
        <v>Get Biggest Three Rhombus Sums in a Grid</v>
      </c>
      <c r="C1879" s="23" t="str">
        <f>IFERROR(__xludf.DUMMYFUNCTION("""COMPUTED_VALUE"""),"get-biggest-three-rhombus-sums-in-a-grid")</f>
        <v>get-biggest-three-rhombus-sums-in-a-grid</v>
      </c>
      <c r="D1879" s="23" t="b">
        <f>IFERROR(__xludf.DUMMYFUNCTION("""COMPUTED_VALUE"""),FALSE)</f>
        <v>0</v>
      </c>
      <c r="E1879" s="23" t="str">
        <f>IFERROR(__xludf.DUMMYFUNCTION("""COMPUTED_VALUE"""),"Medium")</f>
        <v>Medium</v>
      </c>
      <c r="F1879" s="23">
        <f>IFERROR(__xludf.DUMMYFUNCTION("""COMPUTED_VALUE"""),126.0)</f>
        <v>126</v>
      </c>
      <c r="G1879" s="23">
        <f>IFERROR(__xludf.DUMMYFUNCTION("""COMPUTED_VALUE"""),345.0)</f>
        <v>345</v>
      </c>
      <c r="H1879" s="23" t="str">
        <f>IFERROR(__xludf.DUMMYFUNCTION("""COMPUTED_VALUE"""),"Algorithms")</f>
        <v>Algorithms</v>
      </c>
      <c r="I1879" s="23">
        <f>IFERROR(__xludf.DUMMYFUNCTION("""COMPUTED_VALUE"""),0.45)</f>
        <v>0.45</v>
      </c>
      <c r="J1879" s="23">
        <f>IFERROR(__xludf.DUMMYFUNCTION("""COMPUTED_VALUE"""),1878.0)</f>
        <v>1878</v>
      </c>
      <c r="K1879" s="23" t="b">
        <f>IFERROR(__xludf.DUMMYFUNCTION("""COMPUTED_VALUE"""),FALSE)</f>
        <v>0</v>
      </c>
      <c r="L1879" s="23" t="str">
        <f>IFERROR(__xludf.DUMMYFUNCTION("""COMPUTED_VALUE"""),"Array;Math;Sorting;Heap (Priority Queue);Matrix;Prefix Sum;")</f>
        <v>Array;Math;Sorting;Heap (Priority Queue);Matrix;Prefix Sum;</v>
      </c>
      <c r="M1879" s="23" t="b">
        <f>IFERROR(__xludf.DUMMYFUNCTION("""COMPUTED_VALUE"""),FALSE)</f>
        <v>0</v>
      </c>
      <c r="N1879" s="23" t="b">
        <f>IFERROR(__xludf.DUMMYFUNCTION("""COMPUTED_VALUE"""),FALSE)</f>
        <v>0</v>
      </c>
      <c r="O1879" s="23">
        <f>IFERROR(__xludf.DUMMYFUNCTION("""COMPUTED_VALUE"""),44.9886104783599)</f>
        <v>44.98861048</v>
      </c>
      <c r="P1879" s="23">
        <f>IFERROR(__xludf.DUMMYFUNCTION("""COMPUTED_VALUE"""),9085.0)</f>
        <v>9085</v>
      </c>
      <c r="Q1879" s="23">
        <f>IFERROR(__xludf.DUMMYFUNCTION("""COMPUTED_VALUE"""),20194.0)</f>
        <v>20194</v>
      </c>
    </row>
    <row r="1880">
      <c r="A1880" s="23">
        <f>IFERROR(__xludf.DUMMYFUNCTION("""COMPUTED_VALUE"""),1989.0)</f>
        <v>1989</v>
      </c>
      <c r="B1880" s="23" t="str">
        <f>IFERROR(__xludf.DUMMYFUNCTION("""COMPUTED_VALUE"""),"Minimum XOR Sum of Two Arrays")</f>
        <v>Minimum XOR Sum of Two Arrays</v>
      </c>
      <c r="C1880" s="23" t="str">
        <f>IFERROR(__xludf.DUMMYFUNCTION("""COMPUTED_VALUE"""),"minimum-xor-sum-of-two-arrays")</f>
        <v>minimum-xor-sum-of-two-arrays</v>
      </c>
      <c r="D1880" s="23" t="b">
        <f>IFERROR(__xludf.DUMMYFUNCTION("""COMPUTED_VALUE"""),FALSE)</f>
        <v>0</v>
      </c>
      <c r="E1880" s="23" t="str">
        <f>IFERROR(__xludf.DUMMYFUNCTION("""COMPUTED_VALUE"""),"Hard")</f>
        <v>Hard</v>
      </c>
      <c r="F1880" s="23">
        <f>IFERROR(__xludf.DUMMYFUNCTION("""COMPUTED_VALUE"""),405.0)</f>
        <v>405</v>
      </c>
      <c r="G1880" s="23">
        <f>IFERROR(__xludf.DUMMYFUNCTION("""COMPUTED_VALUE"""),8.0)</f>
        <v>8</v>
      </c>
      <c r="H1880" s="23" t="str">
        <f>IFERROR(__xludf.DUMMYFUNCTION("""COMPUTED_VALUE"""),"Algorithms")</f>
        <v>Algorithms</v>
      </c>
      <c r="I1880" s="23">
        <f>IFERROR(__xludf.DUMMYFUNCTION("""COMPUTED_VALUE"""),0.423)</f>
        <v>0.423</v>
      </c>
      <c r="J1880" s="23">
        <f>IFERROR(__xludf.DUMMYFUNCTION("""COMPUTED_VALUE"""),1879.0)</f>
        <v>1879</v>
      </c>
      <c r="K1880" s="23" t="b">
        <f>IFERROR(__xludf.DUMMYFUNCTION("""COMPUTED_VALUE"""),FALSE)</f>
        <v>0</v>
      </c>
      <c r="L1880" s="23" t="str">
        <f>IFERROR(__xludf.DUMMYFUNCTION("""COMPUTED_VALUE"""),"Array;Dynamic Programming;Bit Manipulation;Bitmask;")</f>
        <v>Array;Dynamic Programming;Bit Manipulation;Bitmask;</v>
      </c>
      <c r="M1880" s="23" t="b">
        <f>IFERROR(__xludf.DUMMYFUNCTION("""COMPUTED_VALUE"""),FALSE)</f>
        <v>0</v>
      </c>
      <c r="N1880" s="23" t="b">
        <f>IFERROR(__xludf.DUMMYFUNCTION("""COMPUTED_VALUE"""),FALSE)</f>
        <v>0</v>
      </c>
      <c r="O1880" s="23">
        <f>IFERROR(__xludf.DUMMYFUNCTION("""COMPUTED_VALUE"""),42.273845312927)</f>
        <v>42.27384531</v>
      </c>
      <c r="P1880" s="23">
        <f>IFERROR(__xludf.DUMMYFUNCTION("""COMPUTED_VALUE"""),7734.0)</f>
        <v>7734</v>
      </c>
      <c r="Q1880" s="23">
        <f>IFERROR(__xludf.DUMMYFUNCTION("""COMPUTED_VALUE"""),18295.0)</f>
        <v>18295</v>
      </c>
    </row>
    <row r="1881">
      <c r="A1881" s="23">
        <f>IFERROR(__xludf.DUMMYFUNCTION("""COMPUTED_VALUE"""),2010.0)</f>
        <v>2010</v>
      </c>
      <c r="B1881" s="23" t="str">
        <f>IFERROR(__xludf.DUMMYFUNCTION("""COMPUTED_VALUE"""),"Check if Word Equals Summation of Two Words")</f>
        <v>Check if Word Equals Summation of Two Words</v>
      </c>
      <c r="C1881" s="23" t="str">
        <f>IFERROR(__xludf.DUMMYFUNCTION("""COMPUTED_VALUE"""),"check-if-word-equals-summation-of-two-words")</f>
        <v>check-if-word-equals-summation-of-two-words</v>
      </c>
      <c r="D1881" s="23" t="b">
        <f>IFERROR(__xludf.DUMMYFUNCTION("""COMPUTED_VALUE"""),FALSE)</f>
        <v>0</v>
      </c>
      <c r="E1881" s="23" t="str">
        <f>IFERROR(__xludf.DUMMYFUNCTION("""COMPUTED_VALUE"""),"Easy")</f>
        <v>Easy</v>
      </c>
      <c r="F1881" s="23">
        <f>IFERROR(__xludf.DUMMYFUNCTION("""COMPUTED_VALUE"""),328.0)</f>
        <v>328</v>
      </c>
      <c r="G1881" s="23">
        <f>IFERROR(__xludf.DUMMYFUNCTION("""COMPUTED_VALUE"""),20.0)</f>
        <v>20</v>
      </c>
      <c r="H1881" s="23" t="str">
        <f>IFERROR(__xludf.DUMMYFUNCTION("""COMPUTED_VALUE"""),"Algorithms")</f>
        <v>Algorithms</v>
      </c>
      <c r="I1881" s="23">
        <f>IFERROR(__xludf.DUMMYFUNCTION("""COMPUTED_VALUE"""),0.732)</f>
        <v>0.732</v>
      </c>
      <c r="J1881" s="23">
        <f>IFERROR(__xludf.DUMMYFUNCTION("""COMPUTED_VALUE"""),1880.0)</f>
        <v>1880</v>
      </c>
      <c r="K1881" s="23" t="b">
        <f>IFERROR(__xludf.DUMMYFUNCTION("""COMPUTED_VALUE"""),FALSE)</f>
        <v>0</v>
      </c>
      <c r="L1881" s="23" t="str">
        <f>IFERROR(__xludf.DUMMYFUNCTION("""COMPUTED_VALUE"""),"String;")</f>
        <v>String;</v>
      </c>
      <c r="M1881" s="23" t="b">
        <f>IFERROR(__xludf.DUMMYFUNCTION("""COMPUTED_VALUE"""),FALSE)</f>
        <v>0</v>
      </c>
      <c r="N1881" s="23" t="b">
        <f>IFERROR(__xludf.DUMMYFUNCTION("""COMPUTED_VALUE"""),FALSE)</f>
        <v>0</v>
      </c>
      <c r="O1881" s="23">
        <f>IFERROR(__xludf.DUMMYFUNCTION("""COMPUTED_VALUE"""),73.1700487240278)</f>
        <v>73.17004872</v>
      </c>
      <c r="P1881" s="23">
        <f>IFERROR(__xludf.DUMMYFUNCTION("""COMPUTED_VALUE"""),39195.0)</f>
        <v>39195</v>
      </c>
      <c r="Q1881" s="23">
        <f>IFERROR(__xludf.DUMMYFUNCTION("""COMPUTED_VALUE"""),53567.0)</f>
        <v>53567</v>
      </c>
    </row>
    <row r="1882">
      <c r="A1882" s="23">
        <f>IFERROR(__xludf.DUMMYFUNCTION("""COMPUTED_VALUE"""),2011.0)</f>
        <v>2011</v>
      </c>
      <c r="B1882" s="23" t="str">
        <f>IFERROR(__xludf.DUMMYFUNCTION("""COMPUTED_VALUE"""),"Maximum Value after Insertion")</f>
        <v>Maximum Value after Insertion</v>
      </c>
      <c r="C1882" s="23" t="str">
        <f>IFERROR(__xludf.DUMMYFUNCTION("""COMPUTED_VALUE"""),"maximum-value-after-insertion")</f>
        <v>maximum-value-after-insertion</v>
      </c>
      <c r="D1882" s="23" t="b">
        <f>IFERROR(__xludf.DUMMYFUNCTION("""COMPUTED_VALUE"""),FALSE)</f>
        <v>0</v>
      </c>
      <c r="E1882" s="23" t="str">
        <f>IFERROR(__xludf.DUMMYFUNCTION("""COMPUTED_VALUE"""),"Medium")</f>
        <v>Medium</v>
      </c>
      <c r="F1882" s="23">
        <f>IFERROR(__xludf.DUMMYFUNCTION("""COMPUTED_VALUE"""),240.0)</f>
        <v>240</v>
      </c>
      <c r="G1882" s="23">
        <f>IFERROR(__xludf.DUMMYFUNCTION("""COMPUTED_VALUE"""),42.0)</f>
        <v>42</v>
      </c>
      <c r="H1882" s="23" t="str">
        <f>IFERROR(__xludf.DUMMYFUNCTION("""COMPUTED_VALUE"""),"Algorithms")</f>
        <v>Algorithms</v>
      </c>
      <c r="I1882" s="23">
        <f>IFERROR(__xludf.DUMMYFUNCTION("""COMPUTED_VALUE"""),0.358)</f>
        <v>0.358</v>
      </c>
      <c r="J1882" s="23">
        <f>IFERROR(__xludf.DUMMYFUNCTION("""COMPUTED_VALUE"""),1881.0)</f>
        <v>1881</v>
      </c>
      <c r="K1882" s="23" t="b">
        <f>IFERROR(__xludf.DUMMYFUNCTION("""COMPUTED_VALUE"""),FALSE)</f>
        <v>0</v>
      </c>
      <c r="L1882" s="23" t="str">
        <f>IFERROR(__xludf.DUMMYFUNCTION("""COMPUTED_VALUE"""),"String;Greedy;")</f>
        <v>String;Greedy;</v>
      </c>
      <c r="M1882" s="23" t="b">
        <f>IFERROR(__xludf.DUMMYFUNCTION("""COMPUTED_VALUE"""),FALSE)</f>
        <v>0</v>
      </c>
      <c r="N1882" s="23" t="b">
        <f>IFERROR(__xludf.DUMMYFUNCTION("""COMPUTED_VALUE"""),FALSE)</f>
        <v>0</v>
      </c>
      <c r="O1882" s="23">
        <f>IFERROR(__xludf.DUMMYFUNCTION("""COMPUTED_VALUE"""),35.8381386751321)</f>
        <v>35.83813868</v>
      </c>
      <c r="P1882" s="23">
        <f>IFERROR(__xludf.DUMMYFUNCTION("""COMPUTED_VALUE"""),17837.0)</f>
        <v>17837</v>
      </c>
      <c r="Q1882" s="23">
        <f>IFERROR(__xludf.DUMMYFUNCTION("""COMPUTED_VALUE"""),49771.0)</f>
        <v>49771</v>
      </c>
    </row>
    <row r="1883">
      <c r="A1883" s="23">
        <f>IFERROR(__xludf.DUMMYFUNCTION("""COMPUTED_VALUE"""),2012.0)</f>
        <v>2012</v>
      </c>
      <c r="B1883" s="23" t="str">
        <f>IFERROR(__xludf.DUMMYFUNCTION("""COMPUTED_VALUE"""),"Process Tasks Using Servers")</f>
        <v>Process Tasks Using Servers</v>
      </c>
      <c r="C1883" s="23" t="str">
        <f>IFERROR(__xludf.DUMMYFUNCTION("""COMPUTED_VALUE"""),"process-tasks-using-servers")</f>
        <v>process-tasks-using-servers</v>
      </c>
      <c r="D1883" s="23" t="b">
        <f>IFERROR(__xludf.DUMMYFUNCTION("""COMPUTED_VALUE"""),FALSE)</f>
        <v>0</v>
      </c>
      <c r="E1883" s="23" t="str">
        <f>IFERROR(__xludf.DUMMYFUNCTION("""COMPUTED_VALUE"""),"Medium")</f>
        <v>Medium</v>
      </c>
      <c r="F1883" s="23">
        <f>IFERROR(__xludf.DUMMYFUNCTION("""COMPUTED_VALUE"""),560.0)</f>
        <v>560</v>
      </c>
      <c r="G1883" s="23">
        <f>IFERROR(__xludf.DUMMYFUNCTION("""COMPUTED_VALUE"""),168.0)</f>
        <v>168</v>
      </c>
      <c r="H1883" s="23" t="str">
        <f>IFERROR(__xludf.DUMMYFUNCTION("""COMPUTED_VALUE"""),"Algorithms")</f>
        <v>Algorithms</v>
      </c>
      <c r="I1883" s="23">
        <f>IFERROR(__xludf.DUMMYFUNCTION("""COMPUTED_VALUE"""),0.374)</f>
        <v>0.374</v>
      </c>
      <c r="J1883" s="23">
        <f>IFERROR(__xludf.DUMMYFUNCTION("""COMPUTED_VALUE"""),1882.0)</f>
        <v>1882</v>
      </c>
      <c r="K1883" s="23" t="b">
        <f>IFERROR(__xludf.DUMMYFUNCTION("""COMPUTED_VALUE"""),FALSE)</f>
        <v>0</v>
      </c>
      <c r="L1883" s="23" t="str">
        <f>IFERROR(__xludf.DUMMYFUNCTION("""COMPUTED_VALUE"""),"Array;Heap (Priority Queue);")</f>
        <v>Array;Heap (Priority Queue);</v>
      </c>
      <c r="M1883" s="23" t="b">
        <f>IFERROR(__xludf.DUMMYFUNCTION("""COMPUTED_VALUE"""),FALSE)</f>
        <v>0</v>
      </c>
      <c r="N1883" s="23" t="b">
        <f>IFERROR(__xludf.DUMMYFUNCTION("""COMPUTED_VALUE"""),FALSE)</f>
        <v>0</v>
      </c>
      <c r="O1883" s="23">
        <f>IFERROR(__xludf.DUMMYFUNCTION("""COMPUTED_VALUE"""),37.4188562596599)</f>
        <v>37.41885626</v>
      </c>
      <c r="P1883" s="23">
        <f>IFERROR(__xludf.DUMMYFUNCTION("""COMPUTED_VALUE"""),16947.0)</f>
        <v>16947</v>
      </c>
      <c r="Q1883" s="23">
        <f>IFERROR(__xludf.DUMMYFUNCTION("""COMPUTED_VALUE"""),45290.0)</f>
        <v>45290</v>
      </c>
    </row>
    <row r="1884">
      <c r="A1884" s="23">
        <f>IFERROR(__xludf.DUMMYFUNCTION("""COMPUTED_VALUE"""),2013.0)</f>
        <v>2013</v>
      </c>
      <c r="B1884" s="23" t="str">
        <f>IFERROR(__xludf.DUMMYFUNCTION("""COMPUTED_VALUE"""),"Minimum Skips to Arrive at Meeting On Time")</f>
        <v>Minimum Skips to Arrive at Meeting On Time</v>
      </c>
      <c r="C1884" s="23" t="str">
        <f>IFERROR(__xludf.DUMMYFUNCTION("""COMPUTED_VALUE"""),"minimum-skips-to-arrive-at-meeting-on-time")</f>
        <v>minimum-skips-to-arrive-at-meeting-on-time</v>
      </c>
      <c r="D1884" s="23" t="b">
        <f>IFERROR(__xludf.DUMMYFUNCTION("""COMPUTED_VALUE"""),FALSE)</f>
        <v>0</v>
      </c>
      <c r="E1884" s="23" t="str">
        <f>IFERROR(__xludf.DUMMYFUNCTION("""COMPUTED_VALUE"""),"Hard")</f>
        <v>Hard</v>
      </c>
      <c r="F1884" s="23">
        <f>IFERROR(__xludf.DUMMYFUNCTION("""COMPUTED_VALUE"""),212.0)</f>
        <v>212</v>
      </c>
      <c r="G1884" s="23">
        <f>IFERROR(__xludf.DUMMYFUNCTION("""COMPUTED_VALUE"""),39.0)</f>
        <v>39</v>
      </c>
      <c r="H1884" s="23" t="str">
        <f>IFERROR(__xludf.DUMMYFUNCTION("""COMPUTED_VALUE"""),"Algorithms")</f>
        <v>Algorithms</v>
      </c>
      <c r="I1884" s="23">
        <f>IFERROR(__xludf.DUMMYFUNCTION("""COMPUTED_VALUE"""),0.386)</f>
        <v>0.386</v>
      </c>
      <c r="J1884" s="23">
        <f>IFERROR(__xludf.DUMMYFUNCTION("""COMPUTED_VALUE"""),1883.0)</f>
        <v>1883</v>
      </c>
      <c r="K1884" s="23" t="b">
        <f>IFERROR(__xludf.DUMMYFUNCTION("""COMPUTED_VALUE"""),FALSE)</f>
        <v>0</v>
      </c>
      <c r="L1884" s="23" t="str">
        <f>IFERROR(__xludf.DUMMYFUNCTION("""COMPUTED_VALUE"""),"Array;Dynamic Programming;")</f>
        <v>Array;Dynamic Programming;</v>
      </c>
      <c r="M1884" s="23" t="b">
        <f>IFERROR(__xludf.DUMMYFUNCTION("""COMPUTED_VALUE"""),FALSE)</f>
        <v>0</v>
      </c>
      <c r="N1884" s="23" t="b">
        <f>IFERROR(__xludf.DUMMYFUNCTION("""COMPUTED_VALUE"""),FALSE)</f>
        <v>0</v>
      </c>
      <c r="O1884" s="23">
        <f>IFERROR(__xludf.DUMMYFUNCTION("""COMPUTED_VALUE"""),38.566638725901)</f>
        <v>38.56663873</v>
      </c>
      <c r="P1884" s="23">
        <f>IFERROR(__xludf.DUMMYFUNCTION("""COMPUTED_VALUE"""),4601.0)</f>
        <v>4601</v>
      </c>
      <c r="Q1884" s="23">
        <f>IFERROR(__xludf.DUMMYFUNCTION("""COMPUTED_VALUE"""),11930.0)</f>
        <v>11930</v>
      </c>
    </row>
    <row r="1885">
      <c r="A1885" s="23">
        <f>IFERROR(__xludf.DUMMYFUNCTION("""COMPUTED_VALUE"""),2031.0)</f>
        <v>2031</v>
      </c>
      <c r="B1885" s="23" t="str">
        <f>IFERROR(__xludf.DUMMYFUNCTION("""COMPUTED_VALUE"""),"Egg Drop With 2 Eggs and N Floors")</f>
        <v>Egg Drop With 2 Eggs and N Floors</v>
      </c>
      <c r="C1885" s="23" t="str">
        <f>IFERROR(__xludf.DUMMYFUNCTION("""COMPUTED_VALUE"""),"egg-drop-with-2-eggs-and-n-floors")</f>
        <v>egg-drop-with-2-eggs-and-n-floors</v>
      </c>
      <c r="D1885" s="23" t="b">
        <f>IFERROR(__xludf.DUMMYFUNCTION("""COMPUTED_VALUE"""),FALSE)</f>
        <v>0</v>
      </c>
      <c r="E1885" s="23" t="str">
        <f>IFERROR(__xludf.DUMMYFUNCTION("""COMPUTED_VALUE"""),"Medium")</f>
        <v>Medium</v>
      </c>
      <c r="F1885" s="23">
        <f>IFERROR(__xludf.DUMMYFUNCTION("""COMPUTED_VALUE"""),704.0)</f>
        <v>704</v>
      </c>
      <c r="G1885" s="23">
        <f>IFERROR(__xludf.DUMMYFUNCTION("""COMPUTED_VALUE"""),61.0)</f>
        <v>61</v>
      </c>
      <c r="H1885" s="23" t="str">
        <f>IFERROR(__xludf.DUMMYFUNCTION("""COMPUTED_VALUE"""),"Algorithms")</f>
        <v>Algorithms</v>
      </c>
      <c r="I1885" s="23">
        <f>IFERROR(__xludf.DUMMYFUNCTION("""COMPUTED_VALUE"""),0.7)</f>
        <v>0.7</v>
      </c>
      <c r="J1885" s="23">
        <f>IFERROR(__xludf.DUMMYFUNCTION("""COMPUTED_VALUE"""),1884.0)</f>
        <v>1884</v>
      </c>
      <c r="K1885" s="23" t="b">
        <f>IFERROR(__xludf.DUMMYFUNCTION("""COMPUTED_VALUE"""),FALSE)</f>
        <v>0</v>
      </c>
      <c r="L1885" s="23" t="str">
        <f>IFERROR(__xludf.DUMMYFUNCTION("""COMPUTED_VALUE"""),"Math;Dynamic Programming;")</f>
        <v>Math;Dynamic Programming;</v>
      </c>
      <c r="M1885" s="23" t="b">
        <f>IFERROR(__xludf.DUMMYFUNCTION("""COMPUTED_VALUE"""),FALSE)</f>
        <v>0</v>
      </c>
      <c r="N1885" s="23" t="b">
        <f>IFERROR(__xludf.DUMMYFUNCTION("""COMPUTED_VALUE"""),FALSE)</f>
        <v>0</v>
      </c>
      <c r="O1885" s="23">
        <f>IFERROR(__xludf.DUMMYFUNCTION("""COMPUTED_VALUE"""),70.0415459274517)</f>
        <v>70.04154593</v>
      </c>
      <c r="P1885" s="23">
        <f>IFERROR(__xludf.DUMMYFUNCTION("""COMPUTED_VALUE"""),20062.0)</f>
        <v>20062</v>
      </c>
      <c r="Q1885" s="23">
        <f>IFERROR(__xludf.DUMMYFUNCTION("""COMPUTED_VALUE"""),28643.0)</f>
        <v>28643</v>
      </c>
    </row>
    <row r="1886">
      <c r="A1886" s="23">
        <f>IFERROR(__xludf.DUMMYFUNCTION("""COMPUTED_VALUE"""),2036.0)</f>
        <v>2036</v>
      </c>
      <c r="B1886" s="23" t="str">
        <f>IFERROR(__xludf.DUMMYFUNCTION("""COMPUTED_VALUE"""),"Count Pairs in Two Arrays")</f>
        <v>Count Pairs in Two Arrays</v>
      </c>
      <c r="C1886" s="23" t="str">
        <f>IFERROR(__xludf.DUMMYFUNCTION("""COMPUTED_VALUE"""),"count-pairs-in-two-arrays")</f>
        <v>count-pairs-in-two-arrays</v>
      </c>
      <c r="D1886" s="23" t="b">
        <f>IFERROR(__xludf.DUMMYFUNCTION("""COMPUTED_VALUE"""),TRUE)</f>
        <v>1</v>
      </c>
      <c r="E1886" s="23" t="str">
        <f>IFERROR(__xludf.DUMMYFUNCTION("""COMPUTED_VALUE"""),"Medium")</f>
        <v>Medium</v>
      </c>
      <c r="F1886" s="23">
        <f>IFERROR(__xludf.DUMMYFUNCTION("""COMPUTED_VALUE"""),78.0)</f>
        <v>78</v>
      </c>
      <c r="G1886" s="23">
        <f>IFERROR(__xludf.DUMMYFUNCTION("""COMPUTED_VALUE"""),5.0)</f>
        <v>5</v>
      </c>
      <c r="H1886" s="23" t="str">
        <f>IFERROR(__xludf.DUMMYFUNCTION("""COMPUTED_VALUE"""),"Algorithms")</f>
        <v>Algorithms</v>
      </c>
      <c r="I1886" s="23">
        <f>IFERROR(__xludf.DUMMYFUNCTION("""COMPUTED_VALUE"""),0.579)</f>
        <v>0.579</v>
      </c>
      <c r="J1886" s="23">
        <f>IFERROR(__xludf.DUMMYFUNCTION("""COMPUTED_VALUE"""),1885.0)</f>
        <v>1885</v>
      </c>
      <c r="K1886" s="23" t="b">
        <f>IFERROR(__xludf.DUMMYFUNCTION("""COMPUTED_VALUE"""),TRUE)</f>
        <v>1</v>
      </c>
      <c r="L1886" s="23" t="str">
        <f>IFERROR(__xludf.DUMMYFUNCTION("""COMPUTED_VALUE"""),"Array;Binary Search;Sorting;")</f>
        <v>Array;Binary Search;Sorting;</v>
      </c>
      <c r="M1886" s="23" t="b">
        <f>IFERROR(__xludf.DUMMYFUNCTION("""COMPUTED_VALUE"""),FALSE)</f>
        <v>0</v>
      </c>
      <c r="N1886" s="23" t="b">
        <f>IFERROR(__xludf.DUMMYFUNCTION("""COMPUTED_VALUE"""),FALSE)</f>
        <v>0</v>
      </c>
      <c r="O1886" s="23">
        <f>IFERROR(__xludf.DUMMYFUNCTION("""COMPUTED_VALUE"""),57.9433853264009)</f>
        <v>57.94338533</v>
      </c>
      <c r="P1886" s="23">
        <f>IFERROR(__xludf.DUMMYFUNCTION("""COMPUTED_VALUE"""),2005.0)</f>
        <v>2005</v>
      </c>
      <c r="Q1886" s="23">
        <f>IFERROR(__xludf.DUMMYFUNCTION("""COMPUTED_VALUE"""),3461.0)</f>
        <v>3461</v>
      </c>
    </row>
    <row r="1887">
      <c r="A1887" s="23">
        <f>IFERROR(__xludf.DUMMYFUNCTION("""COMPUTED_VALUE"""),2015.0)</f>
        <v>2015</v>
      </c>
      <c r="B1887" s="23" t="str">
        <f>IFERROR(__xludf.DUMMYFUNCTION("""COMPUTED_VALUE"""),"Determine Whether Matrix Can Be Obtained By Rotation")</f>
        <v>Determine Whether Matrix Can Be Obtained By Rotation</v>
      </c>
      <c r="C1887" s="23" t="str">
        <f>IFERROR(__xludf.DUMMYFUNCTION("""COMPUTED_VALUE"""),"determine-whether-matrix-can-be-obtained-by-rotation")</f>
        <v>determine-whether-matrix-can-be-obtained-by-rotation</v>
      </c>
      <c r="D1887" s="23" t="b">
        <f>IFERROR(__xludf.DUMMYFUNCTION("""COMPUTED_VALUE"""),FALSE)</f>
        <v>0</v>
      </c>
      <c r="E1887" s="23" t="str">
        <f>IFERROR(__xludf.DUMMYFUNCTION("""COMPUTED_VALUE"""),"Easy")</f>
        <v>Easy</v>
      </c>
      <c r="F1887" s="23">
        <f>IFERROR(__xludf.DUMMYFUNCTION("""COMPUTED_VALUE"""),584.0)</f>
        <v>584</v>
      </c>
      <c r="G1887" s="23">
        <f>IFERROR(__xludf.DUMMYFUNCTION("""COMPUTED_VALUE"""),53.0)</f>
        <v>53</v>
      </c>
      <c r="H1887" s="23" t="str">
        <f>IFERROR(__xludf.DUMMYFUNCTION("""COMPUTED_VALUE"""),"Algorithms")</f>
        <v>Algorithms</v>
      </c>
      <c r="I1887" s="23">
        <f>IFERROR(__xludf.DUMMYFUNCTION("""COMPUTED_VALUE"""),0.554)</f>
        <v>0.554</v>
      </c>
      <c r="J1887" s="23">
        <f>IFERROR(__xludf.DUMMYFUNCTION("""COMPUTED_VALUE"""),1886.0)</f>
        <v>1886</v>
      </c>
      <c r="K1887" s="23" t="b">
        <f>IFERROR(__xludf.DUMMYFUNCTION("""COMPUTED_VALUE"""),FALSE)</f>
        <v>0</v>
      </c>
      <c r="L1887" s="23" t="str">
        <f>IFERROR(__xludf.DUMMYFUNCTION("""COMPUTED_VALUE"""),"Array;Matrix;")</f>
        <v>Array;Matrix;</v>
      </c>
      <c r="M1887" s="23" t="b">
        <f>IFERROR(__xludf.DUMMYFUNCTION("""COMPUTED_VALUE"""),FALSE)</f>
        <v>0</v>
      </c>
      <c r="N1887" s="23" t="b">
        <f>IFERROR(__xludf.DUMMYFUNCTION("""COMPUTED_VALUE"""),FALSE)</f>
        <v>0</v>
      </c>
      <c r="O1887" s="23">
        <f>IFERROR(__xludf.DUMMYFUNCTION("""COMPUTED_VALUE"""),55.3576072821846)</f>
        <v>55.35760728</v>
      </c>
      <c r="P1887" s="23">
        <f>IFERROR(__xludf.DUMMYFUNCTION("""COMPUTED_VALUE"""),29798.0)</f>
        <v>29798</v>
      </c>
      <c r="Q1887" s="23">
        <f>IFERROR(__xludf.DUMMYFUNCTION("""COMPUTED_VALUE"""),53829.0)</f>
        <v>53829</v>
      </c>
    </row>
    <row r="1888">
      <c r="A1888" s="23">
        <f>IFERROR(__xludf.DUMMYFUNCTION("""COMPUTED_VALUE"""),2016.0)</f>
        <v>2016</v>
      </c>
      <c r="B1888" s="23" t="str">
        <f>IFERROR(__xludf.DUMMYFUNCTION("""COMPUTED_VALUE"""),"Reduction Operations to Make the Array Elements Equal")</f>
        <v>Reduction Operations to Make the Array Elements Equal</v>
      </c>
      <c r="C1888" s="23" t="str">
        <f>IFERROR(__xludf.DUMMYFUNCTION("""COMPUTED_VALUE"""),"reduction-operations-to-make-the-array-elements-equal")</f>
        <v>reduction-operations-to-make-the-array-elements-equal</v>
      </c>
      <c r="D1888" s="23" t="b">
        <f>IFERROR(__xludf.DUMMYFUNCTION("""COMPUTED_VALUE"""),FALSE)</f>
        <v>0</v>
      </c>
      <c r="E1888" s="23" t="str">
        <f>IFERROR(__xludf.DUMMYFUNCTION("""COMPUTED_VALUE"""),"Medium")</f>
        <v>Medium</v>
      </c>
      <c r="F1888" s="23">
        <f>IFERROR(__xludf.DUMMYFUNCTION("""COMPUTED_VALUE"""),331.0)</f>
        <v>331</v>
      </c>
      <c r="G1888" s="23">
        <f>IFERROR(__xludf.DUMMYFUNCTION("""COMPUTED_VALUE"""),14.0)</f>
        <v>14</v>
      </c>
      <c r="H1888" s="23" t="str">
        <f>IFERROR(__xludf.DUMMYFUNCTION("""COMPUTED_VALUE"""),"Algorithms")</f>
        <v>Algorithms</v>
      </c>
      <c r="I1888" s="23">
        <f>IFERROR(__xludf.DUMMYFUNCTION("""COMPUTED_VALUE"""),0.616)</f>
        <v>0.616</v>
      </c>
      <c r="J1888" s="23">
        <f>IFERROR(__xludf.DUMMYFUNCTION("""COMPUTED_VALUE"""),1887.0)</f>
        <v>1887</v>
      </c>
      <c r="K1888" s="23" t="b">
        <f>IFERROR(__xludf.DUMMYFUNCTION("""COMPUTED_VALUE"""),FALSE)</f>
        <v>0</v>
      </c>
      <c r="L1888" s="23" t="str">
        <f>IFERROR(__xludf.DUMMYFUNCTION("""COMPUTED_VALUE"""),"Array;Sorting;")</f>
        <v>Array;Sorting;</v>
      </c>
      <c r="M1888" s="23" t="b">
        <f>IFERROR(__xludf.DUMMYFUNCTION("""COMPUTED_VALUE"""),FALSE)</f>
        <v>0</v>
      </c>
      <c r="N1888" s="23" t="b">
        <f>IFERROR(__xludf.DUMMYFUNCTION("""COMPUTED_VALUE"""),FALSE)</f>
        <v>0</v>
      </c>
      <c r="O1888" s="23">
        <f>IFERROR(__xludf.DUMMYFUNCTION("""COMPUTED_VALUE"""),61.5755686667408)</f>
        <v>61.57556867</v>
      </c>
      <c r="P1888" s="23">
        <f>IFERROR(__xludf.DUMMYFUNCTION("""COMPUTED_VALUE"""),16594.0)</f>
        <v>16594</v>
      </c>
      <c r="Q1888" s="23">
        <f>IFERROR(__xludf.DUMMYFUNCTION("""COMPUTED_VALUE"""),26949.0)</f>
        <v>26949</v>
      </c>
    </row>
    <row r="1889">
      <c r="A1889" s="23">
        <f>IFERROR(__xludf.DUMMYFUNCTION("""COMPUTED_VALUE"""),2017.0)</f>
        <v>2017</v>
      </c>
      <c r="B1889" s="23" t="str">
        <f>IFERROR(__xludf.DUMMYFUNCTION("""COMPUTED_VALUE"""),"Minimum Number of Flips to Make the Binary String Alternating")</f>
        <v>Minimum Number of Flips to Make the Binary String Alternating</v>
      </c>
      <c r="C1889" s="23" t="str">
        <f>IFERROR(__xludf.DUMMYFUNCTION("""COMPUTED_VALUE"""),"minimum-number-of-flips-to-make-the-binary-string-alternating")</f>
        <v>minimum-number-of-flips-to-make-the-binary-string-alternating</v>
      </c>
      <c r="D1889" s="23" t="b">
        <f>IFERROR(__xludf.DUMMYFUNCTION("""COMPUTED_VALUE"""),FALSE)</f>
        <v>0</v>
      </c>
      <c r="E1889" s="23" t="str">
        <f>IFERROR(__xludf.DUMMYFUNCTION("""COMPUTED_VALUE"""),"Medium")</f>
        <v>Medium</v>
      </c>
      <c r="F1889" s="23">
        <f>IFERROR(__xludf.DUMMYFUNCTION("""COMPUTED_VALUE"""),636.0)</f>
        <v>636</v>
      </c>
      <c r="G1889" s="23">
        <f>IFERROR(__xludf.DUMMYFUNCTION("""COMPUTED_VALUE"""),19.0)</f>
        <v>19</v>
      </c>
      <c r="H1889" s="23" t="str">
        <f>IFERROR(__xludf.DUMMYFUNCTION("""COMPUTED_VALUE"""),"Algorithms")</f>
        <v>Algorithms</v>
      </c>
      <c r="I1889" s="23">
        <f>IFERROR(__xludf.DUMMYFUNCTION("""COMPUTED_VALUE"""),0.371)</f>
        <v>0.371</v>
      </c>
      <c r="J1889" s="23">
        <f>IFERROR(__xludf.DUMMYFUNCTION("""COMPUTED_VALUE"""),1888.0)</f>
        <v>1888</v>
      </c>
      <c r="K1889" s="23" t="b">
        <f>IFERROR(__xludf.DUMMYFUNCTION("""COMPUTED_VALUE"""),FALSE)</f>
        <v>0</v>
      </c>
      <c r="L1889" s="23" t="str">
        <f>IFERROR(__xludf.DUMMYFUNCTION("""COMPUTED_VALUE"""),"String;Greedy;")</f>
        <v>String;Greedy;</v>
      </c>
      <c r="M1889" s="23" t="b">
        <f>IFERROR(__xludf.DUMMYFUNCTION("""COMPUTED_VALUE"""),FALSE)</f>
        <v>0</v>
      </c>
      <c r="N1889" s="23" t="b">
        <f>IFERROR(__xludf.DUMMYFUNCTION("""COMPUTED_VALUE"""),FALSE)</f>
        <v>0</v>
      </c>
      <c r="O1889" s="23">
        <f>IFERROR(__xludf.DUMMYFUNCTION("""COMPUTED_VALUE"""),37.1133065761037)</f>
        <v>37.11330658</v>
      </c>
      <c r="P1889" s="23">
        <f>IFERROR(__xludf.DUMMYFUNCTION("""COMPUTED_VALUE"""),12021.0)</f>
        <v>12021</v>
      </c>
      <c r="Q1889" s="23">
        <f>IFERROR(__xludf.DUMMYFUNCTION("""COMPUTED_VALUE"""),32390.0)</f>
        <v>32390</v>
      </c>
    </row>
    <row r="1890">
      <c r="A1890" s="23">
        <f>IFERROR(__xludf.DUMMYFUNCTION("""COMPUTED_VALUE"""),2018.0)</f>
        <v>2018</v>
      </c>
      <c r="B1890" s="23" t="str">
        <f>IFERROR(__xludf.DUMMYFUNCTION("""COMPUTED_VALUE"""),"Minimum Space Wasted From Packaging")</f>
        <v>Minimum Space Wasted From Packaging</v>
      </c>
      <c r="C1890" s="23" t="str">
        <f>IFERROR(__xludf.DUMMYFUNCTION("""COMPUTED_VALUE"""),"minimum-space-wasted-from-packaging")</f>
        <v>minimum-space-wasted-from-packaging</v>
      </c>
      <c r="D1890" s="23" t="b">
        <f>IFERROR(__xludf.DUMMYFUNCTION("""COMPUTED_VALUE"""),FALSE)</f>
        <v>0</v>
      </c>
      <c r="E1890" s="23" t="str">
        <f>IFERROR(__xludf.DUMMYFUNCTION("""COMPUTED_VALUE"""),"Hard")</f>
        <v>Hard</v>
      </c>
      <c r="F1890" s="23">
        <f>IFERROR(__xludf.DUMMYFUNCTION("""COMPUTED_VALUE"""),241.0)</f>
        <v>241</v>
      </c>
      <c r="G1890" s="23">
        <f>IFERROR(__xludf.DUMMYFUNCTION("""COMPUTED_VALUE"""),28.0)</f>
        <v>28</v>
      </c>
      <c r="H1890" s="23" t="str">
        <f>IFERROR(__xludf.DUMMYFUNCTION("""COMPUTED_VALUE"""),"Algorithms")</f>
        <v>Algorithms</v>
      </c>
      <c r="I1890" s="23">
        <f>IFERROR(__xludf.DUMMYFUNCTION("""COMPUTED_VALUE"""),0.301)</f>
        <v>0.301</v>
      </c>
      <c r="J1890" s="23">
        <f>IFERROR(__xludf.DUMMYFUNCTION("""COMPUTED_VALUE"""),1889.0)</f>
        <v>1889</v>
      </c>
      <c r="K1890" s="23" t="b">
        <f>IFERROR(__xludf.DUMMYFUNCTION("""COMPUTED_VALUE"""),FALSE)</f>
        <v>0</v>
      </c>
      <c r="L1890" s="23" t="str">
        <f>IFERROR(__xludf.DUMMYFUNCTION("""COMPUTED_VALUE"""),"Array;Binary Search;Sorting;Prefix Sum;")</f>
        <v>Array;Binary Search;Sorting;Prefix Sum;</v>
      </c>
      <c r="M1890" s="23" t="b">
        <f>IFERROR(__xludf.DUMMYFUNCTION("""COMPUTED_VALUE"""),FALSE)</f>
        <v>0</v>
      </c>
      <c r="N1890" s="23" t="b">
        <f>IFERROR(__xludf.DUMMYFUNCTION("""COMPUTED_VALUE"""),FALSE)</f>
        <v>0</v>
      </c>
      <c r="O1890" s="23">
        <f>IFERROR(__xludf.DUMMYFUNCTION("""COMPUTED_VALUE"""),30.062754075068)</f>
        <v>30.06275408</v>
      </c>
      <c r="P1890" s="23">
        <f>IFERROR(__xludf.DUMMYFUNCTION("""COMPUTED_VALUE"""),7617.0)</f>
        <v>7617</v>
      </c>
      <c r="Q1890" s="23">
        <f>IFERROR(__xludf.DUMMYFUNCTION("""COMPUTED_VALUE"""),25337.0)</f>
        <v>25337</v>
      </c>
    </row>
    <row r="1891">
      <c r="A1891" s="23">
        <f>IFERROR(__xludf.DUMMYFUNCTION("""COMPUTED_VALUE"""),2041.0)</f>
        <v>2041</v>
      </c>
      <c r="B1891" s="23" t="str">
        <f>IFERROR(__xludf.DUMMYFUNCTION("""COMPUTED_VALUE"""),"The Latest Login in 2020")</f>
        <v>The Latest Login in 2020</v>
      </c>
      <c r="C1891" s="23" t="str">
        <f>IFERROR(__xludf.DUMMYFUNCTION("""COMPUTED_VALUE"""),"the-latest-login-in-2020")</f>
        <v>the-latest-login-in-2020</v>
      </c>
      <c r="D1891" s="23" t="b">
        <f>IFERROR(__xludf.DUMMYFUNCTION("""COMPUTED_VALUE"""),FALSE)</f>
        <v>0</v>
      </c>
      <c r="E1891" s="23" t="str">
        <f>IFERROR(__xludf.DUMMYFUNCTION("""COMPUTED_VALUE"""),"Easy")</f>
        <v>Easy</v>
      </c>
      <c r="F1891" s="23">
        <f>IFERROR(__xludf.DUMMYFUNCTION("""COMPUTED_VALUE"""),61.0)</f>
        <v>61</v>
      </c>
      <c r="G1891" s="23">
        <f>IFERROR(__xludf.DUMMYFUNCTION("""COMPUTED_VALUE"""),0.0)</f>
        <v>0</v>
      </c>
      <c r="H1891" s="23" t="str">
        <f>IFERROR(__xludf.DUMMYFUNCTION("""COMPUTED_VALUE"""),"Database")</f>
        <v>Database</v>
      </c>
      <c r="I1891" s="23">
        <f>IFERROR(__xludf.DUMMYFUNCTION("""COMPUTED_VALUE"""),0.834)</f>
        <v>0.834</v>
      </c>
      <c r="J1891" s="23">
        <f>IFERROR(__xludf.DUMMYFUNCTION("""COMPUTED_VALUE"""),1890.0)</f>
        <v>1890</v>
      </c>
      <c r="K1891" s="23" t="b">
        <f>IFERROR(__xludf.DUMMYFUNCTION("""COMPUTED_VALUE"""),FALSE)</f>
        <v>0</v>
      </c>
      <c r="L1891" s="23" t="str">
        <f>IFERROR(__xludf.DUMMYFUNCTION("""COMPUTED_VALUE"""),"Database;")</f>
        <v>Database;</v>
      </c>
      <c r="M1891" s="23" t="b">
        <f>IFERROR(__xludf.DUMMYFUNCTION("""COMPUTED_VALUE"""),FALSE)</f>
        <v>0</v>
      </c>
      <c r="N1891" s="23" t="b">
        <f>IFERROR(__xludf.DUMMYFUNCTION("""COMPUTED_VALUE"""),FALSE)</f>
        <v>0</v>
      </c>
      <c r="O1891" s="23">
        <f>IFERROR(__xludf.DUMMYFUNCTION("""COMPUTED_VALUE"""),83.3762137936758)</f>
        <v>83.37621379</v>
      </c>
      <c r="P1891" s="23">
        <f>IFERROR(__xludf.DUMMYFUNCTION("""COMPUTED_VALUE"""),10043.0)</f>
        <v>10043</v>
      </c>
      <c r="Q1891" s="23">
        <f>IFERROR(__xludf.DUMMYFUNCTION("""COMPUTED_VALUE"""),12046.0)</f>
        <v>12046</v>
      </c>
    </row>
    <row r="1892">
      <c r="A1892" s="23">
        <f>IFERROR(__xludf.DUMMYFUNCTION("""COMPUTED_VALUE"""),2045.0)</f>
        <v>2045</v>
      </c>
      <c r="B1892" s="23" t="str">
        <f>IFERROR(__xludf.DUMMYFUNCTION("""COMPUTED_VALUE"""),"Cutting Ribbons")</f>
        <v>Cutting Ribbons</v>
      </c>
      <c r="C1892" s="23" t="str">
        <f>IFERROR(__xludf.DUMMYFUNCTION("""COMPUTED_VALUE"""),"cutting-ribbons")</f>
        <v>cutting-ribbons</v>
      </c>
      <c r="D1892" s="23" t="b">
        <f>IFERROR(__xludf.DUMMYFUNCTION("""COMPUTED_VALUE"""),TRUE)</f>
        <v>1</v>
      </c>
      <c r="E1892" s="23" t="str">
        <f>IFERROR(__xludf.DUMMYFUNCTION("""COMPUTED_VALUE"""),"Medium")</f>
        <v>Medium</v>
      </c>
      <c r="F1892" s="23">
        <f>IFERROR(__xludf.DUMMYFUNCTION("""COMPUTED_VALUE"""),370.0)</f>
        <v>370</v>
      </c>
      <c r="G1892" s="23">
        <f>IFERROR(__xludf.DUMMYFUNCTION("""COMPUTED_VALUE"""),23.0)</f>
        <v>23</v>
      </c>
      <c r="H1892" s="23" t="str">
        <f>IFERROR(__xludf.DUMMYFUNCTION("""COMPUTED_VALUE"""),"Algorithms")</f>
        <v>Algorithms</v>
      </c>
      <c r="I1892" s="23">
        <f>IFERROR(__xludf.DUMMYFUNCTION("""COMPUTED_VALUE"""),0.481)</f>
        <v>0.481</v>
      </c>
      <c r="J1892" s="23">
        <f>IFERROR(__xludf.DUMMYFUNCTION("""COMPUTED_VALUE"""),1891.0)</f>
        <v>1891</v>
      </c>
      <c r="K1892" s="23" t="b">
        <f>IFERROR(__xludf.DUMMYFUNCTION("""COMPUTED_VALUE"""),TRUE)</f>
        <v>1</v>
      </c>
      <c r="L1892" s="23" t="str">
        <f>IFERROR(__xludf.DUMMYFUNCTION("""COMPUTED_VALUE"""),"Array;Binary Search;")</f>
        <v>Array;Binary Search;</v>
      </c>
      <c r="M1892" s="23" t="b">
        <f>IFERROR(__xludf.DUMMYFUNCTION("""COMPUTED_VALUE"""),FALSE)</f>
        <v>0</v>
      </c>
      <c r="N1892" s="23" t="b">
        <f>IFERROR(__xludf.DUMMYFUNCTION("""COMPUTED_VALUE"""),FALSE)</f>
        <v>0</v>
      </c>
      <c r="O1892" s="23">
        <f>IFERROR(__xludf.DUMMYFUNCTION("""COMPUTED_VALUE"""),48.0528921476468)</f>
        <v>48.05289215</v>
      </c>
      <c r="P1892" s="23">
        <f>IFERROR(__xludf.DUMMYFUNCTION("""COMPUTED_VALUE"""),38339.0)</f>
        <v>38339</v>
      </c>
      <c r="Q1892" s="23">
        <f>IFERROR(__xludf.DUMMYFUNCTION("""COMPUTED_VALUE"""),79785.0)</f>
        <v>79785</v>
      </c>
    </row>
    <row r="1893">
      <c r="A1893" s="23">
        <f>IFERROR(__xludf.DUMMYFUNCTION("""COMPUTED_VALUE"""),2046.0)</f>
        <v>2046</v>
      </c>
      <c r="B1893" s="23" t="str">
        <f>IFERROR(__xludf.DUMMYFUNCTION("""COMPUTED_VALUE"""),"Page Recommendations II")</f>
        <v>Page Recommendations II</v>
      </c>
      <c r="C1893" s="23" t="str">
        <f>IFERROR(__xludf.DUMMYFUNCTION("""COMPUTED_VALUE"""),"page-recommendations-ii")</f>
        <v>page-recommendations-ii</v>
      </c>
      <c r="D1893" s="23" t="b">
        <f>IFERROR(__xludf.DUMMYFUNCTION("""COMPUTED_VALUE"""),TRUE)</f>
        <v>1</v>
      </c>
      <c r="E1893" s="23" t="str">
        <f>IFERROR(__xludf.DUMMYFUNCTION("""COMPUTED_VALUE"""),"Hard")</f>
        <v>Hard</v>
      </c>
      <c r="F1893" s="23">
        <f>IFERROR(__xludf.DUMMYFUNCTION("""COMPUTED_VALUE"""),49.0)</f>
        <v>49</v>
      </c>
      <c r="G1893" s="23">
        <f>IFERROR(__xludf.DUMMYFUNCTION("""COMPUTED_VALUE"""),13.0)</f>
        <v>13</v>
      </c>
      <c r="H1893" s="23" t="str">
        <f>IFERROR(__xludf.DUMMYFUNCTION("""COMPUTED_VALUE"""),"Database")</f>
        <v>Database</v>
      </c>
      <c r="I1893" s="23">
        <f>IFERROR(__xludf.DUMMYFUNCTION("""COMPUTED_VALUE"""),0.443)</f>
        <v>0.443</v>
      </c>
      <c r="J1893" s="23">
        <f>IFERROR(__xludf.DUMMYFUNCTION("""COMPUTED_VALUE"""),1892.0)</f>
        <v>1892</v>
      </c>
      <c r="K1893" s="23" t="b">
        <f>IFERROR(__xludf.DUMMYFUNCTION("""COMPUTED_VALUE"""),TRUE)</f>
        <v>1</v>
      </c>
      <c r="L1893" s="23" t="str">
        <f>IFERROR(__xludf.DUMMYFUNCTION("""COMPUTED_VALUE"""),"Database;")</f>
        <v>Database;</v>
      </c>
      <c r="M1893" s="23" t="b">
        <f>IFERROR(__xludf.DUMMYFUNCTION("""COMPUTED_VALUE"""),FALSE)</f>
        <v>0</v>
      </c>
      <c r="N1893" s="23" t="b">
        <f>IFERROR(__xludf.DUMMYFUNCTION("""COMPUTED_VALUE"""),FALSE)</f>
        <v>0</v>
      </c>
      <c r="O1893" s="23">
        <f>IFERROR(__xludf.DUMMYFUNCTION("""COMPUTED_VALUE"""),44.2948090107737)</f>
        <v>44.29480901</v>
      </c>
      <c r="P1893" s="23">
        <f>IFERROR(__xludf.DUMMYFUNCTION("""COMPUTED_VALUE"""),3618.0)</f>
        <v>3618</v>
      </c>
      <c r="Q1893" s="23">
        <f>IFERROR(__xludf.DUMMYFUNCTION("""COMPUTED_VALUE"""),8168.0)</f>
        <v>8168</v>
      </c>
    </row>
    <row r="1894">
      <c r="A1894" s="23">
        <f>IFERROR(__xludf.DUMMYFUNCTION("""COMPUTED_VALUE"""),2005.0)</f>
        <v>2005</v>
      </c>
      <c r="B1894" s="23" t="str">
        <f>IFERROR(__xludf.DUMMYFUNCTION("""COMPUTED_VALUE"""),"Check if All the Integers in a Range Are Covered")</f>
        <v>Check if All the Integers in a Range Are Covered</v>
      </c>
      <c r="C1894" s="23" t="str">
        <f>IFERROR(__xludf.DUMMYFUNCTION("""COMPUTED_VALUE"""),"check-if-all-the-integers-in-a-range-are-covered")</f>
        <v>check-if-all-the-integers-in-a-range-are-covered</v>
      </c>
      <c r="D1894" s="23" t="b">
        <f>IFERROR(__xludf.DUMMYFUNCTION("""COMPUTED_VALUE"""),FALSE)</f>
        <v>0</v>
      </c>
      <c r="E1894" s="23" t="str">
        <f>IFERROR(__xludf.DUMMYFUNCTION("""COMPUTED_VALUE"""),"Easy")</f>
        <v>Easy</v>
      </c>
      <c r="F1894" s="23">
        <f>IFERROR(__xludf.DUMMYFUNCTION("""COMPUTED_VALUE"""),259.0)</f>
        <v>259</v>
      </c>
      <c r="G1894" s="23">
        <f>IFERROR(__xludf.DUMMYFUNCTION("""COMPUTED_VALUE"""),56.0)</f>
        <v>56</v>
      </c>
      <c r="H1894" s="23" t="str">
        <f>IFERROR(__xludf.DUMMYFUNCTION("""COMPUTED_VALUE"""),"Algorithms")</f>
        <v>Algorithms</v>
      </c>
      <c r="I1894" s="23">
        <f>IFERROR(__xludf.DUMMYFUNCTION("""COMPUTED_VALUE"""),0.507)</f>
        <v>0.507</v>
      </c>
      <c r="J1894" s="23">
        <f>IFERROR(__xludf.DUMMYFUNCTION("""COMPUTED_VALUE"""),1893.0)</f>
        <v>1893</v>
      </c>
      <c r="K1894" s="23" t="b">
        <f>IFERROR(__xludf.DUMMYFUNCTION("""COMPUTED_VALUE"""),FALSE)</f>
        <v>0</v>
      </c>
      <c r="L1894" s="23" t="str">
        <f>IFERROR(__xludf.DUMMYFUNCTION("""COMPUTED_VALUE"""),"Array;Hash Table;Prefix Sum;")</f>
        <v>Array;Hash Table;Prefix Sum;</v>
      </c>
      <c r="M1894" s="23" t="b">
        <f>IFERROR(__xludf.DUMMYFUNCTION("""COMPUTED_VALUE"""),FALSE)</f>
        <v>0</v>
      </c>
      <c r="N1894" s="23" t="b">
        <f>IFERROR(__xludf.DUMMYFUNCTION("""COMPUTED_VALUE"""),FALSE)</f>
        <v>0</v>
      </c>
      <c r="O1894" s="23">
        <f>IFERROR(__xludf.DUMMYFUNCTION("""COMPUTED_VALUE"""),50.7202296948756)</f>
        <v>50.72022969</v>
      </c>
      <c r="P1894" s="23">
        <f>IFERROR(__xludf.DUMMYFUNCTION("""COMPUTED_VALUE"""),20844.0)</f>
        <v>20844</v>
      </c>
      <c r="Q1894" s="23">
        <f>IFERROR(__xludf.DUMMYFUNCTION("""COMPUTED_VALUE"""),41097.0)</f>
        <v>41097</v>
      </c>
    </row>
    <row r="1895">
      <c r="A1895" s="23">
        <f>IFERROR(__xludf.DUMMYFUNCTION("""COMPUTED_VALUE"""),2006.0)</f>
        <v>2006</v>
      </c>
      <c r="B1895" s="23" t="str">
        <f>IFERROR(__xludf.DUMMYFUNCTION("""COMPUTED_VALUE"""),"Find the Student that Will Replace the Chalk")</f>
        <v>Find the Student that Will Replace the Chalk</v>
      </c>
      <c r="C1895" s="23" t="str">
        <f>IFERROR(__xludf.DUMMYFUNCTION("""COMPUTED_VALUE"""),"find-the-student-that-will-replace-the-chalk")</f>
        <v>find-the-student-that-will-replace-the-chalk</v>
      </c>
      <c r="D1895" s="23" t="b">
        <f>IFERROR(__xludf.DUMMYFUNCTION("""COMPUTED_VALUE"""),FALSE)</f>
        <v>0</v>
      </c>
      <c r="E1895" s="23" t="str">
        <f>IFERROR(__xludf.DUMMYFUNCTION("""COMPUTED_VALUE"""),"Medium")</f>
        <v>Medium</v>
      </c>
      <c r="F1895" s="23">
        <f>IFERROR(__xludf.DUMMYFUNCTION("""COMPUTED_VALUE"""),258.0)</f>
        <v>258</v>
      </c>
      <c r="G1895" s="23">
        <f>IFERROR(__xludf.DUMMYFUNCTION("""COMPUTED_VALUE"""),38.0)</f>
        <v>38</v>
      </c>
      <c r="H1895" s="23" t="str">
        <f>IFERROR(__xludf.DUMMYFUNCTION("""COMPUTED_VALUE"""),"Algorithms")</f>
        <v>Algorithms</v>
      </c>
      <c r="I1895" s="23">
        <f>IFERROR(__xludf.DUMMYFUNCTION("""COMPUTED_VALUE"""),0.416)</f>
        <v>0.416</v>
      </c>
      <c r="J1895" s="23">
        <f>IFERROR(__xludf.DUMMYFUNCTION("""COMPUTED_VALUE"""),1894.0)</f>
        <v>1894</v>
      </c>
      <c r="K1895" s="23" t="b">
        <f>IFERROR(__xludf.DUMMYFUNCTION("""COMPUTED_VALUE"""),FALSE)</f>
        <v>0</v>
      </c>
      <c r="L1895" s="23" t="str">
        <f>IFERROR(__xludf.DUMMYFUNCTION("""COMPUTED_VALUE"""),"Array;Binary Search;Simulation;Prefix Sum;")</f>
        <v>Array;Binary Search;Simulation;Prefix Sum;</v>
      </c>
      <c r="M1895" s="23" t="b">
        <f>IFERROR(__xludf.DUMMYFUNCTION("""COMPUTED_VALUE"""),FALSE)</f>
        <v>0</v>
      </c>
      <c r="N1895" s="23" t="b">
        <f>IFERROR(__xludf.DUMMYFUNCTION("""COMPUTED_VALUE"""),FALSE)</f>
        <v>0</v>
      </c>
      <c r="O1895" s="23">
        <f>IFERROR(__xludf.DUMMYFUNCTION("""COMPUTED_VALUE"""),41.6368920013339)</f>
        <v>41.636892</v>
      </c>
      <c r="P1895" s="23">
        <f>IFERROR(__xludf.DUMMYFUNCTION("""COMPUTED_VALUE"""),17479.0)</f>
        <v>17479</v>
      </c>
      <c r="Q1895" s="23">
        <f>IFERROR(__xludf.DUMMYFUNCTION("""COMPUTED_VALUE"""),41981.0)</f>
        <v>41981</v>
      </c>
    </row>
    <row r="1896">
      <c r="A1896" s="23">
        <f>IFERROR(__xludf.DUMMYFUNCTION("""COMPUTED_VALUE"""),1311.0)</f>
        <v>1311</v>
      </c>
      <c r="B1896" s="23" t="str">
        <f>IFERROR(__xludf.DUMMYFUNCTION("""COMPUTED_VALUE"""),"Largest Magic Square")</f>
        <v>Largest Magic Square</v>
      </c>
      <c r="C1896" s="23" t="str">
        <f>IFERROR(__xludf.DUMMYFUNCTION("""COMPUTED_VALUE"""),"largest-magic-square")</f>
        <v>largest-magic-square</v>
      </c>
      <c r="D1896" s="23" t="b">
        <f>IFERROR(__xludf.DUMMYFUNCTION("""COMPUTED_VALUE"""),FALSE)</f>
        <v>0</v>
      </c>
      <c r="E1896" s="23" t="str">
        <f>IFERROR(__xludf.DUMMYFUNCTION("""COMPUTED_VALUE"""),"Medium")</f>
        <v>Medium</v>
      </c>
      <c r="F1896" s="23">
        <f>IFERROR(__xludf.DUMMYFUNCTION("""COMPUTED_VALUE"""),187.0)</f>
        <v>187</v>
      </c>
      <c r="G1896" s="23">
        <f>IFERROR(__xludf.DUMMYFUNCTION("""COMPUTED_VALUE"""),199.0)</f>
        <v>199</v>
      </c>
      <c r="H1896" s="23" t="str">
        <f>IFERROR(__xludf.DUMMYFUNCTION("""COMPUTED_VALUE"""),"Algorithms")</f>
        <v>Algorithms</v>
      </c>
      <c r="I1896" s="23">
        <f>IFERROR(__xludf.DUMMYFUNCTION("""COMPUTED_VALUE"""),0.513)</f>
        <v>0.513</v>
      </c>
      <c r="J1896" s="23">
        <f>IFERROR(__xludf.DUMMYFUNCTION("""COMPUTED_VALUE"""),1895.0)</f>
        <v>1895</v>
      </c>
      <c r="K1896" s="23" t="b">
        <f>IFERROR(__xludf.DUMMYFUNCTION("""COMPUTED_VALUE"""),FALSE)</f>
        <v>0</v>
      </c>
      <c r="L1896" s="23" t="str">
        <f>IFERROR(__xludf.DUMMYFUNCTION("""COMPUTED_VALUE"""),"Array;Matrix;Prefix Sum;")</f>
        <v>Array;Matrix;Prefix Sum;</v>
      </c>
      <c r="M1896" s="23" t="b">
        <f>IFERROR(__xludf.DUMMYFUNCTION("""COMPUTED_VALUE"""),FALSE)</f>
        <v>0</v>
      </c>
      <c r="N1896" s="23" t="b">
        <f>IFERROR(__xludf.DUMMYFUNCTION("""COMPUTED_VALUE"""),FALSE)</f>
        <v>0</v>
      </c>
      <c r="O1896" s="23">
        <f>IFERROR(__xludf.DUMMYFUNCTION("""COMPUTED_VALUE"""),51.2679917751884)</f>
        <v>51.26799178</v>
      </c>
      <c r="P1896" s="23">
        <f>IFERROR(__xludf.DUMMYFUNCTION("""COMPUTED_VALUE"""),7480.0)</f>
        <v>7480</v>
      </c>
      <c r="Q1896" s="23">
        <f>IFERROR(__xludf.DUMMYFUNCTION("""COMPUTED_VALUE"""),14590.0)</f>
        <v>14590</v>
      </c>
    </row>
    <row r="1897">
      <c r="A1897" s="23">
        <f>IFERROR(__xludf.DUMMYFUNCTION("""COMPUTED_VALUE"""),2008.0)</f>
        <v>2008</v>
      </c>
      <c r="B1897" s="23" t="str">
        <f>IFERROR(__xludf.DUMMYFUNCTION("""COMPUTED_VALUE"""),"Minimum Cost to Change the Final Value of Expression")</f>
        <v>Minimum Cost to Change the Final Value of Expression</v>
      </c>
      <c r="C1897" s="23" t="str">
        <f>IFERROR(__xludf.DUMMYFUNCTION("""COMPUTED_VALUE"""),"minimum-cost-to-change-the-final-value-of-expression")</f>
        <v>minimum-cost-to-change-the-final-value-of-expression</v>
      </c>
      <c r="D1897" s="23" t="b">
        <f>IFERROR(__xludf.DUMMYFUNCTION("""COMPUTED_VALUE"""),FALSE)</f>
        <v>0</v>
      </c>
      <c r="E1897" s="23" t="str">
        <f>IFERROR(__xludf.DUMMYFUNCTION("""COMPUTED_VALUE"""),"Hard")</f>
        <v>Hard</v>
      </c>
      <c r="F1897" s="23">
        <f>IFERROR(__xludf.DUMMYFUNCTION("""COMPUTED_VALUE"""),156.0)</f>
        <v>156</v>
      </c>
      <c r="G1897" s="23">
        <f>IFERROR(__xludf.DUMMYFUNCTION("""COMPUTED_VALUE"""),34.0)</f>
        <v>34</v>
      </c>
      <c r="H1897" s="23" t="str">
        <f>IFERROR(__xludf.DUMMYFUNCTION("""COMPUTED_VALUE"""),"Algorithms")</f>
        <v>Algorithms</v>
      </c>
      <c r="I1897" s="23">
        <f>IFERROR(__xludf.DUMMYFUNCTION("""COMPUTED_VALUE"""),0.539)</f>
        <v>0.539</v>
      </c>
      <c r="J1897" s="23">
        <f>IFERROR(__xludf.DUMMYFUNCTION("""COMPUTED_VALUE"""),1896.0)</f>
        <v>1896</v>
      </c>
      <c r="K1897" s="23" t="b">
        <f>IFERROR(__xludf.DUMMYFUNCTION("""COMPUTED_VALUE"""),FALSE)</f>
        <v>0</v>
      </c>
      <c r="L1897" s="23" t="str">
        <f>IFERROR(__xludf.DUMMYFUNCTION("""COMPUTED_VALUE"""),"Math;String;Dynamic Programming;Stack;")</f>
        <v>Math;String;Dynamic Programming;Stack;</v>
      </c>
      <c r="M1897" s="23" t="b">
        <f>IFERROR(__xludf.DUMMYFUNCTION("""COMPUTED_VALUE"""),FALSE)</f>
        <v>0</v>
      </c>
      <c r="N1897" s="23" t="b">
        <f>IFERROR(__xludf.DUMMYFUNCTION("""COMPUTED_VALUE"""),FALSE)</f>
        <v>0</v>
      </c>
      <c r="O1897" s="23">
        <f>IFERROR(__xludf.DUMMYFUNCTION("""COMPUTED_VALUE"""),53.8910911746296)</f>
        <v>53.89109117</v>
      </c>
      <c r="P1897" s="23">
        <f>IFERROR(__xludf.DUMMYFUNCTION("""COMPUTED_VALUE"""),2583.0)</f>
        <v>2583</v>
      </c>
      <c r="Q1897" s="23">
        <f>IFERROR(__xludf.DUMMYFUNCTION("""COMPUTED_VALUE"""),4793.0)</f>
        <v>4793</v>
      </c>
    </row>
    <row r="1898">
      <c r="A1898" s="23">
        <f>IFERROR(__xludf.DUMMYFUNCTION("""COMPUTED_VALUE"""),2025.0)</f>
        <v>2025</v>
      </c>
      <c r="B1898" s="23" t="str">
        <f>IFERROR(__xludf.DUMMYFUNCTION("""COMPUTED_VALUE"""),"Redistribute Characters to Make All Strings Equal")</f>
        <v>Redistribute Characters to Make All Strings Equal</v>
      </c>
      <c r="C1898" s="23" t="str">
        <f>IFERROR(__xludf.DUMMYFUNCTION("""COMPUTED_VALUE"""),"redistribute-characters-to-make-all-strings-equal")</f>
        <v>redistribute-characters-to-make-all-strings-equal</v>
      </c>
      <c r="D1898" s="23" t="b">
        <f>IFERROR(__xludf.DUMMYFUNCTION("""COMPUTED_VALUE"""),FALSE)</f>
        <v>0</v>
      </c>
      <c r="E1898" s="23" t="str">
        <f>IFERROR(__xludf.DUMMYFUNCTION("""COMPUTED_VALUE"""),"Easy")</f>
        <v>Easy</v>
      </c>
      <c r="F1898" s="23">
        <f>IFERROR(__xludf.DUMMYFUNCTION("""COMPUTED_VALUE"""),258.0)</f>
        <v>258</v>
      </c>
      <c r="G1898" s="23">
        <f>IFERROR(__xludf.DUMMYFUNCTION("""COMPUTED_VALUE"""),32.0)</f>
        <v>32</v>
      </c>
      <c r="H1898" s="23" t="str">
        <f>IFERROR(__xludf.DUMMYFUNCTION("""COMPUTED_VALUE"""),"Algorithms")</f>
        <v>Algorithms</v>
      </c>
      <c r="I1898" s="23">
        <f>IFERROR(__xludf.DUMMYFUNCTION("""COMPUTED_VALUE"""),0.601)</f>
        <v>0.601</v>
      </c>
      <c r="J1898" s="23">
        <f>IFERROR(__xludf.DUMMYFUNCTION("""COMPUTED_VALUE"""),1897.0)</f>
        <v>1897</v>
      </c>
      <c r="K1898" s="23" t="b">
        <f>IFERROR(__xludf.DUMMYFUNCTION("""COMPUTED_VALUE"""),FALSE)</f>
        <v>0</v>
      </c>
      <c r="L1898" s="23" t="str">
        <f>IFERROR(__xludf.DUMMYFUNCTION("""COMPUTED_VALUE"""),"Hash Table;String;Counting;")</f>
        <v>Hash Table;String;Counting;</v>
      </c>
      <c r="M1898" s="23" t="b">
        <f>IFERROR(__xludf.DUMMYFUNCTION("""COMPUTED_VALUE"""),FALSE)</f>
        <v>0</v>
      </c>
      <c r="N1898" s="23" t="b">
        <f>IFERROR(__xludf.DUMMYFUNCTION("""COMPUTED_VALUE"""),FALSE)</f>
        <v>0</v>
      </c>
      <c r="O1898" s="23">
        <f>IFERROR(__xludf.DUMMYFUNCTION("""COMPUTED_VALUE"""),60.0583170577393)</f>
        <v>60.05831706</v>
      </c>
      <c r="P1898" s="23">
        <f>IFERROR(__xludf.DUMMYFUNCTION("""COMPUTED_VALUE"""),21833.0)</f>
        <v>21833</v>
      </c>
      <c r="Q1898" s="23">
        <f>IFERROR(__xludf.DUMMYFUNCTION("""COMPUTED_VALUE"""),36353.0)</f>
        <v>36353</v>
      </c>
    </row>
    <row r="1899">
      <c r="A1899" s="23">
        <f>IFERROR(__xludf.DUMMYFUNCTION("""COMPUTED_VALUE"""),2027.0)</f>
        <v>2027</v>
      </c>
      <c r="B1899" s="23" t="str">
        <f>IFERROR(__xludf.DUMMYFUNCTION("""COMPUTED_VALUE"""),"Maximum Number of Removable Characters")</f>
        <v>Maximum Number of Removable Characters</v>
      </c>
      <c r="C1899" s="23" t="str">
        <f>IFERROR(__xludf.DUMMYFUNCTION("""COMPUTED_VALUE"""),"maximum-number-of-removable-characters")</f>
        <v>maximum-number-of-removable-characters</v>
      </c>
      <c r="D1899" s="23" t="b">
        <f>IFERROR(__xludf.DUMMYFUNCTION("""COMPUTED_VALUE"""),FALSE)</f>
        <v>0</v>
      </c>
      <c r="E1899" s="23" t="str">
        <f>IFERROR(__xludf.DUMMYFUNCTION("""COMPUTED_VALUE"""),"Medium")</f>
        <v>Medium</v>
      </c>
      <c r="F1899" s="23">
        <f>IFERROR(__xludf.DUMMYFUNCTION("""COMPUTED_VALUE"""),561.0)</f>
        <v>561</v>
      </c>
      <c r="G1899" s="23">
        <f>IFERROR(__xludf.DUMMYFUNCTION("""COMPUTED_VALUE"""),63.0)</f>
        <v>63</v>
      </c>
      <c r="H1899" s="23" t="str">
        <f>IFERROR(__xludf.DUMMYFUNCTION("""COMPUTED_VALUE"""),"Algorithms")</f>
        <v>Algorithms</v>
      </c>
      <c r="I1899" s="23">
        <f>IFERROR(__xludf.DUMMYFUNCTION("""COMPUTED_VALUE"""),0.367)</f>
        <v>0.367</v>
      </c>
      <c r="J1899" s="23">
        <f>IFERROR(__xludf.DUMMYFUNCTION("""COMPUTED_VALUE"""),1898.0)</f>
        <v>1898</v>
      </c>
      <c r="K1899" s="23" t="b">
        <f>IFERROR(__xludf.DUMMYFUNCTION("""COMPUTED_VALUE"""),FALSE)</f>
        <v>0</v>
      </c>
      <c r="L1899" s="23" t="str">
        <f>IFERROR(__xludf.DUMMYFUNCTION("""COMPUTED_VALUE"""),"Array;String;Binary Search;")</f>
        <v>Array;String;Binary Search;</v>
      </c>
      <c r="M1899" s="23" t="b">
        <f>IFERROR(__xludf.DUMMYFUNCTION("""COMPUTED_VALUE"""),FALSE)</f>
        <v>0</v>
      </c>
      <c r="N1899" s="23" t="b">
        <f>IFERROR(__xludf.DUMMYFUNCTION("""COMPUTED_VALUE"""),FALSE)</f>
        <v>0</v>
      </c>
      <c r="O1899" s="23">
        <f>IFERROR(__xludf.DUMMYFUNCTION("""COMPUTED_VALUE"""),36.6851074476661)</f>
        <v>36.68510745</v>
      </c>
      <c r="P1899" s="23">
        <f>IFERROR(__xludf.DUMMYFUNCTION("""COMPUTED_VALUE"""),13196.0)</f>
        <v>13196</v>
      </c>
      <c r="Q1899" s="23">
        <f>IFERROR(__xludf.DUMMYFUNCTION("""COMPUTED_VALUE"""),35971.0)</f>
        <v>35971</v>
      </c>
    </row>
    <row r="1900">
      <c r="A1900" s="23">
        <f>IFERROR(__xludf.DUMMYFUNCTION("""COMPUTED_VALUE"""),2026.0)</f>
        <v>2026</v>
      </c>
      <c r="B1900" s="23" t="str">
        <f>IFERROR(__xludf.DUMMYFUNCTION("""COMPUTED_VALUE"""),"Merge Triplets to Form Target Triplet")</f>
        <v>Merge Triplets to Form Target Triplet</v>
      </c>
      <c r="C1900" s="23" t="str">
        <f>IFERROR(__xludf.DUMMYFUNCTION("""COMPUTED_VALUE"""),"merge-triplets-to-form-target-triplet")</f>
        <v>merge-triplets-to-form-target-triplet</v>
      </c>
      <c r="D1900" s="23" t="b">
        <f>IFERROR(__xludf.DUMMYFUNCTION("""COMPUTED_VALUE"""),FALSE)</f>
        <v>0</v>
      </c>
      <c r="E1900" s="23" t="str">
        <f>IFERROR(__xludf.DUMMYFUNCTION("""COMPUTED_VALUE"""),"Medium")</f>
        <v>Medium</v>
      </c>
      <c r="F1900" s="23">
        <f>IFERROR(__xludf.DUMMYFUNCTION("""COMPUTED_VALUE"""),297.0)</f>
        <v>297</v>
      </c>
      <c r="G1900" s="23">
        <f>IFERROR(__xludf.DUMMYFUNCTION("""COMPUTED_VALUE"""),24.0)</f>
        <v>24</v>
      </c>
      <c r="H1900" s="23" t="str">
        <f>IFERROR(__xludf.DUMMYFUNCTION("""COMPUTED_VALUE"""),"Algorithms")</f>
        <v>Algorithms</v>
      </c>
      <c r="I1900" s="23">
        <f>IFERROR(__xludf.DUMMYFUNCTION("""COMPUTED_VALUE"""),0.612)</f>
        <v>0.612</v>
      </c>
      <c r="J1900" s="23">
        <f>IFERROR(__xludf.DUMMYFUNCTION("""COMPUTED_VALUE"""),1899.0)</f>
        <v>1899</v>
      </c>
      <c r="K1900" s="23" t="b">
        <f>IFERROR(__xludf.DUMMYFUNCTION("""COMPUTED_VALUE"""),FALSE)</f>
        <v>0</v>
      </c>
      <c r="L1900" s="23" t="str">
        <f>IFERROR(__xludf.DUMMYFUNCTION("""COMPUTED_VALUE"""),"Array;Greedy;")</f>
        <v>Array;Greedy;</v>
      </c>
      <c r="M1900" s="23" t="b">
        <f>IFERROR(__xludf.DUMMYFUNCTION("""COMPUTED_VALUE"""),FALSE)</f>
        <v>0</v>
      </c>
      <c r="N1900" s="23" t="b">
        <f>IFERROR(__xludf.DUMMYFUNCTION("""COMPUTED_VALUE"""),FALSE)</f>
        <v>0</v>
      </c>
      <c r="O1900" s="23">
        <f>IFERROR(__xludf.DUMMYFUNCTION("""COMPUTED_VALUE"""),61.2301873198847)</f>
        <v>61.23018732</v>
      </c>
      <c r="P1900" s="23">
        <f>IFERROR(__xludf.DUMMYFUNCTION("""COMPUTED_VALUE"""),13598.0)</f>
        <v>13598</v>
      </c>
      <c r="Q1900" s="23">
        <f>IFERROR(__xludf.DUMMYFUNCTION("""COMPUTED_VALUE"""),22208.0)</f>
        <v>22208</v>
      </c>
    </row>
    <row r="1901">
      <c r="A1901" s="23">
        <f>IFERROR(__xludf.DUMMYFUNCTION("""COMPUTED_VALUE"""),2028.0)</f>
        <v>2028</v>
      </c>
      <c r="B1901" s="23" t="str">
        <f>IFERROR(__xludf.DUMMYFUNCTION("""COMPUTED_VALUE"""),"The Earliest and Latest Rounds Where Players Compete")</f>
        <v>The Earliest and Latest Rounds Where Players Compete</v>
      </c>
      <c r="C1901" s="23" t="str">
        <f>IFERROR(__xludf.DUMMYFUNCTION("""COMPUTED_VALUE"""),"the-earliest-and-latest-rounds-where-players-compete")</f>
        <v>the-earliest-and-latest-rounds-where-players-compete</v>
      </c>
      <c r="D1901" s="23" t="b">
        <f>IFERROR(__xludf.DUMMYFUNCTION("""COMPUTED_VALUE"""),FALSE)</f>
        <v>0</v>
      </c>
      <c r="E1901" s="23" t="str">
        <f>IFERROR(__xludf.DUMMYFUNCTION("""COMPUTED_VALUE"""),"Hard")</f>
        <v>Hard</v>
      </c>
      <c r="F1901" s="23">
        <f>IFERROR(__xludf.DUMMYFUNCTION("""COMPUTED_VALUE"""),162.0)</f>
        <v>162</v>
      </c>
      <c r="G1901" s="23">
        <f>IFERROR(__xludf.DUMMYFUNCTION("""COMPUTED_VALUE"""),15.0)</f>
        <v>15</v>
      </c>
      <c r="H1901" s="23" t="str">
        <f>IFERROR(__xludf.DUMMYFUNCTION("""COMPUTED_VALUE"""),"Algorithms")</f>
        <v>Algorithms</v>
      </c>
      <c r="I1901" s="23">
        <f>IFERROR(__xludf.DUMMYFUNCTION("""COMPUTED_VALUE"""),0.517)</f>
        <v>0.517</v>
      </c>
      <c r="J1901" s="23">
        <f>IFERROR(__xludf.DUMMYFUNCTION("""COMPUTED_VALUE"""),1900.0)</f>
        <v>1900</v>
      </c>
      <c r="K1901" s="23" t="b">
        <f>IFERROR(__xludf.DUMMYFUNCTION("""COMPUTED_VALUE"""),FALSE)</f>
        <v>0</v>
      </c>
      <c r="L1901" s="23" t="str">
        <f>IFERROR(__xludf.DUMMYFUNCTION("""COMPUTED_VALUE"""),"Dynamic Programming;Memoization;")</f>
        <v>Dynamic Programming;Memoization;</v>
      </c>
      <c r="M1901" s="23" t="b">
        <f>IFERROR(__xludf.DUMMYFUNCTION("""COMPUTED_VALUE"""),FALSE)</f>
        <v>0</v>
      </c>
      <c r="N1901" s="23" t="b">
        <f>IFERROR(__xludf.DUMMYFUNCTION("""COMPUTED_VALUE"""),FALSE)</f>
        <v>0</v>
      </c>
      <c r="O1901" s="23">
        <f>IFERROR(__xludf.DUMMYFUNCTION("""COMPUTED_VALUE"""),51.6762388139441)</f>
        <v>51.67623881</v>
      </c>
      <c r="P1901" s="23">
        <f>IFERROR(__xludf.DUMMYFUNCTION("""COMPUTED_VALUE"""),3869.0)</f>
        <v>3869</v>
      </c>
      <c r="Q1901" s="23">
        <f>IFERROR(__xludf.DUMMYFUNCTION("""COMPUTED_VALUE"""),7487.0)</f>
        <v>7487</v>
      </c>
    </row>
    <row r="1902">
      <c r="A1902" s="23">
        <f>IFERROR(__xludf.DUMMYFUNCTION("""COMPUTED_VALUE"""),2047.0)</f>
        <v>2047</v>
      </c>
      <c r="B1902" s="23" t="str">
        <f>IFERROR(__xludf.DUMMYFUNCTION("""COMPUTED_VALUE"""),"Find a Peak Element II")</f>
        <v>Find a Peak Element II</v>
      </c>
      <c r="C1902" s="23" t="str">
        <f>IFERROR(__xludf.DUMMYFUNCTION("""COMPUTED_VALUE"""),"find-a-peak-element-ii")</f>
        <v>find-a-peak-element-ii</v>
      </c>
      <c r="D1902" s="23" t="b">
        <f>IFERROR(__xludf.DUMMYFUNCTION("""COMPUTED_VALUE"""),FALSE)</f>
        <v>0</v>
      </c>
      <c r="E1902" s="23" t="str">
        <f>IFERROR(__xludf.DUMMYFUNCTION("""COMPUTED_VALUE"""),"Medium")</f>
        <v>Medium</v>
      </c>
      <c r="F1902" s="23">
        <f>IFERROR(__xludf.DUMMYFUNCTION("""COMPUTED_VALUE"""),698.0)</f>
        <v>698</v>
      </c>
      <c r="G1902" s="23">
        <f>IFERROR(__xludf.DUMMYFUNCTION("""COMPUTED_VALUE"""),56.0)</f>
        <v>56</v>
      </c>
      <c r="H1902" s="23" t="str">
        <f>IFERROR(__xludf.DUMMYFUNCTION("""COMPUTED_VALUE"""),"Algorithms")</f>
        <v>Algorithms</v>
      </c>
      <c r="I1902" s="23">
        <f>IFERROR(__xludf.DUMMYFUNCTION("""COMPUTED_VALUE"""),0.536)</f>
        <v>0.536</v>
      </c>
      <c r="J1902" s="23">
        <f>IFERROR(__xludf.DUMMYFUNCTION("""COMPUTED_VALUE"""),1901.0)</f>
        <v>1901</v>
      </c>
      <c r="K1902" s="23" t="b">
        <f>IFERROR(__xludf.DUMMYFUNCTION("""COMPUTED_VALUE"""),FALSE)</f>
        <v>0</v>
      </c>
      <c r="L1902" s="23" t="str">
        <f>IFERROR(__xludf.DUMMYFUNCTION("""COMPUTED_VALUE"""),"Array;Binary Search;Divide and Conquer;Matrix;")</f>
        <v>Array;Binary Search;Divide and Conquer;Matrix;</v>
      </c>
      <c r="M1902" s="23" t="b">
        <f>IFERROR(__xludf.DUMMYFUNCTION("""COMPUTED_VALUE"""),FALSE)</f>
        <v>0</v>
      </c>
      <c r="N1902" s="23" t="b">
        <f>IFERROR(__xludf.DUMMYFUNCTION("""COMPUTED_VALUE"""),FALSE)</f>
        <v>0</v>
      </c>
      <c r="O1902" s="23">
        <f>IFERROR(__xludf.DUMMYFUNCTION("""COMPUTED_VALUE"""),53.581116984087)</f>
        <v>53.58111698</v>
      </c>
      <c r="P1902" s="23">
        <f>IFERROR(__xludf.DUMMYFUNCTION("""COMPUTED_VALUE"""),19159.0)</f>
        <v>19159</v>
      </c>
      <c r="Q1902" s="23">
        <f>IFERROR(__xludf.DUMMYFUNCTION("""COMPUTED_VALUE"""),35756.0)</f>
        <v>35756</v>
      </c>
    </row>
    <row r="1903">
      <c r="A1903" s="23">
        <f>IFERROR(__xludf.DUMMYFUNCTION("""COMPUTED_VALUE"""),2052.0)</f>
        <v>2052</v>
      </c>
      <c r="B1903" s="23" t="str">
        <f>IFERROR(__xludf.DUMMYFUNCTION("""COMPUTED_VALUE"""),"Depth of BST Given Insertion Order")</f>
        <v>Depth of BST Given Insertion Order</v>
      </c>
      <c r="C1903" s="23" t="str">
        <f>IFERROR(__xludf.DUMMYFUNCTION("""COMPUTED_VALUE"""),"depth-of-bst-given-insertion-order")</f>
        <v>depth-of-bst-given-insertion-order</v>
      </c>
      <c r="D1903" s="23" t="b">
        <f>IFERROR(__xludf.DUMMYFUNCTION("""COMPUTED_VALUE"""),TRUE)</f>
        <v>1</v>
      </c>
      <c r="E1903" s="23" t="str">
        <f>IFERROR(__xludf.DUMMYFUNCTION("""COMPUTED_VALUE"""),"Medium")</f>
        <v>Medium</v>
      </c>
      <c r="F1903" s="23">
        <f>IFERROR(__xludf.DUMMYFUNCTION("""COMPUTED_VALUE"""),62.0)</f>
        <v>62</v>
      </c>
      <c r="G1903" s="23">
        <f>IFERROR(__xludf.DUMMYFUNCTION("""COMPUTED_VALUE"""),6.0)</f>
        <v>6</v>
      </c>
      <c r="H1903" s="23" t="str">
        <f>IFERROR(__xludf.DUMMYFUNCTION("""COMPUTED_VALUE"""),"Algorithms")</f>
        <v>Algorithms</v>
      </c>
      <c r="I1903" s="23">
        <f>IFERROR(__xludf.DUMMYFUNCTION("""COMPUTED_VALUE"""),0.462)</f>
        <v>0.462</v>
      </c>
      <c r="J1903" s="23">
        <f>IFERROR(__xludf.DUMMYFUNCTION("""COMPUTED_VALUE"""),1902.0)</f>
        <v>1902</v>
      </c>
      <c r="K1903" s="23" t="b">
        <f>IFERROR(__xludf.DUMMYFUNCTION("""COMPUTED_VALUE"""),TRUE)</f>
        <v>1</v>
      </c>
      <c r="L1903" s="23" t="str">
        <f>IFERROR(__xludf.DUMMYFUNCTION("""COMPUTED_VALUE"""),"Tree;Binary Search Tree;Binary Tree;Ordered Set;")</f>
        <v>Tree;Binary Search Tree;Binary Tree;Ordered Set;</v>
      </c>
      <c r="M1903" s="23" t="b">
        <f>IFERROR(__xludf.DUMMYFUNCTION("""COMPUTED_VALUE"""),FALSE)</f>
        <v>0</v>
      </c>
      <c r="N1903" s="23" t="b">
        <f>IFERROR(__xludf.DUMMYFUNCTION("""COMPUTED_VALUE"""),FALSE)</f>
        <v>0</v>
      </c>
      <c r="O1903" s="23">
        <f>IFERROR(__xludf.DUMMYFUNCTION("""COMPUTED_VALUE"""),46.2311557788944)</f>
        <v>46.23115578</v>
      </c>
      <c r="P1903" s="23">
        <f>IFERROR(__xludf.DUMMYFUNCTION("""COMPUTED_VALUE"""),1380.0)</f>
        <v>1380</v>
      </c>
      <c r="Q1903" s="23">
        <f>IFERROR(__xludf.DUMMYFUNCTION("""COMPUTED_VALUE"""),2985.0)</f>
        <v>2985</v>
      </c>
    </row>
    <row r="1904">
      <c r="A1904" s="23">
        <f>IFERROR(__xludf.DUMMYFUNCTION("""COMPUTED_VALUE"""),2032.0)</f>
        <v>2032</v>
      </c>
      <c r="B1904" s="23" t="str">
        <f>IFERROR(__xludf.DUMMYFUNCTION("""COMPUTED_VALUE"""),"Largest Odd Number in String")</f>
        <v>Largest Odd Number in String</v>
      </c>
      <c r="C1904" s="23" t="str">
        <f>IFERROR(__xludf.DUMMYFUNCTION("""COMPUTED_VALUE"""),"largest-odd-number-in-string")</f>
        <v>largest-odd-number-in-string</v>
      </c>
      <c r="D1904" s="23" t="b">
        <f>IFERROR(__xludf.DUMMYFUNCTION("""COMPUTED_VALUE"""),FALSE)</f>
        <v>0</v>
      </c>
      <c r="E1904" s="23" t="str">
        <f>IFERROR(__xludf.DUMMYFUNCTION("""COMPUTED_VALUE"""),"Easy")</f>
        <v>Easy</v>
      </c>
      <c r="F1904" s="23">
        <f>IFERROR(__xludf.DUMMYFUNCTION("""COMPUTED_VALUE"""),359.0)</f>
        <v>359</v>
      </c>
      <c r="G1904" s="23">
        <f>IFERROR(__xludf.DUMMYFUNCTION("""COMPUTED_VALUE"""),30.0)</f>
        <v>30</v>
      </c>
      <c r="H1904" s="23" t="str">
        <f>IFERROR(__xludf.DUMMYFUNCTION("""COMPUTED_VALUE"""),"Algorithms")</f>
        <v>Algorithms</v>
      </c>
      <c r="I1904" s="23">
        <f>IFERROR(__xludf.DUMMYFUNCTION("""COMPUTED_VALUE"""),0.568)</f>
        <v>0.568</v>
      </c>
      <c r="J1904" s="23">
        <f>IFERROR(__xludf.DUMMYFUNCTION("""COMPUTED_VALUE"""),1903.0)</f>
        <v>1903</v>
      </c>
      <c r="K1904" s="23" t="b">
        <f>IFERROR(__xludf.DUMMYFUNCTION("""COMPUTED_VALUE"""),FALSE)</f>
        <v>0</v>
      </c>
      <c r="L1904" s="23" t="str">
        <f>IFERROR(__xludf.DUMMYFUNCTION("""COMPUTED_VALUE"""),"Math;String;Greedy;")</f>
        <v>Math;String;Greedy;</v>
      </c>
      <c r="M1904" s="23" t="b">
        <f>IFERROR(__xludf.DUMMYFUNCTION("""COMPUTED_VALUE"""),FALSE)</f>
        <v>0</v>
      </c>
      <c r="N1904" s="23" t="b">
        <f>IFERROR(__xludf.DUMMYFUNCTION("""COMPUTED_VALUE"""),FALSE)</f>
        <v>0</v>
      </c>
      <c r="O1904" s="23">
        <f>IFERROR(__xludf.DUMMYFUNCTION("""COMPUTED_VALUE"""),56.8165506351826)</f>
        <v>56.81655064</v>
      </c>
      <c r="P1904" s="23">
        <f>IFERROR(__xludf.DUMMYFUNCTION("""COMPUTED_VALUE"""),31664.0)</f>
        <v>31664</v>
      </c>
      <c r="Q1904" s="23">
        <f>IFERROR(__xludf.DUMMYFUNCTION("""COMPUTED_VALUE"""),55731.0)</f>
        <v>55731</v>
      </c>
    </row>
    <row r="1905">
      <c r="A1905" s="23">
        <f>IFERROR(__xludf.DUMMYFUNCTION("""COMPUTED_VALUE"""),2033.0)</f>
        <v>2033</v>
      </c>
      <c r="B1905" s="23" t="str">
        <f>IFERROR(__xludf.DUMMYFUNCTION("""COMPUTED_VALUE"""),"The Number of Full Rounds You Have Played")</f>
        <v>The Number of Full Rounds You Have Played</v>
      </c>
      <c r="C1905" s="23" t="str">
        <f>IFERROR(__xludf.DUMMYFUNCTION("""COMPUTED_VALUE"""),"the-number-of-full-rounds-you-have-played")</f>
        <v>the-number-of-full-rounds-you-have-played</v>
      </c>
      <c r="D1905" s="23" t="b">
        <f>IFERROR(__xludf.DUMMYFUNCTION("""COMPUTED_VALUE"""),FALSE)</f>
        <v>0</v>
      </c>
      <c r="E1905" s="23" t="str">
        <f>IFERROR(__xludf.DUMMYFUNCTION("""COMPUTED_VALUE"""),"Medium")</f>
        <v>Medium</v>
      </c>
      <c r="F1905" s="23">
        <f>IFERROR(__xludf.DUMMYFUNCTION("""COMPUTED_VALUE"""),147.0)</f>
        <v>147</v>
      </c>
      <c r="G1905" s="23">
        <f>IFERROR(__xludf.DUMMYFUNCTION("""COMPUTED_VALUE"""),204.0)</f>
        <v>204</v>
      </c>
      <c r="H1905" s="23" t="str">
        <f>IFERROR(__xludf.DUMMYFUNCTION("""COMPUTED_VALUE"""),"Algorithms")</f>
        <v>Algorithms</v>
      </c>
      <c r="I1905" s="23">
        <f>IFERROR(__xludf.DUMMYFUNCTION("""COMPUTED_VALUE"""),0.469)</f>
        <v>0.469</v>
      </c>
      <c r="J1905" s="23">
        <f>IFERROR(__xludf.DUMMYFUNCTION("""COMPUTED_VALUE"""),1904.0)</f>
        <v>1904</v>
      </c>
      <c r="K1905" s="23" t="b">
        <f>IFERROR(__xludf.DUMMYFUNCTION("""COMPUTED_VALUE"""),FALSE)</f>
        <v>0</v>
      </c>
      <c r="L1905" s="23" t="str">
        <f>IFERROR(__xludf.DUMMYFUNCTION("""COMPUTED_VALUE"""),"Math;String;")</f>
        <v>Math;String;</v>
      </c>
      <c r="M1905" s="23" t="b">
        <f>IFERROR(__xludf.DUMMYFUNCTION("""COMPUTED_VALUE"""),FALSE)</f>
        <v>0</v>
      </c>
      <c r="N1905" s="23" t="b">
        <f>IFERROR(__xludf.DUMMYFUNCTION("""COMPUTED_VALUE"""),FALSE)</f>
        <v>0</v>
      </c>
      <c r="O1905" s="23">
        <f>IFERROR(__xludf.DUMMYFUNCTION("""COMPUTED_VALUE"""),46.9478194517814)</f>
        <v>46.94781945</v>
      </c>
      <c r="P1905" s="23">
        <f>IFERROR(__xludf.DUMMYFUNCTION("""COMPUTED_VALUE"""),15997.0)</f>
        <v>15997</v>
      </c>
      <c r="Q1905" s="23">
        <f>IFERROR(__xludf.DUMMYFUNCTION("""COMPUTED_VALUE"""),34074.0)</f>
        <v>34074</v>
      </c>
    </row>
    <row r="1906">
      <c r="A1906" s="23">
        <f>IFERROR(__xludf.DUMMYFUNCTION("""COMPUTED_VALUE"""),2035.0)</f>
        <v>2035</v>
      </c>
      <c r="B1906" s="23" t="str">
        <f>IFERROR(__xludf.DUMMYFUNCTION("""COMPUTED_VALUE"""),"Count Sub Islands")</f>
        <v>Count Sub Islands</v>
      </c>
      <c r="C1906" s="23" t="str">
        <f>IFERROR(__xludf.DUMMYFUNCTION("""COMPUTED_VALUE"""),"count-sub-islands")</f>
        <v>count-sub-islands</v>
      </c>
      <c r="D1906" s="23" t="b">
        <f>IFERROR(__xludf.DUMMYFUNCTION("""COMPUTED_VALUE"""),FALSE)</f>
        <v>0</v>
      </c>
      <c r="E1906" s="23" t="str">
        <f>IFERROR(__xludf.DUMMYFUNCTION("""COMPUTED_VALUE"""),"Medium")</f>
        <v>Medium</v>
      </c>
      <c r="F1906" s="23">
        <f>IFERROR(__xludf.DUMMYFUNCTION("""COMPUTED_VALUE"""),901.0)</f>
        <v>901</v>
      </c>
      <c r="G1906" s="23">
        <f>IFERROR(__xludf.DUMMYFUNCTION("""COMPUTED_VALUE"""),28.0)</f>
        <v>28</v>
      </c>
      <c r="H1906" s="23" t="str">
        <f>IFERROR(__xludf.DUMMYFUNCTION("""COMPUTED_VALUE"""),"Algorithms")</f>
        <v>Algorithms</v>
      </c>
      <c r="I1906" s="23">
        <f>IFERROR(__xludf.DUMMYFUNCTION("""COMPUTED_VALUE"""),0.659)</f>
        <v>0.659</v>
      </c>
      <c r="J1906" s="23">
        <f>IFERROR(__xludf.DUMMYFUNCTION("""COMPUTED_VALUE"""),1905.0)</f>
        <v>1905</v>
      </c>
      <c r="K1906" s="23" t="b">
        <f>IFERROR(__xludf.DUMMYFUNCTION("""COMPUTED_VALUE"""),FALSE)</f>
        <v>0</v>
      </c>
      <c r="L1906" s="23" t="str">
        <f>IFERROR(__xludf.DUMMYFUNCTION("""COMPUTED_VALUE"""),"Array;Depth-First Search;Breadth-First Search;Union Find;Matrix;")</f>
        <v>Array;Depth-First Search;Breadth-First Search;Union Find;Matrix;</v>
      </c>
      <c r="M1906" s="23" t="b">
        <f>IFERROR(__xludf.DUMMYFUNCTION("""COMPUTED_VALUE"""),FALSE)</f>
        <v>0</v>
      </c>
      <c r="N1906" s="23" t="b">
        <f>IFERROR(__xludf.DUMMYFUNCTION("""COMPUTED_VALUE"""),FALSE)</f>
        <v>0</v>
      </c>
      <c r="O1906" s="23">
        <f>IFERROR(__xludf.DUMMYFUNCTION("""COMPUTED_VALUE"""),65.8567257070997)</f>
        <v>65.85672571</v>
      </c>
      <c r="P1906" s="23">
        <f>IFERROR(__xludf.DUMMYFUNCTION("""COMPUTED_VALUE"""),30897.0)</f>
        <v>30897</v>
      </c>
      <c r="Q1906" s="23">
        <f>IFERROR(__xludf.DUMMYFUNCTION("""COMPUTED_VALUE"""),46916.0)</f>
        <v>46916</v>
      </c>
    </row>
    <row r="1907">
      <c r="A1907" s="23">
        <f>IFERROR(__xludf.DUMMYFUNCTION("""COMPUTED_VALUE"""),2034.0)</f>
        <v>2034</v>
      </c>
      <c r="B1907" s="23" t="str">
        <f>IFERROR(__xludf.DUMMYFUNCTION("""COMPUTED_VALUE"""),"Minimum Absolute Difference Queries")</f>
        <v>Minimum Absolute Difference Queries</v>
      </c>
      <c r="C1907" s="23" t="str">
        <f>IFERROR(__xludf.DUMMYFUNCTION("""COMPUTED_VALUE"""),"minimum-absolute-difference-queries")</f>
        <v>minimum-absolute-difference-queries</v>
      </c>
      <c r="D1907" s="23" t="b">
        <f>IFERROR(__xludf.DUMMYFUNCTION("""COMPUTED_VALUE"""),FALSE)</f>
        <v>0</v>
      </c>
      <c r="E1907" s="23" t="str">
        <f>IFERROR(__xludf.DUMMYFUNCTION("""COMPUTED_VALUE"""),"Medium")</f>
        <v>Medium</v>
      </c>
      <c r="F1907" s="23">
        <f>IFERROR(__xludf.DUMMYFUNCTION("""COMPUTED_VALUE"""),355.0)</f>
        <v>355</v>
      </c>
      <c r="G1907" s="23">
        <f>IFERROR(__xludf.DUMMYFUNCTION("""COMPUTED_VALUE"""),28.0)</f>
        <v>28</v>
      </c>
      <c r="H1907" s="23" t="str">
        <f>IFERROR(__xludf.DUMMYFUNCTION("""COMPUTED_VALUE"""),"Algorithms")</f>
        <v>Algorithms</v>
      </c>
      <c r="I1907" s="23">
        <f>IFERROR(__xludf.DUMMYFUNCTION("""COMPUTED_VALUE"""),0.428)</f>
        <v>0.428</v>
      </c>
      <c r="J1907" s="23">
        <f>IFERROR(__xludf.DUMMYFUNCTION("""COMPUTED_VALUE"""),1906.0)</f>
        <v>1906</v>
      </c>
      <c r="K1907" s="23" t="b">
        <f>IFERROR(__xludf.DUMMYFUNCTION("""COMPUTED_VALUE"""),FALSE)</f>
        <v>0</v>
      </c>
      <c r="L1907" s="23" t="str">
        <f>IFERROR(__xludf.DUMMYFUNCTION("""COMPUTED_VALUE"""),"Array;Hash Table;")</f>
        <v>Array;Hash Table;</v>
      </c>
      <c r="M1907" s="23" t="b">
        <f>IFERROR(__xludf.DUMMYFUNCTION("""COMPUTED_VALUE"""),FALSE)</f>
        <v>0</v>
      </c>
      <c r="N1907" s="23" t="b">
        <f>IFERROR(__xludf.DUMMYFUNCTION("""COMPUTED_VALUE"""),FALSE)</f>
        <v>0</v>
      </c>
      <c r="O1907" s="23">
        <f>IFERROR(__xludf.DUMMYFUNCTION("""COMPUTED_VALUE"""),42.7976258417988)</f>
        <v>42.79762584</v>
      </c>
      <c r="P1907" s="23">
        <f>IFERROR(__xludf.DUMMYFUNCTION("""COMPUTED_VALUE"""),7499.0)</f>
        <v>7499</v>
      </c>
      <c r="Q1907" s="23">
        <f>IFERROR(__xludf.DUMMYFUNCTION("""COMPUTED_VALUE"""),17522.0)</f>
        <v>17522</v>
      </c>
    </row>
    <row r="1908">
      <c r="A1908" s="23">
        <f>IFERROR(__xludf.DUMMYFUNCTION("""COMPUTED_VALUE"""),2057.0)</f>
        <v>2057</v>
      </c>
      <c r="B1908" s="23" t="str">
        <f>IFERROR(__xludf.DUMMYFUNCTION("""COMPUTED_VALUE"""),"Count Salary Categories")</f>
        <v>Count Salary Categories</v>
      </c>
      <c r="C1908" s="23" t="str">
        <f>IFERROR(__xludf.DUMMYFUNCTION("""COMPUTED_VALUE"""),"count-salary-categories")</f>
        <v>count-salary-categories</v>
      </c>
      <c r="D1908" s="23" t="b">
        <f>IFERROR(__xludf.DUMMYFUNCTION("""COMPUTED_VALUE"""),TRUE)</f>
        <v>1</v>
      </c>
      <c r="E1908" s="23" t="str">
        <f>IFERROR(__xludf.DUMMYFUNCTION("""COMPUTED_VALUE"""),"Medium")</f>
        <v>Medium</v>
      </c>
      <c r="F1908" s="23">
        <f>IFERROR(__xludf.DUMMYFUNCTION("""COMPUTED_VALUE"""),35.0)</f>
        <v>35</v>
      </c>
      <c r="G1908" s="23">
        <f>IFERROR(__xludf.DUMMYFUNCTION("""COMPUTED_VALUE"""),13.0)</f>
        <v>13</v>
      </c>
      <c r="H1908" s="23" t="str">
        <f>IFERROR(__xludf.DUMMYFUNCTION("""COMPUTED_VALUE"""),"Database")</f>
        <v>Database</v>
      </c>
      <c r="I1908" s="23">
        <f>IFERROR(__xludf.DUMMYFUNCTION("""COMPUTED_VALUE"""),0.66)</f>
        <v>0.66</v>
      </c>
      <c r="J1908" s="23">
        <f>IFERROR(__xludf.DUMMYFUNCTION("""COMPUTED_VALUE"""),1907.0)</f>
        <v>1907</v>
      </c>
      <c r="K1908" s="23" t="b">
        <f>IFERROR(__xludf.DUMMYFUNCTION("""COMPUTED_VALUE"""),TRUE)</f>
        <v>1</v>
      </c>
      <c r="L1908" s="23" t="str">
        <f>IFERROR(__xludf.DUMMYFUNCTION("""COMPUTED_VALUE"""),"Database;")</f>
        <v>Database;</v>
      </c>
      <c r="M1908" s="23" t="b">
        <f>IFERROR(__xludf.DUMMYFUNCTION("""COMPUTED_VALUE"""),FALSE)</f>
        <v>0</v>
      </c>
      <c r="N1908" s="23" t="b">
        <f>IFERROR(__xludf.DUMMYFUNCTION("""COMPUTED_VALUE"""),FALSE)</f>
        <v>0</v>
      </c>
      <c r="O1908" s="23">
        <f>IFERROR(__xludf.DUMMYFUNCTION("""COMPUTED_VALUE"""),66.0496957403651)</f>
        <v>66.04969574</v>
      </c>
      <c r="P1908" s="23">
        <f>IFERROR(__xludf.DUMMYFUNCTION("""COMPUTED_VALUE"""),5210.0)</f>
        <v>5210</v>
      </c>
      <c r="Q1908" s="23">
        <f>IFERROR(__xludf.DUMMYFUNCTION("""COMPUTED_VALUE"""),7888.0)</f>
        <v>7888</v>
      </c>
    </row>
    <row r="1909">
      <c r="A1909" s="23">
        <f>IFERROR(__xludf.DUMMYFUNCTION("""COMPUTED_VALUE"""),2062.0)</f>
        <v>2062</v>
      </c>
      <c r="B1909" s="23" t="str">
        <f>IFERROR(__xludf.DUMMYFUNCTION("""COMPUTED_VALUE"""),"Game of Nim")</f>
        <v>Game of Nim</v>
      </c>
      <c r="C1909" s="23" t="str">
        <f>IFERROR(__xludf.DUMMYFUNCTION("""COMPUTED_VALUE"""),"game-of-nim")</f>
        <v>game-of-nim</v>
      </c>
      <c r="D1909" s="23" t="b">
        <f>IFERROR(__xludf.DUMMYFUNCTION("""COMPUTED_VALUE"""),TRUE)</f>
        <v>1</v>
      </c>
      <c r="E1909" s="23" t="str">
        <f>IFERROR(__xludf.DUMMYFUNCTION("""COMPUTED_VALUE"""),"Medium")</f>
        <v>Medium</v>
      </c>
      <c r="F1909" s="23">
        <f>IFERROR(__xludf.DUMMYFUNCTION("""COMPUTED_VALUE"""),26.0)</f>
        <v>26</v>
      </c>
      <c r="G1909" s="23">
        <f>IFERROR(__xludf.DUMMYFUNCTION("""COMPUTED_VALUE"""),13.0)</f>
        <v>13</v>
      </c>
      <c r="H1909" s="23" t="str">
        <f>IFERROR(__xludf.DUMMYFUNCTION("""COMPUTED_VALUE"""),"Algorithms")</f>
        <v>Algorithms</v>
      </c>
      <c r="I1909" s="23">
        <f>IFERROR(__xludf.DUMMYFUNCTION("""COMPUTED_VALUE"""),0.579)</f>
        <v>0.579</v>
      </c>
      <c r="J1909" s="23">
        <f>IFERROR(__xludf.DUMMYFUNCTION("""COMPUTED_VALUE"""),1908.0)</f>
        <v>1908</v>
      </c>
      <c r="K1909" s="23" t="b">
        <f>IFERROR(__xludf.DUMMYFUNCTION("""COMPUTED_VALUE"""),TRUE)</f>
        <v>1</v>
      </c>
      <c r="L1909" s="23" t="str">
        <f>IFERROR(__xludf.DUMMYFUNCTION("""COMPUTED_VALUE"""),"Array;Math;Dynamic Programming;Bit Manipulation;Brainteaser;Game Theory;")</f>
        <v>Array;Math;Dynamic Programming;Bit Manipulation;Brainteaser;Game Theory;</v>
      </c>
      <c r="M1909" s="23" t="b">
        <f>IFERROR(__xludf.DUMMYFUNCTION("""COMPUTED_VALUE"""),FALSE)</f>
        <v>0</v>
      </c>
      <c r="N1909" s="23" t="b">
        <f>IFERROR(__xludf.DUMMYFUNCTION("""COMPUTED_VALUE"""),FALSE)</f>
        <v>0</v>
      </c>
      <c r="O1909" s="23">
        <f>IFERROR(__xludf.DUMMYFUNCTION("""COMPUTED_VALUE"""),57.9399141630901)</f>
        <v>57.93991416</v>
      </c>
      <c r="P1909" s="23">
        <f>IFERROR(__xludf.DUMMYFUNCTION("""COMPUTED_VALUE"""),945.0)</f>
        <v>945</v>
      </c>
      <c r="Q1909" s="23">
        <f>IFERROR(__xludf.DUMMYFUNCTION("""COMPUTED_VALUE"""),1631.0)</f>
        <v>1631</v>
      </c>
    </row>
    <row r="1910">
      <c r="A1910" s="23">
        <f>IFERROR(__xludf.DUMMYFUNCTION("""COMPUTED_VALUE"""),2020.0)</f>
        <v>2020</v>
      </c>
      <c r="B1910" s="23" t="str">
        <f>IFERROR(__xludf.DUMMYFUNCTION("""COMPUTED_VALUE"""),"Remove One Element to Make the Array Strictly Increasing")</f>
        <v>Remove One Element to Make the Array Strictly Increasing</v>
      </c>
      <c r="C1910" s="23" t="str">
        <f>IFERROR(__xludf.DUMMYFUNCTION("""COMPUTED_VALUE"""),"remove-one-element-to-make-the-array-strictly-increasing")</f>
        <v>remove-one-element-to-make-the-array-strictly-increasing</v>
      </c>
      <c r="D1910" s="23" t="b">
        <f>IFERROR(__xludf.DUMMYFUNCTION("""COMPUTED_VALUE"""),FALSE)</f>
        <v>0</v>
      </c>
      <c r="E1910" s="23" t="str">
        <f>IFERROR(__xludf.DUMMYFUNCTION("""COMPUTED_VALUE"""),"Easy")</f>
        <v>Easy</v>
      </c>
      <c r="F1910" s="23">
        <f>IFERROR(__xludf.DUMMYFUNCTION("""COMPUTED_VALUE"""),497.0)</f>
        <v>497</v>
      </c>
      <c r="G1910" s="23">
        <f>IFERROR(__xludf.DUMMYFUNCTION("""COMPUTED_VALUE"""),197.0)</f>
        <v>197</v>
      </c>
      <c r="H1910" s="23" t="str">
        <f>IFERROR(__xludf.DUMMYFUNCTION("""COMPUTED_VALUE"""),"Algorithms")</f>
        <v>Algorithms</v>
      </c>
      <c r="I1910" s="23">
        <f>IFERROR(__xludf.DUMMYFUNCTION("""COMPUTED_VALUE"""),0.272)</f>
        <v>0.272</v>
      </c>
      <c r="J1910" s="23">
        <f>IFERROR(__xludf.DUMMYFUNCTION("""COMPUTED_VALUE"""),1909.0)</f>
        <v>1909</v>
      </c>
      <c r="K1910" s="23" t="b">
        <f>IFERROR(__xludf.DUMMYFUNCTION("""COMPUTED_VALUE"""),FALSE)</f>
        <v>0</v>
      </c>
      <c r="L1910" s="23" t="str">
        <f>IFERROR(__xludf.DUMMYFUNCTION("""COMPUTED_VALUE"""),"Array;")</f>
        <v>Array;</v>
      </c>
      <c r="M1910" s="23" t="b">
        <f>IFERROR(__xludf.DUMMYFUNCTION("""COMPUTED_VALUE"""),FALSE)</f>
        <v>0</v>
      </c>
      <c r="N1910" s="23" t="b">
        <f>IFERROR(__xludf.DUMMYFUNCTION("""COMPUTED_VALUE"""),FALSE)</f>
        <v>0</v>
      </c>
      <c r="O1910" s="23">
        <f>IFERROR(__xludf.DUMMYFUNCTION("""COMPUTED_VALUE"""),27.1760093916397)</f>
        <v>27.17600939</v>
      </c>
      <c r="P1910" s="23">
        <f>IFERROR(__xludf.DUMMYFUNCTION("""COMPUTED_VALUE"""),25927.0)</f>
        <v>25927</v>
      </c>
      <c r="Q1910" s="23">
        <f>IFERROR(__xludf.DUMMYFUNCTION("""COMPUTED_VALUE"""),95401.0)</f>
        <v>95401</v>
      </c>
    </row>
    <row r="1911">
      <c r="A1911" s="23">
        <f>IFERROR(__xludf.DUMMYFUNCTION("""COMPUTED_VALUE"""),2021.0)</f>
        <v>2021</v>
      </c>
      <c r="B1911" s="23" t="str">
        <f>IFERROR(__xludf.DUMMYFUNCTION("""COMPUTED_VALUE"""),"Remove All Occurrences of a Substring")</f>
        <v>Remove All Occurrences of a Substring</v>
      </c>
      <c r="C1911" s="23" t="str">
        <f>IFERROR(__xludf.DUMMYFUNCTION("""COMPUTED_VALUE"""),"remove-all-occurrences-of-a-substring")</f>
        <v>remove-all-occurrences-of-a-substring</v>
      </c>
      <c r="D1911" s="23" t="b">
        <f>IFERROR(__xludf.DUMMYFUNCTION("""COMPUTED_VALUE"""),FALSE)</f>
        <v>0</v>
      </c>
      <c r="E1911" s="23" t="str">
        <f>IFERROR(__xludf.DUMMYFUNCTION("""COMPUTED_VALUE"""),"Medium")</f>
        <v>Medium</v>
      </c>
      <c r="F1911" s="23">
        <f>IFERROR(__xludf.DUMMYFUNCTION("""COMPUTED_VALUE"""),586.0)</f>
        <v>586</v>
      </c>
      <c r="G1911" s="23">
        <f>IFERROR(__xludf.DUMMYFUNCTION("""COMPUTED_VALUE"""),32.0)</f>
        <v>32</v>
      </c>
      <c r="H1911" s="23" t="str">
        <f>IFERROR(__xludf.DUMMYFUNCTION("""COMPUTED_VALUE"""),"Algorithms")</f>
        <v>Algorithms</v>
      </c>
      <c r="I1911" s="23">
        <f>IFERROR(__xludf.DUMMYFUNCTION("""COMPUTED_VALUE"""),0.72)</f>
        <v>0.72</v>
      </c>
      <c r="J1911" s="23">
        <f>IFERROR(__xludf.DUMMYFUNCTION("""COMPUTED_VALUE"""),1910.0)</f>
        <v>1910</v>
      </c>
      <c r="K1911" s="23" t="b">
        <f>IFERROR(__xludf.DUMMYFUNCTION("""COMPUTED_VALUE"""),FALSE)</f>
        <v>0</v>
      </c>
      <c r="L1911" s="23" t="str">
        <f>IFERROR(__xludf.DUMMYFUNCTION("""COMPUTED_VALUE"""),"String;")</f>
        <v>String;</v>
      </c>
      <c r="M1911" s="23" t="b">
        <f>IFERROR(__xludf.DUMMYFUNCTION("""COMPUTED_VALUE"""),FALSE)</f>
        <v>0</v>
      </c>
      <c r="N1911" s="23" t="b">
        <f>IFERROR(__xludf.DUMMYFUNCTION("""COMPUTED_VALUE"""),FALSE)</f>
        <v>0</v>
      </c>
      <c r="O1911" s="23">
        <f>IFERROR(__xludf.DUMMYFUNCTION("""COMPUTED_VALUE"""),72.0110312009949)</f>
        <v>72.0110312</v>
      </c>
      <c r="P1911" s="23">
        <f>IFERROR(__xludf.DUMMYFUNCTION("""COMPUTED_VALUE"""),26634.0)</f>
        <v>26634</v>
      </c>
      <c r="Q1911" s="23">
        <f>IFERROR(__xludf.DUMMYFUNCTION("""COMPUTED_VALUE"""),36986.0)</f>
        <v>36986</v>
      </c>
    </row>
    <row r="1912">
      <c r="A1912" s="23">
        <f>IFERROR(__xludf.DUMMYFUNCTION("""COMPUTED_VALUE"""),2022.0)</f>
        <v>2022</v>
      </c>
      <c r="B1912" s="23" t="str">
        <f>IFERROR(__xludf.DUMMYFUNCTION("""COMPUTED_VALUE"""),"Maximum Alternating Subsequence Sum")</f>
        <v>Maximum Alternating Subsequence Sum</v>
      </c>
      <c r="C1912" s="23" t="str">
        <f>IFERROR(__xludf.DUMMYFUNCTION("""COMPUTED_VALUE"""),"maximum-alternating-subsequence-sum")</f>
        <v>maximum-alternating-subsequence-sum</v>
      </c>
      <c r="D1912" s="23" t="b">
        <f>IFERROR(__xludf.DUMMYFUNCTION("""COMPUTED_VALUE"""),FALSE)</f>
        <v>0</v>
      </c>
      <c r="E1912" s="23" t="str">
        <f>IFERROR(__xludf.DUMMYFUNCTION("""COMPUTED_VALUE"""),"Medium")</f>
        <v>Medium</v>
      </c>
      <c r="F1912" s="23">
        <f>IFERROR(__xludf.DUMMYFUNCTION("""COMPUTED_VALUE"""),647.0)</f>
        <v>647</v>
      </c>
      <c r="G1912" s="23">
        <f>IFERROR(__xludf.DUMMYFUNCTION("""COMPUTED_VALUE"""),11.0)</f>
        <v>11</v>
      </c>
      <c r="H1912" s="23" t="str">
        <f>IFERROR(__xludf.DUMMYFUNCTION("""COMPUTED_VALUE"""),"Algorithms")</f>
        <v>Algorithms</v>
      </c>
      <c r="I1912" s="23">
        <f>IFERROR(__xludf.DUMMYFUNCTION("""COMPUTED_VALUE"""),0.591)</f>
        <v>0.591</v>
      </c>
      <c r="J1912" s="23">
        <f>IFERROR(__xludf.DUMMYFUNCTION("""COMPUTED_VALUE"""),1911.0)</f>
        <v>1911</v>
      </c>
      <c r="K1912" s="23" t="b">
        <f>IFERROR(__xludf.DUMMYFUNCTION("""COMPUTED_VALUE"""),FALSE)</f>
        <v>0</v>
      </c>
      <c r="L1912" s="23" t="str">
        <f>IFERROR(__xludf.DUMMYFUNCTION("""COMPUTED_VALUE"""),"Array;Dynamic Programming;")</f>
        <v>Array;Dynamic Programming;</v>
      </c>
      <c r="M1912" s="23" t="b">
        <f>IFERROR(__xludf.DUMMYFUNCTION("""COMPUTED_VALUE"""),FALSE)</f>
        <v>0</v>
      </c>
      <c r="N1912" s="23" t="b">
        <f>IFERROR(__xludf.DUMMYFUNCTION("""COMPUTED_VALUE"""),FALSE)</f>
        <v>0</v>
      </c>
      <c r="O1912" s="23">
        <f>IFERROR(__xludf.DUMMYFUNCTION("""COMPUTED_VALUE"""),59.102500666083)</f>
        <v>59.10250067</v>
      </c>
      <c r="P1912" s="23">
        <f>IFERROR(__xludf.DUMMYFUNCTION("""COMPUTED_VALUE"""),15528.0)</f>
        <v>15528</v>
      </c>
      <c r="Q1912" s="23">
        <f>IFERROR(__xludf.DUMMYFUNCTION("""COMPUTED_VALUE"""),26273.0)</f>
        <v>26273</v>
      </c>
    </row>
    <row r="1913">
      <c r="A1913" s="23">
        <f>IFERROR(__xludf.DUMMYFUNCTION("""COMPUTED_VALUE"""),2023.0)</f>
        <v>2023</v>
      </c>
      <c r="B1913" s="23" t="str">
        <f>IFERROR(__xludf.DUMMYFUNCTION("""COMPUTED_VALUE"""),"Design Movie Rental System")</f>
        <v>Design Movie Rental System</v>
      </c>
      <c r="C1913" s="23" t="str">
        <f>IFERROR(__xludf.DUMMYFUNCTION("""COMPUTED_VALUE"""),"design-movie-rental-system")</f>
        <v>design-movie-rental-system</v>
      </c>
      <c r="D1913" s="23" t="b">
        <f>IFERROR(__xludf.DUMMYFUNCTION("""COMPUTED_VALUE"""),FALSE)</f>
        <v>0</v>
      </c>
      <c r="E1913" s="23" t="str">
        <f>IFERROR(__xludf.DUMMYFUNCTION("""COMPUTED_VALUE"""),"Hard")</f>
        <v>Hard</v>
      </c>
      <c r="F1913" s="23">
        <f>IFERROR(__xludf.DUMMYFUNCTION("""COMPUTED_VALUE"""),143.0)</f>
        <v>143</v>
      </c>
      <c r="G1913" s="23">
        <f>IFERROR(__xludf.DUMMYFUNCTION("""COMPUTED_VALUE"""),30.0)</f>
        <v>30</v>
      </c>
      <c r="H1913" s="23" t="str">
        <f>IFERROR(__xludf.DUMMYFUNCTION("""COMPUTED_VALUE"""),"Algorithms")</f>
        <v>Algorithms</v>
      </c>
      <c r="I1913" s="23">
        <f>IFERROR(__xludf.DUMMYFUNCTION("""COMPUTED_VALUE"""),0.416)</f>
        <v>0.416</v>
      </c>
      <c r="J1913" s="23">
        <f>IFERROR(__xludf.DUMMYFUNCTION("""COMPUTED_VALUE"""),1912.0)</f>
        <v>1912</v>
      </c>
      <c r="K1913" s="23" t="b">
        <f>IFERROR(__xludf.DUMMYFUNCTION("""COMPUTED_VALUE"""),FALSE)</f>
        <v>0</v>
      </c>
      <c r="L1913" s="23" t="str">
        <f>IFERROR(__xludf.DUMMYFUNCTION("""COMPUTED_VALUE"""),"Array;Hash Table;Design;Heap (Priority Queue);Ordered Set;")</f>
        <v>Array;Hash Table;Design;Heap (Priority Queue);Ordered Set;</v>
      </c>
      <c r="M1913" s="23" t="b">
        <f>IFERROR(__xludf.DUMMYFUNCTION("""COMPUTED_VALUE"""),FALSE)</f>
        <v>0</v>
      </c>
      <c r="N1913" s="23" t="b">
        <f>IFERROR(__xludf.DUMMYFUNCTION("""COMPUTED_VALUE"""),FALSE)</f>
        <v>0</v>
      </c>
      <c r="O1913" s="23">
        <f>IFERROR(__xludf.DUMMYFUNCTION("""COMPUTED_VALUE"""),41.6104507977299)</f>
        <v>41.6104508</v>
      </c>
      <c r="P1913" s="23">
        <f>IFERROR(__xludf.DUMMYFUNCTION("""COMPUTED_VALUE"""),3886.0)</f>
        <v>3886</v>
      </c>
      <c r="Q1913" s="23">
        <f>IFERROR(__xludf.DUMMYFUNCTION("""COMPUTED_VALUE"""),9339.0)</f>
        <v>9339</v>
      </c>
    </row>
    <row r="1914">
      <c r="A1914" s="23">
        <f>IFERROR(__xludf.DUMMYFUNCTION("""COMPUTED_VALUE"""),2042.0)</f>
        <v>2042</v>
      </c>
      <c r="B1914" s="23" t="str">
        <f>IFERROR(__xludf.DUMMYFUNCTION("""COMPUTED_VALUE"""),"Maximum Product Difference Between Two Pairs")</f>
        <v>Maximum Product Difference Between Two Pairs</v>
      </c>
      <c r="C1914" s="23" t="str">
        <f>IFERROR(__xludf.DUMMYFUNCTION("""COMPUTED_VALUE"""),"maximum-product-difference-between-two-pairs")</f>
        <v>maximum-product-difference-between-two-pairs</v>
      </c>
      <c r="D1914" s="23" t="b">
        <f>IFERROR(__xludf.DUMMYFUNCTION("""COMPUTED_VALUE"""),FALSE)</f>
        <v>0</v>
      </c>
      <c r="E1914" s="23" t="str">
        <f>IFERROR(__xludf.DUMMYFUNCTION("""COMPUTED_VALUE"""),"Easy")</f>
        <v>Easy</v>
      </c>
      <c r="F1914" s="23">
        <f>IFERROR(__xludf.DUMMYFUNCTION("""COMPUTED_VALUE"""),414.0)</f>
        <v>414</v>
      </c>
      <c r="G1914" s="23">
        <f>IFERROR(__xludf.DUMMYFUNCTION("""COMPUTED_VALUE"""),21.0)</f>
        <v>21</v>
      </c>
      <c r="H1914" s="23" t="str">
        <f>IFERROR(__xludf.DUMMYFUNCTION("""COMPUTED_VALUE"""),"Algorithms")</f>
        <v>Algorithms</v>
      </c>
      <c r="I1914" s="23">
        <f>IFERROR(__xludf.DUMMYFUNCTION("""COMPUTED_VALUE"""),0.813)</f>
        <v>0.813</v>
      </c>
      <c r="J1914" s="23">
        <f>IFERROR(__xludf.DUMMYFUNCTION("""COMPUTED_VALUE"""),1913.0)</f>
        <v>1913</v>
      </c>
      <c r="K1914" s="23" t="b">
        <f>IFERROR(__xludf.DUMMYFUNCTION("""COMPUTED_VALUE"""),FALSE)</f>
        <v>0</v>
      </c>
      <c r="L1914" s="23" t="str">
        <f>IFERROR(__xludf.DUMMYFUNCTION("""COMPUTED_VALUE"""),"Array;Sorting;")</f>
        <v>Array;Sorting;</v>
      </c>
      <c r="M1914" s="23" t="b">
        <f>IFERROR(__xludf.DUMMYFUNCTION("""COMPUTED_VALUE"""),FALSE)</f>
        <v>0</v>
      </c>
      <c r="N1914" s="23" t="b">
        <f>IFERROR(__xludf.DUMMYFUNCTION("""COMPUTED_VALUE"""),FALSE)</f>
        <v>0</v>
      </c>
      <c r="O1914" s="23">
        <f>IFERROR(__xludf.DUMMYFUNCTION("""COMPUTED_VALUE"""),81.3066697722395)</f>
        <v>81.30666977</v>
      </c>
      <c r="P1914" s="23">
        <f>IFERROR(__xludf.DUMMYFUNCTION("""COMPUTED_VALUE"""),48870.0)</f>
        <v>48870</v>
      </c>
      <c r="Q1914" s="23">
        <f>IFERROR(__xludf.DUMMYFUNCTION("""COMPUTED_VALUE"""),60106.0)</f>
        <v>60106</v>
      </c>
    </row>
    <row r="1915">
      <c r="A1915" s="23">
        <f>IFERROR(__xludf.DUMMYFUNCTION("""COMPUTED_VALUE"""),2043.0)</f>
        <v>2043</v>
      </c>
      <c r="B1915" s="23" t="str">
        <f>IFERROR(__xludf.DUMMYFUNCTION("""COMPUTED_VALUE"""),"Cyclically Rotating a Grid")</f>
        <v>Cyclically Rotating a Grid</v>
      </c>
      <c r="C1915" s="23" t="str">
        <f>IFERROR(__xludf.DUMMYFUNCTION("""COMPUTED_VALUE"""),"cyclically-rotating-a-grid")</f>
        <v>cyclically-rotating-a-grid</v>
      </c>
      <c r="D1915" s="23" t="b">
        <f>IFERROR(__xludf.DUMMYFUNCTION("""COMPUTED_VALUE"""),FALSE)</f>
        <v>0</v>
      </c>
      <c r="E1915" s="23" t="str">
        <f>IFERROR(__xludf.DUMMYFUNCTION("""COMPUTED_VALUE"""),"Medium")</f>
        <v>Medium</v>
      </c>
      <c r="F1915" s="23">
        <f>IFERROR(__xludf.DUMMYFUNCTION("""COMPUTED_VALUE"""),171.0)</f>
        <v>171</v>
      </c>
      <c r="G1915" s="23">
        <f>IFERROR(__xludf.DUMMYFUNCTION("""COMPUTED_VALUE"""),229.0)</f>
        <v>229</v>
      </c>
      <c r="H1915" s="23" t="str">
        <f>IFERROR(__xludf.DUMMYFUNCTION("""COMPUTED_VALUE"""),"Algorithms")</f>
        <v>Algorithms</v>
      </c>
      <c r="I1915" s="23">
        <f>IFERROR(__xludf.DUMMYFUNCTION("""COMPUTED_VALUE"""),0.471)</f>
        <v>0.471</v>
      </c>
      <c r="J1915" s="23">
        <f>IFERROR(__xludf.DUMMYFUNCTION("""COMPUTED_VALUE"""),1914.0)</f>
        <v>1914</v>
      </c>
      <c r="K1915" s="23" t="b">
        <f>IFERROR(__xludf.DUMMYFUNCTION("""COMPUTED_VALUE"""),FALSE)</f>
        <v>0</v>
      </c>
      <c r="L1915" s="23" t="str">
        <f>IFERROR(__xludf.DUMMYFUNCTION("""COMPUTED_VALUE"""),"Array;Matrix;Simulation;")</f>
        <v>Array;Matrix;Simulation;</v>
      </c>
      <c r="M1915" s="23" t="b">
        <f>IFERROR(__xludf.DUMMYFUNCTION("""COMPUTED_VALUE"""),FALSE)</f>
        <v>0</v>
      </c>
      <c r="N1915" s="23" t="b">
        <f>IFERROR(__xludf.DUMMYFUNCTION("""COMPUTED_VALUE"""),FALSE)</f>
        <v>0</v>
      </c>
      <c r="O1915" s="23">
        <f>IFERROR(__xludf.DUMMYFUNCTION("""COMPUTED_VALUE"""),47.0561707671493)</f>
        <v>47.05617077</v>
      </c>
      <c r="P1915" s="23">
        <f>IFERROR(__xludf.DUMMYFUNCTION("""COMPUTED_VALUE"""),9391.0)</f>
        <v>9391</v>
      </c>
      <c r="Q1915" s="23">
        <f>IFERROR(__xludf.DUMMYFUNCTION("""COMPUTED_VALUE"""),19957.0)</f>
        <v>19957</v>
      </c>
    </row>
    <row r="1916">
      <c r="A1916" s="23">
        <f>IFERROR(__xludf.DUMMYFUNCTION("""COMPUTED_VALUE"""),2044.0)</f>
        <v>2044</v>
      </c>
      <c r="B1916" s="23" t="str">
        <f>IFERROR(__xludf.DUMMYFUNCTION("""COMPUTED_VALUE"""),"Number of Wonderful Substrings")</f>
        <v>Number of Wonderful Substrings</v>
      </c>
      <c r="C1916" s="23" t="str">
        <f>IFERROR(__xludf.DUMMYFUNCTION("""COMPUTED_VALUE"""),"number-of-wonderful-substrings")</f>
        <v>number-of-wonderful-substrings</v>
      </c>
      <c r="D1916" s="23" t="b">
        <f>IFERROR(__xludf.DUMMYFUNCTION("""COMPUTED_VALUE"""),FALSE)</f>
        <v>0</v>
      </c>
      <c r="E1916" s="23" t="str">
        <f>IFERROR(__xludf.DUMMYFUNCTION("""COMPUTED_VALUE"""),"Medium")</f>
        <v>Medium</v>
      </c>
      <c r="F1916" s="23">
        <f>IFERROR(__xludf.DUMMYFUNCTION("""COMPUTED_VALUE"""),606.0)</f>
        <v>606</v>
      </c>
      <c r="G1916" s="23">
        <f>IFERROR(__xludf.DUMMYFUNCTION("""COMPUTED_VALUE"""),43.0)</f>
        <v>43</v>
      </c>
      <c r="H1916" s="23" t="str">
        <f>IFERROR(__xludf.DUMMYFUNCTION("""COMPUTED_VALUE"""),"Algorithms")</f>
        <v>Algorithms</v>
      </c>
      <c r="I1916" s="23">
        <f>IFERROR(__xludf.DUMMYFUNCTION("""COMPUTED_VALUE"""),0.435)</f>
        <v>0.435</v>
      </c>
      <c r="J1916" s="23">
        <f>IFERROR(__xludf.DUMMYFUNCTION("""COMPUTED_VALUE"""),1915.0)</f>
        <v>1915</v>
      </c>
      <c r="K1916" s="23" t="b">
        <f>IFERROR(__xludf.DUMMYFUNCTION("""COMPUTED_VALUE"""),FALSE)</f>
        <v>0</v>
      </c>
      <c r="L1916" s="23" t="str">
        <f>IFERROR(__xludf.DUMMYFUNCTION("""COMPUTED_VALUE"""),"Hash Table;String;Bit Manipulation;Prefix Sum;")</f>
        <v>Hash Table;String;Bit Manipulation;Prefix Sum;</v>
      </c>
      <c r="M1916" s="23" t="b">
        <f>IFERROR(__xludf.DUMMYFUNCTION("""COMPUTED_VALUE"""),FALSE)</f>
        <v>0</v>
      </c>
      <c r="N1916" s="23" t="b">
        <f>IFERROR(__xludf.DUMMYFUNCTION("""COMPUTED_VALUE"""),FALSE)</f>
        <v>0</v>
      </c>
      <c r="O1916" s="23">
        <f>IFERROR(__xludf.DUMMYFUNCTION("""COMPUTED_VALUE"""),43.5021291878302)</f>
        <v>43.50212919</v>
      </c>
      <c r="P1916" s="23">
        <f>IFERROR(__xludf.DUMMYFUNCTION("""COMPUTED_VALUE"""),8479.0)</f>
        <v>8479</v>
      </c>
      <c r="Q1916" s="23">
        <f>IFERROR(__xludf.DUMMYFUNCTION("""COMPUTED_VALUE"""),19491.0)</f>
        <v>19491</v>
      </c>
    </row>
    <row r="1917">
      <c r="A1917" s="23">
        <f>IFERROR(__xludf.DUMMYFUNCTION("""COMPUTED_VALUE"""),1313.0)</f>
        <v>1313</v>
      </c>
      <c r="B1917" s="23" t="str">
        <f>IFERROR(__xludf.DUMMYFUNCTION("""COMPUTED_VALUE"""),"Count Ways to Build Rooms in an Ant Colony")</f>
        <v>Count Ways to Build Rooms in an Ant Colony</v>
      </c>
      <c r="C1917" s="23" t="str">
        <f>IFERROR(__xludf.DUMMYFUNCTION("""COMPUTED_VALUE"""),"count-ways-to-build-rooms-in-an-ant-colony")</f>
        <v>count-ways-to-build-rooms-in-an-ant-colony</v>
      </c>
      <c r="D1917" s="23" t="b">
        <f>IFERROR(__xludf.DUMMYFUNCTION("""COMPUTED_VALUE"""),FALSE)</f>
        <v>0</v>
      </c>
      <c r="E1917" s="23" t="str">
        <f>IFERROR(__xludf.DUMMYFUNCTION("""COMPUTED_VALUE"""),"Hard")</f>
        <v>Hard</v>
      </c>
      <c r="F1917" s="23">
        <f>IFERROR(__xludf.DUMMYFUNCTION("""COMPUTED_VALUE"""),249.0)</f>
        <v>249</v>
      </c>
      <c r="G1917" s="23">
        <f>IFERROR(__xludf.DUMMYFUNCTION("""COMPUTED_VALUE"""),34.0)</f>
        <v>34</v>
      </c>
      <c r="H1917" s="23" t="str">
        <f>IFERROR(__xludf.DUMMYFUNCTION("""COMPUTED_VALUE"""),"Algorithms")</f>
        <v>Algorithms</v>
      </c>
      <c r="I1917" s="23">
        <f>IFERROR(__xludf.DUMMYFUNCTION("""COMPUTED_VALUE"""),0.482)</f>
        <v>0.482</v>
      </c>
      <c r="J1917" s="23">
        <f>IFERROR(__xludf.DUMMYFUNCTION("""COMPUTED_VALUE"""),1916.0)</f>
        <v>1916</v>
      </c>
      <c r="K1917" s="23" t="b">
        <f>IFERROR(__xludf.DUMMYFUNCTION("""COMPUTED_VALUE"""),FALSE)</f>
        <v>0</v>
      </c>
      <c r="L1917" s="23" t="str">
        <f>IFERROR(__xludf.DUMMYFUNCTION("""COMPUTED_VALUE"""),"Math;Dynamic Programming;Tree;Graph;Topological Sort;Combinatorics;")</f>
        <v>Math;Dynamic Programming;Tree;Graph;Topological Sort;Combinatorics;</v>
      </c>
      <c r="M1917" s="23" t="b">
        <f>IFERROR(__xludf.DUMMYFUNCTION("""COMPUTED_VALUE"""),FALSE)</f>
        <v>0</v>
      </c>
      <c r="N1917" s="23" t="b">
        <f>IFERROR(__xludf.DUMMYFUNCTION("""COMPUTED_VALUE"""),FALSE)</f>
        <v>0</v>
      </c>
      <c r="O1917" s="23">
        <f>IFERROR(__xludf.DUMMYFUNCTION("""COMPUTED_VALUE"""),48.1916455358334)</f>
        <v>48.19164554</v>
      </c>
      <c r="P1917" s="23">
        <f>IFERROR(__xludf.DUMMYFUNCTION("""COMPUTED_VALUE"""),3611.0)</f>
        <v>3611</v>
      </c>
      <c r="Q1917" s="23">
        <f>IFERROR(__xludf.DUMMYFUNCTION("""COMPUTED_VALUE"""),7493.0)</f>
        <v>7493</v>
      </c>
    </row>
    <row r="1918">
      <c r="A1918" s="23">
        <f>IFERROR(__xludf.DUMMYFUNCTION("""COMPUTED_VALUE"""),2063.0)</f>
        <v>2063</v>
      </c>
      <c r="B1918" s="23" t="str">
        <f>IFERROR(__xludf.DUMMYFUNCTION("""COMPUTED_VALUE"""),"Leetcodify Friends Recommendations")</f>
        <v>Leetcodify Friends Recommendations</v>
      </c>
      <c r="C1918" s="23" t="str">
        <f>IFERROR(__xludf.DUMMYFUNCTION("""COMPUTED_VALUE"""),"leetcodify-friends-recommendations")</f>
        <v>leetcodify-friends-recommendations</v>
      </c>
      <c r="D1918" s="23" t="b">
        <f>IFERROR(__xludf.DUMMYFUNCTION("""COMPUTED_VALUE"""),TRUE)</f>
        <v>1</v>
      </c>
      <c r="E1918" s="23" t="str">
        <f>IFERROR(__xludf.DUMMYFUNCTION("""COMPUTED_VALUE"""),"Hard")</f>
        <v>Hard</v>
      </c>
      <c r="F1918" s="23">
        <f>IFERROR(__xludf.DUMMYFUNCTION("""COMPUTED_VALUE"""),34.0)</f>
        <v>34</v>
      </c>
      <c r="G1918" s="23">
        <f>IFERROR(__xludf.DUMMYFUNCTION("""COMPUTED_VALUE"""),20.0)</f>
        <v>20</v>
      </c>
      <c r="H1918" s="23" t="str">
        <f>IFERROR(__xludf.DUMMYFUNCTION("""COMPUTED_VALUE"""),"Database")</f>
        <v>Database</v>
      </c>
      <c r="I1918" s="23">
        <f>IFERROR(__xludf.DUMMYFUNCTION("""COMPUTED_VALUE"""),0.301)</f>
        <v>0.301</v>
      </c>
      <c r="J1918" s="23">
        <f>IFERROR(__xludf.DUMMYFUNCTION("""COMPUTED_VALUE"""),1917.0)</f>
        <v>1917</v>
      </c>
      <c r="K1918" s="23" t="b">
        <f>IFERROR(__xludf.DUMMYFUNCTION("""COMPUTED_VALUE"""),TRUE)</f>
        <v>1</v>
      </c>
      <c r="L1918" s="23" t="str">
        <f>IFERROR(__xludf.DUMMYFUNCTION("""COMPUTED_VALUE"""),"Database;")</f>
        <v>Database;</v>
      </c>
      <c r="M1918" s="23" t="b">
        <f>IFERROR(__xludf.DUMMYFUNCTION("""COMPUTED_VALUE"""),FALSE)</f>
        <v>0</v>
      </c>
      <c r="N1918" s="23" t="b">
        <f>IFERROR(__xludf.DUMMYFUNCTION("""COMPUTED_VALUE"""),FALSE)</f>
        <v>0</v>
      </c>
      <c r="O1918" s="23">
        <f>IFERROR(__xludf.DUMMYFUNCTION("""COMPUTED_VALUE"""),30.1445654113867)</f>
        <v>30.14456541</v>
      </c>
      <c r="P1918" s="23">
        <f>IFERROR(__xludf.DUMMYFUNCTION("""COMPUTED_VALUE"""),3378.0)</f>
        <v>3378</v>
      </c>
      <c r="Q1918" s="23">
        <f>IFERROR(__xludf.DUMMYFUNCTION("""COMPUTED_VALUE"""),11206.0)</f>
        <v>11206</v>
      </c>
    </row>
    <row r="1919">
      <c r="A1919" s="23">
        <f>IFERROR(__xludf.DUMMYFUNCTION("""COMPUTED_VALUE"""),2069.0)</f>
        <v>2069</v>
      </c>
      <c r="B1919" s="23" t="str">
        <f>IFERROR(__xludf.DUMMYFUNCTION("""COMPUTED_VALUE"""),"Kth Smallest Subarray Sum")</f>
        <v>Kth Smallest Subarray Sum</v>
      </c>
      <c r="C1919" s="23" t="str">
        <f>IFERROR(__xludf.DUMMYFUNCTION("""COMPUTED_VALUE"""),"kth-smallest-subarray-sum")</f>
        <v>kth-smallest-subarray-sum</v>
      </c>
      <c r="D1919" s="23" t="b">
        <f>IFERROR(__xludf.DUMMYFUNCTION("""COMPUTED_VALUE"""),TRUE)</f>
        <v>1</v>
      </c>
      <c r="E1919" s="23" t="str">
        <f>IFERROR(__xludf.DUMMYFUNCTION("""COMPUTED_VALUE"""),"Medium")</f>
        <v>Medium</v>
      </c>
      <c r="F1919" s="23">
        <f>IFERROR(__xludf.DUMMYFUNCTION("""COMPUTED_VALUE"""),106.0)</f>
        <v>106</v>
      </c>
      <c r="G1919" s="23">
        <f>IFERROR(__xludf.DUMMYFUNCTION("""COMPUTED_VALUE"""),4.0)</f>
        <v>4</v>
      </c>
      <c r="H1919" s="23" t="str">
        <f>IFERROR(__xludf.DUMMYFUNCTION("""COMPUTED_VALUE"""),"Algorithms")</f>
        <v>Algorithms</v>
      </c>
      <c r="I1919" s="23">
        <f>IFERROR(__xludf.DUMMYFUNCTION("""COMPUTED_VALUE"""),0.54)</f>
        <v>0.54</v>
      </c>
      <c r="J1919" s="23">
        <f>IFERROR(__xludf.DUMMYFUNCTION("""COMPUTED_VALUE"""),1918.0)</f>
        <v>1918</v>
      </c>
      <c r="K1919" s="23" t="b">
        <f>IFERROR(__xludf.DUMMYFUNCTION("""COMPUTED_VALUE"""),TRUE)</f>
        <v>1</v>
      </c>
      <c r="L1919" s="23" t="str">
        <f>IFERROR(__xludf.DUMMYFUNCTION("""COMPUTED_VALUE"""),"Array;Binary Search;Sliding Window;")</f>
        <v>Array;Binary Search;Sliding Window;</v>
      </c>
      <c r="M1919" s="23" t="b">
        <f>IFERROR(__xludf.DUMMYFUNCTION("""COMPUTED_VALUE"""),FALSE)</f>
        <v>0</v>
      </c>
      <c r="N1919" s="23" t="b">
        <f>IFERROR(__xludf.DUMMYFUNCTION("""COMPUTED_VALUE"""),FALSE)</f>
        <v>0</v>
      </c>
      <c r="O1919" s="23">
        <f>IFERROR(__xludf.DUMMYFUNCTION("""COMPUTED_VALUE"""),54.0387096774193)</f>
        <v>54.03870968</v>
      </c>
      <c r="P1919" s="23">
        <f>IFERROR(__xludf.DUMMYFUNCTION("""COMPUTED_VALUE"""),2094.0)</f>
        <v>2094</v>
      </c>
      <c r="Q1919" s="23">
        <f>IFERROR(__xludf.DUMMYFUNCTION("""COMPUTED_VALUE"""),3875.0)</f>
        <v>3875</v>
      </c>
    </row>
    <row r="1920">
      <c r="A1920" s="23">
        <f>IFERROR(__xludf.DUMMYFUNCTION("""COMPUTED_VALUE"""),2064.0)</f>
        <v>2064</v>
      </c>
      <c r="B1920" s="23" t="str">
        <f>IFERROR(__xludf.DUMMYFUNCTION("""COMPUTED_VALUE"""),"Leetcodify Similar Friends")</f>
        <v>Leetcodify Similar Friends</v>
      </c>
      <c r="C1920" s="23" t="str">
        <f>IFERROR(__xludf.DUMMYFUNCTION("""COMPUTED_VALUE"""),"leetcodify-similar-friends")</f>
        <v>leetcodify-similar-friends</v>
      </c>
      <c r="D1920" s="23" t="b">
        <f>IFERROR(__xludf.DUMMYFUNCTION("""COMPUTED_VALUE"""),TRUE)</f>
        <v>1</v>
      </c>
      <c r="E1920" s="23" t="str">
        <f>IFERROR(__xludf.DUMMYFUNCTION("""COMPUTED_VALUE"""),"Hard")</f>
        <v>Hard</v>
      </c>
      <c r="F1920" s="23">
        <f>IFERROR(__xludf.DUMMYFUNCTION("""COMPUTED_VALUE"""),31.0)</f>
        <v>31</v>
      </c>
      <c r="G1920" s="23">
        <f>IFERROR(__xludf.DUMMYFUNCTION("""COMPUTED_VALUE"""),4.0)</f>
        <v>4</v>
      </c>
      <c r="H1920" s="23" t="str">
        <f>IFERROR(__xludf.DUMMYFUNCTION("""COMPUTED_VALUE"""),"Database")</f>
        <v>Database</v>
      </c>
      <c r="I1920" s="23">
        <f>IFERROR(__xludf.DUMMYFUNCTION("""COMPUTED_VALUE"""),0.426)</f>
        <v>0.426</v>
      </c>
      <c r="J1920" s="23">
        <f>IFERROR(__xludf.DUMMYFUNCTION("""COMPUTED_VALUE"""),1919.0)</f>
        <v>1919</v>
      </c>
      <c r="K1920" s="23" t="b">
        <f>IFERROR(__xludf.DUMMYFUNCTION("""COMPUTED_VALUE"""),TRUE)</f>
        <v>1</v>
      </c>
      <c r="L1920" s="23" t="str">
        <f>IFERROR(__xludf.DUMMYFUNCTION("""COMPUTED_VALUE"""),"Database;")</f>
        <v>Database;</v>
      </c>
      <c r="M1920" s="23" t="b">
        <f>IFERROR(__xludf.DUMMYFUNCTION("""COMPUTED_VALUE"""),FALSE)</f>
        <v>0</v>
      </c>
      <c r="N1920" s="23" t="b">
        <f>IFERROR(__xludf.DUMMYFUNCTION("""COMPUTED_VALUE"""),FALSE)</f>
        <v>0</v>
      </c>
      <c r="O1920" s="23">
        <f>IFERROR(__xludf.DUMMYFUNCTION("""COMPUTED_VALUE"""),42.6194748001957)</f>
        <v>42.6194748</v>
      </c>
      <c r="P1920" s="23">
        <f>IFERROR(__xludf.DUMMYFUNCTION("""COMPUTED_VALUE"""),2613.0)</f>
        <v>2613</v>
      </c>
      <c r="Q1920" s="23">
        <f>IFERROR(__xludf.DUMMYFUNCTION("""COMPUTED_VALUE"""),6131.0)</f>
        <v>6131</v>
      </c>
    </row>
    <row r="1921">
      <c r="A1921" s="23">
        <f>IFERROR(__xludf.DUMMYFUNCTION("""COMPUTED_VALUE"""),2048.0)</f>
        <v>2048</v>
      </c>
      <c r="B1921" s="23" t="str">
        <f>IFERROR(__xludf.DUMMYFUNCTION("""COMPUTED_VALUE"""),"Build Array from Permutation")</f>
        <v>Build Array from Permutation</v>
      </c>
      <c r="C1921" s="23" t="str">
        <f>IFERROR(__xludf.DUMMYFUNCTION("""COMPUTED_VALUE"""),"build-array-from-permutation")</f>
        <v>build-array-from-permutation</v>
      </c>
      <c r="D1921" s="23" t="b">
        <f>IFERROR(__xludf.DUMMYFUNCTION("""COMPUTED_VALUE"""),FALSE)</f>
        <v>0</v>
      </c>
      <c r="E1921" s="23" t="str">
        <f>IFERROR(__xludf.DUMMYFUNCTION("""COMPUTED_VALUE"""),"Easy")</f>
        <v>Easy</v>
      </c>
      <c r="F1921" s="23">
        <f>IFERROR(__xludf.DUMMYFUNCTION("""COMPUTED_VALUE"""),1193.0)</f>
        <v>1193</v>
      </c>
      <c r="G1921" s="23">
        <f>IFERROR(__xludf.DUMMYFUNCTION("""COMPUTED_VALUE"""),165.0)</f>
        <v>165</v>
      </c>
      <c r="H1921" s="23" t="str">
        <f>IFERROR(__xludf.DUMMYFUNCTION("""COMPUTED_VALUE"""),"Algorithms")</f>
        <v>Algorithms</v>
      </c>
      <c r="I1921" s="23">
        <f>IFERROR(__xludf.DUMMYFUNCTION("""COMPUTED_VALUE"""),0.916)</f>
        <v>0.916</v>
      </c>
      <c r="J1921" s="23">
        <f>IFERROR(__xludf.DUMMYFUNCTION("""COMPUTED_VALUE"""),1920.0)</f>
        <v>1920</v>
      </c>
      <c r="K1921" s="23" t="b">
        <f>IFERROR(__xludf.DUMMYFUNCTION("""COMPUTED_VALUE"""),FALSE)</f>
        <v>0</v>
      </c>
      <c r="L1921" s="23" t="str">
        <f>IFERROR(__xludf.DUMMYFUNCTION("""COMPUTED_VALUE"""),"Array;Simulation;")</f>
        <v>Array;Simulation;</v>
      </c>
      <c r="M1921" s="23" t="b">
        <f>IFERROR(__xludf.DUMMYFUNCTION("""COMPUTED_VALUE"""),FALSE)</f>
        <v>0</v>
      </c>
      <c r="N1921" s="23" t="b">
        <f>IFERROR(__xludf.DUMMYFUNCTION("""COMPUTED_VALUE"""),FALSE)</f>
        <v>0</v>
      </c>
      <c r="O1921" s="23">
        <f>IFERROR(__xludf.DUMMYFUNCTION("""COMPUTED_VALUE"""),91.6250022671075)</f>
        <v>91.62500227</v>
      </c>
      <c r="P1921" s="23">
        <f>IFERROR(__xludf.DUMMYFUNCTION("""COMPUTED_VALUE"""),151554.0)</f>
        <v>151554</v>
      </c>
      <c r="Q1921" s="23">
        <f>IFERROR(__xludf.DUMMYFUNCTION("""COMPUTED_VALUE"""),165407.0)</f>
        <v>165407</v>
      </c>
    </row>
    <row r="1922">
      <c r="A1922" s="23">
        <f>IFERROR(__xludf.DUMMYFUNCTION("""COMPUTED_VALUE"""),2049.0)</f>
        <v>2049</v>
      </c>
      <c r="B1922" s="23" t="str">
        <f>IFERROR(__xludf.DUMMYFUNCTION("""COMPUTED_VALUE"""),"Eliminate Maximum Number of Monsters")</f>
        <v>Eliminate Maximum Number of Monsters</v>
      </c>
      <c r="C1922" s="23" t="str">
        <f>IFERROR(__xludf.DUMMYFUNCTION("""COMPUTED_VALUE"""),"eliminate-maximum-number-of-monsters")</f>
        <v>eliminate-maximum-number-of-monsters</v>
      </c>
      <c r="D1922" s="23" t="b">
        <f>IFERROR(__xludf.DUMMYFUNCTION("""COMPUTED_VALUE"""),FALSE)</f>
        <v>0</v>
      </c>
      <c r="E1922" s="23" t="str">
        <f>IFERROR(__xludf.DUMMYFUNCTION("""COMPUTED_VALUE"""),"Medium")</f>
        <v>Medium</v>
      </c>
      <c r="F1922" s="23">
        <f>IFERROR(__xludf.DUMMYFUNCTION("""COMPUTED_VALUE"""),307.0)</f>
        <v>307</v>
      </c>
      <c r="G1922" s="23">
        <f>IFERROR(__xludf.DUMMYFUNCTION("""COMPUTED_VALUE"""),48.0)</f>
        <v>48</v>
      </c>
      <c r="H1922" s="23" t="str">
        <f>IFERROR(__xludf.DUMMYFUNCTION("""COMPUTED_VALUE"""),"Algorithms")</f>
        <v>Algorithms</v>
      </c>
      <c r="I1922" s="23">
        <f>IFERROR(__xludf.DUMMYFUNCTION("""COMPUTED_VALUE"""),0.375)</f>
        <v>0.375</v>
      </c>
      <c r="J1922" s="23">
        <f>IFERROR(__xludf.DUMMYFUNCTION("""COMPUTED_VALUE"""),1921.0)</f>
        <v>1921</v>
      </c>
      <c r="K1922" s="23" t="b">
        <f>IFERROR(__xludf.DUMMYFUNCTION("""COMPUTED_VALUE"""),FALSE)</f>
        <v>0</v>
      </c>
      <c r="L1922" s="23" t="str">
        <f>IFERROR(__xludf.DUMMYFUNCTION("""COMPUTED_VALUE"""),"Array;Greedy;Sorting;")</f>
        <v>Array;Greedy;Sorting;</v>
      </c>
      <c r="M1922" s="23" t="b">
        <f>IFERROR(__xludf.DUMMYFUNCTION("""COMPUTED_VALUE"""),FALSE)</f>
        <v>0</v>
      </c>
      <c r="N1922" s="23" t="b">
        <f>IFERROR(__xludf.DUMMYFUNCTION("""COMPUTED_VALUE"""),FALSE)</f>
        <v>0</v>
      </c>
      <c r="O1922" s="23">
        <f>IFERROR(__xludf.DUMMYFUNCTION("""COMPUTED_VALUE"""),37.5449143984406)</f>
        <v>37.5449144</v>
      </c>
      <c r="P1922" s="23">
        <f>IFERROR(__xludf.DUMMYFUNCTION("""COMPUTED_VALUE"""),15987.0)</f>
        <v>15987</v>
      </c>
      <c r="Q1922" s="23">
        <f>IFERROR(__xludf.DUMMYFUNCTION("""COMPUTED_VALUE"""),42581.0)</f>
        <v>42581</v>
      </c>
    </row>
    <row r="1923">
      <c r="A1923" s="23">
        <f>IFERROR(__xludf.DUMMYFUNCTION("""COMPUTED_VALUE"""),2050.0)</f>
        <v>2050</v>
      </c>
      <c r="B1923" s="23" t="str">
        <f>IFERROR(__xludf.DUMMYFUNCTION("""COMPUTED_VALUE"""),"Count Good Numbers")</f>
        <v>Count Good Numbers</v>
      </c>
      <c r="C1923" s="23" t="str">
        <f>IFERROR(__xludf.DUMMYFUNCTION("""COMPUTED_VALUE"""),"count-good-numbers")</f>
        <v>count-good-numbers</v>
      </c>
      <c r="D1923" s="23" t="b">
        <f>IFERROR(__xludf.DUMMYFUNCTION("""COMPUTED_VALUE"""),FALSE)</f>
        <v>0</v>
      </c>
      <c r="E1923" s="23" t="str">
        <f>IFERROR(__xludf.DUMMYFUNCTION("""COMPUTED_VALUE"""),"Medium")</f>
        <v>Medium</v>
      </c>
      <c r="F1923" s="23">
        <f>IFERROR(__xludf.DUMMYFUNCTION("""COMPUTED_VALUE"""),320.0)</f>
        <v>320</v>
      </c>
      <c r="G1923" s="23">
        <f>IFERROR(__xludf.DUMMYFUNCTION("""COMPUTED_VALUE"""),219.0)</f>
        <v>219</v>
      </c>
      <c r="H1923" s="23" t="str">
        <f>IFERROR(__xludf.DUMMYFUNCTION("""COMPUTED_VALUE"""),"Algorithms")</f>
        <v>Algorithms</v>
      </c>
      <c r="I1923" s="23">
        <f>IFERROR(__xludf.DUMMYFUNCTION("""COMPUTED_VALUE"""),0.382)</f>
        <v>0.382</v>
      </c>
      <c r="J1923" s="23">
        <f>IFERROR(__xludf.DUMMYFUNCTION("""COMPUTED_VALUE"""),1922.0)</f>
        <v>1922</v>
      </c>
      <c r="K1923" s="23" t="b">
        <f>IFERROR(__xludf.DUMMYFUNCTION("""COMPUTED_VALUE"""),FALSE)</f>
        <v>0</v>
      </c>
      <c r="L1923" s="23" t="str">
        <f>IFERROR(__xludf.DUMMYFUNCTION("""COMPUTED_VALUE"""),"Math;Recursion;")</f>
        <v>Math;Recursion;</v>
      </c>
      <c r="M1923" s="23" t="b">
        <f>IFERROR(__xludf.DUMMYFUNCTION("""COMPUTED_VALUE"""),FALSE)</f>
        <v>0</v>
      </c>
      <c r="N1923" s="23" t="b">
        <f>IFERROR(__xludf.DUMMYFUNCTION("""COMPUTED_VALUE"""),FALSE)</f>
        <v>0</v>
      </c>
      <c r="O1923" s="23">
        <f>IFERROR(__xludf.DUMMYFUNCTION("""COMPUTED_VALUE"""),38.2382102453285)</f>
        <v>38.23821025</v>
      </c>
      <c r="P1923" s="23">
        <f>IFERROR(__xludf.DUMMYFUNCTION("""COMPUTED_VALUE"""),15041.0)</f>
        <v>15041</v>
      </c>
      <c r="Q1923" s="23">
        <f>IFERROR(__xludf.DUMMYFUNCTION("""COMPUTED_VALUE"""),39335.0)</f>
        <v>39335</v>
      </c>
    </row>
    <row r="1924">
      <c r="A1924" s="23">
        <f>IFERROR(__xludf.DUMMYFUNCTION("""COMPUTED_VALUE"""),2051.0)</f>
        <v>2051</v>
      </c>
      <c r="B1924" s="23" t="str">
        <f>IFERROR(__xludf.DUMMYFUNCTION("""COMPUTED_VALUE"""),"Longest Common Subpath")</f>
        <v>Longest Common Subpath</v>
      </c>
      <c r="C1924" s="23" t="str">
        <f>IFERROR(__xludf.DUMMYFUNCTION("""COMPUTED_VALUE"""),"longest-common-subpath")</f>
        <v>longest-common-subpath</v>
      </c>
      <c r="D1924" s="23" t="b">
        <f>IFERROR(__xludf.DUMMYFUNCTION("""COMPUTED_VALUE"""),FALSE)</f>
        <v>0</v>
      </c>
      <c r="E1924" s="23" t="str">
        <f>IFERROR(__xludf.DUMMYFUNCTION("""COMPUTED_VALUE"""),"Hard")</f>
        <v>Hard</v>
      </c>
      <c r="F1924" s="23">
        <f>IFERROR(__xludf.DUMMYFUNCTION("""COMPUTED_VALUE"""),269.0)</f>
        <v>269</v>
      </c>
      <c r="G1924" s="23">
        <f>IFERROR(__xludf.DUMMYFUNCTION("""COMPUTED_VALUE"""),24.0)</f>
        <v>24</v>
      </c>
      <c r="H1924" s="23" t="str">
        <f>IFERROR(__xludf.DUMMYFUNCTION("""COMPUTED_VALUE"""),"Algorithms")</f>
        <v>Algorithms</v>
      </c>
      <c r="I1924" s="23">
        <f>IFERROR(__xludf.DUMMYFUNCTION("""COMPUTED_VALUE"""),0.283)</f>
        <v>0.283</v>
      </c>
      <c r="J1924" s="23">
        <f>IFERROR(__xludf.DUMMYFUNCTION("""COMPUTED_VALUE"""),1923.0)</f>
        <v>1923</v>
      </c>
      <c r="K1924" s="23" t="b">
        <f>IFERROR(__xludf.DUMMYFUNCTION("""COMPUTED_VALUE"""),FALSE)</f>
        <v>0</v>
      </c>
      <c r="L1924" s="23" t="str">
        <f>IFERROR(__xludf.DUMMYFUNCTION("""COMPUTED_VALUE"""),"Array;Binary Search;Rolling Hash;Suffix Array;Hash Function;")</f>
        <v>Array;Binary Search;Rolling Hash;Suffix Array;Hash Function;</v>
      </c>
      <c r="M1924" s="23" t="b">
        <f>IFERROR(__xludf.DUMMYFUNCTION("""COMPUTED_VALUE"""),FALSE)</f>
        <v>0</v>
      </c>
      <c r="N1924" s="23" t="b">
        <f>IFERROR(__xludf.DUMMYFUNCTION("""COMPUTED_VALUE"""),FALSE)</f>
        <v>0</v>
      </c>
      <c r="O1924" s="23">
        <f>IFERROR(__xludf.DUMMYFUNCTION("""COMPUTED_VALUE"""),28.3376963350785)</f>
        <v>28.33769634</v>
      </c>
      <c r="P1924" s="23">
        <f>IFERROR(__xludf.DUMMYFUNCTION("""COMPUTED_VALUE"""),4763.0)</f>
        <v>4763</v>
      </c>
      <c r="Q1924" s="23">
        <f>IFERROR(__xludf.DUMMYFUNCTION("""COMPUTED_VALUE"""),16808.0)</f>
        <v>16808</v>
      </c>
    </row>
    <row r="1925">
      <c r="A1925" s="23">
        <f>IFERROR(__xludf.DUMMYFUNCTION("""COMPUTED_VALUE"""),2074.0)</f>
        <v>2074</v>
      </c>
      <c r="B1925" s="23" t="str">
        <f>IFERROR(__xludf.DUMMYFUNCTION("""COMPUTED_VALUE"""),"Erect the Fence II")</f>
        <v>Erect the Fence II</v>
      </c>
      <c r="C1925" s="23" t="str">
        <f>IFERROR(__xludf.DUMMYFUNCTION("""COMPUTED_VALUE"""),"erect-the-fence-ii")</f>
        <v>erect-the-fence-ii</v>
      </c>
      <c r="D1925" s="23" t="b">
        <f>IFERROR(__xludf.DUMMYFUNCTION("""COMPUTED_VALUE"""),TRUE)</f>
        <v>1</v>
      </c>
      <c r="E1925" s="23" t="str">
        <f>IFERROR(__xludf.DUMMYFUNCTION("""COMPUTED_VALUE"""),"Hard")</f>
        <v>Hard</v>
      </c>
      <c r="F1925" s="23">
        <f>IFERROR(__xludf.DUMMYFUNCTION("""COMPUTED_VALUE"""),8.0)</f>
        <v>8</v>
      </c>
      <c r="G1925" s="23">
        <f>IFERROR(__xludf.DUMMYFUNCTION("""COMPUTED_VALUE"""),33.0)</f>
        <v>33</v>
      </c>
      <c r="H1925" s="23" t="str">
        <f>IFERROR(__xludf.DUMMYFUNCTION("""COMPUTED_VALUE"""),"Algorithms")</f>
        <v>Algorithms</v>
      </c>
      <c r="I1925" s="23">
        <f>IFERROR(__xludf.DUMMYFUNCTION("""COMPUTED_VALUE"""),0.569)</f>
        <v>0.569</v>
      </c>
      <c r="J1925" s="23">
        <f>IFERROR(__xludf.DUMMYFUNCTION("""COMPUTED_VALUE"""),1924.0)</f>
        <v>1924</v>
      </c>
      <c r="K1925" s="23" t="b">
        <f>IFERROR(__xludf.DUMMYFUNCTION("""COMPUTED_VALUE"""),TRUE)</f>
        <v>1</v>
      </c>
      <c r="L1925" s="23" t="str">
        <f>IFERROR(__xludf.DUMMYFUNCTION("""COMPUTED_VALUE"""),"Array;Math;Geometry;")</f>
        <v>Array;Math;Geometry;</v>
      </c>
      <c r="M1925" s="23" t="b">
        <f>IFERROR(__xludf.DUMMYFUNCTION("""COMPUTED_VALUE"""),FALSE)</f>
        <v>0</v>
      </c>
      <c r="N1925" s="23" t="b">
        <f>IFERROR(__xludf.DUMMYFUNCTION("""COMPUTED_VALUE"""),FALSE)</f>
        <v>0</v>
      </c>
      <c r="O1925" s="23">
        <f>IFERROR(__xludf.DUMMYFUNCTION("""COMPUTED_VALUE"""),56.8988173455979)</f>
        <v>56.89881735</v>
      </c>
      <c r="P1925" s="23">
        <f>IFERROR(__xludf.DUMMYFUNCTION("""COMPUTED_VALUE"""),433.0)</f>
        <v>433</v>
      </c>
      <c r="Q1925" s="23">
        <f>IFERROR(__xludf.DUMMYFUNCTION("""COMPUTED_VALUE"""),761.0)</f>
        <v>761</v>
      </c>
    </row>
    <row r="1926">
      <c r="A1926" s="23">
        <f>IFERROR(__xludf.DUMMYFUNCTION("""COMPUTED_VALUE"""),2037.0)</f>
        <v>2037</v>
      </c>
      <c r="B1926" s="23" t="str">
        <f>IFERROR(__xludf.DUMMYFUNCTION("""COMPUTED_VALUE"""),"Count Square Sum Triples")</f>
        <v>Count Square Sum Triples</v>
      </c>
      <c r="C1926" s="23" t="str">
        <f>IFERROR(__xludf.DUMMYFUNCTION("""COMPUTED_VALUE"""),"count-square-sum-triples")</f>
        <v>count-square-sum-triples</v>
      </c>
      <c r="D1926" s="23" t="b">
        <f>IFERROR(__xludf.DUMMYFUNCTION("""COMPUTED_VALUE"""),FALSE)</f>
        <v>0</v>
      </c>
      <c r="E1926" s="23" t="str">
        <f>IFERROR(__xludf.DUMMYFUNCTION("""COMPUTED_VALUE"""),"Easy")</f>
        <v>Easy</v>
      </c>
      <c r="F1926" s="23">
        <f>IFERROR(__xludf.DUMMYFUNCTION("""COMPUTED_VALUE"""),185.0)</f>
        <v>185</v>
      </c>
      <c r="G1926" s="23">
        <f>IFERROR(__xludf.DUMMYFUNCTION("""COMPUTED_VALUE"""),19.0)</f>
        <v>19</v>
      </c>
      <c r="H1926" s="23" t="str">
        <f>IFERROR(__xludf.DUMMYFUNCTION("""COMPUTED_VALUE"""),"Algorithms")</f>
        <v>Algorithms</v>
      </c>
      <c r="I1926" s="23">
        <f>IFERROR(__xludf.DUMMYFUNCTION("""COMPUTED_VALUE"""),0.676)</f>
        <v>0.676</v>
      </c>
      <c r="J1926" s="23">
        <f>IFERROR(__xludf.DUMMYFUNCTION("""COMPUTED_VALUE"""),1925.0)</f>
        <v>1925</v>
      </c>
      <c r="K1926" s="23" t="b">
        <f>IFERROR(__xludf.DUMMYFUNCTION("""COMPUTED_VALUE"""),FALSE)</f>
        <v>0</v>
      </c>
      <c r="L1926" s="23" t="str">
        <f>IFERROR(__xludf.DUMMYFUNCTION("""COMPUTED_VALUE"""),"Math;Enumeration;")</f>
        <v>Math;Enumeration;</v>
      </c>
      <c r="M1926" s="23" t="b">
        <f>IFERROR(__xludf.DUMMYFUNCTION("""COMPUTED_VALUE"""),FALSE)</f>
        <v>0</v>
      </c>
      <c r="N1926" s="23" t="b">
        <f>IFERROR(__xludf.DUMMYFUNCTION("""COMPUTED_VALUE"""),FALSE)</f>
        <v>0</v>
      </c>
      <c r="O1926" s="23">
        <f>IFERROR(__xludf.DUMMYFUNCTION("""COMPUTED_VALUE"""),67.5850632992123)</f>
        <v>67.5850633</v>
      </c>
      <c r="P1926" s="23">
        <f>IFERROR(__xludf.DUMMYFUNCTION("""COMPUTED_VALUE"""),21194.0)</f>
        <v>21194</v>
      </c>
      <c r="Q1926" s="23">
        <f>IFERROR(__xludf.DUMMYFUNCTION("""COMPUTED_VALUE"""),31359.0)</f>
        <v>31359</v>
      </c>
    </row>
    <row r="1927">
      <c r="A1927" s="23">
        <f>IFERROR(__xludf.DUMMYFUNCTION("""COMPUTED_VALUE"""),2038.0)</f>
        <v>2038</v>
      </c>
      <c r="B1927" s="23" t="str">
        <f>IFERROR(__xludf.DUMMYFUNCTION("""COMPUTED_VALUE"""),"Nearest Exit from Entrance in Maze")</f>
        <v>Nearest Exit from Entrance in Maze</v>
      </c>
      <c r="C1927" s="23" t="str">
        <f>IFERROR(__xludf.DUMMYFUNCTION("""COMPUTED_VALUE"""),"nearest-exit-from-entrance-in-maze")</f>
        <v>nearest-exit-from-entrance-in-maze</v>
      </c>
      <c r="D1927" s="23" t="b">
        <f>IFERROR(__xludf.DUMMYFUNCTION("""COMPUTED_VALUE"""),FALSE)</f>
        <v>0</v>
      </c>
      <c r="E1927" s="23" t="str">
        <f>IFERROR(__xludf.DUMMYFUNCTION("""COMPUTED_VALUE"""),"Medium")</f>
        <v>Medium</v>
      </c>
      <c r="F1927" s="23">
        <f>IFERROR(__xludf.DUMMYFUNCTION("""COMPUTED_VALUE"""),464.0)</f>
        <v>464</v>
      </c>
      <c r="G1927" s="23">
        <f>IFERROR(__xludf.DUMMYFUNCTION("""COMPUTED_VALUE"""),21.0)</f>
        <v>21</v>
      </c>
      <c r="H1927" s="23" t="str">
        <f>IFERROR(__xludf.DUMMYFUNCTION("""COMPUTED_VALUE"""),"Algorithms")</f>
        <v>Algorithms</v>
      </c>
      <c r="I1927" s="23">
        <f>IFERROR(__xludf.DUMMYFUNCTION("""COMPUTED_VALUE"""),0.404)</f>
        <v>0.404</v>
      </c>
      <c r="J1927" s="23">
        <f>IFERROR(__xludf.DUMMYFUNCTION("""COMPUTED_VALUE"""),1926.0)</f>
        <v>1926</v>
      </c>
      <c r="K1927" s="23" t="b">
        <f>IFERROR(__xludf.DUMMYFUNCTION("""COMPUTED_VALUE"""),FALSE)</f>
        <v>0</v>
      </c>
      <c r="L1927" s="23" t="str">
        <f>IFERROR(__xludf.DUMMYFUNCTION("""COMPUTED_VALUE"""),"Array;Breadth-First Search;Matrix;")</f>
        <v>Array;Breadth-First Search;Matrix;</v>
      </c>
      <c r="M1927" s="23" t="b">
        <f>IFERROR(__xludf.DUMMYFUNCTION("""COMPUTED_VALUE"""),FALSE)</f>
        <v>0</v>
      </c>
      <c r="N1927" s="23" t="b">
        <f>IFERROR(__xludf.DUMMYFUNCTION("""COMPUTED_VALUE"""),FALSE)</f>
        <v>0</v>
      </c>
      <c r="O1927" s="23">
        <f>IFERROR(__xludf.DUMMYFUNCTION("""COMPUTED_VALUE"""),40.421299263942)</f>
        <v>40.42129926</v>
      </c>
      <c r="P1927" s="23">
        <f>IFERROR(__xludf.DUMMYFUNCTION("""COMPUTED_VALUE"""),18287.0)</f>
        <v>18287</v>
      </c>
      <c r="Q1927" s="23">
        <f>IFERROR(__xludf.DUMMYFUNCTION("""COMPUTED_VALUE"""),45241.0)</f>
        <v>45241</v>
      </c>
    </row>
    <row r="1928">
      <c r="A1928" s="23">
        <f>IFERROR(__xludf.DUMMYFUNCTION("""COMPUTED_VALUE"""),2039.0)</f>
        <v>2039</v>
      </c>
      <c r="B1928" s="23" t="str">
        <f>IFERROR(__xludf.DUMMYFUNCTION("""COMPUTED_VALUE"""),"Sum Game")</f>
        <v>Sum Game</v>
      </c>
      <c r="C1928" s="23" t="str">
        <f>IFERROR(__xludf.DUMMYFUNCTION("""COMPUTED_VALUE"""),"sum-game")</f>
        <v>sum-game</v>
      </c>
      <c r="D1928" s="23" t="b">
        <f>IFERROR(__xludf.DUMMYFUNCTION("""COMPUTED_VALUE"""),FALSE)</f>
        <v>0</v>
      </c>
      <c r="E1928" s="23" t="str">
        <f>IFERROR(__xludf.DUMMYFUNCTION("""COMPUTED_VALUE"""),"Medium")</f>
        <v>Medium</v>
      </c>
      <c r="F1928" s="23">
        <f>IFERROR(__xludf.DUMMYFUNCTION("""COMPUTED_VALUE"""),313.0)</f>
        <v>313</v>
      </c>
      <c r="G1928" s="23">
        <f>IFERROR(__xludf.DUMMYFUNCTION("""COMPUTED_VALUE"""),45.0)</f>
        <v>45</v>
      </c>
      <c r="H1928" s="23" t="str">
        <f>IFERROR(__xludf.DUMMYFUNCTION("""COMPUTED_VALUE"""),"Algorithms")</f>
        <v>Algorithms</v>
      </c>
      <c r="I1928" s="23">
        <f>IFERROR(__xludf.DUMMYFUNCTION("""COMPUTED_VALUE"""),0.473)</f>
        <v>0.473</v>
      </c>
      <c r="J1928" s="23">
        <f>IFERROR(__xludf.DUMMYFUNCTION("""COMPUTED_VALUE"""),1927.0)</f>
        <v>1927</v>
      </c>
      <c r="K1928" s="23" t="b">
        <f>IFERROR(__xludf.DUMMYFUNCTION("""COMPUTED_VALUE"""),FALSE)</f>
        <v>0</v>
      </c>
      <c r="L1928" s="23" t="str">
        <f>IFERROR(__xludf.DUMMYFUNCTION("""COMPUTED_VALUE"""),"Math;Greedy;Game Theory;")</f>
        <v>Math;Greedy;Game Theory;</v>
      </c>
      <c r="M1928" s="23" t="b">
        <f>IFERROR(__xludf.DUMMYFUNCTION("""COMPUTED_VALUE"""),FALSE)</f>
        <v>0</v>
      </c>
      <c r="N1928" s="23" t="b">
        <f>IFERROR(__xludf.DUMMYFUNCTION("""COMPUTED_VALUE"""),FALSE)</f>
        <v>0</v>
      </c>
      <c r="O1928" s="23">
        <f>IFERROR(__xludf.DUMMYFUNCTION("""COMPUTED_VALUE"""),47.2977848329605)</f>
        <v>47.29778483</v>
      </c>
      <c r="P1928" s="23">
        <f>IFERROR(__xludf.DUMMYFUNCTION("""COMPUTED_VALUE"""),6555.0)</f>
        <v>6555</v>
      </c>
      <c r="Q1928" s="23">
        <f>IFERROR(__xludf.DUMMYFUNCTION("""COMPUTED_VALUE"""),13859.0)</f>
        <v>13859</v>
      </c>
    </row>
    <row r="1929">
      <c r="A1929" s="23">
        <f>IFERROR(__xludf.DUMMYFUNCTION("""COMPUTED_VALUE"""),2040.0)</f>
        <v>2040</v>
      </c>
      <c r="B1929" s="23" t="str">
        <f>IFERROR(__xludf.DUMMYFUNCTION("""COMPUTED_VALUE"""),"Minimum Cost to Reach Destination in Time")</f>
        <v>Minimum Cost to Reach Destination in Time</v>
      </c>
      <c r="C1929" s="23" t="str">
        <f>IFERROR(__xludf.DUMMYFUNCTION("""COMPUTED_VALUE"""),"minimum-cost-to-reach-destination-in-time")</f>
        <v>minimum-cost-to-reach-destination-in-time</v>
      </c>
      <c r="D1929" s="23" t="b">
        <f>IFERROR(__xludf.DUMMYFUNCTION("""COMPUTED_VALUE"""),FALSE)</f>
        <v>0</v>
      </c>
      <c r="E1929" s="23" t="str">
        <f>IFERROR(__xludf.DUMMYFUNCTION("""COMPUTED_VALUE"""),"Hard")</f>
        <v>Hard</v>
      </c>
      <c r="F1929" s="23">
        <f>IFERROR(__xludf.DUMMYFUNCTION("""COMPUTED_VALUE"""),443.0)</f>
        <v>443</v>
      </c>
      <c r="G1929" s="23">
        <f>IFERROR(__xludf.DUMMYFUNCTION("""COMPUTED_VALUE"""),7.0)</f>
        <v>7</v>
      </c>
      <c r="H1929" s="23" t="str">
        <f>IFERROR(__xludf.DUMMYFUNCTION("""COMPUTED_VALUE"""),"Algorithms")</f>
        <v>Algorithms</v>
      </c>
      <c r="I1929" s="23">
        <f>IFERROR(__xludf.DUMMYFUNCTION("""COMPUTED_VALUE"""),0.373)</f>
        <v>0.373</v>
      </c>
      <c r="J1929" s="23">
        <f>IFERROR(__xludf.DUMMYFUNCTION("""COMPUTED_VALUE"""),1928.0)</f>
        <v>1928</v>
      </c>
      <c r="K1929" s="23" t="b">
        <f>IFERROR(__xludf.DUMMYFUNCTION("""COMPUTED_VALUE"""),FALSE)</f>
        <v>0</v>
      </c>
      <c r="L1929" s="23" t="str">
        <f>IFERROR(__xludf.DUMMYFUNCTION("""COMPUTED_VALUE"""),"Dynamic Programming;Graph;")</f>
        <v>Dynamic Programming;Graph;</v>
      </c>
      <c r="M1929" s="23" t="b">
        <f>IFERROR(__xludf.DUMMYFUNCTION("""COMPUTED_VALUE"""),FALSE)</f>
        <v>0</v>
      </c>
      <c r="N1929" s="23" t="b">
        <f>IFERROR(__xludf.DUMMYFUNCTION("""COMPUTED_VALUE"""),FALSE)</f>
        <v>0</v>
      </c>
      <c r="O1929" s="23">
        <f>IFERROR(__xludf.DUMMYFUNCTION("""COMPUTED_VALUE"""),37.27445217456)</f>
        <v>37.27445217</v>
      </c>
      <c r="P1929" s="23">
        <f>IFERROR(__xludf.DUMMYFUNCTION("""COMPUTED_VALUE"""),10019.0)</f>
        <v>10019</v>
      </c>
      <c r="Q1929" s="23">
        <f>IFERROR(__xludf.DUMMYFUNCTION("""COMPUTED_VALUE"""),26879.0)</f>
        <v>26879</v>
      </c>
    </row>
    <row r="1930">
      <c r="A1930" s="23">
        <f>IFERROR(__xludf.DUMMYFUNCTION("""COMPUTED_VALUE"""),2058.0)</f>
        <v>2058</v>
      </c>
      <c r="B1930" s="23" t="str">
        <f>IFERROR(__xludf.DUMMYFUNCTION("""COMPUTED_VALUE"""),"Concatenation of Array")</f>
        <v>Concatenation of Array</v>
      </c>
      <c r="C1930" s="23" t="str">
        <f>IFERROR(__xludf.DUMMYFUNCTION("""COMPUTED_VALUE"""),"concatenation-of-array")</f>
        <v>concatenation-of-array</v>
      </c>
      <c r="D1930" s="23" t="b">
        <f>IFERROR(__xludf.DUMMYFUNCTION("""COMPUTED_VALUE"""),FALSE)</f>
        <v>0</v>
      </c>
      <c r="E1930" s="23" t="str">
        <f>IFERROR(__xludf.DUMMYFUNCTION("""COMPUTED_VALUE"""),"Easy")</f>
        <v>Easy</v>
      </c>
      <c r="F1930" s="23">
        <f>IFERROR(__xludf.DUMMYFUNCTION("""COMPUTED_VALUE"""),956.0)</f>
        <v>956</v>
      </c>
      <c r="G1930" s="23">
        <f>IFERROR(__xludf.DUMMYFUNCTION("""COMPUTED_VALUE"""),185.0)</f>
        <v>185</v>
      </c>
      <c r="H1930" s="23" t="str">
        <f>IFERROR(__xludf.DUMMYFUNCTION("""COMPUTED_VALUE"""),"Algorithms")</f>
        <v>Algorithms</v>
      </c>
      <c r="I1930" s="23">
        <f>IFERROR(__xludf.DUMMYFUNCTION("""COMPUTED_VALUE"""),0.916)</f>
        <v>0.916</v>
      </c>
      <c r="J1930" s="23">
        <f>IFERROR(__xludf.DUMMYFUNCTION("""COMPUTED_VALUE"""),1929.0)</f>
        <v>1929</v>
      </c>
      <c r="K1930" s="23" t="b">
        <f>IFERROR(__xludf.DUMMYFUNCTION("""COMPUTED_VALUE"""),FALSE)</f>
        <v>0</v>
      </c>
      <c r="L1930" s="23" t="str">
        <f>IFERROR(__xludf.DUMMYFUNCTION("""COMPUTED_VALUE"""),"Array;")</f>
        <v>Array;</v>
      </c>
      <c r="M1930" s="23" t="b">
        <f>IFERROR(__xludf.DUMMYFUNCTION("""COMPUTED_VALUE"""),FALSE)</f>
        <v>0</v>
      </c>
      <c r="N1930" s="23" t="b">
        <f>IFERROR(__xludf.DUMMYFUNCTION("""COMPUTED_VALUE"""),FALSE)</f>
        <v>0</v>
      </c>
      <c r="O1930" s="23">
        <f>IFERROR(__xludf.DUMMYFUNCTION("""COMPUTED_VALUE"""),91.6359092857665)</f>
        <v>91.63590929</v>
      </c>
      <c r="P1930" s="23">
        <f>IFERROR(__xludf.DUMMYFUNCTION("""COMPUTED_VALUE"""),175273.0)</f>
        <v>175273</v>
      </c>
      <c r="Q1930" s="23">
        <f>IFERROR(__xludf.DUMMYFUNCTION("""COMPUTED_VALUE"""),191271.0)</f>
        <v>191271</v>
      </c>
    </row>
    <row r="1931">
      <c r="A1931" s="23">
        <f>IFERROR(__xludf.DUMMYFUNCTION("""COMPUTED_VALUE"""),2059.0)</f>
        <v>2059</v>
      </c>
      <c r="B1931" s="23" t="str">
        <f>IFERROR(__xludf.DUMMYFUNCTION("""COMPUTED_VALUE"""),"Unique Length-3 Palindromic Subsequences")</f>
        <v>Unique Length-3 Palindromic Subsequences</v>
      </c>
      <c r="C1931" s="23" t="str">
        <f>IFERROR(__xludf.DUMMYFUNCTION("""COMPUTED_VALUE"""),"unique-length-3-palindromic-subsequences")</f>
        <v>unique-length-3-palindromic-subsequences</v>
      </c>
      <c r="D1931" s="23" t="b">
        <f>IFERROR(__xludf.DUMMYFUNCTION("""COMPUTED_VALUE"""),FALSE)</f>
        <v>0</v>
      </c>
      <c r="E1931" s="23" t="str">
        <f>IFERROR(__xludf.DUMMYFUNCTION("""COMPUTED_VALUE"""),"Medium")</f>
        <v>Medium</v>
      </c>
      <c r="F1931" s="23">
        <f>IFERROR(__xludf.DUMMYFUNCTION("""COMPUTED_VALUE"""),413.0)</f>
        <v>413</v>
      </c>
      <c r="G1931" s="23">
        <f>IFERROR(__xludf.DUMMYFUNCTION("""COMPUTED_VALUE"""),11.0)</f>
        <v>11</v>
      </c>
      <c r="H1931" s="23" t="str">
        <f>IFERROR(__xludf.DUMMYFUNCTION("""COMPUTED_VALUE"""),"Algorithms")</f>
        <v>Algorithms</v>
      </c>
      <c r="I1931" s="23">
        <f>IFERROR(__xludf.DUMMYFUNCTION("""COMPUTED_VALUE"""),0.511)</f>
        <v>0.511</v>
      </c>
      <c r="J1931" s="23">
        <f>IFERROR(__xludf.DUMMYFUNCTION("""COMPUTED_VALUE"""),1930.0)</f>
        <v>1930</v>
      </c>
      <c r="K1931" s="23" t="b">
        <f>IFERROR(__xludf.DUMMYFUNCTION("""COMPUTED_VALUE"""),FALSE)</f>
        <v>0</v>
      </c>
      <c r="L1931" s="23" t="str">
        <f>IFERROR(__xludf.DUMMYFUNCTION("""COMPUTED_VALUE"""),"Hash Table;String;Prefix Sum;")</f>
        <v>Hash Table;String;Prefix Sum;</v>
      </c>
      <c r="M1931" s="23" t="b">
        <f>IFERROR(__xludf.DUMMYFUNCTION("""COMPUTED_VALUE"""),FALSE)</f>
        <v>0</v>
      </c>
      <c r="N1931" s="23" t="b">
        <f>IFERROR(__xludf.DUMMYFUNCTION("""COMPUTED_VALUE"""),FALSE)</f>
        <v>0</v>
      </c>
      <c r="O1931" s="23">
        <f>IFERROR(__xludf.DUMMYFUNCTION("""COMPUTED_VALUE"""),51.0951270088128)</f>
        <v>51.09512701</v>
      </c>
      <c r="P1931" s="23">
        <f>IFERROR(__xludf.DUMMYFUNCTION("""COMPUTED_VALUE"""),15770.0)</f>
        <v>15770</v>
      </c>
      <c r="Q1931" s="23">
        <f>IFERROR(__xludf.DUMMYFUNCTION("""COMPUTED_VALUE"""),30864.0)</f>
        <v>30864</v>
      </c>
    </row>
    <row r="1932">
      <c r="A1932" s="23">
        <f>IFERROR(__xludf.DUMMYFUNCTION("""COMPUTED_VALUE"""),2061.0)</f>
        <v>2061</v>
      </c>
      <c r="B1932" s="23" t="str">
        <f>IFERROR(__xludf.DUMMYFUNCTION("""COMPUTED_VALUE"""),"Painting a Grid With Three Different Colors")</f>
        <v>Painting a Grid With Three Different Colors</v>
      </c>
      <c r="C1932" s="23" t="str">
        <f>IFERROR(__xludf.DUMMYFUNCTION("""COMPUTED_VALUE"""),"painting-a-grid-with-three-different-colors")</f>
        <v>painting-a-grid-with-three-different-colors</v>
      </c>
      <c r="D1932" s="23" t="b">
        <f>IFERROR(__xludf.DUMMYFUNCTION("""COMPUTED_VALUE"""),FALSE)</f>
        <v>0</v>
      </c>
      <c r="E1932" s="23" t="str">
        <f>IFERROR(__xludf.DUMMYFUNCTION("""COMPUTED_VALUE"""),"Hard")</f>
        <v>Hard</v>
      </c>
      <c r="F1932" s="23">
        <f>IFERROR(__xludf.DUMMYFUNCTION("""COMPUTED_VALUE"""),300.0)</f>
        <v>300</v>
      </c>
      <c r="G1932" s="23">
        <f>IFERROR(__xludf.DUMMYFUNCTION("""COMPUTED_VALUE"""),16.0)</f>
        <v>16</v>
      </c>
      <c r="H1932" s="23" t="str">
        <f>IFERROR(__xludf.DUMMYFUNCTION("""COMPUTED_VALUE"""),"Algorithms")</f>
        <v>Algorithms</v>
      </c>
      <c r="I1932" s="23">
        <f>IFERROR(__xludf.DUMMYFUNCTION("""COMPUTED_VALUE"""),0.57)</f>
        <v>0.57</v>
      </c>
      <c r="J1932" s="23">
        <f>IFERROR(__xludf.DUMMYFUNCTION("""COMPUTED_VALUE"""),1931.0)</f>
        <v>1931</v>
      </c>
      <c r="K1932" s="23" t="b">
        <f>IFERROR(__xludf.DUMMYFUNCTION("""COMPUTED_VALUE"""),FALSE)</f>
        <v>0</v>
      </c>
      <c r="L1932" s="23" t="str">
        <f>IFERROR(__xludf.DUMMYFUNCTION("""COMPUTED_VALUE"""),"Dynamic Programming;")</f>
        <v>Dynamic Programming;</v>
      </c>
      <c r="M1932" s="23" t="b">
        <f>IFERROR(__xludf.DUMMYFUNCTION("""COMPUTED_VALUE"""),FALSE)</f>
        <v>0</v>
      </c>
      <c r="N1932" s="23" t="b">
        <f>IFERROR(__xludf.DUMMYFUNCTION("""COMPUTED_VALUE"""),FALSE)</f>
        <v>0</v>
      </c>
      <c r="O1932" s="23">
        <f>IFERROR(__xludf.DUMMYFUNCTION("""COMPUTED_VALUE"""),56.957396233315)</f>
        <v>56.95739623</v>
      </c>
      <c r="P1932" s="23">
        <f>IFERROR(__xludf.DUMMYFUNCTION("""COMPUTED_VALUE"""),6230.0)</f>
        <v>6230</v>
      </c>
      <c r="Q1932" s="23">
        <f>IFERROR(__xludf.DUMMYFUNCTION("""COMPUTED_VALUE"""),10938.0)</f>
        <v>10938</v>
      </c>
    </row>
    <row r="1933">
      <c r="A1933" s="23">
        <f>IFERROR(__xludf.DUMMYFUNCTION("""COMPUTED_VALUE"""),2060.0)</f>
        <v>2060</v>
      </c>
      <c r="B1933" s="23" t="str">
        <f>IFERROR(__xludf.DUMMYFUNCTION("""COMPUTED_VALUE"""),"Merge BSTs to Create Single BST")</f>
        <v>Merge BSTs to Create Single BST</v>
      </c>
      <c r="C1933" s="23" t="str">
        <f>IFERROR(__xludf.DUMMYFUNCTION("""COMPUTED_VALUE"""),"merge-bsts-to-create-single-bst")</f>
        <v>merge-bsts-to-create-single-bst</v>
      </c>
      <c r="D1933" s="23" t="b">
        <f>IFERROR(__xludf.DUMMYFUNCTION("""COMPUTED_VALUE"""),FALSE)</f>
        <v>0</v>
      </c>
      <c r="E1933" s="23" t="str">
        <f>IFERROR(__xludf.DUMMYFUNCTION("""COMPUTED_VALUE"""),"Hard")</f>
        <v>Hard</v>
      </c>
      <c r="F1933" s="23">
        <f>IFERROR(__xludf.DUMMYFUNCTION("""COMPUTED_VALUE"""),243.0)</f>
        <v>243</v>
      </c>
      <c r="G1933" s="23">
        <f>IFERROR(__xludf.DUMMYFUNCTION("""COMPUTED_VALUE"""),22.0)</f>
        <v>22</v>
      </c>
      <c r="H1933" s="23" t="str">
        <f>IFERROR(__xludf.DUMMYFUNCTION("""COMPUTED_VALUE"""),"Algorithms")</f>
        <v>Algorithms</v>
      </c>
      <c r="I1933" s="23">
        <f>IFERROR(__xludf.DUMMYFUNCTION("""COMPUTED_VALUE"""),0.35)</f>
        <v>0.35</v>
      </c>
      <c r="J1933" s="23">
        <f>IFERROR(__xludf.DUMMYFUNCTION("""COMPUTED_VALUE"""),1932.0)</f>
        <v>1932</v>
      </c>
      <c r="K1933" s="23" t="b">
        <f>IFERROR(__xludf.DUMMYFUNCTION("""COMPUTED_VALUE"""),FALSE)</f>
        <v>0</v>
      </c>
      <c r="L1933" s="23" t="str">
        <f>IFERROR(__xludf.DUMMYFUNCTION("""COMPUTED_VALUE"""),"Hash Table;Binary Search;Tree;Depth-First Search;Binary Tree;")</f>
        <v>Hash Table;Binary Search;Tree;Depth-First Search;Binary Tree;</v>
      </c>
      <c r="M1933" s="23" t="b">
        <f>IFERROR(__xludf.DUMMYFUNCTION("""COMPUTED_VALUE"""),FALSE)</f>
        <v>0</v>
      </c>
      <c r="N1933" s="23" t="b">
        <f>IFERROR(__xludf.DUMMYFUNCTION("""COMPUTED_VALUE"""),FALSE)</f>
        <v>0</v>
      </c>
      <c r="O1933" s="23">
        <f>IFERROR(__xludf.DUMMYFUNCTION("""COMPUTED_VALUE"""),34.9678456591639)</f>
        <v>34.96784566</v>
      </c>
      <c r="P1933" s="23">
        <f>IFERROR(__xludf.DUMMYFUNCTION("""COMPUTED_VALUE"""),4350.0)</f>
        <v>4350</v>
      </c>
      <c r="Q1933" s="23">
        <f>IFERROR(__xludf.DUMMYFUNCTION("""COMPUTED_VALUE"""),12440.0)</f>
        <v>12440</v>
      </c>
    </row>
    <row r="1934">
      <c r="A1934" s="23">
        <f>IFERROR(__xludf.DUMMYFUNCTION("""COMPUTED_VALUE"""),2070.0)</f>
        <v>2070</v>
      </c>
      <c r="B1934" s="23" t="str">
        <f>IFERROR(__xludf.DUMMYFUNCTION("""COMPUTED_VALUE"""),"Check if String Is Decomposable Into Value-Equal Substrings")</f>
        <v>Check if String Is Decomposable Into Value-Equal Substrings</v>
      </c>
      <c r="C1934" s="23" t="str">
        <f>IFERROR(__xludf.DUMMYFUNCTION("""COMPUTED_VALUE"""),"check-if-string-is-decomposable-into-value-equal-substrings")</f>
        <v>check-if-string-is-decomposable-into-value-equal-substrings</v>
      </c>
      <c r="D1934" s="23" t="b">
        <f>IFERROR(__xludf.DUMMYFUNCTION("""COMPUTED_VALUE"""),TRUE)</f>
        <v>1</v>
      </c>
      <c r="E1934" s="23" t="str">
        <f>IFERROR(__xludf.DUMMYFUNCTION("""COMPUTED_VALUE"""),"Easy")</f>
        <v>Easy</v>
      </c>
      <c r="F1934" s="23">
        <f>IFERROR(__xludf.DUMMYFUNCTION("""COMPUTED_VALUE"""),31.0)</f>
        <v>31</v>
      </c>
      <c r="G1934" s="23">
        <f>IFERROR(__xludf.DUMMYFUNCTION("""COMPUTED_VALUE"""),7.0)</f>
        <v>7</v>
      </c>
      <c r="H1934" s="23" t="str">
        <f>IFERROR(__xludf.DUMMYFUNCTION("""COMPUTED_VALUE"""),"Algorithms")</f>
        <v>Algorithms</v>
      </c>
      <c r="I1934" s="23">
        <f>IFERROR(__xludf.DUMMYFUNCTION("""COMPUTED_VALUE"""),0.513)</f>
        <v>0.513</v>
      </c>
      <c r="J1934" s="23">
        <f>IFERROR(__xludf.DUMMYFUNCTION("""COMPUTED_VALUE"""),1933.0)</f>
        <v>1933</v>
      </c>
      <c r="K1934" s="23" t="b">
        <f>IFERROR(__xludf.DUMMYFUNCTION("""COMPUTED_VALUE"""),TRUE)</f>
        <v>1</v>
      </c>
      <c r="L1934" s="23" t="str">
        <f>IFERROR(__xludf.DUMMYFUNCTION("""COMPUTED_VALUE"""),"String;")</f>
        <v>String;</v>
      </c>
      <c r="M1934" s="23" t="b">
        <f>IFERROR(__xludf.DUMMYFUNCTION("""COMPUTED_VALUE"""),FALSE)</f>
        <v>0</v>
      </c>
      <c r="N1934" s="23" t="b">
        <f>IFERROR(__xludf.DUMMYFUNCTION("""COMPUTED_VALUE"""),FALSE)</f>
        <v>0</v>
      </c>
      <c r="O1934" s="23">
        <f>IFERROR(__xludf.DUMMYFUNCTION("""COMPUTED_VALUE"""),51.3375796178343)</f>
        <v>51.33757962</v>
      </c>
      <c r="P1934" s="23">
        <f>IFERROR(__xludf.DUMMYFUNCTION("""COMPUTED_VALUE"""),2015.0)</f>
        <v>2015</v>
      </c>
      <c r="Q1934" s="23">
        <f>IFERROR(__xludf.DUMMYFUNCTION("""COMPUTED_VALUE"""),3925.0)</f>
        <v>3925</v>
      </c>
    </row>
    <row r="1935">
      <c r="A1935" s="23">
        <f>IFERROR(__xludf.DUMMYFUNCTION("""COMPUTED_VALUE"""),2087.0)</f>
        <v>2087</v>
      </c>
      <c r="B1935" s="23" t="str">
        <f>IFERROR(__xludf.DUMMYFUNCTION("""COMPUTED_VALUE"""),"Confirmation Rate")</f>
        <v>Confirmation Rate</v>
      </c>
      <c r="C1935" s="23" t="str">
        <f>IFERROR(__xludf.DUMMYFUNCTION("""COMPUTED_VALUE"""),"confirmation-rate")</f>
        <v>confirmation-rate</v>
      </c>
      <c r="D1935" s="23" t="b">
        <f>IFERROR(__xludf.DUMMYFUNCTION("""COMPUTED_VALUE"""),TRUE)</f>
        <v>1</v>
      </c>
      <c r="E1935" s="23" t="str">
        <f>IFERROR(__xludf.DUMMYFUNCTION("""COMPUTED_VALUE"""),"Medium")</f>
        <v>Medium</v>
      </c>
      <c r="F1935" s="23">
        <f>IFERROR(__xludf.DUMMYFUNCTION("""COMPUTED_VALUE"""),31.0)</f>
        <v>31</v>
      </c>
      <c r="G1935" s="23">
        <f>IFERROR(__xludf.DUMMYFUNCTION("""COMPUTED_VALUE"""),9.0)</f>
        <v>9</v>
      </c>
      <c r="H1935" s="23" t="str">
        <f>IFERROR(__xludf.DUMMYFUNCTION("""COMPUTED_VALUE"""),"Database")</f>
        <v>Database</v>
      </c>
      <c r="I1935" s="23">
        <f>IFERROR(__xludf.DUMMYFUNCTION("""COMPUTED_VALUE"""),0.774)</f>
        <v>0.774</v>
      </c>
      <c r="J1935" s="23">
        <f>IFERROR(__xludf.DUMMYFUNCTION("""COMPUTED_VALUE"""),1934.0)</f>
        <v>1934</v>
      </c>
      <c r="K1935" s="23" t="b">
        <f>IFERROR(__xludf.DUMMYFUNCTION("""COMPUTED_VALUE"""),TRUE)</f>
        <v>1</v>
      </c>
      <c r="L1935" s="23" t="str">
        <f>IFERROR(__xludf.DUMMYFUNCTION("""COMPUTED_VALUE"""),"Database;")</f>
        <v>Database;</v>
      </c>
      <c r="M1935" s="23" t="b">
        <f>IFERROR(__xludf.DUMMYFUNCTION("""COMPUTED_VALUE"""),FALSE)</f>
        <v>0</v>
      </c>
      <c r="N1935" s="23" t="b">
        <f>IFERROR(__xludf.DUMMYFUNCTION("""COMPUTED_VALUE"""),FALSE)</f>
        <v>0</v>
      </c>
      <c r="O1935" s="23">
        <f>IFERROR(__xludf.DUMMYFUNCTION("""COMPUTED_VALUE"""),77.4388038104425)</f>
        <v>77.43880381</v>
      </c>
      <c r="P1935" s="23">
        <f>IFERROR(__xludf.DUMMYFUNCTION("""COMPUTED_VALUE"""),6422.0)</f>
        <v>6422</v>
      </c>
      <c r="Q1935" s="23">
        <f>IFERROR(__xludf.DUMMYFUNCTION("""COMPUTED_VALUE"""),8293.0)</f>
        <v>8293</v>
      </c>
    </row>
    <row r="1936">
      <c r="A1936" s="23">
        <f>IFERROR(__xludf.DUMMYFUNCTION("""COMPUTED_VALUE"""),1264.0)</f>
        <v>1264</v>
      </c>
      <c r="B1936" s="23" t="str">
        <f>IFERROR(__xludf.DUMMYFUNCTION("""COMPUTED_VALUE"""),"Maximum Number of Words You Can Type")</f>
        <v>Maximum Number of Words You Can Type</v>
      </c>
      <c r="C1936" s="23" t="str">
        <f>IFERROR(__xludf.DUMMYFUNCTION("""COMPUTED_VALUE"""),"maximum-number-of-words-you-can-type")</f>
        <v>maximum-number-of-words-you-can-type</v>
      </c>
      <c r="D1936" s="23" t="b">
        <f>IFERROR(__xludf.DUMMYFUNCTION("""COMPUTED_VALUE"""),FALSE)</f>
        <v>0</v>
      </c>
      <c r="E1936" s="23" t="str">
        <f>IFERROR(__xludf.DUMMYFUNCTION("""COMPUTED_VALUE"""),"Easy")</f>
        <v>Easy</v>
      </c>
      <c r="F1936" s="23">
        <f>IFERROR(__xludf.DUMMYFUNCTION("""COMPUTED_VALUE"""),279.0)</f>
        <v>279</v>
      </c>
      <c r="G1936" s="23">
        <f>IFERROR(__xludf.DUMMYFUNCTION("""COMPUTED_VALUE"""),13.0)</f>
        <v>13</v>
      </c>
      <c r="H1936" s="23" t="str">
        <f>IFERROR(__xludf.DUMMYFUNCTION("""COMPUTED_VALUE"""),"Algorithms")</f>
        <v>Algorithms</v>
      </c>
      <c r="I1936" s="23">
        <f>IFERROR(__xludf.DUMMYFUNCTION("""COMPUTED_VALUE"""),0.714)</f>
        <v>0.714</v>
      </c>
      <c r="J1936" s="23">
        <f>IFERROR(__xludf.DUMMYFUNCTION("""COMPUTED_VALUE"""),1935.0)</f>
        <v>1935</v>
      </c>
      <c r="K1936" s="23" t="b">
        <f>IFERROR(__xludf.DUMMYFUNCTION("""COMPUTED_VALUE"""),FALSE)</f>
        <v>0</v>
      </c>
      <c r="L1936" s="23" t="str">
        <f>IFERROR(__xludf.DUMMYFUNCTION("""COMPUTED_VALUE"""),"Hash Table;String;")</f>
        <v>Hash Table;String;</v>
      </c>
      <c r="M1936" s="23" t="b">
        <f>IFERROR(__xludf.DUMMYFUNCTION("""COMPUTED_VALUE"""),FALSE)</f>
        <v>0</v>
      </c>
      <c r="N1936" s="23" t="b">
        <f>IFERROR(__xludf.DUMMYFUNCTION("""COMPUTED_VALUE"""),FALSE)</f>
        <v>0</v>
      </c>
      <c r="O1936" s="23">
        <f>IFERROR(__xludf.DUMMYFUNCTION("""COMPUTED_VALUE"""),71.4151107143742)</f>
        <v>71.41511071</v>
      </c>
      <c r="P1936" s="23">
        <f>IFERROR(__xludf.DUMMYFUNCTION("""COMPUTED_VALUE"""),28801.0)</f>
        <v>28801</v>
      </c>
      <c r="Q1936" s="23">
        <f>IFERROR(__xludf.DUMMYFUNCTION("""COMPUTED_VALUE"""),40329.0)</f>
        <v>40329</v>
      </c>
    </row>
    <row r="1937">
      <c r="A1937" s="23">
        <f>IFERROR(__xludf.DUMMYFUNCTION("""COMPUTED_VALUE"""),2066.0)</f>
        <v>2066</v>
      </c>
      <c r="B1937" s="23" t="str">
        <f>IFERROR(__xludf.DUMMYFUNCTION("""COMPUTED_VALUE"""),"Add Minimum Number of Rungs")</f>
        <v>Add Minimum Number of Rungs</v>
      </c>
      <c r="C1937" s="23" t="str">
        <f>IFERROR(__xludf.DUMMYFUNCTION("""COMPUTED_VALUE"""),"add-minimum-number-of-rungs")</f>
        <v>add-minimum-number-of-rungs</v>
      </c>
      <c r="D1937" s="23" t="b">
        <f>IFERROR(__xludf.DUMMYFUNCTION("""COMPUTED_VALUE"""),FALSE)</f>
        <v>0</v>
      </c>
      <c r="E1937" s="23" t="str">
        <f>IFERROR(__xludf.DUMMYFUNCTION("""COMPUTED_VALUE"""),"Medium")</f>
        <v>Medium</v>
      </c>
      <c r="F1937" s="23">
        <f>IFERROR(__xludf.DUMMYFUNCTION("""COMPUTED_VALUE"""),220.0)</f>
        <v>220</v>
      </c>
      <c r="G1937" s="23">
        <f>IFERROR(__xludf.DUMMYFUNCTION("""COMPUTED_VALUE"""),18.0)</f>
        <v>18</v>
      </c>
      <c r="H1937" s="23" t="str">
        <f>IFERROR(__xludf.DUMMYFUNCTION("""COMPUTED_VALUE"""),"Algorithms")</f>
        <v>Algorithms</v>
      </c>
      <c r="I1937" s="23">
        <f>IFERROR(__xludf.DUMMYFUNCTION("""COMPUTED_VALUE"""),0.424)</f>
        <v>0.424</v>
      </c>
      <c r="J1937" s="23">
        <f>IFERROR(__xludf.DUMMYFUNCTION("""COMPUTED_VALUE"""),1936.0)</f>
        <v>1936</v>
      </c>
      <c r="K1937" s="23" t="b">
        <f>IFERROR(__xludf.DUMMYFUNCTION("""COMPUTED_VALUE"""),FALSE)</f>
        <v>0</v>
      </c>
      <c r="L1937" s="23" t="str">
        <f>IFERROR(__xludf.DUMMYFUNCTION("""COMPUTED_VALUE"""),"Array;Greedy;")</f>
        <v>Array;Greedy;</v>
      </c>
      <c r="M1937" s="23" t="b">
        <f>IFERROR(__xludf.DUMMYFUNCTION("""COMPUTED_VALUE"""),FALSE)</f>
        <v>0</v>
      </c>
      <c r="N1937" s="23" t="b">
        <f>IFERROR(__xludf.DUMMYFUNCTION("""COMPUTED_VALUE"""),FALSE)</f>
        <v>0</v>
      </c>
      <c r="O1937" s="23">
        <f>IFERROR(__xludf.DUMMYFUNCTION("""COMPUTED_VALUE"""),42.4308687531319)</f>
        <v>42.43086875</v>
      </c>
      <c r="P1937" s="23">
        <f>IFERROR(__xludf.DUMMYFUNCTION("""COMPUTED_VALUE"""),18628.0)</f>
        <v>18628</v>
      </c>
      <c r="Q1937" s="23">
        <f>IFERROR(__xludf.DUMMYFUNCTION("""COMPUTED_VALUE"""),43902.0)</f>
        <v>43902</v>
      </c>
    </row>
    <row r="1938">
      <c r="A1938" s="23">
        <f>IFERROR(__xludf.DUMMYFUNCTION("""COMPUTED_VALUE"""),2067.0)</f>
        <v>2067</v>
      </c>
      <c r="B1938" s="23" t="str">
        <f>IFERROR(__xludf.DUMMYFUNCTION("""COMPUTED_VALUE"""),"Maximum Number of Points with Cost")</f>
        <v>Maximum Number of Points with Cost</v>
      </c>
      <c r="C1938" s="23" t="str">
        <f>IFERROR(__xludf.DUMMYFUNCTION("""COMPUTED_VALUE"""),"maximum-number-of-points-with-cost")</f>
        <v>maximum-number-of-points-with-cost</v>
      </c>
      <c r="D1938" s="23" t="b">
        <f>IFERROR(__xludf.DUMMYFUNCTION("""COMPUTED_VALUE"""),FALSE)</f>
        <v>0</v>
      </c>
      <c r="E1938" s="23" t="str">
        <f>IFERROR(__xludf.DUMMYFUNCTION("""COMPUTED_VALUE"""),"Medium")</f>
        <v>Medium</v>
      </c>
      <c r="F1938" s="23">
        <f>IFERROR(__xludf.DUMMYFUNCTION("""COMPUTED_VALUE"""),1434.0)</f>
        <v>1434</v>
      </c>
      <c r="G1938" s="23">
        <f>IFERROR(__xludf.DUMMYFUNCTION("""COMPUTED_VALUE"""),84.0)</f>
        <v>84</v>
      </c>
      <c r="H1938" s="23" t="str">
        <f>IFERROR(__xludf.DUMMYFUNCTION("""COMPUTED_VALUE"""),"Algorithms")</f>
        <v>Algorithms</v>
      </c>
      <c r="I1938" s="23">
        <f>IFERROR(__xludf.DUMMYFUNCTION("""COMPUTED_VALUE"""),0.354)</f>
        <v>0.354</v>
      </c>
      <c r="J1938" s="23">
        <f>IFERROR(__xludf.DUMMYFUNCTION("""COMPUTED_VALUE"""),1937.0)</f>
        <v>1937</v>
      </c>
      <c r="K1938" s="23" t="b">
        <f>IFERROR(__xludf.DUMMYFUNCTION("""COMPUTED_VALUE"""),FALSE)</f>
        <v>0</v>
      </c>
      <c r="L1938" s="23" t="str">
        <f>IFERROR(__xludf.DUMMYFUNCTION("""COMPUTED_VALUE"""),"Array;Dynamic Programming;")</f>
        <v>Array;Dynamic Programming;</v>
      </c>
      <c r="M1938" s="23" t="b">
        <f>IFERROR(__xludf.DUMMYFUNCTION("""COMPUTED_VALUE"""),FALSE)</f>
        <v>0</v>
      </c>
      <c r="N1938" s="23" t="b">
        <f>IFERROR(__xludf.DUMMYFUNCTION("""COMPUTED_VALUE"""),FALSE)</f>
        <v>0</v>
      </c>
      <c r="O1938" s="23">
        <f>IFERROR(__xludf.DUMMYFUNCTION("""COMPUTED_VALUE"""),35.3894851377417)</f>
        <v>35.38948514</v>
      </c>
      <c r="P1938" s="23">
        <f>IFERROR(__xludf.DUMMYFUNCTION("""COMPUTED_VALUE"""),35777.0)</f>
        <v>35777</v>
      </c>
      <c r="Q1938" s="23">
        <f>IFERROR(__xludf.DUMMYFUNCTION("""COMPUTED_VALUE"""),101095.0)</f>
        <v>101095</v>
      </c>
    </row>
    <row r="1939">
      <c r="A1939" s="23">
        <f>IFERROR(__xludf.DUMMYFUNCTION("""COMPUTED_VALUE"""),2068.0)</f>
        <v>2068</v>
      </c>
      <c r="B1939" s="23" t="str">
        <f>IFERROR(__xludf.DUMMYFUNCTION("""COMPUTED_VALUE"""),"Maximum Genetic Difference Query")</f>
        <v>Maximum Genetic Difference Query</v>
      </c>
      <c r="C1939" s="23" t="str">
        <f>IFERROR(__xludf.DUMMYFUNCTION("""COMPUTED_VALUE"""),"maximum-genetic-difference-query")</f>
        <v>maximum-genetic-difference-query</v>
      </c>
      <c r="D1939" s="23" t="b">
        <f>IFERROR(__xludf.DUMMYFUNCTION("""COMPUTED_VALUE"""),FALSE)</f>
        <v>0</v>
      </c>
      <c r="E1939" s="23" t="str">
        <f>IFERROR(__xludf.DUMMYFUNCTION("""COMPUTED_VALUE"""),"Hard")</f>
        <v>Hard</v>
      </c>
      <c r="F1939" s="23">
        <f>IFERROR(__xludf.DUMMYFUNCTION("""COMPUTED_VALUE"""),221.0)</f>
        <v>221</v>
      </c>
      <c r="G1939" s="23">
        <f>IFERROR(__xludf.DUMMYFUNCTION("""COMPUTED_VALUE"""),11.0)</f>
        <v>11</v>
      </c>
      <c r="H1939" s="23" t="str">
        <f>IFERROR(__xludf.DUMMYFUNCTION("""COMPUTED_VALUE"""),"Algorithms")</f>
        <v>Algorithms</v>
      </c>
      <c r="I1939" s="23">
        <f>IFERROR(__xludf.DUMMYFUNCTION("""COMPUTED_VALUE"""),0.39)</f>
        <v>0.39</v>
      </c>
      <c r="J1939" s="23">
        <f>IFERROR(__xludf.DUMMYFUNCTION("""COMPUTED_VALUE"""),1938.0)</f>
        <v>1938</v>
      </c>
      <c r="K1939" s="23" t="b">
        <f>IFERROR(__xludf.DUMMYFUNCTION("""COMPUTED_VALUE"""),FALSE)</f>
        <v>0</v>
      </c>
      <c r="L1939" s="23" t="str">
        <f>IFERROR(__xludf.DUMMYFUNCTION("""COMPUTED_VALUE"""),"Array;Bit Manipulation;Trie;")</f>
        <v>Array;Bit Manipulation;Trie;</v>
      </c>
      <c r="M1939" s="23" t="b">
        <f>IFERROR(__xludf.DUMMYFUNCTION("""COMPUTED_VALUE"""),FALSE)</f>
        <v>0</v>
      </c>
      <c r="N1939" s="23" t="b">
        <f>IFERROR(__xludf.DUMMYFUNCTION("""COMPUTED_VALUE"""),FALSE)</f>
        <v>0</v>
      </c>
      <c r="O1939" s="23">
        <f>IFERROR(__xludf.DUMMYFUNCTION("""COMPUTED_VALUE"""),39.0363462458154)</f>
        <v>39.03634625</v>
      </c>
      <c r="P1939" s="23">
        <f>IFERROR(__xludf.DUMMYFUNCTION("""COMPUTED_VALUE"""),3265.0)</f>
        <v>3265</v>
      </c>
      <c r="Q1939" s="23">
        <f>IFERROR(__xludf.DUMMYFUNCTION("""COMPUTED_VALUE"""),8364.0)</f>
        <v>8364</v>
      </c>
    </row>
    <row r="1940">
      <c r="A1940" s="23">
        <f>IFERROR(__xludf.DUMMYFUNCTION("""COMPUTED_VALUE"""),2092.0)</f>
        <v>2092</v>
      </c>
      <c r="B1940" s="23" t="str">
        <f>IFERROR(__xludf.DUMMYFUNCTION("""COMPUTED_VALUE"""),"Users That Actively Request Confirmation Messages")</f>
        <v>Users That Actively Request Confirmation Messages</v>
      </c>
      <c r="C1940" s="23" t="str">
        <f>IFERROR(__xludf.DUMMYFUNCTION("""COMPUTED_VALUE"""),"users-that-actively-request-confirmation-messages")</f>
        <v>users-that-actively-request-confirmation-messages</v>
      </c>
      <c r="D1940" s="23" t="b">
        <f>IFERROR(__xludf.DUMMYFUNCTION("""COMPUTED_VALUE"""),TRUE)</f>
        <v>1</v>
      </c>
      <c r="E1940" s="23" t="str">
        <f>IFERROR(__xludf.DUMMYFUNCTION("""COMPUTED_VALUE"""),"Easy")</f>
        <v>Easy</v>
      </c>
      <c r="F1940" s="23">
        <f>IFERROR(__xludf.DUMMYFUNCTION("""COMPUTED_VALUE"""),27.0)</f>
        <v>27</v>
      </c>
      <c r="G1940" s="23">
        <f>IFERROR(__xludf.DUMMYFUNCTION("""COMPUTED_VALUE"""),23.0)</f>
        <v>23</v>
      </c>
      <c r="H1940" s="23" t="str">
        <f>IFERROR(__xludf.DUMMYFUNCTION("""COMPUTED_VALUE"""),"Database")</f>
        <v>Database</v>
      </c>
      <c r="I1940" s="23">
        <f>IFERROR(__xludf.DUMMYFUNCTION("""COMPUTED_VALUE"""),0.616)</f>
        <v>0.616</v>
      </c>
      <c r="J1940" s="23">
        <f>IFERROR(__xludf.DUMMYFUNCTION("""COMPUTED_VALUE"""),1939.0)</f>
        <v>1939</v>
      </c>
      <c r="K1940" s="23" t="b">
        <f>IFERROR(__xludf.DUMMYFUNCTION("""COMPUTED_VALUE"""),TRUE)</f>
        <v>1</v>
      </c>
      <c r="L1940" s="23" t="str">
        <f>IFERROR(__xludf.DUMMYFUNCTION("""COMPUTED_VALUE"""),"Database;")</f>
        <v>Database;</v>
      </c>
      <c r="M1940" s="23" t="b">
        <f>IFERROR(__xludf.DUMMYFUNCTION("""COMPUTED_VALUE"""),FALSE)</f>
        <v>0</v>
      </c>
      <c r="N1940" s="23" t="b">
        <f>IFERROR(__xludf.DUMMYFUNCTION("""COMPUTED_VALUE"""),FALSE)</f>
        <v>0</v>
      </c>
      <c r="O1940" s="23">
        <f>IFERROR(__xludf.DUMMYFUNCTION("""COMPUTED_VALUE"""),61.6273229532898)</f>
        <v>61.62732295</v>
      </c>
      <c r="P1940" s="23">
        <f>IFERROR(__xludf.DUMMYFUNCTION("""COMPUTED_VALUE"""),4908.0)</f>
        <v>4908</v>
      </c>
      <c r="Q1940" s="23">
        <f>IFERROR(__xludf.DUMMYFUNCTION("""COMPUTED_VALUE"""),7964.0)</f>
        <v>7964</v>
      </c>
    </row>
    <row r="1941">
      <c r="A1941" s="23">
        <f>IFERROR(__xludf.DUMMYFUNCTION("""COMPUTED_VALUE"""),2071.0)</f>
        <v>2071</v>
      </c>
      <c r="B1941" s="23" t="str">
        <f>IFERROR(__xludf.DUMMYFUNCTION("""COMPUTED_VALUE"""),"Longest Common Subsequence Between Sorted Arrays")</f>
        <v>Longest Common Subsequence Between Sorted Arrays</v>
      </c>
      <c r="C1941" s="23" t="str">
        <f>IFERROR(__xludf.DUMMYFUNCTION("""COMPUTED_VALUE"""),"longest-common-subsequence-between-sorted-arrays")</f>
        <v>longest-common-subsequence-between-sorted-arrays</v>
      </c>
      <c r="D1941" s="23" t="b">
        <f>IFERROR(__xludf.DUMMYFUNCTION("""COMPUTED_VALUE"""),TRUE)</f>
        <v>1</v>
      </c>
      <c r="E1941" s="23" t="str">
        <f>IFERROR(__xludf.DUMMYFUNCTION("""COMPUTED_VALUE"""),"Medium")</f>
        <v>Medium</v>
      </c>
      <c r="F1941" s="23">
        <f>IFERROR(__xludf.DUMMYFUNCTION("""COMPUTED_VALUE"""),94.0)</f>
        <v>94</v>
      </c>
      <c r="G1941" s="23">
        <f>IFERROR(__xludf.DUMMYFUNCTION("""COMPUTED_VALUE"""),3.0)</f>
        <v>3</v>
      </c>
      <c r="H1941" s="23" t="str">
        <f>IFERROR(__xludf.DUMMYFUNCTION("""COMPUTED_VALUE"""),"Algorithms")</f>
        <v>Algorithms</v>
      </c>
      <c r="I1941" s="23">
        <f>IFERROR(__xludf.DUMMYFUNCTION("""COMPUTED_VALUE"""),0.793)</f>
        <v>0.793</v>
      </c>
      <c r="J1941" s="23">
        <f>IFERROR(__xludf.DUMMYFUNCTION("""COMPUTED_VALUE"""),1940.0)</f>
        <v>1940</v>
      </c>
      <c r="K1941" s="23" t="b">
        <f>IFERROR(__xludf.DUMMYFUNCTION("""COMPUTED_VALUE"""),TRUE)</f>
        <v>1</v>
      </c>
      <c r="L1941" s="23" t="str">
        <f>IFERROR(__xludf.DUMMYFUNCTION("""COMPUTED_VALUE"""),"Array;Hash Table;Counting;")</f>
        <v>Array;Hash Table;Counting;</v>
      </c>
      <c r="M1941" s="23" t="b">
        <f>IFERROR(__xludf.DUMMYFUNCTION("""COMPUTED_VALUE"""),FALSE)</f>
        <v>0</v>
      </c>
      <c r="N1941" s="23" t="b">
        <f>IFERROR(__xludf.DUMMYFUNCTION("""COMPUTED_VALUE"""),FALSE)</f>
        <v>0</v>
      </c>
      <c r="O1941" s="23">
        <f>IFERROR(__xludf.DUMMYFUNCTION("""COMPUTED_VALUE"""),79.3023793023793)</f>
        <v>79.3023793</v>
      </c>
      <c r="P1941" s="23">
        <f>IFERROR(__xludf.DUMMYFUNCTION("""COMPUTED_VALUE"""),3433.0)</f>
        <v>3433</v>
      </c>
      <c r="Q1941" s="23">
        <f>IFERROR(__xludf.DUMMYFUNCTION("""COMPUTED_VALUE"""),4329.0)</f>
        <v>4329</v>
      </c>
    </row>
    <row r="1942">
      <c r="A1942" s="23">
        <f>IFERROR(__xludf.DUMMYFUNCTION("""COMPUTED_VALUE"""),2053.0)</f>
        <v>2053</v>
      </c>
      <c r="B1942" s="23" t="str">
        <f>IFERROR(__xludf.DUMMYFUNCTION("""COMPUTED_VALUE"""),"Check if All Characters Have Equal Number of Occurrences")</f>
        <v>Check if All Characters Have Equal Number of Occurrences</v>
      </c>
      <c r="C1942" s="23" t="str">
        <f>IFERROR(__xludf.DUMMYFUNCTION("""COMPUTED_VALUE"""),"check-if-all-characters-have-equal-number-of-occurrences")</f>
        <v>check-if-all-characters-have-equal-number-of-occurrences</v>
      </c>
      <c r="D1942" s="23" t="b">
        <f>IFERROR(__xludf.DUMMYFUNCTION("""COMPUTED_VALUE"""),FALSE)</f>
        <v>0</v>
      </c>
      <c r="E1942" s="23" t="str">
        <f>IFERROR(__xludf.DUMMYFUNCTION("""COMPUTED_VALUE"""),"Easy")</f>
        <v>Easy</v>
      </c>
      <c r="F1942" s="23">
        <f>IFERROR(__xludf.DUMMYFUNCTION("""COMPUTED_VALUE"""),337.0)</f>
        <v>337</v>
      </c>
      <c r="G1942" s="23">
        <f>IFERROR(__xludf.DUMMYFUNCTION("""COMPUTED_VALUE"""),11.0)</f>
        <v>11</v>
      </c>
      <c r="H1942" s="23" t="str">
        <f>IFERROR(__xludf.DUMMYFUNCTION("""COMPUTED_VALUE"""),"Algorithms")</f>
        <v>Algorithms</v>
      </c>
      <c r="I1942" s="23">
        <f>IFERROR(__xludf.DUMMYFUNCTION("""COMPUTED_VALUE"""),0.771)</f>
        <v>0.771</v>
      </c>
      <c r="J1942" s="23">
        <f>IFERROR(__xludf.DUMMYFUNCTION("""COMPUTED_VALUE"""),1941.0)</f>
        <v>1941</v>
      </c>
      <c r="K1942" s="23" t="b">
        <f>IFERROR(__xludf.DUMMYFUNCTION("""COMPUTED_VALUE"""),FALSE)</f>
        <v>0</v>
      </c>
      <c r="L1942" s="23" t="str">
        <f>IFERROR(__xludf.DUMMYFUNCTION("""COMPUTED_VALUE"""),"Hash Table;String;Counting;")</f>
        <v>Hash Table;String;Counting;</v>
      </c>
      <c r="M1942" s="23" t="b">
        <f>IFERROR(__xludf.DUMMYFUNCTION("""COMPUTED_VALUE"""),FALSE)</f>
        <v>0</v>
      </c>
      <c r="N1942" s="23" t="b">
        <f>IFERROR(__xludf.DUMMYFUNCTION("""COMPUTED_VALUE"""),FALSE)</f>
        <v>0</v>
      </c>
      <c r="O1942" s="23">
        <f>IFERROR(__xludf.DUMMYFUNCTION("""COMPUTED_VALUE"""),77.0877319078208)</f>
        <v>77.08773191</v>
      </c>
      <c r="P1942" s="23">
        <f>IFERROR(__xludf.DUMMYFUNCTION("""COMPUTED_VALUE"""),34319.0)</f>
        <v>34319</v>
      </c>
      <c r="Q1942" s="23">
        <f>IFERROR(__xludf.DUMMYFUNCTION("""COMPUTED_VALUE"""),44520.0)</f>
        <v>44520</v>
      </c>
    </row>
    <row r="1943">
      <c r="A1943" s="23">
        <f>IFERROR(__xludf.DUMMYFUNCTION("""COMPUTED_VALUE"""),2054.0)</f>
        <v>2054</v>
      </c>
      <c r="B1943" s="23" t="str">
        <f>IFERROR(__xludf.DUMMYFUNCTION("""COMPUTED_VALUE"""),"The Number of the Smallest Unoccupied Chair")</f>
        <v>The Number of the Smallest Unoccupied Chair</v>
      </c>
      <c r="C1943" s="23" t="str">
        <f>IFERROR(__xludf.DUMMYFUNCTION("""COMPUTED_VALUE"""),"the-number-of-the-smallest-unoccupied-chair")</f>
        <v>the-number-of-the-smallest-unoccupied-chair</v>
      </c>
      <c r="D1943" s="23" t="b">
        <f>IFERROR(__xludf.DUMMYFUNCTION("""COMPUTED_VALUE"""),FALSE)</f>
        <v>0</v>
      </c>
      <c r="E1943" s="23" t="str">
        <f>IFERROR(__xludf.DUMMYFUNCTION("""COMPUTED_VALUE"""),"Medium")</f>
        <v>Medium</v>
      </c>
      <c r="F1943" s="23">
        <f>IFERROR(__xludf.DUMMYFUNCTION("""COMPUTED_VALUE"""),377.0)</f>
        <v>377</v>
      </c>
      <c r="G1943" s="23">
        <f>IFERROR(__xludf.DUMMYFUNCTION("""COMPUTED_VALUE"""),19.0)</f>
        <v>19</v>
      </c>
      <c r="H1943" s="23" t="str">
        <f>IFERROR(__xludf.DUMMYFUNCTION("""COMPUTED_VALUE"""),"Algorithms")</f>
        <v>Algorithms</v>
      </c>
      <c r="I1943" s="23">
        <f>IFERROR(__xludf.DUMMYFUNCTION("""COMPUTED_VALUE"""),0.39)</f>
        <v>0.39</v>
      </c>
      <c r="J1943" s="23">
        <f>IFERROR(__xludf.DUMMYFUNCTION("""COMPUTED_VALUE"""),1942.0)</f>
        <v>1942</v>
      </c>
      <c r="K1943" s="23" t="b">
        <f>IFERROR(__xludf.DUMMYFUNCTION("""COMPUTED_VALUE"""),FALSE)</f>
        <v>0</v>
      </c>
      <c r="L1943" s="23" t="str">
        <f>IFERROR(__xludf.DUMMYFUNCTION("""COMPUTED_VALUE"""),"Array;Heap (Priority Queue);Ordered Set;")</f>
        <v>Array;Heap (Priority Queue);Ordered Set;</v>
      </c>
      <c r="M1943" s="23" t="b">
        <f>IFERROR(__xludf.DUMMYFUNCTION("""COMPUTED_VALUE"""),FALSE)</f>
        <v>0</v>
      </c>
      <c r="N1943" s="23" t="b">
        <f>IFERROR(__xludf.DUMMYFUNCTION("""COMPUTED_VALUE"""),FALSE)</f>
        <v>0</v>
      </c>
      <c r="O1943" s="23">
        <f>IFERROR(__xludf.DUMMYFUNCTION("""COMPUTED_VALUE"""),38.991722030767)</f>
        <v>38.99172203</v>
      </c>
      <c r="P1943" s="23">
        <f>IFERROR(__xludf.DUMMYFUNCTION("""COMPUTED_VALUE"""),10975.0)</f>
        <v>10975</v>
      </c>
      <c r="Q1943" s="23">
        <f>IFERROR(__xludf.DUMMYFUNCTION("""COMPUTED_VALUE"""),28147.0)</f>
        <v>28147</v>
      </c>
    </row>
    <row r="1944">
      <c r="A1944" s="23">
        <f>IFERROR(__xludf.DUMMYFUNCTION("""COMPUTED_VALUE"""),2055.0)</f>
        <v>2055</v>
      </c>
      <c r="B1944" s="23" t="str">
        <f>IFERROR(__xludf.DUMMYFUNCTION("""COMPUTED_VALUE"""),"Describe the Painting")</f>
        <v>Describe the Painting</v>
      </c>
      <c r="C1944" s="23" t="str">
        <f>IFERROR(__xludf.DUMMYFUNCTION("""COMPUTED_VALUE"""),"describe-the-painting")</f>
        <v>describe-the-painting</v>
      </c>
      <c r="D1944" s="23" t="b">
        <f>IFERROR(__xludf.DUMMYFUNCTION("""COMPUTED_VALUE"""),FALSE)</f>
        <v>0</v>
      </c>
      <c r="E1944" s="23" t="str">
        <f>IFERROR(__xludf.DUMMYFUNCTION("""COMPUTED_VALUE"""),"Medium")</f>
        <v>Medium</v>
      </c>
      <c r="F1944" s="23">
        <f>IFERROR(__xludf.DUMMYFUNCTION("""COMPUTED_VALUE"""),278.0)</f>
        <v>278</v>
      </c>
      <c r="G1944" s="23">
        <f>IFERROR(__xludf.DUMMYFUNCTION("""COMPUTED_VALUE"""),17.0)</f>
        <v>17</v>
      </c>
      <c r="H1944" s="23" t="str">
        <f>IFERROR(__xludf.DUMMYFUNCTION("""COMPUTED_VALUE"""),"Algorithms")</f>
        <v>Algorithms</v>
      </c>
      <c r="I1944" s="23">
        <f>IFERROR(__xludf.DUMMYFUNCTION("""COMPUTED_VALUE"""),0.464)</f>
        <v>0.464</v>
      </c>
      <c r="J1944" s="23">
        <f>IFERROR(__xludf.DUMMYFUNCTION("""COMPUTED_VALUE"""),1943.0)</f>
        <v>1943</v>
      </c>
      <c r="K1944" s="23" t="b">
        <f>IFERROR(__xludf.DUMMYFUNCTION("""COMPUTED_VALUE"""),FALSE)</f>
        <v>0</v>
      </c>
      <c r="L1944" s="23" t="str">
        <f>IFERROR(__xludf.DUMMYFUNCTION("""COMPUTED_VALUE"""),"Array;Prefix Sum;")</f>
        <v>Array;Prefix Sum;</v>
      </c>
      <c r="M1944" s="23" t="b">
        <f>IFERROR(__xludf.DUMMYFUNCTION("""COMPUTED_VALUE"""),FALSE)</f>
        <v>0</v>
      </c>
      <c r="N1944" s="23" t="b">
        <f>IFERROR(__xludf.DUMMYFUNCTION("""COMPUTED_VALUE"""),FALSE)</f>
        <v>0</v>
      </c>
      <c r="O1944" s="23">
        <f>IFERROR(__xludf.DUMMYFUNCTION("""COMPUTED_VALUE"""),46.4380447139067)</f>
        <v>46.43804471</v>
      </c>
      <c r="P1944" s="23">
        <f>IFERROR(__xludf.DUMMYFUNCTION("""COMPUTED_VALUE"""),7353.0)</f>
        <v>7353</v>
      </c>
      <c r="Q1944" s="23">
        <f>IFERROR(__xludf.DUMMYFUNCTION("""COMPUTED_VALUE"""),15834.0)</f>
        <v>15834</v>
      </c>
    </row>
    <row r="1945">
      <c r="A1945" s="23">
        <f>IFERROR(__xludf.DUMMYFUNCTION("""COMPUTED_VALUE"""),1305.0)</f>
        <v>1305</v>
      </c>
      <c r="B1945" s="23" t="str">
        <f>IFERROR(__xludf.DUMMYFUNCTION("""COMPUTED_VALUE"""),"Number of Visible People in a Queue")</f>
        <v>Number of Visible People in a Queue</v>
      </c>
      <c r="C1945" s="23" t="str">
        <f>IFERROR(__xludf.DUMMYFUNCTION("""COMPUTED_VALUE"""),"number-of-visible-people-in-a-queue")</f>
        <v>number-of-visible-people-in-a-queue</v>
      </c>
      <c r="D1945" s="23" t="b">
        <f>IFERROR(__xludf.DUMMYFUNCTION("""COMPUTED_VALUE"""),FALSE)</f>
        <v>0</v>
      </c>
      <c r="E1945" s="23" t="str">
        <f>IFERROR(__xludf.DUMMYFUNCTION("""COMPUTED_VALUE"""),"Hard")</f>
        <v>Hard</v>
      </c>
      <c r="F1945" s="23">
        <f>IFERROR(__xludf.DUMMYFUNCTION("""COMPUTED_VALUE"""),770.0)</f>
        <v>770</v>
      </c>
      <c r="G1945" s="23">
        <f>IFERROR(__xludf.DUMMYFUNCTION("""COMPUTED_VALUE"""),16.0)</f>
        <v>16</v>
      </c>
      <c r="H1945" s="23" t="str">
        <f>IFERROR(__xludf.DUMMYFUNCTION("""COMPUTED_VALUE"""),"Algorithms")</f>
        <v>Algorithms</v>
      </c>
      <c r="I1945" s="23">
        <f>IFERROR(__xludf.DUMMYFUNCTION("""COMPUTED_VALUE"""),0.701)</f>
        <v>0.701</v>
      </c>
      <c r="J1945" s="23">
        <f>IFERROR(__xludf.DUMMYFUNCTION("""COMPUTED_VALUE"""),1944.0)</f>
        <v>1944</v>
      </c>
      <c r="K1945" s="23" t="b">
        <f>IFERROR(__xludf.DUMMYFUNCTION("""COMPUTED_VALUE"""),FALSE)</f>
        <v>0</v>
      </c>
      <c r="L1945" s="23" t="str">
        <f>IFERROR(__xludf.DUMMYFUNCTION("""COMPUTED_VALUE"""),"Array;Stack;Monotonic Stack;")</f>
        <v>Array;Stack;Monotonic Stack;</v>
      </c>
      <c r="M1945" s="23" t="b">
        <f>IFERROR(__xludf.DUMMYFUNCTION("""COMPUTED_VALUE"""),FALSE)</f>
        <v>0</v>
      </c>
      <c r="N1945" s="23" t="b">
        <f>IFERROR(__xludf.DUMMYFUNCTION("""COMPUTED_VALUE"""),FALSE)</f>
        <v>0</v>
      </c>
      <c r="O1945" s="23">
        <f>IFERROR(__xludf.DUMMYFUNCTION("""COMPUTED_VALUE"""),70.127386098466)</f>
        <v>70.1273861</v>
      </c>
      <c r="P1945" s="23">
        <f>IFERROR(__xludf.DUMMYFUNCTION("""COMPUTED_VALUE"""),18332.0)</f>
        <v>18332</v>
      </c>
      <c r="Q1945" s="23">
        <f>IFERROR(__xludf.DUMMYFUNCTION("""COMPUTED_VALUE"""),26141.0)</f>
        <v>26141</v>
      </c>
    </row>
    <row r="1946">
      <c r="A1946" s="23">
        <f>IFERROR(__xludf.DUMMYFUNCTION("""COMPUTED_VALUE"""),2076.0)</f>
        <v>2076</v>
      </c>
      <c r="B1946" s="23" t="str">
        <f>IFERROR(__xludf.DUMMYFUNCTION("""COMPUTED_VALUE"""),"Sum of Digits of String After Convert")</f>
        <v>Sum of Digits of String After Convert</v>
      </c>
      <c r="C1946" s="23" t="str">
        <f>IFERROR(__xludf.DUMMYFUNCTION("""COMPUTED_VALUE"""),"sum-of-digits-of-string-after-convert")</f>
        <v>sum-of-digits-of-string-after-convert</v>
      </c>
      <c r="D1946" s="23" t="b">
        <f>IFERROR(__xludf.DUMMYFUNCTION("""COMPUTED_VALUE"""),FALSE)</f>
        <v>0</v>
      </c>
      <c r="E1946" s="23" t="str">
        <f>IFERROR(__xludf.DUMMYFUNCTION("""COMPUTED_VALUE"""),"Easy")</f>
        <v>Easy</v>
      </c>
      <c r="F1946" s="23">
        <f>IFERROR(__xludf.DUMMYFUNCTION("""COMPUTED_VALUE"""),272.0)</f>
        <v>272</v>
      </c>
      <c r="G1946" s="23">
        <f>IFERROR(__xludf.DUMMYFUNCTION("""COMPUTED_VALUE"""),30.0)</f>
        <v>30</v>
      </c>
      <c r="H1946" s="23" t="str">
        <f>IFERROR(__xludf.DUMMYFUNCTION("""COMPUTED_VALUE"""),"Algorithms")</f>
        <v>Algorithms</v>
      </c>
      <c r="I1946" s="23">
        <f>IFERROR(__xludf.DUMMYFUNCTION("""COMPUTED_VALUE"""),0.614)</f>
        <v>0.614</v>
      </c>
      <c r="J1946" s="23">
        <f>IFERROR(__xludf.DUMMYFUNCTION("""COMPUTED_VALUE"""),1945.0)</f>
        <v>1945</v>
      </c>
      <c r="K1946" s="23" t="b">
        <f>IFERROR(__xludf.DUMMYFUNCTION("""COMPUTED_VALUE"""),FALSE)</f>
        <v>0</v>
      </c>
      <c r="L1946" s="23" t="str">
        <f>IFERROR(__xludf.DUMMYFUNCTION("""COMPUTED_VALUE"""),"String;Simulation;")</f>
        <v>String;Simulation;</v>
      </c>
      <c r="M1946" s="23" t="b">
        <f>IFERROR(__xludf.DUMMYFUNCTION("""COMPUTED_VALUE"""),FALSE)</f>
        <v>0</v>
      </c>
      <c r="N1946" s="23" t="b">
        <f>IFERROR(__xludf.DUMMYFUNCTION("""COMPUTED_VALUE"""),FALSE)</f>
        <v>0</v>
      </c>
      <c r="O1946" s="23">
        <f>IFERROR(__xludf.DUMMYFUNCTION("""COMPUTED_VALUE"""),61.4313971439598)</f>
        <v>61.43139714</v>
      </c>
      <c r="P1946" s="23">
        <f>IFERROR(__xludf.DUMMYFUNCTION("""COMPUTED_VALUE"""),25467.0)</f>
        <v>25467</v>
      </c>
      <c r="Q1946" s="23">
        <f>IFERROR(__xludf.DUMMYFUNCTION("""COMPUTED_VALUE"""),41456.0)</f>
        <v>41456</v>
      </c>
    </row>
    <row r="1947">
      <c r="A1947" s="23">
        <f>IFERROR(__xludf.DUMMYFUNCTION("""COMPUTED_VALUE"""),2077.0)</f>
        <v>2077</v>
      </c>
      <c r="B1947" s="23" t="str">
        <f>IFERROR(__xludf.DUMMYFUNCTION("""COMPUTED_VALUE"""),"Largest Number After Mutating Substring")</f>
        <v>Largest Number After Mutating Substring</v>
      </c>
      <c r="C1947" s="23" t="str">
        <f>IFERROR(__xludf.DUMMYFUNCTION("""COMPUTED_VALUE"""),"largest-number-after-mutating-substring")</f>
        <v>largest-number-after-mutating-substring</v>
      </c>
      <c r="D1947" s="23" t="b">
        <f>IFERROR(__xludf.DUMMYFUNCTION("""COMPUTED_VALUE"""),FALSE)</f>
        <v>0</v>
      </c>
      <c r="E1947" s="23" t="str">
        <f>IFERROR(__xludf.DUMMYFUNCTION("""COMPUTED_VALUE"""),"Medium")</f>
        <v>Medium</v>
      </c>
      <c r="F1947" s="23">
        <f>IFERROR(__xludf.DUMMYFUNCTION("""COMPUTED_VALUE"""),140.0)</f>
        <v>140</v>
      </c>
      <c r="G1947" s="23">
        <f>IFERROR(__xludf.DUMMYFUNCTION("""COMPUTED_VALUE"""),164.0)</f>
        <v>164</v>
      </c>
      <c r="H1947" s="23" t="str">
        <f>IFERROR(__xludf.DUMMYFUNCTION("""COMPUTED_VALUE"""),"Algorithms")</f>
        <v>Algorithms</v>
      </c>
      <c r="I1947" s="23">
        <f>IFERROR(__xludf.DUMMYFUNCTION("""COMPUTED_VALUE"""),0.34)</f>
        <v>0.34</v>
      </c>
      <c r="J1947" s="23">
        <f>IFERROR(__xludf.DUMMYFUNCTION("""COMPUTED_VALUE"""),1946.0)</f>
        <v>1946</v>
      </c>
      <c r="K1947" s="23" t="b">
        <f>IFERROR(__xludf.DUMMYFUNCTION("""COMPUTED_VALUE"""),FALSE)</f>
        <v>0</v>
      </c>
      <c r="L1947" s="23" t="str">
        <f>IFERROR(__xludf.DUMMYFUNCTION("""COMPUTED_VALUE"""),"Array;String;Greedy;")</f>
        <v>Array;String;Greedy;</v>
      </c>
      <c r="M1947" s="23" t="b">
        <f>IFERROR(__xludf.DUMMYFUNCTION("""COMPUTED_VALUE"""),FALSE)</f>
        <v>0</v>
      </c>
      <c r="N1947" s="23" t="b">
        <f>IFERROR(__xludf.DUMMYFUNCTION("""COMPUTED_VALUE"""),FALSE)</f>
        <v>0</v>
      </c>
      <c r="O1947" s="23">
        <f>IFERROR(__xludf.DUMMYFUNCTION("""COMPUTED_VALUE"""),33.9572128600454)</f>
        <v>33.95721286</v>
      </c>
      <c r="P1947" s="23">
        <f>IFERROR(__xludf.DUMMYFUNCTION("""COMPUTED_VALUE"""),14206.0)</f>
        <v>14206</v>
      </c>
      <c r="Q1947" s="23">
        <f>IFERROR(__xludf.DUMMYFUNCTION("""COMPUTED_VALUE"""),41835.0)</f>
        <v>41835</v>
      </c>
    </row>
    <row r="1948">
      <c r="A1948" s="23">
        <f>IFERROR(__xludf.DUMMYFUNCTION("""COMPUTED_VALUE"""),2078.0)</f>
        <v>2078</v>
      </c>
      <c r="B1948" s="23" t="str">
        <f>IFERROR(__xludf.DUMMYFUNCTION("""COMPUTED_VALUE"""),"Maximum Compatibility Score Sum")</f>
        <v>Maximum Compatibility Score Sum</v>
      </c>
      <c r="C1948" s="23" t="str">
        <f>IFERROR(__xludf.DUMMYFUNCTION("""COMPUTED_VALUE"""),"maximum-compatibility-score-sum")</f>
        <v>maximum-compatibility-score-sum</v>
      </c>
      <c r="D1948" s="23" t="b">
        <f>IFERROR(__xludf.DUMMYFUNCTION("""COMPUTED_VALUE"""),FALSE)</f>
        <v>0</v>
      </c>
      <c r="E1948" s="23" t="str">
        <f>IFERROR(__xludf.DUMMYFUNCTION("""COMPUTED_VALUE"""),"Medium")</f>
        <v>Medium</v>
      </c>
      <c r="F1948" s="23">
        <f>IFERROR(__xludf.DUMMYFUNCTION("""COMPUTED_VALUE"""),451.0)</f>
        <v>451</v>
      </c>
      <c r="G1948" s="23">
        <f>IFERROR(__xludf.DUMMYFUNCTION("""COMPUTED_VALUE"""),10.0)</f>
        <v>10</v>
      </c>
      <c r="H1948" s="23" t="str">
        <f>IFERROR(__xludf.DUMMYFUNCTION("""COMPUTED_VALUE"""),"Algorithms")</f>
        <v>Algorithms</v>
      </c>
      <c r="I1948" s="23">
        <f>IFERROR(__xludf.DUMMYFUNCTION("""COMPUTED_VALUE"""),0.601)</f>
        <v>0.601</v>
      </c>
      <c r="J1948" s="23">
        <f>IFERROR(__xludf.DUMMYFUNCTION("""COMPUTED_VALUE"""),1947.0)</f>
        <v>1947</v>
      </c>
      <c r="K1948" s="23" t="b">
        <f>IFERROR(__xludf.DUMMYFUNCTION("""COMPUTED_VALUE"""),FALSE)</f>
        <v>0</v>
      </c>
      <c r="L1948" s="23" t="str">
        <f>IFERROR(__xludf.DUMMYFUNCTION("""COMPUTED_VALUE"""),"Array;Dynamic Programming;Backtracking;Bit Manipulation;Bitmask;")</f>
        <v>Array;Dynamic Programming;Backtracking;Bit Manipulation;Bitmask;</v>
      </c>
      <c r="M1948" s="23" t="b">
        <f>IFERROR(__xludf.DUMMYFUNCTION("""COMPUTED_VALUE"""),FALSE)</f>
        <v>0</v>
      </c>
      <c r="N1948" s="23" t="b">
        <f>IFERROR(__xludf.DUMMYFUNCTION("""COMPUTED_VALUE"""),FALSE)</f>
        <v>0</v>
      </c>
      <c r="O1948" s="23">
        <f>IFERROR(__xludf.DUMMYFUNCTION("""COMPUTED_VALUE"""),60.0578501850355)</f>
        <v>60.05785019</v>
      </c>
      <c r="P1948" s="23">
        <f>IFERROR(__xludf.DUMMYFUNCTION("""COMPUTED_VALUE"""),14119.0)</f>
        <v>14119</v>
      </c>
      <c r="Q1948" s="23">
        <f>IFERROR(__xludf.DUMMYFUNCTION("""COMPUTED_VALUE"""),23509.0)</f>
        <v>23509</v>
      </c>
    </row>
    <row r="1949">
      <c r="A1949" s="23">
        <f>IFERROR(__xludf.DUMMYFUNCTION("""COMPUTED_VALUE"""),2079.0)</f>
        <v>2079</v>
      </c>
      <c r="B1949" s="23" t="str">
        <f>IFERROR(__xludf.DUMMYFUNCTION("""COMPUTED_VALUE"""),"Delete Duplicate Folders in System")</f>
        <v>Delete Duplicate Folders in System</v>
      </c>
      <c r="C1949" s="23" t="str">
        <f>IFERROR(__xludf.DUMMYFUNCTION("""COMPUTED_VALUE"""),"delete-duplicate-folders-in-system")</f>
        <v>delete-duplicate-folders-in-system</v>
      </c>
      <c r="D1949" s="23" t="b">
        <f>IFERROR(__xludf.DUMMYFUNCTION("""COMPUTED_VALUE"""),FALSE)</f>
        <v>0</v>
      </c>
      <c r="E1949" s="23" t="str">
        <f>IFERROR(__xludf.DUMMYFUNCTION("""COMPUTED_VALUE"""),"Hard")</f>
        <v>Hard</v>
      </c>
      <c r="F1949" s="23">
        <f>IFERROR(__xludf.DUMMYFUNCTION("""COMPUTED_VALUE"""),168.0)</f>
        <v>168</v>
      </c>
      <c r="G1949" s="23">
        <f>IFERROR(__xludf.DUMMYFUNCTION("""COMPUTED_VALUE"""),48.0)</f>
        <v>48</v>
      </c>
      <c r="H1949" s="23" t="str">
        <f>IFERROR(__xludf.DUMMYFUNCTION("""COMPUTED_VALUE"""),"Algorithms")</f>
        <v>Algorithms</v>
      </c>
      <c r="I1949" s="23">
        <f>IFERROR(__xludf.DUMMYFUNCTION("""COMPUTED_VALUE"""),0.585)</f>
        <v>0.585</v>
      </c>
      <c r="J1949" s="23">
        <f>IFERROR(__xludf.DUMMYFUNCTION("""COMPUTED_VALUE"""),1948.0)</f>
        <v>1948</v>
      </c>
      <c r="K1949" s="23" t="b">
        <f>IFERROR(__xludf.DUMMYFUNCTION("""COMPUTED_VALUE"""),FALSE)</f>
        <v>0</v>
      </c>
      <c r="L1949" s="23" t="str">
        <f>IFERROR(__xludf.DUMMYFUNCTION("""COMPUTED_VALUE"""),"Array;Hash Table;String;Trie;Hash Function;")</f>
        <v>Array;Hash Table;String;Trie;Hash Function;</v>
      </c>
      <c r="M1949" s="23" t="b">
        <f>IFERROR(__xludf.DUMMYFUNCTION("""COMPUTED_VALUE"""),FALSE)</f>
        <v>0</v>
      </c>
      <c r="N1949" s="23" t="b">
        <f>IFERROR(__xludf.DUMMYFUNCTION("""COMPUTED_VALUE"""),FALSE)</f>
        <v>0</v>
      </c>
      <c r="O1949" s="23">
        <f>IFERROR(__xludf.DUMMYFUNCTION("""COMPUTED_VALUE"""),58.4815235212511)</f>
        <v>58.48152352</v>
      </c>
      <c r="P1949" s="23">
        <f>IFERROR(__xludf.DUMMYFUNCTION("""COMPUTED_VALUE"""),4636.0)</f>
        <v>4636</v>
      </c>
      <c r="Q1949" s="23">
        <f>IFERROR(__xludf.DUMMYFUNCTION("""COMPUTED_VALUE"""),7928.0)</f>
        <v>7928</v>
      </c>
    </row>
    <row r="1950">
      <c r="A1950" s="23">
        <f>IFERROR(__xludf.DUMMYFUNCTION("""COMPUTED_VALUE"""),2097.0)</f>
        <v>2097</v>
      </c>
      <c r="B1950" s="23" t="str">
        <f>IFERROR(__xludf.DUMMYFUNCTION("""COMPUTED_VALUE"""),"Strong Friendship")</f>
        <v>Strong Friendship</v>
      </c>
      <c r="C1950" s="23" t="str">
        <f>IFERROR(__xludf.DUMMYFUNCTION("""COMPUTED_VALUE"""),"strong-friendship")</f>
        <v>strong-friendship</v>
      </c>
      <c r="D1950" s="23" t="b">
        <f>IFERROR(__xludf.DUMMYFUNCTION("""COMPUTED_VALUE"""),TRUE)</f>
        <v>1</v>
      </c>
      <c r="E1950" s="23" t="str">
        <f>IFERROR(__xludf.DUMMYFUNCTION("""COMPUTED_VALUE"""),"Medium")</f>
        <v>Medium</v>
      </c>
      <c r="F1950" s="23">
        <f>IFERROR(__xludf.DUMMYFUNCTION("""COMPUTED_VALUE"""),75.0)</f>
        <v>75</v>
      </c>
      <c r="G1950" s="23">
        <f>IFERROR(__xludf.DUMMYFUNCTION("""COMPUTED_VALUE"""),35.0)</f>
        <v>35</v>
      </c>
      <c r="H1950" s="23" t="str">
        <f>IFERROR(__xludf.DUMMYFUNCTION("""COMPUTED_VALUE"""),"Database")</f>
        <v>Database</v>
      </c>
      <c r="I1950" s="23">
        <f>IFERROR(__xludf.DUMMYFUNCTION("""COMPUTED_VALUE"""),0.594)</f>
        <v>0.594</v>
      </c>
      <c r="J1950" s="23">
        <f>IFERROR(__xludf.DUMMYFUNCTION("""COMPUTED_VALUE"""),1949.0)</f>
        <v>1949</v>
      </c>
      <c r="K1950" s="23" t="b">
        <f>IFERROR(__xludf.DUMMYFUNCTION("""COMPUTED_VALUE"""),TRUE)</f>
        <v>1</v>
      </c>
      <c r="L1950" s="23" t="str">
        <f>IFERROR(__xludf.DUMMYFUNCTION("""COMPUTED_VALUE"""),"Database;")</f>
        <v>Database;</v>
      </c>
      <c r="M1950" s="23" t="b">
        <f>IFERROR(__xludf.DUMMYFUNCTION("""COMPUTED_VALUE"""),FALSE)</f>
        <v>0</v>
      </c>
      <c r="N1950" s="23" t="b">
        <f>IFERROR(__xludf.DUMMYFUNCTION("""COMPUTED_VALUE"""),FALSE)</f>
        <v>0</v>
      </c>
      <c r="O1950" s="23">
        <f>IFERROR(__xludf.DUMMYFUNCTION("""COMPUTED_VALUE"""),59.3643155628719)</f>
        <v>59.36431556</v>
      </c>
      <c r="P1950" s="23">
        <f>IFERROR(__xludf.DUMMYFUNCTION("""COMPUTED_VALUE"""),4688.0)</f>
        <v>4688</v>
      </c>
      <c r="Q1950" s="23">
        <f>IFERROR(__xludf.DUMMYFUNCTION("""COMPUTED_VALUE"""),7897.0)</f>
        <v>7897</v>
      </c>
    </row>
    <row r="1951">
      <c r="A1951" s="23">
        <f>IFERROR(__xludf.DUMMYFUNCTION("""COMPUTED_VALUE"""),2072.0)</f>
        <v>2072</v>
      </c>
      <c r="B1951" s="23" t="str">
        <f>IFERROR(__xludf.DUMMYFUNCTION("""COMPUTED_VALUE"""),"Maximum of Minimum Values in All Subarrays")</f>
        <v>Maximum of Minimum Values in All Subarrays</v>
      </c>
      <c r="C1951" s="23" t="str">
        <f>IFERROR(__xludf.DUMMYFUNCTION("""COMPUTED_VALUE"""),"maximum-of-minimum-values-in-all-subarrays")</f>
        <v>maximum-of-minimum-values-in-all-subarrays</v>
      </c>
      <c r="D1951" s="23" t="b">
        <f>IFERROR(__xludf.DUMMYFUNCTION("""COMPUTED_VALUE"""),TRUE)</f>
        <v>1</v>
      </c>
      <c r="E1951" s="23" t="str">
        <f>IFERROR(__xludf.DUMMYFUNCTION("""COMPUTED_VALUE"""),"Medium")</f>
        <v>Medium</v>
      </c>
      <c r="F1951" s="23">
        <f>IFERROR(__xludf.DUMMYFUNCTION("""COMPUTED_VALUE"""),87.0)</f>
        <v>87</v>
      </c>
      <c r="G1951" s="23">
        <f>IFERROR(__xludf.DUMMYFUNCTION("""COMPUTED_VALUE"""),24.0)</f>
        <v>24</v>
      </c>
      <c r="H1951" s="23" t="str">
        <f>IFERROR(__xludf.DUMMYFUNCTION("""COMPUTED_VALUE"""),"Algorithms")</f>
        <v>Algorithms</v>
      </c>
      <c r="I1951" s="23">
        <f>IFERROR(__xludf.DUMMYFUNCTION("""COMPUTED_VALUE"""),0.511)</f>
        <v>0.511</v>
      </c>
      <c r="J1951" s="23">
        <f>IFERROR(__xludf.DUMMYFUNCTION("""COMPUTED_VALUE"""),1950.0)</f>
        <v>1950</v>
      </c>
      <c r="K1951" s="23" t="b">
        <f>IFERROR(__xludf.DUMMYFUNCTION("""COMPUTED_VALUE"""),TRUE)</f>
        <v>1</v>
      </c>
      <c r="L1951" s="23" t="str">
        <f>IFERROR(__xludf.DUMMYFUNCTION("""COMPUTED_VALUE"""),"Array;Stack;Monotonic Stack;")</f>
        <v>Array;Stack;Monotonic Stack;</v>
      </c>
      <c r="M1951" s="23" t="b">
        <f>IFERROR(__xludf.DUMMYFUNCTION("""COMPUTED_VALUE"""),FALSE)</f>
        <v>0</v>
      </c>
      <c r="N1951" s="23" t="b">
        <f>IFERROR(__xludf.DUMMYFUNCTION("""COMPUTED_VALUE"""),FALSE)</f>
        <v>0</v>
      </c>
      <c r="O1951" s="23">
        <f>IFERROR(__xludf.DUMMYFUNCTION("""COMPUTED_VALUE"""),51.051272593139)</f>
        <v>51.05127259</v>
      </c>
      <c r="P1951" s="23">
        <f>IFERROR(__xludf.DUMMYFUNCTION("""COMPUTED_VALUE"""),1384.0)</f>
        <v>1384</v>
      </c>
      <c r="Q1951" s="23">
        <f>IFERROR(__xludf.DUMMYFUNCTION("""COMPUTED_VALUE"""),2711.0)</f>
        <v>2711</v>
      </c>
    </row>
    <row r="1952">
      <c r="A1952" s="23">
        <f>IFERROR(__xludf.DUMMYFUNCTION("""COMPUTED_VALUE"""),2098.0)</f>
        <v>2098</v>
      </c>
      <c r="B1952" s="23" t="str">
        <f>IFERROR(__xludf.DUMMYFUNCTION("""COMPUTED_VALUE"""),"All the Pairs With the Maximum Number of Common Followers")</f>
        <v>All the Pairs With the Maximum Number of Common Followers</v>
      </c>
      <c r="C1952" s="23" t="str">
        <f>IFERROR(__xludf.DUMMYFUNCTION("""COMPUTED_VALUE"""),"all-the-pairs-with-the-maximum-number-of-common-followers")</f>
        <v>all-the-pairs-with-the-maximum-number-of-common-followers</v>
      </c>
      <c r="D1952" s="23" t="b">
        <f>IFERROR(__xludf.DUMMYFUNCTION("""COMPUTED_VALUE"""),TRUE)</f>
        <v>1</v>
      </c>
      <c r="E1952" s="23" t="str">
        <f>IFERROR(__xludf.DUMMYFUNCTION("""COMPUTED_VALUE"""),"Medium")</f>
        <v>Medium</v>
      </c>
      <c r="F1952" s="23">
        <f>IFERROR(__xludf.DUMMYFUNCTION("""COMPUTED_VALUE"""),30.0)</f>
        <v>30</v>
      </c>
      <c r="G1952" s="23">
        <f>IFERROR(__xludf.DUMMYFUNCTION("""COMPUTED_VALUE"""),3.0)</f>
        <v>3</v>
      </c>
      <c r="H1952" s="23" t="str">
        <f>IFERROR(__xludf.DUMMYFUNCTION("""COMPUTED_VALUE"""),"Database")</f>
        <v>Database</v>
      </c>
      <c r="I1952" s="23">
        <f>IFERROR(__xludf.DUMMYFUNCTION("""COMPUTED_VALUE"""),0.723)</f>
        <v>0.723</v>
      </c>
      <c r="J1952" s="23">
        <f>IFERROR(__xludf.DUMMYFUNCTION("""COMPUTED_VALUE"""),1951.0)</f>
        <v>1951</v>
      </c>
      <c r="K1952" s="23" t="b">
        <f>IFERROR(__xludf.DUMMYFUNCTION("""COMPUTED_VALUE"""),TRUE)</f>
        <v>1</v>
      </c>
      <c r="L1952" s="23" t="str">
        <f>IFERROR(__xludf.DUMMYFUNCTION("""COMPUTED_VALUE"""),"Database;")</f>
        <v>Database;</v>
      </c>
      <c r="M1952" s="23" t="b">
        <f>IFERROR(__xludf.DUMMYFUNCTION("""COMPUTED_VALUE"""),FALSE)</f>
        <v>0</v>
      </c>
      <c r="N1952" s="23" t="b">
        <f>IFERROR(__xludf.DUMMYFUNCTION("""COMPUTED_VALUE"""),FALSE)</f>
        <v>0</v>
      </c>
      <c r="O1952" s="23">
        <f>IFERROR(__xludf.DUMMYFUNCTION("""COMPUTED_VALUE"""),72.3495982755242)</f>
        <v>72.34959828</v>
      </c>
      <c r="P1952" s="23">
        <f>IFERROR(__xludf.DUMMYFUNCTION("""COMPUTED_VALUE"""),3692.0)</f>
        <v>3692</v>
      </c>
      <c r="Q1952" s="23">
        <f>IFERROR(__xludf.DUMMYFUNCTION("""COMPUTED_VALUE"""),5103.0)</f>
        <v>5103</v>
      </c>
    </row>
    <row r="1953">
      <c r="A1953" s="23">
        <f>IFERROR(__xludf.DUMMYFUNCTION("""COMPUTED_VALUE"""),2083.0)</f>
        <v>2083</v>
      </c>
      <c r="B1953" s="23" t="str">
        <f>IFERROR(__xludf.DUMMYFUNCTION("""COMPUTED_VALUE"""),"Three Divisors")</f>
        <v>Three Divisors</v>
      </c>
      <c r="C1953" s="23" t="str">
        <f>IFERROR(__xludf.DUMMYFUNCTION("""COMPUTED_VALUE"""),"three-divisors")</f>
        <v>three-divisors</v>
      </c>
      <c r="D1953" s="23" t="b">
        <f>IFERROR(__xludf.DUMMYFUNCTION("""COMPUTED_VALUE"""),FALSE)</f>
        <v>0</v>
      </c>
      <c r="E1953" s="23" t="str">
        <f>IFERROR(__xludf.DUMMYFUNCTION("""COMPUTED_VALUE"""),"Easy")</f>
        <v>Easy</v>
      </c>
      <c r="F1953" s="23">
        <f>IFERROR(__xludf.DUMMYFUNCTION("""COMPUTED_VALUE"""),225.0)</f>
        <v>225</v>
      </c>
      <c r="G1953" s="23">
        <f>IFERROR(__xludf.DUMMYFUNCTION("""COMPUTED_VALUE"""),16.0)</f>
        <v>16</v>
      </c>
      <c r="H1953" s="23" t="str">
        <f>IFERROR(__xludf.DUMMYFUNCTION("""COMPUTED_VALUE"""),"Algorithms")</f>
        <v>Algorithms</v>
      </c>
      <c r="I1953" s="23">
        <f>IFERROR(__xludf.DUMMYFUNCTION("""COMPUTED_VALUE"""),0.565)</f>
        <v>0.565</v>
      </c>
      <c r="J1953" s="23">
        <f>IFERROR(__xludf.DUMMYFUNCTION("""COMPUTED_VALUE"""),1952.0)</f>
        <v>1952</v>
      </c>
      <c r="K1953" s="23" t="b">
        <f>IFERROR(__xludf.DUMMYFUNCTION("""COMPUTED_VALUE"""),FALSE)</f>
        <v>0</v>
      </c>
      <c r="L1953" s="23" t="str">
        <f>IFERROR(__xludf.DUMMYFUNCTION("""COMPUTED_VALUE"""),"Math;")</f>
        <v>Math;</v>
      </c>
      <c r="M1953" s="23" t="b">
        <f>IFERROR(__xludf.DUMMYFUNCTION("""COMPUTED_VALUE"""),FALSE)</f>
        <v>0</v>
      </c>
      <c r="N1953" s="23" t="b">
        <f>IFERROR(__xludf.DUMMYFUNCTION("""COMPUTED_VALUE"""),FALSE)</f>
        <v>0</v>
      </c>
      <c r="O1953" s="23">
        <f>IFERROR(__xludf.DUMMYFUNCTION("""COMPUTED_VALUE"""),56.5410682764181)</f>
        <v>56.54106828</v>
      </c>
      <c r="P1953" s="23">
        <f>IFERROR(__xludf.DUMMYFUNCTION("""COMPUTED_VALUE"""),25945.0)</f>
        <v>25945</v>
      </c>
      <c r="Q1953" s="23">
        <f>IFERROR(__xludf.DUMMYFUNCTION("""COMPUTED_VALUE"""),45887.0)</f>
        <v>45887</v>
      </c>
    </row>
    <row r="1954">
      <c r="A1954" s="23">
        <f>IFERROR(__xludf.DUMMYFUNCTION("""COMPUTED_VALUE"""),2084.0)</f>
        <v>2084</v>
      </c>
      <c r="B1954" s="23" t="str">
        <f>IFERROR(__xludf.DUMMYFUNCTION("""COMPUTED_VALUE"""),"Maximum Number of Weeks for Which You Can Work")</f>
        <v>Maximum Number of Weeks for Which You Can Work</v>
      </c>
      <c r="C1954" s="23" t="str">
        <f>IFERROR(__xludf.DUMMYFUNCTION("""COMPUTED_VALUE"""),"maximum-number-of-weeks-for-which-you-can-work")</f>
        <v>maximum-number-of-weeks-for-which-you-can-work</v>
      </c>
      <c r="D1954" s="23" t="b">
        <f>IFERROR(__xludf.DUMMYFUNCTION("""COMPUTED_VALUE"""),FALSE)</f>
        <v>0</v>
      </c>
      <c r="E1954" s="23" t="str">
        <f>IFERROR(__xludf.DUMMYFUNCTION("""COMPUTED_VALUE"""),"Medium")</f>
        <v>Medium</v>
      </c>
      <c r="F1954" s="23">
        <f>IFERROR(__xludf.DUMMYFUNCTION("""COMPUTED_VALUE"""),390.0)</f>
        <v>390</v>
      </c>
      <c r="G1954" s="23">
        <f>IFERROR(__xludf.DUMMYFUNCTION("""COMPUTED_VALUE"""),98.0)</f>
        <v>98</v>
      </c>
      <c r="H1954" s="23" t="str">
        <f>IFERROR(__xludf.DUMMYFUNCTION("""COMPUTED_VALUE"""),"Algorithms")</f>
        <v>Algorithms</v>
      </c>
      <c r="I1954" s="23">
        <f>IFERROR(__xludf.DUMMYFUNCTION("""COMPUTED_VALUE"""),0.375)</f>
        <v>0.375</v>
      </c>
      <c r="J1954" s="23">
        <f>IFERROR(__xludf.DUMMYFUNCTION("""COMPUTED_VALUE"""),1953.0)</f>
        <v>1953</v>
      </c>
      <c r="K1954" s="23" t="b">
        <f>IFERROR(__xludf.DUMMYFUNCTION("""COMPUTED_VALUE"""),FALSE)</f>
        <v>0</v>
      </c>
      <c r="L1954" s="23" t="str">
        <f>IFERROR(__xludf.DUMMYFUNCTION("""COMPUTED_VALUE"""),"Array;Greedy;")</f>
        <v>Array;Greedy;</v>
      </c>
      <c r="M1954" s="23" t="b">
        <f>IFERROR(__xludf.DUMMYFUNCTION("""COMPUTED_VALUE"""),FALSE)</f>
        <v>0</v>
      </c>
      <c r="N1954" s="23" t="b">
        <f>IFERROR(__xludf.DUMMYFUNCTION("""COMPUTED_VALUE"""),FALSE)</f>
        <v>0</v>
      </c>
      <c r="O1954" s="23">
        <f>IFERROR(__xludf.DUMMYFUNCTION("""COMPUTED_VALUE"""),37.5420042199588)</f>
        <v>37.54200422</v>
      </c>
      <c r="P1954" s="23">
        <f>IFERROR(__xludf.DUMMYFUNCTION("""COMPUTED_VALUE"""),14412.0)</f>
        <v>14412</v>
      </c>
      <c r="Q1954" s="23">
        <f>IFERROR(__xludf.DUMMYFUNCTION("""COMPUTED_VALUE"""),38389.0)</f>
        <v>38389</v>
      </c>
    </row>
    <row r="1955">
      <c r="A1955" s="23">
        <f>IFERROR(__xludf.DUMMYFUNCTION("""COMPUTED_VALUE"""),1295.0)</f>
        <v>1295</v>
      </c>
      <c r="B1955" s="23" t="str">
        <f>IFERROR(__xludf.DUMMYFUNCTION("""COMPUTED_VALUE"""),"Minimum Garden Perimeter to Collect Enough Apples")</f>
        <v>Minimum Garden Perimeter to Collect Enough Apples</v>
      </c>
      <c r="C1955" s="23" t="str">
        <f>IFERROR(__xludf.DUMMYFUNCTION("""COMPUTED_VALUE"""),"minimum-garden-perimeter-to-collect-enough-apples")</f>
        <v>minimum-garden-perimeter-to-collect-enough-apples</v>
      </c>
      <c r="D1955" s="23" t="b">
        <f>IFERROR(__xludf.DUMMYFUNCTION("""COMPUTED_VALUE"""),FALSE)</f>
        <v>0</v>
      </c>
      <c r="E1955" s="23" t="str">
        <f>IFERROR(__xludf.DUMMYFUNCTION("""COMPUTED_VALUE"""),"Medium")</f>
        <v>Medium</v>
      </c>
      <c r="F1955" s="23">
        <f>IFERROR(__xludf.DUMMYFUNCTION("""COMPUTED_VALUE"""),212.0)</f>
        <v>212</v>
      </c>
      <c r="G1955" s="23">
        <f>IFERROR(__xludf.DUMMYFUNCTION("""COMPUTED_VALUE"""),65.0)</f>
        <v>65</v>
      </c>
      <c r="H1955" s="23" t="str">
        <f>IFERROR(__xludf.DUMMYFUNCTION("""COMPUTED_VALUE"""),"Algorithms")</f>
        <v>Algorithms</v>
      </c>
      <c r="I1955" s="23">
        <f>IFERROR(__xludf.DUMMYFUNCTION("""COMPUTED_VALUE"""),0.525)</f>
        <v>0.525</v>
      </c>
      <c r="J1955" s="23">
        <f>IFERROR(__xludf.DUMMYFUNCTION("""COMPUTED_VALUE"""),1954.0)</f>
        <v>1954</v>
      </c>
      <c r="K1955" s="23" t="b">
        <f>IFERROR(__xludf.DUMMYFUNCTION("""COMPUTED_VALUE"""),FALSE)</f>
        <v>0</v>
      </c>
      <c r="L1955" s="23" t="str">
        <f>IFERROR(__xludf.DUMMYFUNCTION("""COMPUTED_VALUE"""),"Math;Binary Search;")</f>
        <v>Math;Binary Search;</v>
      </c>
      <c r="M1955" s="23" t="b">
        <f>IFERROR(__xludf.DUMMYFUNCTION("""COMPUTED_VALUE"""),FALSE)</f>
        <v>0</v>
      </c>
      <c r="N1955" s="23" t="b">
        <f>IFERROR(__xludf.DUMMYFUNCTION("""COMPUTED_VALUE"""),FALSE)</f>
        <v>0</v>
      </c>
      <c r="O1955" s="23">
        <f>IFERROR(__xludf.DUMMYFUNCTION("""COMPUTED_VALUE"""),52.4655114802615)</f>
        <v>52.46551148</v>
      </c>
      <c r="P1955" s="23">
        <f>IFERROR(__xludf.DUMMYFUNCTION("""COMPUTED_VALUE"""),10991.0)</f>
        <v>10991</v>
      </c>
      <c r="Q1955" s="23">
        <f>IFERROR(__xludf.DUMMYFUNCTION("""COMPUTED_VALUE"""),20949.0)</f>
        <v>20949</v>
      </c>
    </row>
    <row r="1956">
      <c r="A1956" s="23">
        <f>IFERROR(__xludf.DUMMYFUNCTION("""COMPUTED_VALUE"""),2086.0)</f>
        <v>2086</v>
      </c>
      <c r="B1956" s="23" t="str">
        <f>IFERROR(__xludf.DUMMYFUNCTION("""COMPUTED_VALUE"""),"Count Number of Special Subsequences")</f>
        <v>Count Number of Special Subsequences</v>
      </c>
      <c r="C1956" s="23" t="str">
        <f>IFERROR(__xludf.DUMMYFUNCTION("""COMPUTED_VALUE"""),"count-number-of-special-subsequences")</f>
        <v>count-number-of-special-subsequences</v>
      </c>
      <c r="D1956" s="23" t="b">
        <f>IFERROR(__xludf.DUMMYFUNCTION("""COMPUTED_VALUE"""),FALSE)</f>
        <v>0</v>
      </c>
      <c r="E1956" s="23" t="str">
        <f>IFERROR(__xludf.DUMMYFUNCTION("""COMPUTED_VALUE"""),"Hard")</f>
        <v>Hard</v>
      </c>
      <c r="F1956" s="23">
        <f>IFERROR(__xludf.DUMMYFUNCTION("""COMPUTED_VALUE"""),343.0)</f>
        <v>343</v>
      </c>
      <c r="G1956" s="23">
        <f>IFERROR(__xludf.DUMMYFUNCTION("""COMPUTED_VALUE"""),6.0)</f>
        <v>6</v>
      </c>
      <c r="H1956" s="23" t="str">
        <f>IFERROR(__xludf.DUMMYFUNCTION("""COMPUTED_VALUE"""),"Algorithms")</f>
        <v>Algorithms</v>
      </c>
      <c r="I1956" s="23">
        <f>IFERROR(__xludf.DUMMYFUNCTION("""COMPUTED_VALUE"""),0.509)</f>
        <v>0.509</v>
      </c>
      <c r="J1956" s="23">
        <f>IFERROR(__xludf.DUMMYFUNCTION("""COMPUTED_VALUE"""),1955.0)</f>
        <v>1955</v>
      </c>
      <c r="K1956" s="23" t="b">
        <f>IFERROR(__xludf.DUMMYFUNCTION("""COMPUTED_VALUE"""),FALSE)</f>
        <v>0</v>
      </c>
      <c r="L1956" s="23" t="str">
        <f>IFERROR(__xludf.DUMMYFUNCTION("""COMPUTED_VALUE"""),"Array;Dynamic Programming;")</f>
        <v>Array;Dynamic Programming;</v>
      </c>
      <c r="M1956" s="23" t="b">
        <f>IFERROR(__xludf.DUMMYFUNCTION("""COMPUTED_VALUE"""),FALSE)</f>
        <v>0</v>
      </c>
      <c r="N1956" s="23" t="b">
        <f>IFERROR(__xludf.DUMMYFUNCTION("""COMPUTED_VALUE"""),FALSE)</f>
        <v>0</v>
      </c>
      <c r="O1956" s="23">
        <f>IFERROR(__xludf.DUMMYFUNCTION("""COMPUTED_VALUE"""),50.8596285300006)</f>
        <v>50.85962853</v>
      </c>
      <c r="P1956" s="23">
        <f>IFERROR(__xludf.DUMMYFUNCTION("""COMPUTED_VALUE"""),7366.0)</f>
        <v>7366</v>
      </c>
      <c r="Q1956" s="23">
        <f>IFERROR(__xludf.DUMMYFUNCTION("""COMPUTED_VALUE"""),14483.0)</f>
        <v>14483</v>
      </c>
    </row>
    <row r="1957">
      <c r="A1957" s="23">
        <f>IFERROR(__xludf.DUMMYFUNCTION("""COMPUTED_VALUE"""),2073.0)</f>
        <v>2073</v>
      </c>
      <c r="B1957" s="23" t="str">
        <f>IFERROR(__xludf.DUMMYFUNCTION("""COMPUTED_VALUE"""),"Minimum Time For K Virus Variants to Spread")</f>
        <v>Minimum Time For K Virus Variants to Spread</v>
      </c>
      <c r="C1957" s="23" t="str">
        <f>IFERROR(__xludf.DUMMYFUNCTION("""COMPUTED_VALUE"""),"minimum-time-for-k-virus-variants-to-spread")</f>
        <v>minimum-time-for-k-virus-variants-to-spread</v>
      </c>
      <c r="D1957" s="23" t="b">
        <f>IFERROR(__xludf.DUMMYFUNCTION("""COMPUTED_VALUE"""),TRUE)</f>
        <v>1</v>
      </c>
      <c r="E1957" s="23" t="str">
        <f>IFERROR(__xludf.DUMMYFUNCTION("""COMPUTED_VALUE"""),"Hard")</f>
        <v>Hard</v>
      </c>
      <c r="F1957" s="23">
        <f>IFERROR(__xludf.DUMMYFUNCTION("""COMPUTED_VALUE"""),16.0)</f>
        <v>16</v>
      </c>
      <c r="G1957" s="23">
        <f>IFERROR(__xludf.DUMMYFUNCTION("""COMPUTED_VALUE"""),5.0)</f>
        <v>5</v>
      </c>
      <c r="H1957" s="23" t="str">
        <f>IFERROR(__xludf.DUMMYFUNCTION("""COMPUTED_VALUE"""),"Algorithms")</f>
        <v>Algorithms</v>
      </c>
      <c r="I1957" s="23">
        <f>IFERROR(__xludf.DUMMYFUNCTION("""COMPUTED_VALUE"""),0.437)</f>
        <v>0.437</v>
      </c>
      <c r="J1957" s="23">
        <f>IFERROR(__xludf.DUMMYFUNCTION("""COMPUTED_VALUE"""),1956.0)</f>
        <v>1956</v>
      </c>
      <c r="K1957" s="23" t="b">
        <f>IFERROR(__xludf.DUMMYFUNCTION("""COMPUTED_VALUE"""),TRUE)</f>
        <v>1</v>
      </c>
      <c r="L1957" s="23" t="str">
        <f>IFERROR(__xludf.DUMMYFUNCTION("""COMPUTED_VALUE"""),"Array;Math;Binary Search;Geometry;Enumeration;")</f>
        <v>Array;Math;Binary Search;Geometry;Enumeration;</v>
      </c>
      <c r="M1957" s="23" t="b">
        <f>IFERROR(__xludf.DUMMYFUNCTION("""COMPUTED_VALUE"""),FALSE)</f>
        <v>0</v>
      </c>
      <c r="N1957" s="23" t="b">
        <f>IFERROR(__xludf.DUMMYFUNCTION("""COMPUTED_VALUE"""),FALSE)</f>
        <v>0</v>
      </c>
      <c r="O1957" s="23">
        <f>IFERROR(__xludf.DUMMYFUNCTION("""COMPUTED_VALUE"""),43.7437437437437)</f>
        <v>43.74374374</v>
      </c>
      <c r="P1957" s="23">
        <f>IFERROR(__xludf.DUMMYFUNCTION("""COMPUTED_VALUE"""),437.0)</f>
        <v>437</v>
      </c>
      <c r="Q1957" s="23">
        <f>IFERROR(__xludf.DUMMYFUNCTION("""COMPUTED_VALUE"""),999.0)</f>
        <v>999</v>
      </c>
    </row>
    <row r="1958">
      <c r="A1958" s="23">
        <f>IFERROR(__xludf.DUMMYFUNCTION("""COMPUTED_VALUE"""),1302.0)</f>
        <v>1302</v>
      </c>
      <c r="B1958" s="23" t="str">
        <f>IFERROR(__xludf.DUMMYFUNCTION("""COMPUTED_VALUE"""),"Delete Characters to Make Fancy String")</f>
        <v>Delete Characters to Make Fancy String</v>
      </c>
      <c r="C1958" s="23" t="str">
        <f>IFERROR(__xludf.DUMMYFUNCTION("""COMPUTED_VALUE"""),"delete-characters-to-make-fancy-string")</f>
        <v>delete-characters-to-make-fancy-string</v>
      </c>
      <c r="D1958" s="23" t="b">
        <f>IFERROR(__xludf.DUMMYFUNCTION("""COMPUTED_VALUE"""),FALSE)</f>
        <v>0</v>
      </c>
      <c r="E1958" s="23" t="str">
        <f>IFERROR(__xludf.DUMMYFUNCTION("""COMPUTED_VALUE"""),"Easy")</f>
        <v>Easy</v>
      </c>
      <c r="F1958" s="23">
        <f>IFERROR(__xludf.DUMMYFUNCTION("""COMPUTED_VALUE"""),218.0)</f>
        <v>218</v>
      </c>
      <c r="G1958" s="23">
        <f>IFERROR(__xludf.DUMMYFUNCTION("""COMPUTED_VALUE"""),10.0)</f>
        <v>10</v>
      </c>
      <c r="H1958" s="23" t="str">
        <f>IFERROR(__xludf.DUMMYFUNCTION("""COMPUTED_VALUE"""),"Algorithms")</f>
        <v>Algorithms</v>
      </c>
      <c r="I1958" s="23">
        <f>IFERROR(__xludf.DUMMYFUNCTION("""COMPUTED_VALUE"""),0.568)</f>
        <v>0.568</v>
      </c>
      <c r="J1958" s="23">
        <f>IFERROR(__xludf.DUMMYFUNCTION("""COMPUTED_VALUE"""),1957.0)</f>
        <v>1957</v>
      </c>
      <c r="K1958" s="23" t="b">
        <f>IFERROR(__xludf.DUMMYFUNCTION("""COMPUTED_VALUE"""),FALSE)</f>
        <v>0</v>
      </c>
      <c r="L1958" s="23" t="str">
        <f>IFERROR(__xludf.DUMMYFUNCTION("""COMPUTED_VALUE"""),"String;")</f>
        <v>String;</v>
      </c>
      <c r="M1958" s="23" t="b">
        <f>IFERROR(__xludf.DUMMYFUNCTION("""COMPUTED_VALUE"""),FALSE)</f>
        <v>0</v>
      </c>
      <c r="N1958" s="23" t="b">
        <f>IFERROR(__xludf.DUMMYFUNCTION("""COMPUTED_VALUE"""),FALSE)</f>
        <v>0</v>
      </c>
      <c r="O1958" s="23">
        <f>IFERROR(__xludf.DUMMYFUNCTION("""COMPUTED_VALUE"""),56.8142714841981)</f>
        <v>56.81427148</v>
      </c>
      <c r="P1958" s="23">
        <f>IFERROR(__xludf.DUMMYFUNCTION("""COMPUTED_VALUE"""),18822.0)</f>
        <v>18822</v>
      </c>
      <c r="Q1958" s="23">
        <f>IFERROR(__xludf.DUMMYFUNCTION("""COMPUTED_VALUE"""),33129.0)</f>
        <v>33129</v>
      </c>
    </row>
    <row r="1959">
      <c r="A1959" s="23">
        <f>IFERROR(__xludf.DUMMYFUNCTION("""COMPUTED_VALUE"""),2080.0)</f>
        <v>2080</v>
      </c>
      <c r="B1959" s="23" t="str">
        <f>IFERROR(__xludf.DUMMYFUNCTION("""COMPUTED_VALUE"""),"Check if Move is Legal")</f>
        <v>Check if Move is Legal</v>
      </c>
      <c r="C1959" s="23" t="str">
        <f>IFERROR(__xludf.DUMMYFUNCTION("""COMPUTED_VALUE"""),"check-if-move-is-legal")</f>
        <v>check-if-move-is-legal</v>
      </c>
      <c r="D1959" s="23" t="b">
        <f>IFERROR(__xludf.DUMMYFUNCTION("""COMPUTED_VALUE"""),FALSE)</f>
        <v>0</v>
      </c>
      <c r="E1959" s="23" t="str">
        <f>IFERROR(__xludf.DUMMYFUNCTION("""COMPUTED_VALUE"""),"Medium")</f>
        <v>Medium</v>
      </c>
      <c r="F1959" s="23">
        <f>IFERROR(__xludf.DUMMYFUNCTION("""COMPUTED_VALUE"""),85.0)</f>
        <v>85</v>
      </c>
      <c r="G1959" s="23">
        <f>IFERROR(__xludf.DUMMYFUNCTION("""COMPUTED_VALUE"""),172.0)</f>
        <v>172</v>
      </c>
      <c r="H1959" s="23" t="str">
        <f>IFERROR(__xludf.DUMMYFUNCTION("""COMPUTED_VALUE"""),"Algorithms")</f>
        <v>Algorithms</v>
      </c>
      <c r="I1959" s="23">
        <f>IFERROR(__xludf.DUMMYFUNCTION("""COMPUTED_VALUE"""),0.435)</f>
        <v>0.435</v>
      </c>
      <c r="J1959" s="23">
        <f>IFERROR(__xludf.DUMMYFUNCTION("""COMPUTED_VALUE"""),1958.0)</f>
        <v>1958</v>
      </c>
      <c r="K1959" s="23" t="b">
        <f>IFERROR(__xludf.DUMMYFUNCTION("""COMPUTED_VALUE"""),FALSE)</f>
        <v>0</v>
      </c>
      <c r="L1959" s="23" t="str">
        <f>IFERROR(__xludf.DUMMYFUNCTION("""COMPUTED_VALUE"""),"Array;Matrix;Enumeration;")</f>
        <v>Array;Matrix;Enumeration;</v>
      </c>
      <c r="M1959" s="23" t="b">
        <f>IFERROR(__xludf.DUMMYFUNCTION("""COMPUTED_VALUE"""),FALSE)</f>
        <v>0</v>
      </c>
      <c r="N1959" s="23" t="b">
        <f>IFERROR(__xludf.DUMMYFUNCTION("""COMPUTED_VALUE"""),FALSE)</f>
        <v>0</v>
      </c>
      <c r="O1959" s="23">
        <f>IFERROR(__xludf.DUMMYFUNCTION("""COMPUTED_VALUE"""),43.4736842105263)</f>
        <v>43.47368421</v>
      </c>
      <c r="P1959" s="23">
        <f>IFERROR(__xludf.DUMMYFUNCTION("""COMPUTED_VALUE"""),7021.0)</f>
        <v>7021</v>
      </c>
      <c r="Q1959" s="23">
        <f>IFERROR(__xludf.DUMMYFUNCTION("""COMPUTED_VALUE"""),16150.0)</f>
        <v>16150</v>
      </c>
    </row>
    <row r="1960">
      <c r="A1960" s="23">
        <f>IFERROR(__xludf.DUMMYFUNCTION("""COMPUTED_VALUE"""),2081.0)</f>
        <v>2081</v>
      </c>
      <c r="B1960" s="23" t="str">
        <f>IFERROR(__xludf.DUMMYFUNCTION("""COMPUTED_VALUE"""),"Minimum Total Space Wasted With K Resizing Operations")</f>
        <v>Minimum Total Space Wasted With K Resizing Operations</v>
      </c>
      <c r="C1960" s="23" t="str">
        <f>IFERROR(__xludf.DUMMYFUNCTION("""COMPUTED_VALUE"""),"minimum-total-space-wasted-with-k-resizing-operations")</f>
        <v>minimum-total-space-wasted-with-k-resizing-operations</v>
      </c>
      <c r="D1960" s="23" t="b">
        <f>IFERROR(__xludf.DUMMYFUNCTION("""COMPUTED_VALUE"""),FALSE)</f>
        <v>0</v>
      </c>
      <c r="E1960" s="23" t="str">
        <f>IFERROR(__xludf.DUMMYFUNCTION("""COMPUTED_VALUE"""),"Medium")</f>
        <v>Medium</v>
      </c>
      <c r="F1960" s="23">
        <f>IFERROR(__xludf.DUMMYFUNCTION("""COMPUTED_VALUE"""),385.0)</f>
        <v>385</v>
      </c>
      <c r="G1960" s="23">
        <f>IFERROR(__xludf.DUMMYFUNCTION("""COMPUTED_VALUE"""),32.0)</f>
        <v>32</v>
      </c>
      <c r="H1960" s="23" t="str">
        <f>IFERROR(__xludf.DUMMYFUNCTION("""COMPUTED_VALUE"""),"Algorithms")</f>
        <v>Algorithms</v>
      </c>
      <c r="I1960" s="23">
        <f>IFERROR(__xludf.DUMMYFUNCTION("""COMPUTED_VALUE"""),0.417)</f>
        <v>0.417</v>
      </c>
      <c r="J1960" s="23">
        <f>IFERROR(__xludf.DUMMYFUNCTION("""COMPUTED_VALUE"""),1959.0)</f>
        <v>1959</v>
      </c>
      <c r="K1960" s="23" t="b">
        <f>IFERROR(__xludf.DUMMYFUNCTION("""COMPUTED_VALUE"""),FALSE)</f>
        <v>0</v>
      </c>
      <c r="L1960" s="23" t="str">
        <f>IFERROR(__xludf.DUMMYFUNCTION("""COMPUTED_VALUE"""),"Array;Dynamic Programming;")</f>
        <v>Array;Dynamic Programming;</v>
      </c>
      <c r="M1960" s="23" t="b">
        <f>IFERROR(__xludf.DUMMYFUNCTION("""COMPUTED_VALUE"""),FALSE)</f>
        <v>0</v>
      </c>
      <c r="N1960" s="23" t="b">
        <f>IFERROR(__xludf.DUMMYFUNCTION("""COMPUTED_VALUE"""),FALSE)</f>
        <v>0</v>
      </c>
      <c r="O1960" s="23">
        <f>IFERROR(__xludf.DUMMYFUNCTION("""COMPUTED_VALUE"""),41.6739877006628)</f>
        <v>41.6739877</v>
      </c>
      <c r="P1960" s="23">
        <f>IFERROR(__xludf.DUMMYFUNCTION("""COMPUTED_VALUE"""),5217.0)</f>
        <v>5217</v>
      </c>
      <c r="Q1960" s="23">
        <f>IFERROR(__xludf.DUMMYFUNCTION("""COMPUTED_VALUE"""),12520.0)</f>
        <v>12520</v>
      </c>
    </row>
    <row r="1961">
      <c r="A1961" s="23">
        <f>IFERROR(__xludf.DUMMYFUNCTION("""COMPUTED_VALUE"""),1336.0)</f>
        <v>1336</v>
      </c>
      <c r="B1961" s="23" t="str">
        <f>IFERROR(__xludf.DUMMYFUNCTION("""COMPUTED_VALUE"""),"Maximum Product of the Length of Two Palindromic Substrings")</f>
        <v>Maximum Product of the Length of Two Palindromic Substrings</v>
      </c>
      <c r="C1961" s="23" t="str">
        <f>IFERROR(__xludf.DUMMYFUNCTION("""COMPUTED_VALUE"""),"maximum-product-of-the-length-of-two-palindromic-substrings")</f>
        <v>maximum-product-of-the-length-of-two-palindromic-substrings</v>
      </c>
      <c r="D1961" s="23" t="b">
        <f>IFERROR(__xludf.DUMMYFUNCTION("""COMPUTED_VALUE"""),FALSE)</f>
        <v>0</v>
      </c>
      <c r="E1961" s="23" t="str">
        <f>IFERROR(__xludf.DUMMYFUNCTION("""COMPUTED_VALUE"""),"Hard")</f>
        <v>Hard</v>
      </c>
      <c r="F1961" s="23">
        <f>IFERROR(__xludf.DUMMYFUNCTION("""COMPUTED_VALUE"""),124.0)</f>
        <v>124</v>
      </c>
      <c r="G1961" s="23">
        <f>IFERROR(__xludf.DUMMYFUNCTION("""COMPUTED_VALUE"""),27.0)</f>
        <v>27</v>
      </c>
      <c r="H1961" s="23" t="str">
        <f>IFERROR(__xludf.DUMMYFUNCTION("""COMPUTED_VALUE"""),"Algorithms")</f>
        <v>Algorithms</v>
      </c>
      <c r="I1961" s="23">
        <f>IFERROR(__xludf.DUMMYFUNCTION("""COMPUTED_VALUE"""),0.291)</f>
        <v>0.291</v>
      </c>
      <c r="J1961" s="23">
        <f>IFERROR(__xludf.DUMMYFUNCTION("""COMPUTED_VALUE"""),1960.0)</f>
        <v>1960</v>
      </c>
      <c r="K1961" s="23" t="b">
        <f>IFERROR(__xludf.DUMMYFUNCTION("""COMPUTED_VALUE"""),FALSE)</f>
        <v>0</v>
      </c>
      <c r="L1961" s="23" t="str">
        <f>IFERROR(__xludf.DUMMYFUNCTION("""COMPUTED_VALUE"""),"String;Rolling Hash;Hash Function;")</f>
        <v>String;Rolling Hash;Hash Function;</v>
      </c>
      <c r="M1961" s="23" t="b">
        <f>IFERROR(__xludf.DUMMYFUNCTION("""COMPUTED_VALUE"""),FALSE)</f>
        <v>0</v>
      </c>
      <c r="N1961" s="23" t="b">
        <f>IFERROR(__xludf.DUMMYFUNCTION("""COMPUTED_VALUE"""),FALSE)</f>
        <v>0</v>
      </c>
      <c r="O1961" s="23">
        <f>IFERROR(__xludf.DUMMYFUNCTION("""COMPUTED_VALUE"""),29.1247997670016)</f>
        <v>29.12479977</v>
      </c>
      <c r="P1961" s="23">
        <f>IFERROR(__xludf.DUMMYFUNCTION("""COMPUTED_VALUE"""),2000.0)</f>
        <v>2000</v>
      </c>
      <c r="Q1961" s="23">
        <f>IFERROR(__xludf.DUMMYFUNCTION("""COMPUTED_VALUE"""),6867.0)</f>
        <v>6867</v>
      </c>
    </row>
    <row r="1962">
      <c r="A1962" s="23">
        <f>IFERROR(__xludf.DUMMYFUNCTION("""COMPUTED_VALUE"""),2093.0)</f>
        <v>2093</v>
      </c>
      <c r="B1962" s="23" t="str">
        <f>IFERROR(__xludf.DUMMYFUNCTION("""COMPUTED_VALUE"""),"Check If String Is a Prefix of Array")</f>
        <v>Check If String Is a Prefix of Array</v>
      </c>
      <c r="C1962" s="23" t="str">
        <f>IFERROR(__xludf.DUMMYFUNCTION("""COMPUTED_VALUE"""),"check-if-string-is-a-prefix-of-array")</f>
        <v>check-if-string-is-a-prefix-of-array</v>
      </c>
      <c r="D1962" s="23" t="b">
        <f>IFERROR(__xludf.DUMMYFUNCTION("""COMPUTED_VALUE"""),FALSE)</f>
        <v>0</v>
      </c>
      <c r="E1962" s="23" t="str">
        <f>IFERROR(__xludf.DUMMYFUNCTION("""COMPUTED_VALUE"""),"Easy")</f>
        <v>Easy</v>
      </c>
      <c r="F1962" s="23">
        <f>IFERROR(__xludf.DUMMYFUNCTION("""COMPUTED_VALUE"""),215.0)</f>
        <v>215</v>
      </c>
      <c r="G1962" s="23">
        <f>IFERROR(__xludf.DUMMYFUNCTION("""COMPUTED_VALUE"""),32.0)</f>
        <v>32</v>
      </c>
      <c r="H1962" s="23" t="str">
        <f>IFERROR(__xludf.DUMMYFUNCTION("""COMPUTED_VALUE"""),"Algorithms")</f>
        <v>Algorithms</v>
      </c>
      <c r="I1962" s="23">
        <f>IFERROR(__xludf.DUMMYFUNCTION("""COMPUTED_VALUE"""),0.546)</f>
        <v>0.546</v>
      </c>
      <c r="J1962" s="23">
        <f>IFERROR(__xludf.DUMMYFUNCTION("""COMPUTED_VALUE"""),1961.0)</f>
        <v>1961</v>
      </c>
      <c r="K1962" s="23" t="b">
        <f>IFERROR(__xludf.DUMMYFUNCTION("""COMPUTED_VALUE"""),FALSE)</f>
        <v>0</v>
      </c>
      <c r="L1962" s="23" t="str">
        <f>IFERROR(__xludf.DUMMYFUNCTION("""COMPUTED_VALUE"""),"Array;String;")</f>
        <v>Array;String;</v>
      </c>
      <c r="M1962" s="23" t="b">
        <f>IFERROR(__xludf.DUMMYFUNCTION("""COMPUTED_VALUE"""),FALSE)</f>
        <v>0</v>
      </c>
      <c r="N1962" s="23" t="b">
        <f>IFERROR(__xludf.DUMMYFUNCTION("""COMPUTED_VALUE"""),FALSE)</f>
        <v>0</v>
      </c>
      <c r="O1962" s="23">
        <f>IFERROR(__xludf.DUMMYFUNCTION("""COMPUTED_VALUE"""),54.6116717858709)</f>
        <v>54.61167179</v>
      </c>
      <c r="P1962" s="23">
        <f>IFERROR(__xludf.DUMMYFUNCTION("""COMPUTED_VALUE"""),24892.0)</f>
        <v>24892</v>
      </c>
      <c r="Q1962" s="23">
        <f>IFERROR(__xludf.DUMMYFUNCTION("""COMPUTED_VALUE"""),45580.0)</f>
        <v>45580</v>
      </c>
    </row>
    <row r="1963">
      <c r="A1963" s="23">
        <f>IFERROR(__xludf.DUMMYFUNCTION("""COMPUTED_VALUE"""),2094.0)</f>
        <v>2094</v>
      </c>
      <c r="B1963" s="23" t="str">
        <f>IFERROR(__xludf.DUMMYFUNCTION("""COMPUTED_VALUE"""),"Remove Stones to Minimize the Total")</f>
        <v>Remove Stones to Minimize the Total</v>
      </c>
      <c r="C1963" s="23" t="str">
        <f>IFERROR(__xludf.DUMMYFUNCTION("""COMPUTED_VALUE"""),"remove-stones-to-minimize-the-total")</f>
        <v>remove-stones-to-minimize-the-total</v>
      </c>
      <c r="D1963" s="23" t="b">
        <f>IFERROR(__xludf.DUMMYFUNCTION("""COMPUTED_VALUE"""),FALSE)</f>
        <v>0</v>
      </c>
      <c r="E1963" s="23" t="str">
        <f>IFERROR(__xludf.DUMMYFUNCTION("""COMPUTED_VALUE"""),"Medium")</f>
        <v>Medium</v>
      </c>
      <c r="F1963" s="23">
        <f>IFERROR(__xludf.DUMMYFUNCTION("""COMPUTED_VALUE"""),294.0)</f>
        <v>294</v>
      </c>
      <c r="G1963" s="23">
        <f>IFERROR(__xludf.DUMMYFUNCTION("""COMPUTED_VALUE"""),14.0)</f>
        <v>14</v>
      </c>
      <c r="H1963" s="23" t="str">
        <f>IFERROR(__xludf.DUMMYFUNCTION("""COMPUTED_VALUE"""),"Algorithms")</f>
        <v>Algorithms</v>
      </c>
      <c r="I1963" s="23">
        <f>IFERROR(__xludf.DUMMYFUNCTION("""COMPUTED_VALUE"""),0.566)</f>
        <v>0.566</v>
      </c>
      <c r="J1963" s="23">
        <f>IFERROR(__xludf.DUMMYFUNCTION("""COMPUTED_VALUE"""),1962.0)</f>
        <v>1962</v>
      </c>
      <c r="K1963" s="23" t="b">
        <f>IFERROR(__xludf.DUMMYFUNCTION("""COMPUTED_VALUE"""),FALSE)</f>
        <v>0</v>
      </c>
      <c r="L1963" s="23" t="str">
        <f>IFERROR(__xludf.DUMMYFUNCTION("""COMPUTED_VALUE"""),"Array;Heap (Priority Queue);")</f>
        <v>Array;Heap (Priority Queue);</v>
      </c>
      <c r="M1963" s="23" t="b">
        <f>IFERROR(__xludf.DUMMYFUNCTION("""COMPUTED_VALUE"""),FALSE)</f>
        <v>0</v>
      </c>
      <c r="N1963" s="23" t="b">
        <f>IFERROR(__xludf.DUMMYFUNCTION("""COMPUTED_VALUE"""),FALSE)</f>
        <v>0</v>
      </c>
      <c r="O1963" s="23">
        <f>IFERROR(__xludf.DUMMYFUNCTION("""COMPUTED_VALUE"""),56.5749427379122)</f>
        <v>56.57494274</v>
      </c>
      <c r="P1963" s="23">
        <f>IFERROR(__xludf.DUMMYFUNCTION("""COMPUTED_VALUE"""),18031.0)</f>
        <v>18031</v>
      </c>
      <c r="Q1963" s="23">
        <f>IFERROR(__xludf.DUMMYFUNCTION("""COMPUTED_VALUE"""),31871.0)</f>
        <v>31871</v>
      </c>
    </row>
    <row r="1964">
      <c r="A1964" s="23">
        <f>IFERROR(__xludf.DUMMYFUNCTION("""COMPUTED_VALUE"""),2095.0)</f>
        <v>2095</v>
      </c>
      <c r="B1964" s="23" t="str">
        <f>IFERROR(__xludf.DUMMYFUNCTION("""COMPUTED_VALUE"""),"Minimum Number of Swaps to Make the String Balanced")</f>
        <v>Minimum Number of Swaps to Make the String Balanced</v>
      </c>
      <c r="C1964" s="23" t="str">
        <f>IFERROR(__xludf.DUMMYFUNCTION("""COMPUTED_VALUE"""),"minimum-number-of-swaps-to-make-the-string-balanced")</f>
        <v>minimum-number-of-swaps-to-make-the-string-balanced</v>
      </c>
      <c r="D1964" s="23" t="b">
        <f>IFERROR(__xludf.DUMMYFUNCTION("""COMPUTED_VALUE"""),FALSE)</f>
        <v>0</v>
      </c>
      <c r="E1964" s="23" t="str">
        <f>IFERROR(__xludf.DUMMYFUNCTION("""COMPUTED_VALUE"""),"Medium")</f>
        <v>Medium</v>
      </c>
      <c r="F1964" s="23">
        <f>IFERROR(__xludf.DUMMYFUNCTION("""COMPUTED_VALUE"""),752.0)</f>
        <v>752</v>
      </c>
      <c r="G1964" s="23">
        <f>IFERROR(__xludf.DUMMYFUNCTION("""COMPUTED_VALUE"""),30.0)</f>
        <v>30</v>
      </c>
      <c r="H1964" s="23" t="str">
        <f>IFERROR(__xludf.DUMMYFUNCTION("""COMPUTED_VALUE"""),"Algorithms")</f>
        <v>Algorithms</v>
      </c>
      <c r="I1964" s="23">
        <f>IFERROR(__xludf.DUMMYFUNCTION("""COMPUTED_VALUE"""),0.674)</f>
        <v>0.674</v>
      </c>
      <c r="J1964" s="23">
        <f>IFERROR(__xludf.DUMMYFUNCTION("""COMPUTED_VALUE"""),1963.0)</f>
        <v>1963</v>
      </c>
      <c r="K1964" s="23" t="b">
        <f>IFERROR(__xludf.DUMMYFUNCTION("""COMPUTED_VALUE"""),FALSE)</f>
        <v>0</v>
      </c>
      <c r="L1964" s="23" t="str">
        <f>IFERROR(__xludf.DUMMYFUNCTION("""COMPUTED_VALUE"""),"Two Pointers;String;Stack;Greedy;")</f>
        <v>Two Pointers;String;Stack;Greedy;</v>
      </c>
      <c r="M1964" s="23" t="b">
        <f>IFERROR(__xludf.DUMMYFUNCTION("""COMPUTED_VALUE"""),FALSE)</f>
        <v>0</v>
      </c>
      <c r="N1964" s="23" t="b">
        <f>IFERROR(__xludf.DUMMYFUNCTION("""COMPUTED_VALUE"""),FALSE)</f>
        <v>0</v>
      </c>
      <c r="O1964" s="23">
        <f>IFERROR(__xludf.DUMMYFUNCTION("""COMPUTED_VALUE"""),67.3780643840524)</f>
        <v>67.37806438</v>
      </c>
      <c r="P1964" s="23">
        <f>IFERROR(__xludf.DUMMYFUNCTION("""COMPUTED_VALUE"""),26330.0)</f>
        <v>26330</v>
      </c>
      <c r="Q1964" s="23">
        <f>IFERROR(__xludf.DUMMYFUNCTION("""COMPUTED_VALUE"""),39078.0)</f>
        <v>39078</v>
      </c>
    </row>
    <row r="1965">
      <c r="A1965" s="23">
        <f>IFERROR(__xludf.DUMMYFUNCTION("""COMPUTED_VALUE"""),2096.0)</f>
        <v>2096</v>
      </c>
      <c r="B1965" s="23" t="str">
        <f>IFERROR(__xludf.DUMMYFUNCTION("""COMPUTED_VALUE"""),"Find the Longest Valid Obstacle Course at Each Position")</f>
        <v>Find the Longest Valid Obstacle Course at Each Position</v>
      </c>
      <c r="C1965" s="23" t="str">
        <f>IFERROR(__xludf.DUMMYFUNCTION("""COMPUTED_VALUE"""),"find-the-longest-valid-obstacle-course-at-each-position")</f>
        <v>find-the-longest-valid-obstacle-course-at-each-position</v>
      </c>
      <c r="D1965" s="23" t="b">
        <f>IFERROR(__xludf.DUMMYFUNCTION("""COMPUTED_VALUE"""),FALSE)</f>
        <v>0</v>
      </c>
      <c r="E1965" s="23" t="str">
        <f>IFERROR(__xludf.DUMMYFUNCTION("""COMPUTED_VALUE"""),"Hard")</f>
        <v>Hard</v>
      </c>
      <c r="F1965" s="23">
        <f>IFERROR(__xludf.DUMMYFUNCTION("""COMPUTED_VALUE"""),351.0)</f>
        <v>351</v>
      </c>
      <c r="G1965" s="23">
        <f>IFERROR(__xludf.DUMMYFUNCTION("""COMPUTED_VALUE"""),5.0)</f>
        <v>5</v>
      </c>
      <c r="H1965" s="23" t="str">
        <f>IFERROR(__xludf.DUMMYFUNCTION("""COMPUTED_VALUE"""),"Algorithms")</f>
        <v>Algorithms</v>
      </c>
      <c r="I1965" s="23">
        <f>IFERROR(__xludf.DUMMYFUNCTION("""COMPUTED_VALUE"""),0.454)</f>
        <v>0.454</v>
      </c>
      <c r="J1965" s="23">
        <f>IFERROR(__xludf.DUMMYFUNCTION("""COMPUTED_VALUE"""),1964.0)</f>
        <v>1964</v>
      </c>
      <c r="K1965" s="23" t="b">
        <f>IFERROR(__xludf.DUMMYFUNCTION("""COMPUTED_VALUE"""),FALSE)</f>
        <v>0</v>
      </c>
      <c r="L1965" s="23" t="str">
        <f>IFERROR(__xludf.DUMMYFUNCTION("""COMPUTED_VALUE"""),"Array;Binary Search;Binary Indexed Tree;")</f>
        <v>Array;Binary Search;Binary Indexed Tree;</v>
      </c>
      <c r="M1965" s="23" t="b">
        <f>IFERROR(__xludf.DUMMYFUNCTION("""COMPUTED_VALUE"""),FALSE)</f>
        <v>0</v>
      </c>
      <c r="N1965" s="23" t="b">
        <f>IFERROR(__xludf.DUMMYFUNCTION("""COMPUTED_VALUE"""),FALSE)</f>
        <v>0</v>
      </c>
      <c r="O1965" s="23">
        <f>IFERROR(__xludf.DUMMYFUNCTION("""COMPUTED_VALUE"""),45.3623028565126)</f>
        <v>45.36230286</v>
      </c>
      <c r="P1965" s="23">
        <f>IFERROR(__xludf.DUMMYFUNCTION("""COMPUTED_VALUE"""),8226.0)</f>
        <v>8226</v>
      </c>
      <c r="Q1965" s="23">
        <f>IFERROR(__xludf.DUMMYFUNCTION("""COMPUTED_VALUE"""),18134.0)</f>
        <v>18134</v>
      </c>
    </row>
    <row r="1966">
      <c r="A1966" s="23">
        <f>IFERROR(__xludf.DUMMYFUNCTION("""COMPUTED_VALUE"""),2110.0)</f>
        <v>2110</v>
      </c>
      <c r="B1966" s="23" t="str">
        <f>IFERROR(__xludf.DUMMYFUNCTION("""COMPUTED_VALUE"""),"Employees With Missing Information")</f>
        <v>Employees With Missing Information</v>
      </c>
      <c r="C1966" s="23" t="str">
        <f>IFERROR(__xludf.DUMMYFUNCTION("""COMPUTED_VALUE"""),"employees-with-missing-information")</f>
        <v>employees-with-missing-information</v>
      </c>
      <c r="D1966" s="23" t="b">
        <f>IFERROR(__xludf.DUMMYFUNCTION("""COMPUTED_VALUE"""),FALSE)</f>
        <v>0</v>
      </c>
      <c r="E1966" s="23" t="str">
        <f>IFERROR(__xludf.DUMMYFUNCTION("""COMPUTED_VALUE"""),"Easy")</f>
        <v>Easy</v>
      </c>
      <c r="F1966" s="23">
        <f>IFERROR(__xludf.DUMMYFUNCTION("""COMPUTED_VALUE"""),91.0)</f>
        <v>91</v>
      </c>
      <c r="G1966" s="23">
        <f>IFERROR(__xludf.DUMMYFUNCTION("""COMPUTED_VALUE"""),5.0)</f>
        <v>5</v>
      </c>
      <c r="H1966" s="23" t="str">
        <f>IFERROR(__xludf.DUMMYFUNCTION("""COMPUTED_VALUE"""),"Database")</f>
        <v>Database</v>
      </c>
      <c r="I1966" s="23">
        <f>IFERROR(__xludf.DUMMYFUNCTION("""COMPUTED_VALUE"""),0.814)</f>
        <v>0.814</v>
      </c>
      <c r="J1966" s="23">
        <f>IFERROR(__xludf.DUMMYFUNCTION("""COMPUTED_VALUE"""),1965.0)</f>
        <v>1965</v>
      </c>
      <c r="K1966" s="23" t="b">
        <f>IFERROR(__xludf.DUMMYFUNCTION("""COMPUTED_VALUE"""),FALSE)</f>
        <v>0</v>
      </c>
      <c r="L1966" s="23" t="str">
        <f>IFERROR(__xludf.DUMMYFUNCTION("""COMPUTED_VALUE"""),"Database;")</f>
        <v>Database;</v>
      </c>
      <c r="M1966" s="23" t="b">
        <f>IFERROR(__xludf.DUMMYFUNCTION("""COMPUTED_VALUE"""),FALSE)</f>
        <v>0</v>
      </c>
      <c r="N1966" s="23" t="b">
        <f>IFERROR(__xludf.DUMMYFUNCTION("""COMPUTED_VALUE"""),FALSE)</f>
        <v>0</v>
      </c>
      <c r="O1966" s="23">
        <f>IFERROR(__xludf.DUMMYFUNCTION("""COMPUTED_VALUE"""),81.3780697638041)</f>
        <v>81.37806976</v>
      </c>
      <c r="P1966" s="23">
        <f>IFERROR(__xludf.DUMMYFUNCTION("""COMPUTED_VALUE"""),10403.0)</f>
        <v>10403</v>
      </c>
      <c r="Q1966" s="23">
        <f>IFERROR(__xludf.DUMMYFUNCTION("""COMPUTED_VALUE"""),12783.0)</f>
        <v>12783</v>
      </c>
    </row>
    <row r="1967">
      <c r="A1967" s="23">
        <f>IFERROR(__xludf.DUMMYFUNCTION("""COMPUTED_VALUE"""),2111.0)</f>
        <v>2111</v>
      </c>
      <c r="B1967" s="23" t="str">
        <f>IFERROR(__xludf.DUMMYFUNCTION("""COMPUTED_VALUE"""),"Binary Searchable Numbers in an Unsorted Array")</f>
        <v>Binary Searchable Numbers in an Unsorted Array</v>
      </c>
      <c r="C1967" s="23" t="str">
        <f>IFERROR(__xludf.DUMMYFUNCTION("""COMPUTED_VALUE"""),"binary-searchable-numbers-in-an-unsorted-array")</f>
        <v>binary-searchable-numbers-in-an-unsorted-array</v>
      </c>
      <c r="D1967" s="23" t="b">
        <f>IFERROR(__xludf.DUMMYFUNCTION("""COMPUTED_VALUE"""),TRUE)</f>
        <v>1</v>
      </c>
      <c r="E1967" s="23" t="str">
        <f>IFERROR(__xludf.DUMMYFUNCTION("""COMPUTED_VALUE"""),"Medium")</f>
        <v>Medium</v>
      </c>
      <c r="F1967" s="23">
        <f>IFERROR(__xludf.DUMMYFUNCTION("""COMPUTED_VALUE"""),42.0)</f>
        <v>42</v>
      </c>
      <c r="G1967" s="23">
        <f>IFERROR(__xludf.DUMMYFUNCTION("""COMPUTED_VALUE"""),6.0)</f>
        <v>6</v>
      </c>
      <c r="H1967" s="23" t="str">
        <f>IFERROR(__xludf.DUMMYFUNCTION("""COMPUTED_VALUE"""),"Algorithms")</f>
        <v>Algorithms</v>
      </c>
      <c r="I1967" s="23">
        <f>IFERROR(__xludf.DUMMYFUNCTION("""COMPUTED_VALUE"""),0.666)</f>
        <v>0.666</v>
      </c>
      <c r="J1967" s="23">
        <f>IFERROR(__xludf.DUMMYFUNCTION("""COMPUTED_VALUE"""),1966.0)</f>
        <v>1966</v>
      </c>
      <c r="K1967" s="23" t="b">
        <f>IFERROR(__xludf.DUMMYFUNCTION("""COMPUTED_VALUE"""),TRUE)</f>
        <v>1</v>
      </c>
      <c r="L1967" s="23" t="str">
        <f>IFERROR(__xludf.DUMMYFUNCTION("""COMPUTED_VALUE"""),"Array;Binary Search;")</f>
        <v>Array;Binary Search;</v>
      </c>
      <c r="M1967" s="23" t="b">
        <f>IFERROR(__xludf.DUMMYFUNCTION("""COMPUTED_VALUE"""),FALSE)</f>
        <v>0</v>
      </c>
      <c r="N1967" s="23" t="b">
        <f>IFERROR(__xludf.DUMMYFUNCTION("""COMPUTED_VALUE"""),FALSE)</f>
        <v>0</v>
      </c>
      <c r="O1967" s="23">
        <f>IFERROR(__xludf.DUMMYFUNCTION("""COMPUTED_VALUE"""),66.5620797848498)</f>
        <v>66.56207978</v>
      </c>
      <c r="P1967" s="23">
        <f>IFERROR(__xludf.DUMMYFUNCTION("""COMPUTED_VALUE"""),1485.0)</f>
        <v>1485</v>
      </c>
      <c r="Q1967" s="23">
        <f>IFERROR(__xludf.DUMMYFUNCTION("""COMPUTED_VALUE"""),2231.0)</f>
        <v>2231</v>
      </c>
    </row>
    <row r="1968">
      <c r="A1968" s="23">
        <f>IFERROR(__xludf.DUMMYFUNCTION("""COMPUTED_VALUE"""),2099.0)</f>
        <v>2099</v>
      </c>
      <c r="B1968" s="23" t="str">
        <f>IFERROR(__xludf.DUMMYFUNCTION("""COMPUTED_VALUE"""),"Number of Strings That Appear as Substrings in Word")</f>
        <v>Number of Strings That Appear as Substrings in Word</v>
      </c>
      <c r="C1968" s="23" t="str">
        <f>IFERROR(__xludf.DUMMYFUNCTION("""COMPUTED_VALUE"""),"number-of-strings-that-appear-as-substrings-in-word")</f>
        <v>number-of-strings-that-appear-as-substrings-in-word</v>
      </c>
      <c r="D1968" s="23" t="b">
        <f>IFERROR(__xludf.DUMMYFUNCTION("""COMPUTED_VALUE"""),FALSE)</f>
        <v>0</v>
      </c>
      <c r="E1968" s="23" t="str">
        <f>IFERROR(__xludf.DUMMYFUNCTION("""COMPUTED_VALUE"""),"Easy")</f>
        <v>Easy</v>
      </c>
      <c r="F1968" s="23">
        <f>IFERROR(__xludf.DUMMYFUNCTION("""COMPUTED_VALUE"""),286.0)</f>
        <v>286</v>
      </c>
      <c r="G1968" s="23">
        <f>IFERROR(__xludf.DUMMYFUNCTION("""COMPUTED_VALUE"""),12.0)</f>
        <v>12</v>
      </c>
      <c r="H1968" s="23" t="str">
        <f>IFERROR(__xludf.DUMMYFUNCTION("""COMPUTED_VALUE"""),"Algorithms")</f>
        <v>Algorithms</v>
      </c>
      <c r="I1968" s="23">
        <f>IFERROR(__xludf.DUMMYFUNCTION("""COMPUTED_VALUE"""),0.795)</f>
        <v>0.795</v>
      </c>
      <c r="J1968" s="23">
        <f>IFERROR(__xludf.DUMMYFUNCTION("""COMPUTED_VALUE"""),1967.0)</f>
        <v>1967</v>
      </c>
      <c r="K1968" s="23" t="b">
        <f>IFERROR(__xludf.DUMMYFUNCTION("""COMPUTED_VALUE"""),FALSE)</f>
        <v>0</v>
      </c>
      <c r="L1968" s="23" t="str">
        <f>IFERROR(__xludf.DUMMYFUNCTION("""COMPUTED_VALUE"""),"String;")</f>
        <v>String;</v>
      </c>
      <c r="M1968" s="23" t="b">
        <f>IFERROR(__xludf.DUMMYFUNCTION("""COMPUTED_VALUE"""),FALSE)</f>
        <v>0</v>
      </c>
      <c r="N1968" s="23" t="b">
        <f>IFERROR(__xludf.DUMMYFUNCTION("""COMPUTED_VALUE"""),FALSE)</f>
        <v>0</v>
      </c>
      <c r="O1968" s="23">
        <f>IFERROR(__xludf.DUMMYFUNCTION("""COMPUTED_VALUE"""),79.472629231247)</f>
        <v>79.47262923</v>
      </c>
      <c r="P1968" s="23">
        <f>IFERROR(__xludf.DUMMYFUNCTION("""COMPUTED_VALUE"""),28149.0)</f>
        <v>28149</v>
      </c>
      <c r="Q1968" s="23">
        <f>IFERROR(__xludf.DUMMYFUNCTION("""COMPUTED_VALUE"""),35420.0)</f>
        <v>35420</v>
      </c>
    </row>
    <row r="1969">
      <c r="A1969" s="23">
        <f>IFERROR(__xludf.DUMMYFUNCTION("""COMPUTED_VALUE"""),2085.0)</f>
        <v>2085</v>
      </c>
      <c r="B1969" s="23" t="str">
        <f>IFERROR(__xludf.DUMMYFUNCTION("""COMPUTED_VALUE"""),"Array With Elements Not Equal to Average of Neighbors")</f>
        <v>Array With Elements Not Equal to Average of Neighbors</v>
      </c>
      <c r="C1969" s="23" t="str">
        <f>IFERROR(__xludf.DUMMYFUNCTION("""COMPUTED_VALUE"""),"array-with-elements-not-equal-to-average-of-neighbors")</f>
        <v>array-with-elements-not-equal-to-average-of-neighbors</v>
      </c>
      <c r="D1969" s="23" t="b">
        <f>IFERROR(__xludf.DUMMYFUNCTION("""COMPUTED_VALUE"""),FALSE)</f>
        <v>0</v>
      </c>
      <c r="E1969" s="23" t="str">
        <f>IFERROR(__xludf.DUMMYFUNCTION("""COMPUTED_VALUE"""),"Medium")</f>
        <v>Medium</v>
      </c>
      <c r="F1969" s="23">
        <f>IFERROR(__xludf.DUMMYFUNCTION("""COMPUTED_VALUE"""),259.0)</f>
        <v>259</v>
      </c>
      <c r="G1969" s="23">
        <f>IFERROR(__xludf.DUMMYFUNCTION("""COMPUTED_VALUE"""),17.0)</f>
        <v>17</v>
      </c>
      <c r="H1969" s="23" t="str">
        <f>IFERROR(__xludf.DUMMYFUNCTION("""COMPUTED_VALUE"""),"Algorithms")</f>
        <v>Algorithms</v>
      </c>
      <c r="I1969" s="23">
        <f>IFERROR(__xludf.DUMMYFUNCTION("""COMPUTED_VALUE"""),0.485)</f>
        <v>0.485</v>
      </c>
      <c r="J1969" s="23">
        <f>IFERROR(__xludf.DUMMYFUNCTION("""COMPUTED_VALUE"""),1968.0)</f>
        <v>1968</v>
      </c>
      <c r="K1969" s="23" t="b">
        <f>IFERROR(__xludf.DUMMYFUNCTION("""COMPUTED_VALUE"""),FALSE)</f>
        <v>0</v>
      </c>
      <c r="L1969" s="23" t="str">
        <f>IFERROR(__xludf.DUMMYFUNCTION("""COMPUTED_VALUE"""),"Array;Greedy;Sorting;")</f>
        <v>Array;Greedy;Sorting;</v>
      </c>
      <c r="M1969" s="23" t="b">
        <f>IFERROR(__xludf.DUMMYFUNCTION("""COMPUTED_VALUE"""),FALSE)</f>
        <v>0</v>
      </c>
      <c r="N1969" s="23" t="b">
        <f>IFERROR(__xludf.DUMMYFUNCTION("""COMPUTED_VALUE"""),FALSE)</f>
        <v>0</v>
      </c>
      <c r="O1969" s="23">
        <f>IFERROR(__xludf.DUMMYFUNCTION("""COMPUTED_VALUE"""),48.5440047253396)</f>
        <v>48.54400473</v>
      </c>
      <c r="P1969" s="23">
        <f>IFERROR(__xludf.DUMMYFUNCTION("""COMPUTED_VALUE"""),16437.0)</f>
        <v>16437</v>
      </c>
      <c r="Q1969" s="23">
        <f>IFERROR(__xludf.DUMMYFUNCTION("""COMPUTED_VALUE"""),33860.0)</f>
        <v>33860</v>
      </c>
    </row>
    <row r="1970">
      <c r="A1970" s="23">
        <f>IFERROR(__xludf.DUMMYFUNCTION("""COMPUTED_VALUE"""),2100.0)</f>
        <v>2100</v>
      </c>
      <c r="B1970" s="23" t="str">
        <f>IFERROR(__xludf.DUMMYFUNCTION("""COMPUTED_VALUE"""),"Minimum Non-Zero Product of the Array Elements")</f>
        <v>Minimum Non-Zero Product of the Array Elements</v>
      </c>
      <c r="C1970" s="23" t="str">
        <f>IFERROR(__xludf.DUMMYFUNCTION("""COMPUTED_VALUE"""),"minimum-non-zero-product-of-the-array-elements")</f>
        <v>minimum-non-zero-product-of-the-array-elements</v>
      </c>
      <c r="D1970" s="23" t="b">
        <f>IFERROR(__xludf.DUMMYFUNCTION("""COMPUTED_VALUE"""),FALSE)</f>
        <v>0</v>
      </c>
      <c r="E1970" s="23" t="str">
        <f>IFERROR(__xludf.DUMMYFUNCTION("""COMPUTED_VALUE"""),"Medium")</f>
        <v>Medium</v>
      </c>
      <c r="F1970" s="23">
        <f>IFERROR(__xludf.DUMMYFUNCTION("""COMPUTED_VALUE"""),114.0)</f>
        <v>114</v>
      </c>
      <c r="G1970" s="23">
        <f>IFERROR(__xludf.DUMMYFUNCTION("""COMPUTED_VALUE"""),281.0)</f>
        <v>281</v>
      </c>
      <c r="H1970" s="23" t="str">
        <f>IFERROR(__xludf.DUMMYFUNCTION("""COMPUTED_VALUE"""),"Algorithms")</f>
        <v>Algorithms</v>
      </c>
      <c r="I1970" s="23">
        <f>IFERROR(__xludf.DUMMYFUNCTION("""COMPUTED_VALUE"""),0.324)</f>
        <v>0.324</v>
      </c>
      <c r="J1970" s="23">
        <f>IFERROR(__xludf.DUMMYFUNCTION("""COMPUTED_VALUE"""),1969.0)</f>
        <v>1969</v>
      </c>
      <c r="K1970" s="23" t="b">
        <f>IFERROR(__xludf.DUMMYFUNCTION("""COMPUTED_VALUE"""),FALSE)</f>
        <v>0</v>
      </c>
      <c r="L1970" s="23" t="str">
        <f>IFERROR(__xludf.DUMMYFUNCTION("""COMPUTED_VALUE"""),"Math;Greedy;Recursion;")</f>
        <v>Math;Greedy;Recursion;</v>
      </c>
      <c r="M1970" s="23" t="b">
        <f>IFERROR(__xludf.DUMMYFUNCTION("""COMPUTED_VALUE"""),FALSE)</f>
        <v>0</v>
      </c>
      <c r="N1970" s="23" t="b">
        <f>IFERROR(__xludf.DUMMYFUNCTION("""COMPUTED_VALUE"""),FALSE)</f>
        <v>0</v>
      </c>
      <c r="O1970" s="23">
        <f>IFERROR(__xludf.DUMMYFUNCTION("""COMPUTED_VALUE"""),32.4423529411764)</f>
        <v>32.44235294</v>
      </c>
      <c r="P1970" s="23">
        <f>IFERROR(__xludf.DUMMYFUNCTION("""COMPUTED_VALUE"""),6894.0)</f>
        <v>6894</v>
      </c>
      <c r="Q1970" s="23">
        <f>IFERROR(__xludf.DUMMYFUNCTION("""COMPUTED_VALUE"""),21250.0)</f>
        <v>21250</v>
      </c>
    </row>
    <row r="1971">
      <c r="A1971" s="23">
        <f>IFERROR(__xludf.DUMMYFUNCTION("""COMPUTED_VALUE"""),2101.0)</f>
        <v>2101</v>
      </c>
      <c r="B1971" s="23" t="str">
        <f>IFERROR(__xludf.DUMMYFUNCTION("""COMPUTED_VALUE"""),"Last Day Where You Can Still Cross")</f>
        <v>Last Day Where You Can Still Cross</v>
      </c>
      <c r="C1971" s="23" t="str">
        <f>IFERROR(__xludf.DUMMYFUNCTION("""COMPUTED_VALUE"""),"last-day-where-you-can-still-cross")</f>
        <v>last-day-where-you-can-still-cross</v>
      </c>
      <c r="D1971" s="23" t="b">
        <f>IFERROR(__xludf.DUMMYFUNCTION("""COMPUTED_VALUE"""),FALSE)</f>
        <v>0</v>
      </c>
      <c r="E1971" s="23" t="str">
        <f>IFERROR(__xludf.DUMMYFUNCTION("""COMPUTED_VALUE"""),"Hard")</f>
        <v>Hard</v>
      </c>
      <c r="F1971" s="23">
        <f>IFERROR(__xludf.DUMMYFUNCTION("""COMPUTED_VALUE"""),423.0)</f>
        <v>423</v>
      </c>
      <c r="G1971" s="23">
        <f>IFERROR(__xludf.DUMMYFUNCTION("""COMPUTED_VALUE"""),8.0)</f>
        <v>8</v>
      </c>
      <c r="H1971" s="23" t="str">
        <f>IFERROR(__xludf.DUMMYFUNCTION("""COMPUTED_VALUE"""),"Algorithms")</f>
        <v>Algorithms</v>
      </c>
      <c r="I1971" s="23">
        <f>IFERROR(__xludf.DUMMYFUNCTION("""COMPUTED_VALUE"""),0.487)</f>
        <v>0.487</v>
      </c>
      <c r="J1971" s="23">
        <f>IFERROR(__xludf.DUMMYFUNCTION("""COMPUTED_VALUE"""),1970.0)</f>
        <v>1970</v>
      </c>
      <c r="K1971" s="23" t="b">
        <f>IFERROR(__xludf.DUMMYFUNCTION("""COMPUTED_VALUE"""),FALSE)</f>
        <v>0</v>
      </c>
      <c r="L1971" s="23" t="str">
        <f>IFERROR(__xludf.DUMMYFUNCTION("""COMPUTED_VALUE"""),"Array;Binary Search;Depth-First Search;Breadth-First Search;Union Find;Matrix;")</f>
        <v>Array;Binary Search;Depth-First Search;Breadth-First Search;Union Find;Matrix;</v>
      </c>
      <c r="M1971" s="23" t="b">
        <f>IFERROR(__xludf.DUMMYFUNCTION("""COMPUTED_VALUE"""),FALSE)</f>
        <v>0</v>
      </c>
      <c r="N1971" s="23" t="b">
        <f>IFERROR(__xludf.DUMMYFUNCTION("""COMPUTED_VALUE"""),FALSE)</f>
        <v>0</v>
      </c>
      <c r="O1971" s="23">
        <f>IFERROR(__xludf.DUMMYFUNCTION("""COMPUTED_VALUE"""),48.7276154571159)</f>
        <v>48.72761546</v>
      </c>
      <c r="P1971" s="23">
        <f>IFERROR(__xludf.DUMMYFUNCTION("""COMPUTED_VALUE"""),8272.0)</f>
        <v>8272</v>
      </c>
      <c r="Q1971" s="23">
        <f>IFERROR(__xludf.DUMMYFUNCTION("""COMPUTED_VALUE"""),16976.0)</f>
        <v>16976</v>
      </c>
    </row>
    <row r="1972">
      <c r="A1972" s="23">
        <f>IFERROR(__xludf.DUMMYFUNCTION("""COMPUTED_VALUE"""),2121.0)</f>
        <v>2121</v>
      </c>
      <c r="B1972" s="23" t="str">
        <f>IFERROR(__xludf.DUMMYFUNCTION("""COMPUTED_VALUE"""),"Find if Path Exists in Graph")</f>
        <v>Find if Path Exists in Graph</v>
      </c>
      <c r="C1972" s="23" t="str">
        <f>IFERROR(__xludf.DUMMYFUNCTION("""COMPUTED_VALUE"""),"find-if-path-exists-in-graph")</f>
        <v>find-if-path-exists-in-graph</v>
      </c>
      <c r="D1972" s="23" t="b">
        <f>IFERROR(__xludf.DUMMYFUNCTION("""COMPUTED_VALUE"""),FALSE)</f>
        <v>0</v>
      </c>
      <c r="E1972" s="23" t="str">
        <f>IFERROR(__xludf.DUMMYFUNCTION("""COMPUTED_VALUE"""),"Easy")</f>
        <v>Easy</v>
      </c>
      <c r="F1972" s="23">
        <f>IFERROR(__xludf.DUMMYFUNCTION("""COMPUTED_VALUE"""),921.0)</f>
        <v>921</v>
      </c>
      <c r="G1972" s="23">
        <f>IFERROR(__xludf.DUMMYFUNCTION("""COMPUTED_VALUE"""),54.0)</f>
        <v>54</v>
      </c>
      <c r="H1972" s="23" t="str">
        <f>IFERROR(__xludf.DUMMYFUNCTION("""COMPUTED_VALUE"""),"Algorithms")</f>
        <v>Algorithms</v>
      </c>
      <c r="I1972" s="23">
        <f>IFERROR(__xludf.DUMMYFUNCTION("""COMPUTED_VALUE"""),0.502)</f>
        <v>0.502</v>
      </c>
      <c r="J1972" s="23">
        <f>IFERROR(__xludf.DUMMYFUNCTION("""COMPUTED_VALUE"""),1971.0)</f>
        <v>1971</v>
      </c>
      <c r="K1972" s="23" t="b">
        <f>IFERROR(__xludf.DUMMYFUNCTION("""COMPUTED_VALUE"""),FALSE)</f>
        <v>0</v>
      </c>
      <c r="L1972" s="23" t="str">
        <f>IFERROR(__xludf.DUMMYFUNCTION("""COMPUTED_VALUE"""),"Depth-First Search;Breadth-First Search;Graph;")</f>
        <v>Depth-First Search;Breadth-First Search;Graph;</v>
      </c>
      <c r="M1972" s="23" t="b">
        <f>IFERROR(__xludf.DUMMYFUNCTION("""COMPUTED_VALUE"""),FALSE)</f>
        <v>0</v>
      </c>
      <c r="N1972" s="23" t="b">
        <f>IFERROR(__xludf.DUMMYFUNCTION("""COMPUTED_VALUE"""),FALSE)</f>
        <v>0</v>
      </c>
      <c r="O1972" s="23">
        <f>IFERROR(__xludf.DUMMYFUNCTION("""COMPUTED_VALUE"""),50.15984319033)</f>
        <v>50.15984319</v>
      </c>
      <c r="P1972" s="23">
        <f>IFERROR(__xludf.DUMMYFUNCTION("""COMPUTED_VALUE"""),85982.0)</f>
        <v>85982</v>
      </c>
      <c r="Q1972" s="23">
        <f>IFERROR(__xludf.DUMMYFUNCTION("""COMPUTED_VALUE"""),171403.0)</f>
        <v>171403</v>
      </c>
    </row>
    <row r="1973">
      <c r="A1973" s="23">
        <f>IFERROR(__xludf.DUMMYFUNCTION("""COMPUTED_VALUE"""),2120.0)</f>
        <v>2120</v>
      </c>
      <c r="B1973" s="23" t="str">
        <f>IFERROR(__xludf.DUMMYFUNCTION("""COMPUTED_VALUE"""),"First and Last Call On the Same Day")</f>
        <v>First and Last Call On the Same Day</v>
      </c>
      <c r="C1973" s="23" t="str">
        <f>IFERROR(__xludf.DUMMYFUNCTION("""COMPUTED_VALUE"""),"first-and-last-call-on-the-same-day")</f>
        <v>first-and-last-call-on-the-same-day</v>
      </c>
      <c r="D1973" s="23" t="b">
        <f>IFERROR(__xludf.DUMMYFUNCTION("""COMPUTED_VALUE"""),TRUE)</f>
        <v>1</v>
      </c>
      <c r="E1973" s="23" t="str">
        <f>IFERROR(__xludf.DUMMYFUNCTION("""COMPUTED_VALUE"""),"Hard")</f>
        <v>Hard</v>
      </c>
      <c r="F1973" s="23">
        <f>IFERROR(__xludf.DUMMYFUNCTION("""COMPUTED_VALUE"""),50.0)</f>
        <v>50</v>
      </c>
      <c r="G1973" s="23">
        <f>IFERROR(__xludf.DUMMYFUNCTION("""COMPUTED_VALUE"""),12.0)</f>
        <v>12</v>
      </c>
      <c r="H1973" s="23" t="str">
        <f>IFERROR(__xludf.DUMMYFUNCTION("""COMPUTED_VALUE"""),"Database")</f>
        <v>Database</v>
      </c>
      <c r="I1973" s="23">
        <f>IFERROR(__xludf.DUMMYFUNCTION("""COMPUTED_VALUE"""),0.519)</f>
        <v>0.519</v>
      </c>
      <c r="J1973" s="23">
        <f>IFERROR(__xludf.DUMMYFUNCTION("""COMPUTED_VALUE"""),1972.0)</f>
        <v>1972</v>
      </c>
      <c r="K1973" s="23" t="b">
        <f>IFERROR(__xludf.DUMMYFUNCTION("""COMPUTED_VALUE"""),TRUE)</f>
        <v>1</v>
      </c>
      <c r="L1973" s="23" t="str">
        <f>IFERROR(__xludf.DUMMYFUNCTION("""COMPUTED_VALUE"""),"Database;")</f>
        <v>Database;</v>
      </c>
      <c r="M1973" s="23" t="b">
        <f>IFERROR(__xludf.DUMMYFUNCTION("""COMPUTED_VALUE"""),FALSE)</f>
        <v>0</v>
      </c>
      <c r="N1973" s="23" t="b">
        <f>IFERROR(__xludf.DUMMYFUNCTION("""COMPUTED_VALUE"""),FALSE)</f>
        <v>0</v>
      </c>
      <c r="O1973" s="23">
        <f>IFERROR(__xludf.DUMMYFUNCTION("""COMPUTED_VALUE"""),51.8637532133676)</f>
        <v>51.86375321</v>
      </c>
      <c r="P1973" s="23">
        <f>IFERROR(__xludf.DUMMYFUNCTION("""COMPUTED_VALUE"""),3228.0)</f>
        <v>3228</v>
      </c>
      <c r="Q1973" s="23">
        <f>IFERROR(__xludf.DUMMYFUNCTION("""COMPUTED_VALUE"""),6224.0)</f>
        <v>6224</v>
      </c>
    </row>
    <row r="1974">
      <c r="A1974" s="23">
        <f>IFERROR(__xludf.DUMMYFUNCTION("""COMPUTED_VALUE"""),2126.0)</f>
        <v>2126</v>
      </c>
      <c r="B1974" s="23" t="str">
        <f>IFERROR(__xludf.DUMMYFUNCTION("""COMPUTED_VALUE"""),"Count Nodes Equal to Sum of Descendants")</f>
        <v>Count Nodes Equal to Sum of Descendants</v>
      </c>
      <c r="C1974" s="23" t="str">
        <f>IFERROR(__xludf.DUMMYFUNCTION("""COMPUTED_VALUE"""),"count-nodes-equal-to-sum-of-descendants")</f>
        <v>count-nodes-equal-to-sum-of-descendants</v>
      </c>
      <c r="D1974" s="23" t="b">
        <f>IFERROR(__xludf.DUMMYFUNCTION("""COMPUTED_VALUE"""),TRUE)</f>
        <v>1</v>
      </c>
      <c r="E1974" s="23" t="str">
        <f>IFERROR(__xludf.DUMMYFUNCTION("""COMPUTED_VALUE"""),"Medium")</f>
        <v>Medium</v>
      </c>
      <c r="F1974" s="23">
        <f>IFERROR(__xludf.DUMMYFUNCTION("""COMPUTED_VALUE"""),97.0)</f>
        <v>97</v>
      </c>
      <c r="G1974" s="23">
        <f>IFERROR(__xludf.DUMMYFUNCTION("""COMPUTED_VALUE"""),2.0)</f>
        <v>2</v>
      </c>
      <c r="H1974" s="23" t="str">
        <f>IFERROR(__xludf.DUMMYFUNCTION("""COMPUTED_VALUE"""),"Algorithms")</f>
        <v>Algorithms</v>
      </c>
      <c r="I1974" s="23">
        <f>IFERROR(__xludf.DUMMYFUNCTION("""COMPUTED_VALUE"""),0.754)</f>
        <v>0.754</v>
      </c>
      <c r="J1974" s="23">
        <f>IFERROR(__xludf.DUMMYFUNCTION("""COMPUTED_VALUE"""),1973.0)</f>
        <v>1973</v>
      </c>
      <c r="K1974" s="23" t="b">
        <f>IFERROR(__xludf.DUMMYFUNCTION("""COMPUTED_VALUE"""),TRUE)</f>
        <v>1</v>
      </c>
      <c r="L1974" s="23" t="str">
        <f>IFERROR(__xludf.DUMMYFUNCTION("""COMPUTED_VALUE"""),"Tree;Depth-First Search;Binary Search Tree;Binary Tree;")</f>
        <v>Tree;Depth-First Search;Binary Search Tree;Binary Tree;</v>
      </c>
      <c r="M1974" s="23" t="b">
        <f>IFERROR(__xludf.DUMMYFUNCTION("""COMPUTED_VALUE"""),FALSE)</f>
        <v>0</v>
      </c>
      <c r="N1974" s="23" t="b">
        <f>IFERROR(__xludf.DUMMYFUNCTION("""COMPUTED_VALUE"""),FALSE)</f>
        <v>0</v>
      </c>
      <c r="O1974" s="23">
        <f>IFERROR(__xludf.DUMMYFUNCTION("""COMPUTED_VALUE"""),75.371129647957)</f>
        <v>75.37112965</v>
      </c>
      <c r="P1974" s="23">
        <f>IFERROR(__xludf.DUMMYFUNCTION("""COMPUTED_VALUE"""),5330.0)</f>
        <v>5330</v>
      </c>
      <c r="Q1974" s="23">
        <f>IFERROR(__xludf.DUMMYFUNCTION("""COMPUTED_VALUE"""),7071.0)</f>
        <v>7071</v>
      </c>
    </row>
    <row r="1975">
      <c r="A1975" s="23">
        <f>IFERROR(__xludf.DUMMYFUNCTION("""COMPUTED_VALUE"""),2088.0)</f>
        <v>2088</v>
      </c>
      <c r="B1975" s="23" t="str">
        <f>IFERROR(__xludf.DUMMYFUNCTION("""COMPUTED_VALUE"""),"Minimum Time to Type Word Using Special Typewriter")</f>
        <v>Minimum Time to Type Word Using Special Typewriter</v>
      </c>
      <c r="C1975" s="23" t="str">
        <f>IFERROR(__xludf.DUMMYFUNCTION("""COMPUTED_VALUE"""),"minimum-time-to-type-word-using-special-typewriter")</f>
        <v>minimum-time-to-type-word-using-special-typewriter</v>
      </c>
      <c r="D1975" s="23" t="b">
        <f>IFERROR(__xludf.DUMMYFUNCTION("""COMPUTED_VALUE"""),FALSE)</f>
        <v>0</v>
      </c>
      <c r="E1975" s="23" t="str">
        <f>IFERROR(__xludf.DUMMYFUNCTION("""COMPUTED_VALUE"""),"Easy")</f>
        <v>Easy</v>
      </c>
      <c r="F1975" s="23">
        <f>IFERROR(__xludf.DUMMYFUNCTION("""COMPUTED_VALUE"""),335.0)</f>
        <v>335</v>
      </c>
      <c r="G1975" s="23">
        <f>IFERROR(__xludf.DUMMYFUNCTION("""COMPUTED_VALUE"""),14.0)</f>
        <v>14</v>
      </c>
      <c r="H1975" s="23" t="str">
        <f>IFERROR(__xludf.DUMMYFUNCTION("""COMPUTED_VALUE"""),"Algorithms")</f>
        <v>Algorithms</v>
      </c>
      <c r="I1975" s="23">
        <f>IFERROR(__xludf.DUMMYFUNCTION("""COMPUTED_VALUE"""),0.715)</f>
        <v>0.715</v>
      </c>
      <c r="J1975" s="23">
        <f>IFERROR(__xludf.DUMMYFUNCTION("""COMPUTED_VALUE"""),1974.0)</f>
        <v>1974</v>
      </c>
      <c r="K1975" s="23" t="b">
        <f>IFERROR(__xludf.DUMMYFUNCTION("""COMPUTED_VALUE"""),FALSE)</f>
        <v>0</v>
      </c>
      <c r="L1975" s="23" t="str">
        <f>IFERROR(__xludf.DUMMYFUNCTION("""COMPUTED_VALUE"""),"String;Greedy;")</f>
        <v>String;Greedy;</v>
      </c>
      <c r="M1975" s="23" t="b">
        <f>IFERROR(__xludf.DUMMYFUNCTION("""COMPUTED_VALUE"""),FALSE)</f>
        <v>0</v>
      </c>
      <c r="N1975" s="23" t="b">
        <f>IFERROR(__xludf.DUMMYFUNCTION("""COMPUTED_VALUE"""),FALSE)</f>
        <v>0</v>
      </c>
      <c r="O1975" s="23">
        <f>IFERROR(__xludf.DUMMYFUNCTION("""COMPUTED_VALUE"""),71.5169139028968)</f>
        <v>71.5169139</v>
      </c>
      <c r="P1975" s="23">
        <f>IFERROR(__xludf.DUMMYFUNCTION("""COMPUTED_VALUE"""),19429.0)</f>
        <v>19429</v>
      </c>
      <c r="Q1975" s="23">
        <f>IFERROR(__xludf.DUMMYFUNCTION("""COMPUTED_VALUE"""),27167.0)</f>
        <v>27167</v>
      </c>
    </row>
    <row r="1976">
      <c r="A1976" s="23">
        <f>IFERROR(__xludf.DUMMYFUNCTION("""COMPUTED_VALUE"""),2089.0)</f>
        <v>2089</v>
      </c>
      <c r="B1976" s="23" t="str">
        <f>IFERROR(__xludf.DUMMYFUNCTION("""COMPUTED_VALUE"""),"Maximum Matrix Sum")</f>
        <v>Maximum Matrix Sum</v>
      </c>
      <c r="C1976" s="23" t="str">
        <f>IFERROR(__xludf.DUMMYFUNCTION("""COMPUTED_VALUE"""),"maximum-matrix-sum")</f>
        <v>maximum-matrix-sum</v>
      </c>
      <c r="D1976" s="23" t="b">
        <f>IFERROR(__xludf.DUMMYFUNCTION("""COMPUTED_VALUE"""),FALSE)</f>
        <v>0</v>
      </c>
      <c r="E1976" s="23" t="str">
        <f>IFERROR(__xludf.DUMMYFUNCTION("""COMPUTED_VALUE"""),"Medium")</f>
        <v>Medium</v>
      </c>
      <c r="F1976" s="23">
        <f>IFERROR(__xludf.DUMMYFUNCTION("""COMPUTED_VALUE"""),294.0)</f>
        <v>294</v>
      </c>
      <c r="G1976" s="23">
        <f>IFERROR(__xludf.DUMMYFUNCTION("""COMPUTED_VALUE"""),11.0)</f>
        <v>11</v>
      </c>
      <c r="H1976" s="23" t="str">
        <f>IFERROR(__xludf.DUMMYFUNCTION("""COMPUTED_VALUE"""),"Algorithms")</f>
        <v>Algorithms</v>
      </c>
      <c r="I1976" s="23">
        <f>IFERROR(__xludf.DUMMYFUNCTION("""COMPUTED_VALUE"""),0.448)</f>
        <v>0.448</v>
      </c>
      <c r="J1976" s="23">
        <f>IFERROR(__xludf.DUMMYFUNCTION("""COMPUTED_VALUE"""),1975.0)</f>
        <v>1975</v>
      </c>
      <c r="K1976" s="23" t="b">
        <f>IFERROR(__xludf.DUMMYFUNCTION("""COMPUTED_VALUE"""),FALSE)</f>
        <v>0</v>
      </c>
      <c r="L1976" s="23" t="str">
        <f>IFERROR(__xludf.DUMMYFUNCTION("""COMPUTED_VALUE"""),"Array;Greedy;Matrix;")</f>
        <v>Array;Greedy;Matrix;</v>
      </c>
      <c r="M1976" s="23" t="b">
        <f>IFERROR(__xludf.DUMMYFUNCTION("""COMPUTED_VALUE"""),FALSE)</f>
        <v>0</v>
      </c>
      <c r="N1976" s="23" t="b">
        <f>IFERROR(__xludf.DUMMYFUNCTION("""COMPUTED_VALUE"""),FALSE)</f>
        <v>0</v>
      </c>
      <c r="O1976" s="23">
        <f>IFERROR(__xludf.DUMMYFUNCTION("""COMPUTED_VALUE"""),44.7989588942739)</f>
        <v>44.79895889</v>
      </c>
      <c r="P1976" s="23">
        <f>IFERROR(__xludf.DUMMYFUNCTION("""COMPUTED_VALUE"""),9983.0)</f>
        <v>9983</v>
      </c>
      <c r="Q1976" s="23">
        <f>IFERROR(__xludf.DUMMYFUNCTION("""COMPUTED_VALUE"""),22284.0)</f>
        <v>22284</v>
      </c>
    </row>
    <row r="1977">
      <c r="A1977" s="23">
        <f>IFERROR(__xludf.DUMMYFUNCTION("""COMPUTED_VALUE"""),2090.0)</f>
        <v>2090</v>
      </c>
      <c r="B1977" s="23" t="str">
        <f>IFERROR(__xludf.DUMMYFUNCTION("""COMPUTED_VALUE"""),"Number of Ways to Arrive at Destination")</f>
        <v>Number of Ways to Arrive at Destination</v>
      </c>
      <c r="C1977" s="23" t="str">
        <f>IFERROR(__xludf.DUMMYFUNCTION("""COMPUTED_VALUE"""),"number-of-ways-to-arrive-at-destination")</f>
        <v>number-of-ways-to-arrive-at-destination</v>
      </c>
      <c r="D1977" s="23" t="b">
        <f>IFERROR(__xludf.DUMMYFUNCTION("""COMPUTED_VALUE"""),FALSE)</f>
        <v>0</v>
      </c>
      <c r="E1977" s="23" t="str">
        <f>IFERROR(__xludf.DUMMYFUNCTION("""COMPUTED_VALUE"""),"Medium")</f>
        <v>Medium</v>
      </c>
      <c r="F1977" s="23">
        <f>IFERROR(__xludf.DUMMYFUNCTION("""COMPUTED_VALUE"""),811.0)</f>
        <v>811</v>
      </c>
      <c r="G1977" s="23">
        <f>IFERROR(__xludf.DUMMYFUNCTION("""COMPUTED_VALUE"""),23.0)</f>
        <v>23</v>
      </c>
      <c r="H1977" s="23" t="str">
        <f>IFERROR(__xludf.DUMMYFUNCTION("""COMPUTED_VALUE"""),"Algorithms")</f>
        <v>Algorithms</v>
      </c>
      <c r="I1977" s="23">
        <f>IFERROR(__xludf.DUMMYFUNCTION("""COMPUTED_VALUE"""),0.329)</f>
        <v>0.329</v>
      </c>
      <c r="J1977" s="23">
        <f>IFERROR(__xludf.DUMMYFUNCTION("""COMPUTED_VALUE"""),1976.0)</f>
        <v>1976</v>
      </c>
      <c r="K1977" s="23" t="b">
        <f>IFERROR(__xludf.DUMMYFUNCTION("""COMPUTED_VALUE"""),FALSE)</f>
        <v>0</v>
      </c>
      <c r="L1977" s="23" t="str">
        <f>IFERROR(__xludf.DUMMYFUNCTION("""COMPUTED_VALUE"""),"Dynamic Programming;Graph;Topological Sort;Shortest Path;")</f>
        <v>Dynamic Programming;Graph;Topological Sort;Shortest Path;</v>
      </c>
      <c r="M1977" s="23" t="b">
        <f>IFERROR(__xludf.DUMMYFUNCTION("""COMPUTED_VALUE"""),FALSE)</f>
        <v>0</v>
      </c>
      <c r="N1977" s="23" t="b">
        <f>IFERROR(__xludf.DUMMYFUNCTION("""COMPUTED_VALUE"""),FALSE)</f>
        <v>0</v>
      </c>
      <c r="O1977" s="23">
        <f>IFERROR(__xludf.DUMMYFUNCTION("""COMPUTED_VALUE"""),32.9356725146198)</f>
        <v>32.93567251</v>
      </c>
      <c r="P1977" s="23">
        <f>IFERROR(__xludf.DUMMYFUNCTION("""COMPUTED_VALUE"""),14080.0)</f>
        <v>14080</v>
      </c>
      <c r="Q1977" s="23">
        <f>IFERROR(__xludf.DUMMYFUNCTION("""COMPUTED_VALUE"""),42750.0)</f>
        <v>42750</v>
      </c>
    </row>
    <row r="1978">
      <c r="A1978" s="23">
        <f>IFERROR(__xludf.DUMMYFUNCTION("""COMPUTED_VALUE"""),2091.0)</f>
        <v>2091</v>
      </c>
      <c r="B1978" s="23" t="str">
        <f>IFERROR(__xludf.DUMMYFUNCTION("""COMPUTED_VALUE"""),"Number of Ways to Separate Numbers")</f>
        <v>Number of Ways to Separate Numbers</v>
      </c>
      <c r="C1978" s="23" t="str">
        <f>IFERROR(__xludf.DUMMYFUNCTION("""COMPUTED_VALUE"""),"number-of-ways-to-separate-numbers")</f>
        <v>number-of-ways-to-separate-numbers</v>
      </c>
      <c r="D1978" s="23" t="b">
        <f>IFERROR(__xludf.DUMMYFUNCTION("""COMPUTED_VALUE"""),FALSE)</f>
        <v>0</v>
      </c>
      <c r="E1978" s="23" t="str">
        <f>IFERROR(__xludf.DUMMYFUNCTION("""COMPUTED_VALUE"""),"Hard")</f>
        <v>Hard</v>
      </c>
      <c r="F1978" s="23">
        <f>IFERROR(__xludf.DUMMYFUNCTION("""COMPUTED_VALUE"""),228.0)</f>
        <v>228</v>
      </c>
      <c r="G1978" s="23">
        <f>IFERROR(__xludf.DUMMYFUNCTION("""COMPUTED_VALUE"""),30.0)</f>
        <v>30</v>
      </c>
      <c r="H1978" s="23" t="str">
        <f>IFERROR(__xludf.DUMMYFUNCTION("""COMPUTED_VALUE"""),"Algorithms")</f>
        <v>Algorithms</v>
      </c>
      <c r="I1978" s="23">
        <f>IFERROR(__xludf.DUMMYFUNCTION("""COMPUTED_VALUE"""),0.222)</f>
        <v>0.222</v>
      </c>
      <c r="J1978" s="23">
        <f>IFERROR(__xludf.DUMMYFUNCTION("""COMPUTED_VALUE"""),1977.0)</f>
        <v>1977</v>
      </c>
      <c r="K1978" s="23" t="b">
        <f>IFERROR(__xludf.DUMMYFUNCTION("""COMPUTED_VALUE"""),FALSE)</f>
        <v>0</v>
      </c>
      <c r="L1978" s="23" t="str">
        <f>IFERROR(__xludf.DUMMYFUNCTION("""COMPUTED_VALUE"""),"String;Dynamic Programming;Suffix Array;")</f>
        <v>String;Dynamic Programming;Suffix Array;</v>
      </c>
      <c r="M1978" s="23" t="b">
        <f>IFERROR(__xludf.DUMMYFUNCTION("""COMPUTED_VALUE"""),FALSE)</f>
        <v>0</v>
      </c>
      <c r="N1978" s="23" t="b">
        <f>IFERROR(__xludf.DUMMYFUNCTION("""COMPUTED_VALUE"""),FALSE)</f>
        <v>0</v>
      </c>
      <c r="O1978" s="23">
        <f>IFERROR(__xludf.DUMMYFUNCTION("""COMPUTED_VALUE"""),22.2417091836734)</f>
        <v>22.24170918</v>
      </c>
      <c r="P1978" s="23">
        <f>IFERROR(__xludf.DUMMYFUNCTION("""COMPUTED_VALUE"""),2790.0)</f>
        <v>2790</v>
      </c>
      <c r="Q1978" s="23">
        <f>IFERROR(__xludf.DUMMYFUNCTION("""COMPUTED_VALUE"""),12544.0)</f>
        <v>12544</v>
      </c>
    </row>
    <row r="1979">
      <c r="A1979" s="23">
        <f>IFERROR(__xludf.DUMMYFUNCTION("""COMPUTED_VALUE"""),2127.0)</f>
        <v>2127</v>
      </c>
      <c r="B1979" s="23" t="str">
        <f>IFERROR(__xludf.DUMMYFUNCTION("""COMPUTED_VALUE"""),"Employees Whose Manager Left the Company")</f>
        <v>Employees Whose Manager Left the Company</v>
      </c>
      <c r="C1979" s="23" t="str">
        <f>IFERROR(__xludf.DUMMYFUNCTION("""COMPUTED_VALUE"""),"employees-whose-manager-left-the-company")</f>
        <v>employees-whose-manager-left-the-company</v>
      </c>
      <c r="D1979" s="23" t="b">
        <f>IFERROR(__xludf.DUMMYFUNCTION("""COMPUTED_VALUE"""),TRUE)</f>
        <v>1</v>
      </c>
      <c r="E1979" s="23" t="str">
        <f>IFERROR(__xludf.DUMMYFUNCTION("""COMPUTED_VALUE"""),"Easy")</f>
        <v>Easy</v>
      </c>
      <c r="F1979" s="23">
        <f>IFERROR(__xludf.DUMMYFUNCTION("""COMPUTED_VALUE"""),27.0)</f>
        <v>27</v>
      </c>
      <c r="G1979" s="23">
        <f>IFERROR(__xludf.DUMMYFUNCTION("""COMPUTED_VALUE"""),5.0)</f>
        <v>5</v>
      </c>
      <c r="H1979" s="23" t="str">
        <f>IFERROR(__xludf.DUMMYFUNCTION("""COMPUTED_VALUE"""),"Database")</f>
        <v>Database</v>
      </c>
      <c r="I1979" s="23">
        <f>IFERROR(__xludf.DUMMYFUNCTION("""COMPUTED_VALUE"""),0.502)</f>
        <v>0.502</v>
      </c>
      <c r="J1979" s="23">
        <f>IFERROR(__xludf.DUMMYFUNCTION("""COMPUTED_VALUE"""),1978.0)</f>
        <v>1978</v>
      </c>
      <c r="K1979" s="23" t="b">
        <f>IFERROR(__xludf.DUMMYFUNCTION("""COMPUTED_VALUE"""),TRUE)</f>
        <v>1</v>
      </c>
      <c r="L1979" s="23" t="str">
        <f>IFERROR(__xludf.DUMMYFUNCTION("""COMPUTED_VALUE"""),"Database;")</f>
        <v>Database;</v>
      </c>
      <c r="M1979" s="23" t="b">
        <f>IFERROR(__xludf.DUMMYFUNCTION("""COMPUTED_VALUE"""),FALSE)</f>
        <v>0</v>
      </c>
      <c r="N1979" s="23" t="b">
        <f>IFERROR(__xludf.DUMMYFUNCTION("""COMPUTED_VALUE"""),FALSE)</f>
        <v>0</v>
      </c>
      <c r="O1979" s="23">
        <f>IFERROR(__xludf.DUMMYFUNCTION("""COMPUTED_VALUE"""),50.248087657639)</f>
        <v>50.24808766</v>
      </c>
      <c r="P1979" s="23">
        <f>IFERROR(__xludf.DUMMYFUNCTION("""COMPUTED_VALUE"""),4861.0)</f>
        <v>4861</v>
      </c>
      <c r="Q1979" s="23">
        <f>IFERROR(__xludf.DUMMYFUNCTION("""COMPUTED_VALUE"""),9674.0)</f>
        <v>9674</v>
      </c>
    </row>
    <row r="1980">
      <c r="A1980" s="23">
        <f>IFERROR(__xludf.DUMMYFUNCTION("""COMPUTED_VALUE"""),2106.0)</f>
        <v>2106</v>
      </c>
      <c r="B1980" s="23" t="str">
        <f>IFERROR(__xludf.DUMMYFUNCTION("""COMPUTED_VALUE"""),"Find Greatest Common Divisor of Array")</f>
        <v>Find Greatest Common Divisor of Array</v>
      </c>
      <c r="C1980" s="23" t="str">
        <f>IFERROR(__xludf.DUMMYFUNCTION("""COMPUTED_VALUE"""),"find-greatest-common-divisor-of-array")</f>
        <v>find-greatest-common-divisor-of-array</v>
      </c>
      <c r="D1980" s="23" t="b">
        <f>IFERROR(__xludf.DUMMYFUNCTION("""COMPUTED_VALUE"""),FALSE)</f>
        <v>0</v>
      </c>
      <c r="E1980" s="23" t="str">
        <f>IFERROR(__xludf.DUMMYFUNCTION("""COMPUTED_VALUE"""),"Easy")</f>
        <v>Easy</v>
      </c>
      <c r="F1980" s="23">
        <f>IFERROR(__xludf.DUMMYFUNCTION("""COMPUTED_VALUE"""),363.0)</f>
        <v>363</v>
      </c>
      <c r="G1980" s="23">
        <f>IFERROR(__xludf.DUMMYFUNCTION("""COMPUTED_VALUE"""),15.0)</f>
        <v>15</v>
      </c>
      <c r="H1980" s="23" t="str">
        <f>IFERROR(__xludf.DUMMYFUNCTION("""COMPUTED_VALUE"""),"Algorithms")</f>
        <v>Algorithms</v>
      </c>
      <c r="I1980" s="23">
        <f>IFERROR(__xludf.DUMMYFUNCTION("""COMPUTED_VALUE"""),0.779)</f>
        <v>0.779</v>
      </c>
      <c r="J1980" s="23">
        <f>IFERROR(__xludf.DUMMYFUNCTION("""COMPUTED_VALUE"""),1979.0)</f>
        <v>1979</v>
      </c>
      <c r="K1980" s="23" t="b">
        <f>IFERROR(__xludf.DUMMYFUNCTION("""COMPUTED_VALUE"""),FALSE)</f>
        <v>0</v>
      </c>
      <c r="L1980" s="23" t="str">
        <f>IFERROR(__xludf.DUMMYFUNCTION("""COMPUTED_VALUE"""),"Array;Math;Number Theory;")</f>
        <v>Array;Math;Number Theory;</v>
      </c>
      <c r="M1980" s="23" t="b">
        <f>IFERROR(__xludf.DUMMYFUNCTION("""COMPUTED_VALUE"""),FALSE)</f>
        <v>0</v>
      </c>
      <c r="N1980" s="23" t="b">
        <f>IFERROR(__xludf.DUMMYFUNCTION("""COMPUTED_VALUE"""),FALSE)</f>
        <v>0</v>
      </c>
      <c r="O1980" s="23">
        <f>IFERROR(__xludf.DUMMYFUNCTION("""COMPUTED_VALUE"""),77.9176379176379)</f>
        <v>77.91763792</v>
      </c>
      <c r="P1980" s="23">
        <f>IFERROR(__xludf.DUMMYFUNCTION("""COMPUTED_VALUE"""),40112.0)</f>
        <v>40112</v>
      </c>
      <c r="Q1980" s="23">
        <f>IFERROR(__xludf.DUMMYFUNCTION("""COMPUTED_VALUE"""),51480.0)</f>
        <v>51480</v>
      </c>
    </row>
    <row r="1981">
      <c r="A1981" s="23">
        <f>IFERROR(__xludf.DUMMYFUNCTION("""COMPUTED_VALUE"""),2107.0)</f>
        <v>2107</v>
      </c>
      <c r="B1981" s="23" t="str">
        <f>IFERROR(__xludf.DUMMYFUNCTION("""COMPUTED_VALUE"""),"Find Unique Binary String")</f>
        <v>Find Unique Binary String</v>
      </c>
      <c r="C1981" s="23" t="str">
        <f>IFERROR(__xludf.DUMMYFUNCTION("""COMPUTED_VALUE"""),"find-unique-binary-string")</f>
        <v>find-unique-binary-string</v>
      </c>
      <c r="D1981" s="23" t="b">
        <f>IFERROR(__xludf.DUMMYFUNCTION("""COMPUTED_VALUE"""),FALSE)</f>
        <v>0</v>
      </c>
      <c r="E1981" s="23" t="str">
        <f>IFERROR(__xludf.DUMMYFUNCTION("""COMPUTED_VALUE"""),"Medium")</f>
        <v>Medium</v>
      </c>
      <c r="F1981" s="23">
        <f>IFERROR(__xludf.DUMMYFUNCTION("""COMPUTED_VALUE"""),492.0)</f>
        <v>492</v>
      </c>
      <c r="G1981" s="23">
        <f>IFERROR(__xludf.DUMMYFUNCTION("""COMPUTED_VALUE"""),24.0)</f>
        <v>24</v>
      </c>
      <c r="H1981" s="23" t="str">
        <f>IFERROR(__xludf.DUMMYFUNCTION("""COMPUTED_VALUE"""),"Algorithms")</f>
        <v>Algorithms</v>
      </c>
      <c r="I1981" s="23">
        <f>IFERROR(__xludf.DUMMYFUNCTION("""COMPUTED_VALUE"""),0.632)</f>
        <v>0.632</v>
      </c>
      <c r="J1981" s="23">
        <f>IFERROR(__xludf.DUMMYFUNCTION("""COMPUTED_VALUE"""),1980.0)</f>
        <v>1980</v>
      </c>
      <c r="K1981" s="23" t="b">
        <f>IFERROR(__xludf.DUMMYFUNCTION("""COMPUTED_VALUE"""),FALSE)</f>
        <v>0</v>
      </c>
      <c r="L1981" s="23" t="str">
        <f>IFERROR(__xludf.DUMMYFUNCTION("""COMPUTED_VALUE"""),"Array;String;Backtracking;")</f>
        <v>Array;String;Backtracking;</v>
      </c>
      <c r="M1981" s="23" t="b">
        <f>IFERROR(__xludf.DUMMYFUNCTION("""COMPUTED_VALUE"""),FALSE)</f>
        <v>0</v>
      </c>
      <c r="N1981" s="23" t="b">
        <f>IFERROR(__xludf.DUMMYFUNCTION("""COMPUTED_VALUE"""),FALSE)</f>
        <v>0</v>
      </c>
      <c r="O1981" s="23">
        <f>IFERROR(__xludf.DUMMYFUNCTION("""COMPUTED_VALUE"""),63.2270274850993)</f>
        <v>63.22702749</v>
      </c>
      <c r="P1981" s="23">
        <f>IFERROR(__xludf.DUMMYFUNCTION("""COMPUTED_VALUE"""),22383.0)</f>
        <v>22383</v>
      </c>
      <c r="Q1981" s="23">
        <f>IFERROR(__xludf.DUMMYFUNCTION("""COMPUTED_VALUE"""),35401.0)</f>
        <v>35401</v>
      </c>
    </row>
    <row r="1982">
      <c r="A1982" s="23">
        <f>IFERROR(__xludf.DUMMYFUNCTION("""COMPUTED_VALUE"""),2108.0)</f>
        <v>2108</v>
      </c>
      <c r="B1982" s="23" t="str">
        <f>IFERROR(__xludf.DUMMYFUNCTION("""COMPUTED_VALUE"""),"Minimize the Difference Between Target and Chosen Elements")</f>
        <v>Minimize the Difference Between Target and Chosen Elements</v>
      </c>
      <c r="C1982" s="23" t="str">
        <f>IFERROR(__xludf.DUMMYFUNCTION("""COMPUTED_VALUE"""),"minimize-the-difference-between-target-and-chosen-elements")</f>
        <v>minimize-the-difference-between-target-and-chosen-elements</v>
      </c>
      <c r="D1982" s="23" t="b">
        <f>IFERROR(__xludf.DUMMYFUNCTION("""COMPUTED_VALUE"""),FALSE)</f>
        <v>0</v>
      </c>
      <c r="E1982" s="23" t="str">
        <f>IFERROR(__xludf.DUMMYFUNCTION("""COMPUTED_VALUE"""),"Medium")</f>
        <v>Medium</v>
      </c>
      <c r="F1982" s="23">
        <f>IFERROR(__xludf.DUMMYFUNCTION("""COMPUTED_VALUE"""),485.0)</f>
        <v>485</v>
      </c>
      <c r="G1982" s="23">
        <f>IFERROR(__xludf.DUMMYFUNCTION("""COMPUTED_VALUE"""),93.0)</f>
        <v>93</v>
      </c>
      <c r="H1982" s="23" t="str">
        <f>IFERROR(__xludf.DUMMYFUNCTION("""COMPUTED_VALUE"""),"Algorithms")</f>
        <v>Algorithms</v>
      </c>
      <c r="I1982" s="23">
        <f>IFERROR(__xludf.DUMMYFUNCTION("""COMPUTED_VALUE"""),0.327)</f>
        <v>0.327</v>
      </c>
      <c r="J1982" s="23">
        <f>IFERROR(__xludf.DUMMYFUNCTION("""COMPUTED_VALUE"""),1981.0)</f>
        <v>1981</v>
      </c>
      <c r="K1982" s="23" t="b">
        <f>IFERROR(__xludf.DUMMYFUNCTION("""COMPUTED_VALUE"""),FALSE)</f>
        <v>0</v>
      </c>
      <c r="L1982" s="23" t="str">
        <f>IFERROR(__xludf.DUMMYFUNCTION("""COMPUTED_VALUE"""),"Array;Dynamic Programming;Matrix;")</f>
        <v>Array;Dynamic Programming;Matrix;</v>
      </c>
      <c r="M1982" s="23" t="b">
        <f>IFERROR(__xludf.DUMMYFUNCTION("""COMPUTED_VALUE"""),FALSE)</f>
        <v>0</v>
      </c>
      <c r="N1982" s="23" t="b">
        <f>IFERROR(__xludf.DUMMYFUNCTION("""COMPUTED_VALUE"""),FALSE)</f>
        <v>0</v>
      </c>
      <c r="O1982" s="23">
        <f>IFERROR(__xludf.DUMMYFUNCTION("""COMPUTED_VALUE"""),32.698531516259)</f>
        <v>32.69853152</v>
      </c>
      <c r="P1982" s="23">
        <f>IFERROR(__xludf.DUMMYFUNCTION("""COMPUTED_VALUE"""),14852.0)</f>
        <v>14852</v>
      </c>
      <c r="Q1982" s="23">
        <f>IFERROR(__xludf.DUMMYFUNCTION("""COMPUTED_VALUE"""),45421.0)</f>
        <v>45421</v>
      </c>
    </row>
    <row r="1983">
      <c r="A1983" s="23">
        <f>IFERROR(__xludf.DUMMYFUNCTION("""COMPUTED_VALUE"""),2109.0)</f>
        <v>2109</v>
      </c>
      <c r="B1983" s="23" t="str">
        <f>IFERROR(__xludf.DUMMYFUNCTION("""COMPUTED_VALUE"""),"Find Array Given Subset Sums")</f>
        <v>Find Array Given Subset Sums</v>
      </c>
      <c r="C1983" s="23" t="str">
        <f>IFERROR(__xludf.DUMMYFUNCTION("""COMPUTED_VALUE"""),"find-array-given-subset-sums")</f>
        <v>find-array-given-subset-sums</v>
      </c>
      <c r="D1983" s="23" t="b">
        <f>IFERROR(__xludf.DUMMYFUNCTION("""COMPUTED_VALUE"""),FALSE)</f>
        <v>0</v>
      </c>
      <c r="E1983" s="23" t="str">
        <f>IFERROR(__xludf.DUMMYFUNCTION("""COMPUTED_VALUE"""),"Hard")</f>
        <v>Hard</v>
      </c>
      <c r="F1983" s="23">
        <f>IFERROR(__xludf.DUMMYFUNCTION("""COMPUTED_VALUE"""),258.0)</f>
        <v>258</v>
      </c>
      <c r="G1983" s="23">
        <f>IFERROR(__xludf.DUMMYFUNCTION("""COMPUTED_VALUE"""),19.0)</f>
        <v>19</v>
      </c>
      <c r="H1983" s="23" t="str">
        <f>IFERROR(__xludf.DUMMYFUNCTION("""COMPUTED_VALUE"""),"Algorithms")</f>
        <v>Algorithms</v>
      </c>
      <c r="I1983" s="23">
        <f>IFERROR(__xludf.DUMMYFUNCTION("""COMPUTED_VALUE"""),0.484)</f>
        <v>0.484</v>
      </c>
      <c r="J1983" s="23">
        <f>IFERROR(__xludf.DUMMYFUNCTION("""COMPUTED_VALUE"""),1982.0)</f>
        <v>1982</v>
      </c>
      <c r="K1983" s="23" t="b">
        <f>IFERROR(__xludf.DUMMYFUNCTION("""COMPUTED_VALUE"""),FALSE)</f>
        <v>0</v>
      </c>
      <c r="L1983" s="23" t="str">
        <f>IFERROR(__xludf.DUMMYFUNCTION("""COMPUTED_VALUE"""),"Array;Divide and Conquer;")</f>
        <v>Array;Divide and Conquer;</v>
      </c>
      <c r="M1983" s="23" t="b">
        <f>IFERROR(__xludf.DUMMYFUNCTION("""COMPUTED_VALUE"""),FALSE)</f>
        <v>0</v>
      </c>
      <c r="N1983" s="23" t="b">
        <f>IFERROR(__xludf.DUMMYFUNCTION("""COMPUTED_VALUE"""),FALSE)</f>
        <v>0</v>
      </c>
      <c r="O1983" s="23">
        <f>IFERROR(__xludf.DUMMYFUNCTION("""COMPUTED_VALUE"""),48.4399872652021)</f>
        <v>48.43998727</v>
      </c>
      <c r="P1983" s="23">
        <f>IFERROR(__xludf.DUMMYFUNCTION("""COMPUTED_VALUE"""),3043.0)</f>
        <v>3043</v>
      </c>
      <c r="Q1983" s="23">
        <f>IFERROR(__xludf.DUMMYFUNCTION("""COMPUTED_VALUE"""),6282.0)</f>
        <v>6282</v>
      </c>
    </row>
    <row r="1984">
      <c r="A1984" s="23">
        <f>IFERROR(__xludf.DUMMYFUNCTION("""COMPUTED_VALUE"""),519.0)</f>
        <v>519</v>
      </c>
      <c r="B1984" s="23" t="str">
        <f>IFERROR(__xludf.DUMMYFUNCTION("""COMPUTED_VALUE"""),"Widest Pair of Indices With Equal Range Sum")</f>
        <v>Widest Pair of Indices With Equal Range Sum</v>
      </c>
      <c r="C1984" s="23" t="str">
        <f>IFERROR(__xludf.DUMMYFUNCTION("""COMPUTED_VALUE"""),"widest-pair-of-indices-with-equal-range-sum")</f>
        <v>widest-pair-of-indices-with-equal-range-sum</v>
      </c>
      <c r="D1984" s="23" t="b">
        <f>IFERROR(__xludf.DUMMYFUNCTION("""COMPUTED_VALUE"""),TRUE)</f>
        <v>1</v>
      </c>
      <c r="E1984" s="23" t="str">
        <f>IFERROR(__xludf.DUMMYFUNCTION("""COMPUTED_VALUE"""),"Medium")</f>
        <v>Medium</v>
      </c>
      <c r="F1984" s="23">
        <f>IFERROR(__xludf.DUMMYFUNCTION("""COMPUTED_VALUE"""),45.0)</f>
        <v>45</v>
      </c>
      <c r="G1984" s="23">
        <f>IFERROR(__xludf.DUMMYFUNCTION("""COMPUTED_VALUE"""),0.0)</f>
        <v>0</v>
      </c>
      <c r="H1984" s="23" t="str">
        <f>IFERROR(__xludf.DUMMYFUNCTION("""COMPUTED_VALUE"""),"Algorithms")</f>
        <v>Algorithms</v>
      </c>
      <c r="I1984" s="23">
        <f>IFERROR(__xludf.DUMMYFUNCTION("""COMPUTED_VALUE"""),0.537)</f>
        <v>0.537</v>
      </c>
      <c r="J1984" s="23">
        <f>IFERROR(__xludf.DUMMYFUNCTION("""COMPUTED_VALUE"""),1983.0)</f>
        <v>1983</v>
      </c>
      <c r="K1984" s="23" t="b">
        <f>IFERROR(__xludf.DUMMYFUNCTION("""COMPUTED_VALUE"""),TRUE)</f>
        <v>1</v>
      </c>
      <c r="L1984" s="23" t="str">
        <f>IFERROR(__xludf.DUMMYFUNCTION("""COMPUTED_VALUE"""),"Array;Hash Table;Prefix Sum;")</f>
        <v>Array;Hash Table;Prefix Sum;</v>
      </c>
      <c r="M1984" s="23" t="b">
        <f>IFERROR(__xludf.DUMMYFUNCTION("""COMPUTED_VALUE"""),FALSE)</f>
        <v>0</v>
      </c>
      <c r="N1984" s="23" t="b">
        <f>IFERROR(__xludf.DUMMYFUNCTION("""COMPUTED_VALUE"""),FALSE)</f>
        <v>0</v>
      </c>
      <c r="O1984" s="23">
        <f>IFERROR(__xludf.DUMMYFUNCTION("""COMPUTED_VALUE"""),53.6771728748806)</f>
        <v>53.67717287</v>
      </c>
      <c r="P1984" s="23">
        <f>IFERROR(__xludf.DUMMYFUNCTION("""COMPUTED_VALUE"""),1124.0)</f>
        <v>1124</v>
      </c>
      <c r="Q1984" s="23">
        <f>IFERROR(__xludf.DUMMYFUNCTION("""COMPUTED_VALUE"""),2094.0)</f>
        <v>2094</v>
      </c>
    </row>
    <row r="1985">
      <c r="A1985" s="23">
        <f>IFERROR(__xludf.DUMMYFUNCTION("""COMPUTED_VALUE"""),2112.0)</f>
        <v>2112</v>
      </c>
      <c r="B1985" s="23" t="str">
        <f>IFERROR(__xludf.DUMMYFUNCTION("""COMPUTED_VALUE"""),"Minimum Difference Between Highest and Lowest of K Scores")</f>
        <v>Minimum Difference Between Highest and Lowest of K Scores</v>
      </c>
      <c r="C1985" s="23" t="str">
        <f>IFERROR(__xludf.DUMMYFUNCTION("""COMPUTED_VALUE"""),"minimum-difference-between-highest-and-lowest-of-k-scores")</f>
        <v>minimum-difference-between-highest-and-lowest-of-k-scores</v>
      </c>
      <c r="D1985" s="23" t="b">
        <f>IFERROR(__xludf.DUMMYFUNCTION("""COMPUTED_VALUE"""),FALSE)</f>
        <v>0</v>
      </c>
      <c r="E1985" s="23" t="str">
        <f>IFERROR(__xludf.DUMMYFUNCTION("""COMPUTED_VALUE"""),"Easy")</f>
        <v>Easy</v>
      </c>
      <c r="F1985" s="23">
        <f>IFERROR(__xludf.DUMMYFUNCTION("""COMPUTED_VALUE"""),307.0)</f>
        <v>307</v>
      </c>
      <c r="G1985" s="23">
        <f>IFERROR(__xludf.DUMMYFUNCTION("""COMPUTED_VALUE"""),43.0)</f>
        <v>43</v>
      </c>
      <c r="H1985" s="23" t="str">
        <f>IFERROR(__xludf.DUMMYFUNCTION("""COMPUTED_VALUE"""),"Algorithms")</f>
        <v>Algorithms</v>
      </c>
      <c r="I1985" s="23">
        <f>IFERROR(__xludf.DUMMYFUNCTION("""COMPUTED_VALUE"""),0.535)</f>
        <v>0.535</v>
      </c>
      <c r="J1985" s="23">
        <f>IFERROR(__xludf.DUMMYFUNCTION("""COMPUTED_VALUE"""),1984.0)</f>
        <v>1984</v>
      </c>
      <c r="K1985" s="23" t="b">
        <f>IFERROR(__xludf.DUMMYFUNCTION("""COMPUTED_VALUE"""),FALSE)</f>
        <v>0</v>
      </c>
      <c r="L1985" s="23" t="str">
        <f>IFERROR(__xludf.DUMMYFUNCTION("""COMPUTED_VALUE"""),"Array;Sliding Window;Sorting;")</f>
        <v>Array;Sliding Window;Sorting;</v>
      </c>
      <c r="M1985" s="23" t="b">
        <f>IFERROR(__xludf.DUMMYFUNCTION("""COMPUTED_VALUE"""),FALSE)</f>
        <v>0</v>
      </c>
      <c r="N1985" s="23" t="b">
        <f>IFERROR(__xludf.DUMMYFUNCTION("""COMPUTED_VALUE"""),FALSE)</f>
        <v>0</v>
      </c>
      <c r="O1985" s="23">
        <f>IFERROR(__xludf.DUMMYFUNCTION("""COMPUTED_VALUE"""),53.4996704182026)</f>
        <v>53.49967042</v>
      </c>
      <c r="P1985" s="23">
        <f>IFERROR(__xludf.DUMMYFUNCTION("""COMPUTED_VALUE"""),21913.0)</f>
        <v>21913</v>
      </c>
      <c r="Q1985" s="23">
        <f>IFERROR(__xludf.DUMMYFUNCTION("""COMPUTED_VALUE"""),40960.0)</f>
        <v>40960</v>
      </c>
    </row>
    <row r="1986">
      <c r="A1986" s="23">
        <f>IFERROR(__xludf.DUMMYFUNCTION("""COMPUTED_VALUE"""),2113.0)</f>
        <v>2113</v>
      </c>
      <c r="B1986" s="23" t="str">
        <f>IFERROR(__xludf.DUMMYFUNCTION("""COMPUTED_VALUE"""),"Find the Kth Largest Integer in the Array")</f>
        <v>Find the Kth Largest Integer in the Array</v>
      </c>
      <c r="C1986" s="23" t="str">
        <f>IFERROR(__xludf.DUMMYFUNCTION("""COMPUTED_VALUE"""),"find-the-kth-largest-integer-in-the-array")</f>
        <v>find-the-kth-largest-integer-in-the-array</v>
      </c>
      <c r="D1986" s="23" t="b">
        <f>IFERROR(__xludf.DUMMYFUNCTION("""COMPUTED_VALUE"""),FALSE)</f>
        <v>0</v>
      </c>
      <c r="E1986" s="23" t="str">
        <f>IFERROR(__xludf.DUMMYFUNCTION("""COMPUTED_VALUE"""),"Medium")</f>
        <v>Medium</v>
      </c>
      <c r="F1986" s="23">
        <f>IFERROR(__xludf.DUMMYFUNCTION("""COMPUTED_VALUE"""),455.0)</f>
        <v>455</v>
      </c>
      <c r="G1986" s="23">
        <f>IFERROR(__xludf.DUMMYFUNCTION("""COMPUTED_VALUE"""),74.0)</f>
        <v>74</v>
      </c>
      <c r="H1986" s="23" t="str">
        <f>IFERROR(__xludf.DUMMYFUNCTION("""COMPUTED_VALUE"""),"Algorithms")</f>
        <v>Algorithms</v>
      </c>
      <c r="I1986" s="23">
        <f>IFERROR(__xludf.DUMMYFUNCTION("""COMPUTED_VALUE"""),0.446)</f>
        <v>0.446</v>
      </c>
      <c r="J1986" s="23">
        <f>IFERROR(__xludf.DUMMYFUNCTION("""COMPUTED_VALUE"""),1985.0)</f>
        <v>1985</v>
      </c>
      <c r="K1986" s="23" t="b">
        <f>IFERROR(__xludf.DUMMYFUNCTION("""COMPUTED_VALUE"""),FALSE)</f>
        <v>0</v>
      </c>
      <c r="L1986" s="23" t="str">
        <f>IFERROR(__xludf.DUMMYFUNCTION("""COMPUTED_VALUE"""),"Array;String;Divide and Conquer;Sorting;Heap (Priority Queue);Quickselect;")</f>
        <v>Array;String;Divide and Conquer;Sorting;Heap (Priority Queue);Quickselect;</v>
      </c>
      <c r="M1986" s="23" t="b">
        <f>IFERROR(__xludf.DUMMYFUNCTION("""COMPUTED_VALUE"""),FALSE)</f>
        <v>0</v>
      </c>
      <c r="N1986" s="23" t="b">
        <f>IFERROR(__xludf.DUMMYFUNCTION("""COMPUTED_VALUE"""),FALSE)</f>
        <v>0</v>
      </c>
      <c r="O1986" s="23">
        <f>IFERROR(__xludf.DUMMYFUNCTION("""COMPUTED_VALUE"""),44.6199109414758)</f>
        <v>44.61991094</v>
      </c>
      <c r="P1986" s="23">
        <f>IFERROR(__xludf.DUMMYFUNCTION("""COMPUTED_VALUE"""),28057.0)</f>
        <v>28057</v>
      </c>
      <c r="Q1986" s="23">
        <f>IFERROR(__xludf.DUMMYFUNCTION("""COMPUTED_VALUE"""),62880.0)</f>
        <v>62880</v>
      </c>
    </row>
    <row r="1987">
      <c r="A1987" s="23">
        <f>IFERROR(__xludf.DUMMYFUNCTION("""COMPUTED_VALUE"""),2114.0)</f>
        <v>2114</v>
      </c>
      <c r="B1987" s="23" t="str">
        <f>IFERROR(__xludf.DUMMYFUNCTION("""COMPUTED_VALUE"""),"Minimum Number of Work Sessions to Finish the Tasks")</f>
        <v>Minimum Number of Work Sessions to Finish the Tasks</v>
      </c>
      <c r="C1987" s="23" t="str">
        <f>IFERROR(__xludf.DUMMYFUNCTION("""COMPUTED_VALUE"""),"minimum-number-of-work-sessions-to-finish-the-tasks")</f>
        <v>minimum-number-of-work-sessions-to-finish-the-tasks</v>
      </c>
      <c r="D1987" s="23" t="b">
        <f>IFERROR(__xludf.DUMMYFUNCTION("""COMPUTED_VALUE"""),FALSE)</f>
        <v>0</v>
      </c>
      <c r="E1987" s="23" t="str">
        <f>IFERROR(__xludf.DUMMYFUNCTION("""COMPUTED_VALUE"""),"Medium")</f>
        <v>Medium</v>
      </c>
      <c r="F1987" s="23">
        <f>IFERROR(__xludf.DUMMYFUNCTION("""COMPUTED_VALUE"""),511.0)</f>
        <v>511</v>
      </c>
      <c r="G1987" s="23">
        <f>IFERROR(__xludf.DUMMYFUNCTION("""COMPUTED_VALUE"""),32.0)</f>
        <v>32</v>
      </c>
      <c r="H1987" s="23" t="str">
        <f>IFERROR(__xludf.DUMMYFUNCTION("""COMPUTED_VALUE"""),"Algorithms")</f>
        <v>Algorithms</v>
      </c>
      <c r="I1987" s="23">
        <f>IFERROR(__xludf.DUMMYFUNCTION("""COMPUTED_VALUE"""),0.316)</f>
        <v>0.316</v>
      </c>
      <c r="J1987" s="23">
        <f>IFERROR(__xludf.DUMMYFUNCTION("""COMPUTED_VALUE"""),1986.0)</f>
        <v>1986</v>
      </c>
      <c r="K1987" s="23" t="b">
        <f>IFERROR(__xludf.DUMMYFUNCTION("""COMPUTED_VALUE"""),FALSE)</f>
        <v>0</v>
      </c>
      <c r="L1987" s="23" t="str">
        <f>IFERROR(__xludf.DUMMYFUNCTION("""COMPUTED_VALUE"""),"Array;Dynamic Programming;Backtracking;Bit Manipulation;Bitmask;")</f>
        <v>Array;Dynamic Programming;Backtracking;Bit Manipulation;Bitmask;</v>
      </c>
      <c r="M1987" s="23" t="b">
        <f>IFERROR(__xludf.DUMMYFUNCTION("""COMPUTED_VALUE"""),FALSE)</f>
        <v>0</v>
      </c>
      <c r="N1987" s="23" t="b">
        <f>IFERROR(__xludf.DUMMYFUNCTION("""COMPUTED_VALUE"""),FALSE)</f>
        <v>0</v>
      </c>
      <c r="O1987" s="23">
        <f>IFERROR(__xludf.DUMMYFUNCTION("""COMPUTED_VALUE"""),31.6131653799268)</f>
        <v>31.61316538</v>
      </c>
      <c r="P1987" s="23">
        <f>IFERROR(__xludf.DUMMYFUNCTION("""COMPUTED_VALUE"""),11670.0)</f>
        <v>11670</v>
      </c>
      <c r="Q1987" s="23">
        <f>IFERROR(__xludf.DUMMYFUNCTION("""COMPUTED_VALUE"""),36915.0)</f>
        <v>36915</v>
      </c>
    </row>
    <row r="1988">
      <c r="A1988" s="23">
        <f>IFERROR(__xludf.DUMMYFUNCTION("""COMPUTED_VALUE"""),2115.0)</f>
        <v>2115</v>
      </c>
      <c r="B1988" s="23" t="str">
        <f>IFERROR(__xludf.DUMMYFUNCTION("""COMPUTED_VALUE"""),"Number of Unique Good Subsequences")</f>
        <v>Number of Unique Good Subsequences</v>
      </c>
      <c r="C1988" s="23" t="str">
        <f>IFERROR(__xludf.DUMMYFUNCTION("""COMPUTED_VALUE"""),"number-of-unique-good-subsequences")</f>
        <v>number-of-unique-good-subsequences</v>
      </c>
      <c r="D1988" s="23" t="b">
        <f>IFERROR(__xludf.DUMMYFUNCTION("""COMPUTED_VALUE"""),FALSE)</f>
        <v>0</v>
      </c>
      <c r="E1988" s="23" t="str">
        <f>IFERROR(__xludf.DUMMYFUNCTION("""COMPUTED_VALUE"""),"Hard")</f>
        <v>Hard</v>
      </c>
      <c r="F1988" s="23">
        <f>IFERROR(__xludf.DUMMYFUNCTION("""COMPUTED_VALUE"""),370.0)</f>
        <v>370</v>
      </c>
      <c r="G1988" s="23">
        <f>IFERROR(__xludf.DUMMYFUNCTION("""COMPUTED_VALUE"""),7.0)</f>
        <v>7</v>
      </c>
      <c r="H1988" s="23" t="str">
        <f>IFERROR(__xludf.DUMMYFUNCTION("""COMPUTED_VALUE"""),"Algorithms")</f>
        <v>Algorithms</v>
      </c>
      <c r="I1988" s="23">
        <f>IFERROR(__xludf.DUMMYFUNCTION("""COMPUTED_VALUE"""),0.52)</f>
        <v>0.52</v>
      </c>
      <c r="J1988" s="23">
        <f>IFERROR(__xludf.DUMMYFUNCTION("""COMPUTED_VALUE"""),1987.0)</f>
        <v>1987</v>
      </c>
      <c r="K1988" s="23" t="b">
        <f>IFERROR(__xludf.DUMMYFUNCTION("""COMPUTED_VALUE"""),FALSE)</f>
        <v>0</v>
      </c>
      <c r="L1988" s="23" t="str">
        <f>IFERROR(__xludf.DUMMYFUNCTION("""COMPUTED_VALUE"""),"String;Dynamic Programming;")</f>
        <v>String;Dynamic Programming;</v>
      </c>
      <c r="M1988" s="23" t="b">
        <f>IFERROR(__xludf.DUMMYFUNCTION("""COMPUTED_VALUE"""),FALSE)</f>
        <v>0</v>
      </c>
      <c r="N1988" s="23" t="b">
        <f>IFERROR(__xludf.DUMMYFUNCTION("""COMPUTED_VALUE"""),FALSE)</f>
        <v>0</v>
      </c>
      <c r="O1988" s="23">
        <f>IFERROR(__xludf.DUMMYFUNCTION("""COMPUTED_VALUE"""),52.0411226174396)</f>
        <v>52.04112262</v>
      </c>
      <c r="P1988" s="23">
        <f>IFERROR(__xludf.DUMMYFUNCTION("""COMPUTED_VALUE"""),6935.0)</f>
        <v>6935</v>
      </c>
      <c r="Q1988" s="23">
        <f>IFERROR(__xludf.DUMMYFUNCTION("""COMPUTED_VALUE"""),13326.0)</f>
        <v>13326</v>
      </c>
    </row>
    <row r="1989">
      <c r="A1989" s="23">
        <f>IFERROR(__xludf.DUMMYFUNCTION("""COMPUTED_VALUE"""),2136.0)</f>
        <v>2136</v>
      </c>
      <c r="B1989" s="23" t="str">
        <f>IFERROR(__xludf.DUMMYFUNCTION("""COMPUTED_VALUE"""),"Find Cutoff Score for Each School")</f>
        <v>Find Cutoff Score for Each School</v>
      </c>
      <c r="C1989" s="23" t="str">
        <f>IFERROR(__xludf.DUMMYFUNCTION("""COMPUTED_VALUE"""),"find-cutoff-score-for-each-school")</f>
        <v>find-cutoff-score-for-each-school</v>
      </c>
      <c r="D1989" s="23" t="b">
        <f>IFERROR(__xludf.DUMMYFUNCTION("""COMPUTED_VALUE"""),TRUE)</f>
        <v>1</v>
      </c>
      <c r="E1989" s="23" t="str">
        <f>IFERROR(__xludf.DUMMYFUNCTION("""COMPUTED_VALUE"""),"Medium")</f>
        <v>Medium</v>
      </c>
      <c r="F1989" s="23">
        <f>IFERROR(__xludf.DUMMYFUNCTION("""COMPUTED_VALUE"""),27.0)</f>
        <v>27</v>
      </c>
      <c r="G1989" s="23">
        <f>IFERROR(__xludf.DUMMYFUNCTION("""COMPUTED_VALUE"""),60.0)</f>
        <v>60</v>
      </c>
      <c r="H1989" s="23" t="str">
        <f>IFERROR(__xludf.DUMMYFUNCTION("""COMPUTED_VALUE"""),"Database")</f>
        <v>Database</v>
      </c>
      <c r="I1989" s="23">
        <f>IFERROR(__xludf.DUMMYFUNCTION("""COMPUTED_VALUE"""),0.691)</f>
        <v>0.691</v>
      </c>
      <c r="J1989" s="23">
        <f>IFERROR(__xludf.DUMMYFUNCTION("""COMPUTED_VALUE"""),1988.0)</f>
        <v>1988</v>
      </c>
      <c r="K1989" s="23" t="b">
        <f>IFERROR(__xludf.DUMMYFUNCTION("""COMPUTED_VALUE"""),TRUE)</f>
        <v>1</v>
      </c>
      <c r="L1989" s="23" t="str">
        <f>IFERROR(__xludf.DUMMYFUNCTION("""COMPUTED_VALUE"""),"Database;")</f>
        <v>Database;</v>
      </c>
      <c r="M1989" s="23" t="b">
        <f>IFERROR(__xludf.DUMMYFUNCTION("""COMPUTED_VALUE"""),FALSE)</f>
        <v>0</v>
      </c>
      <c r="N1989" s="23" t="b">
        <f>IFERROR(__xludf.DUMMYFUNCTION("""COMPUTED_VALUE"""),FALSE)</f>
        <v>0</v>
      </c>
      <c r="O1989" s="23">
        <f>IFERROR(__xludf.DUMMYFUNCTION("""COMPUTED_VALUE"""),69.080604534005)</f>
        <v>69.08060453</v>
      </c>
      <c r="P1989" s="23">
        <f>IFERROR(__xludf.DUMMYFUNCTION("""COMPUTED_VALUE"""),3291.0)</f>
        <v>3291</v>
      </c>
      <c r="Q1989" s="23">
        <f>IFERROR(__xludf.DUMMYFUNCTION("""COMPUTED_VALUE"""),4764.0)</f>
        <v>4764</v>
      </c>
    </row>
    <row r="1990">
      <c r="A1990" s="23">
        <f>IFERROR(__xludf.DUMMYFUNCTION("""COMPUTED_VALUE"""),1979.0)</f>
        <v>1979</v>
      </c>
      <c r="B1990" s="23" t="str">
        <f>IFERROR(__xludf.DUMMYFUNCTION("""COMPUTED_VALUE"""),"Maximum Number of People That Can Be Caught in Tag")</f>
        <v>Maximum Number of People That Can Be Caught in Tag</v>
      </c>
      <c r="C1990" s="23" t="str">
        <f>IFERROR(__xludf.DUMMYFUNCTION("""COMPUTED_VALUE"""),"maximum-number-of-people-that-can-be-caught-in-tag")</f>
        <v>maximum-number-of-people-that-can-be-caught-in-tag</v>
      </c>
      <c r="D1990" s="23" t="b">
        <f>IFERROR(__xludf.DUMMYFUNCTION("""COMPUTED_VALUE"""),TRUE)</f>
        <v>1</v>
      </c>
      <c r="E1990" s="23" t="str">
        <f>IFERROR(__xludf.DUMMYFUNCTION("""COMPUTED_VALUE"""),"Medium")</f>
        <v>Medium</v>
      </c>
      <c r="F1990" s="23">
        <f>IFERROR(__xludf.DUMMYFUNCTION("""COMPUTED_VALUE"""),40.0)</f>
        <v>40</v>
      </c>
      <c r="G1990" s="23">
        <f>IFERROR(__xludf.DUMMYFUNCTION("""COMPUTED_VALUE"""),6.0)</f>
        <v>6</v>
      </c>
      <c r="H1990" s="23" t="str">
        <f>IFERROR(__xludf.DUMMYFUNCTION("""COMPUTED_VALUE"""),"Algorithms")</f>
        <v>Algorithms</v>
      </c>
      <c r="I1990" s="23">
        <f>IFERROR(__xludf.DUMMYFUNCTION("""COMPUTED_VALUE"""),0.54)</f>
        <v>0.54</v>
      </c>
      <c r="J1990" s="23">
        <f>IFERROR(__xludf.DUMMYFUNCTION("""COMPUTED_VALUE"""),1989.0)</f>
        <v>1989</v>
      </c>
      <c r="K1990" s="23" t="b">
        <f>IFERROR(__xludf.DUMMYFUNCTION("""COMPUTED_VALUE"""),TRUE)</f>
        <v>1</v>
      </c>
      <c r="L1990" s="23" t="str">
        <f>IFERROR(__xludf.DUMMYFUNCTION("""COMPUTED_VALUE"""),"Array;Greedy;")</f>
        <v>Array;Greedy;</v>
      </c>
      <c r="M1990" s="23" t="b">
        <f>IFERROR(__xludf.DUMMYFUNCTION("""COMPUTED_VALUE"""),FALSE)</f>
        <v>0</v>
      </c>
      <c r="N1990" s="23" t="b">
        <f>IFERROR(__xludf.DUMMYFUNCTION("""COMPUTED_VALUE"""),FALSE)</f>
        <v>0</v>
      </c>
      <c r="O1990" s="23">
        <f>IFERROR(__xludf.DUMMYFUNCTION("""COMPUTED_VALUE"""),54.0427751695357)</f>
        <v>54.04277517</v>
      </c>
      <c r="P1990" s="23">
        <f>IFERROR(__xludf.DUMMYFUNCTION("""COMPUTED_VALUE"""),1036.0)</f>
        <v>1036</v>
      </c>
      <c r="Q1990" s="23">
        <f>IFERROR(__xludf.DUMMYFUNCTION("""COMPUTED_VALUE"""),1917.0)</f>
        <v>1917</v>
      </c>
    </row>
    <row r="1991">
      <c r="A1991" s="23">
        <f>IFERROR(__xludf.DUMMYFUNCTION("""COMPUTED_VALUE"""),2143.0)</f>
        <v>2143</v>
      </c>
      <c r="B1991" s="23" t="str">
        <f>IFERROR(__xludf.DUMMYFUNCTION("""COMPUTED_VALUE"""),"Count the Number of Experiments")</f>
        <v>Count the Number of Experiments</v>
      </c>
      <c r="C1991" s="23" t="str">
        <f>IFERROR(__xludf.DUMMYFUNCTION("""COMPUTED_VALUE"""),"count-the-number-of-experiments")</f>
        <v>count-the-number-of-experiments</v>
      </c>
      <c r="D1991" s="23" t="b">
        <f>IFERROR(__xludf.DUMMYFUNCTION("""COMPUTED_VALUE"""),TRUE)</f>
        <v>1</v>
      </c>
      <c r="E1991" s="23" t="str">
        <f>IFERROR(__xludf.DUMMYFUNCTION("""COMPUTED_VALUE"""),"Medium")</f>
        <v>Medium</v>
      </c>
      <c r="F1991" s="23">
        <f>IFERROR(__xludf.DUMMYFUNCTION("""COMPUTED_VALUE"""),7.0)</f>
        <v>7</v>
      </c>
      <c r="G1991" s="23">
        <f>IFERROR(__xludf.DUMMYFUNCTION("""COMPUTED_VALUE"""),85.0)</f>
        <v>85</v>
      </c>
      <c r="H1991" s="23" t="str">
        <f>IFERROR(__xludf.DUMMYFUNCTION("""COMPUTED_VALUE"""),"Database")</f>
        <v>Database</v>
      </c>
      <c r="I1991" s="23">
        <f>IFERROR(__xludf.DUMMYFUNCTION("""COMPUTED_VALUE"""),0.511)</f>
        <v>0.511</v>
      </c>
      <c r="J1991" s="23">
        <f>IFERROR(__xludf.DUMMYFUNCTION("""COMPUTED_VALUE"""),1990.0)</f>
        <v>1990</v>
      </c>
      <c r="K1991" s="23" t="b">
        <f>IFERROR(__xludf.DUMMYFUNCTION("""COMPUTED_VALUE"""),TRUE)</f>
        <v>1</v>
      </c>
      <c r="L1991" s="23" t="str">
        <f>IFERROR(__xludf.DUMMYFUNCTION("""COMPUTED_VALUE"""),"Database;")</f>
        <v>Database;</v>
      </c>
      <c r="M1991" s="23" t="b">
        <f>IFERROR(__xludf.DUMMYFUNCTION("""COMPUTED_VALUE"""),FALSE)</f>
        <v>0</v>
      </c>
      <c r="N1991" s="23" t="b">
        <f>IFERROR(__xludf.DUMMYFUNCTION("""COMPUTED_VALUE"""),FALSE)</f>
        <v>0</v>
      </c>
      <c r="O1991" s="23">
        <f>IFERROR(__xludf.DUMMYFUNCTION("""COMPUTED_VALUE"""),51.0987923183528)</f>
        <v>51.09879232</v>
      </c>
      <c r="P1991" s="23">
        <f>IFERROR(__xludf.DUMMYFUNCTION("""COMPUTED_VALUE"""),2581.0)</f>
        <v>2581</v>
      </c>
      <c r="Q1991" s="23">
        <f>IFERROR(__xludf.DUMMYFUNCTION("""COMPUTED_VALUE"""),5051.0)</f>
        <v>5051</v>
      </c>
    </row>
    <row r="1992">
      <c r="A1992" s="23">
        <f>IFERROR(__xludf.DUMMYFUNCTION("""COMPUTED_VALUE"""),2102.0)</f>
        <v>2102</v>
      </c>
      <c r="B1992" s="23" t="str">
        <f>IFERROR(__xludf.DUMMYFUNCTION("""COMPUTED_VALUE"""),"Find the Middle Index in Array")</f>
        <v>Find the Middle Index in Array</v>
      </c>
      <c r="C1992" s="23" t="str">
        <f>IFERROR(__xludf.DUMMYFUNCTION("""COMPUTED_VALUE"""),"find-the-middle-index-in-array")</f>
        <v>find-the-middle-index-in-array</v>
      </c>
      <c r="D1992" s="23" t="b">
        <f>IFERROR(__xludf.DUMMYFUNCTION("""COMPUTED_VALUE"""),FALSE)</f>
        <v>0</v>
      </c>
      <c r="E1992" s="23" t="str">
        <f>IFERROR(__xludf.DUMMYFUNCTION("""COMPUTED_VALUE"""),"Easy")</f>
        <v>Easy</v>
      </c>
      <c r="F1992" s="23">
        <f>IFERROR(__xludf.DUMMYFUNCTION("""COMPUTED_VALUE"""),407.0)</f>
        <v>407</v>
      </c>
      <c r="G1992" s="23">
        <f>IFERROR(__xludf.DUMMYFUNCTION("""COMPUTED_VALUE"""),19.0)</f>
        <v>19</v>
      </c>
      <c r="H1992" s="23" t="str">
        <f>IFERROR(__xludf.DUMMYFUNCTION("""COMPUTED_VALUE"""),"Algorithms")</f>
        <v>Algorithms</v>
      </c>
      <c r="I1992" s="23">
        <f>IFERROR(__xludf.DUMMYFUNCTION("""COMPUTED_VALUE"""),0.662)</f>
        <v>0.662</v>
      </c>
      <c r="J1992" s="23">
        <f>IFERROR(__xludf.DUMMYFUNCTION("""COMPUTED_VALUE"""),1991.0)</f>
        <v>1991</v>
      </c>
      <c r="K1992" s="23" t="b">
        <f>IFERROR(__xludf.DUMMYFUNCTION("""COMPUTED_VALUE"""),FALSE)</f>
        <v>0</v>
      </c>
      <c r="L1992" s="23" t="str">
        <f>IFERROR(__xludf.DUMMYFUNCTION("""COMPUTED_VALUE"""),"Array;Prefix Sum;")</f>
        <v>Array;Prefix Sum;</v>
      </c>
      <c r="M1992" s="23" t="b">
        <f>IFERROR(__xludf.DUMMYFUNCTION("""COMPUTED_VALUE"""),FALSE)</f>
        <v>0</v>
      </c>
      <c r="N1992" s="23" t="b">
        <f>IFERROR(__xludf.DUMMYFUNCTION("""COMPUTED_VALUE"""),FALSE)</f>
        <v>0</v>
      </c>
      <c r="O1992" s="23">
        <f>IFERROR(__xludf.DUMMYFUNCTION("""COMPUTED_VALUE"""),66.1784615384615)</f>
        <v>66.17846154</v>
      </c>
      <c r="P1992" s="23">
        <f>IFERROR(__xludf.DUMMYFUNCTION("""COMPUTED_VALUE"""),26885.0)</f>
        <v>26885</v>
      </c>
      <c r="Q1992" s="23">
        <f>IFERROR(__xludf.DUMMYFUNCTION("""COMPUTED_VALUE"""),40620.0)</f>
        <v>40620</v>
      </c>
    </row>
    <row r="1993">
      <c r="A1993" s="23">
        <f>IFERROR(__xludf.DUMMYFUNCTION("""COMPUTED_VALUE"""),2103.0)</f>
        <v>2103</v>
      </c>
      <c r="B1993" s="23" t="str">
        <f>IFERROR(__xludf.DUMMYFUNCTION("""COMPUTED_VALUE"""),"Find All Groups of Farmland")</f>
        <v>Find All Groups of Farmland</v>
      </c>
      <c r="C1993" s="23" t="str">
        <f>IFERROR(__xludf.DUMMYFUNCTION("""COMPUTED_VALUE"""),"find-all-groups-of-farmland")</f>
        <v>find-all-groups-of-farmland</v>
      </c>
      <c r="D1993" s="23" t="b">
        <f>IFERROR(__xludf.DUMMYFUNCTION("""COMPUTED_VALUE"""),FALSE)</f>
        <v>0</v>
      </c>
      <c r="E1993" s="23" t="str">
        <f>IFERROR(__xludf.DUMMYFUNCTION("""COMPUTED_VALUE"""),"Medium")</f>
        <v>Medium</v>
      </c>
      <c r="F1993" s="23">
        <f>IFERROR(__xludf.DUMMYFUNCTION("""COMPUTED_VALUE"""),354.0)</f>
        <v>354</v>
      </c>
      <c r="G1993" s="23">
        <f>IFERROR(__xludf.DUMMYFUNCTION("""COMPUTED_VALUE"""),17.0)</f>
        <v>17</v>
      </c>
      <c r="H1993" s="23" t="str">
        <f>IFERROR(__xludf.DUMMYFUNCTION("""COMPUTED_VALUE"""),"Algorithms")</f>
        <v>Algorithms</v>
      </c>
      <c r="I1993" s="23">
        <f>IFERROR(__xludf.DUMMYFUNCTION("""COMPUTED_VALUE"""),0.672)</f>
        <v>0.672</v>
      </c>
      <c r="J1993" s="23">
        <f>IFERROR(__xludf.DUMMYFUNCTION("""COMPUTED_VALUE"""),1992.0)</f>
        <v>1992</v>
      </c>
      <c r="K1993" s="23" t="b">
        <f>IFERROR(__xludf.DUMMYFUNCTION("""COMPUTED_VALUE"""),FALSE)</f>
        <v>0</v>
      </c>
      <c r="L1993" s="23" t="str">
        <f>IFERROR(__xludf.DUMMYFUNCTION("""COMPUTED_VALUE"""),"Array;Depth-First Search;Breadth-First Search;Matrix;")</f>
        <v>Array;Depth-First Search;Breadth-First Search;Matrix;</v>
      </c>
      <c r="M1993" s="23" t="b">
        <f>IFERROR(__xludf.DUMMYFUNCTION("""COMPUTED_VALUE"""),FALSE)</f>
        <v>0</v>
      </c>
      <c r="N1993" s="23" t="b">
        <f>IFERROR(__xludf.DUMMYFUNCTION("""COMPUTED_VALUE"""),FALSE)</f>
        <v>0</v>
      </c>
      <c r="O1993" s="23">
        <f>IFERROR(__xludf.DUMMYFUNCTION("""COMPUTED_VALUE"""),67.2444710101613)</f>
        <v>67.24447101</v>
      </c>
      <c r="P1993" s="23">
        <f>IFERROR(__xludf.DUMMYFUNCTION("""COMPUTED_VALUE"""),13500.0)</f>
        <v>13500</v>
      </c>
      <c r="Q1993" s="23">
        <f>IFERROR(__xludf.DUMMYFUNCTION("""COMPUTED_VALUE"""),20076.0)</f>
        <v>20076</v>
      </c>
    </row>
    <row r="1994">
      <c r="A1994" s="23">
        <f>IFERROR(__xludf.DUMMYFUNCTION("""COMPUTED_VALUE"""),2104.0)</f>
        <v>2104</v>
      </c>
      <c r="B1994" s="23" t="str">
        <f>IFERROR(__xludf.DUMMYFUNCTION("""COMPUTED_VALUE"""),"Operations on Tree")</f>
        <v>Operations on Tree</v>
      </c>
      <c r="C1994" s="23" t="str">
        <f>IFERROR(__xludf.DUMMYFUNCTION("""COMPUTED_VALUE"""),"operations-on-tree")</f>
        <v>operations-on-tree</v>
      </c>
      <c r="D1994" s="23" t="b">
        <f>IFERROR(__xludf.DUMMYFUNCTION("""COMPUTED_VALUE"""),FALSE)</f>
        <v>0</v>
      </c>
      <c r="E1994" s="23" t="str">
        <f>IFERROR(__xludf.DUMMYFUNCTION("""COMPUTED_VALUE"""),"Medium")</f>
        <v>Medium</v>
      </c>
      <c r="F1994" s="23">
        <f>IFERROR(__xludf.DUMMYFUNCTION("""COMPUTED_VALUE"""),210.0)</f>
        <v>210</v>
      </c>
      <c r="G1994" s="23">
        <f>IFERROR(__xludf.DUMMYFUNCTION("""COMPUTED_VALUE"""),37.0)</f>
        <v>37</v>
      </c>
      <c r="H1994" s="23" t="str">
        <f>IFERROR(__xludf.DUMMYFUNCTION("""COMPUTED_VALUE"""),"Algorithms")</f>
        <v>Algorithms</v>
      </c>
      <c r="I1994" s="23">
        <f>IFERROR(__xludf.DUMMYFUNCTION("""COMPUTED_VALUE"""),0.421)</f>
        <v>0.421</v>
      </c>
      <c r="J1994" s="23">
        <f>IFERROR(__xludf.DUMMYFUNCTION("""COMPUTED_VALUE"""),1993.0)</f>
        <v>1993</v>
      </c>
      <c r="K1994" s="23" t="b">
        <f>IFERROR(__xludf.DUMMYFUNCTION("""COMPUTED_VALUE"""),FALSE)</f>
        <v>0</v>
      </c>
      <c r="L1994" s="23" t="str">
        <f>IFERROR(__xludf.DUMMYFUNCTION("""COMPUTED_VALUE"""),"Hash Table;Tree;Breadth-First Search;Design;")</f>
        <v>Hash Table;Tree;Breadth-First Search;Design;</v>
      </c>
      <c r="M1994" s="23" t="b">
        <f>IFERROR(__xludf.DUMMYFUNCTION("""COMPUTED_VALUE"""),FALSE)</f>
        <v>0</v>
      </c>
      <c r="N1994" s="23" t="b">
        <f>IFERROR(__xludf.DUMMYFUNCTION("""COMPUTED_VALUE"""),FALSE)</f>
        <v>0</v>
      </c>
      <c r="O1994" s="23">
        <f>IFERROR(__xludf.DUMMYFUNCTION("""COMPUTED_VALUE"""),42.1347964336928)</f>
        <v>42.13479643</v>
      </c>
      <c r="P1994" s="23">
        <f>IFERROR(__xludf.DUMMYFUNCTION("""COMPUTED_VALUE"""),6758.0)</f>
        <v>6758</v>
      </c>
      <c r="Q1994" s="23">
        <f>IFERROR(__xludf.DUMMYFUNCTION("""COMPUTED_VALUE"""),16039.0)</f>
        <v>16039</v>
      </c>
    </row>
    <row r="1995">
      <c r="A1995" s="23">
        <f>IFERROR(__xludf.DUMMYFUNCTION("""COMPUTED_VALUE"""),2105.0)</f>
        <v>2105</v>
      </c>
      <c r="B1995" s="23" t="str">
        <f>IFERROR(__xludf.DUMMYFUNCTION("""COMPUTED_VALUE"""),"The Number of Good Subsets")</f>
        <v>The Number of Good Subsets</v>
      </c>
      <c r="C1995" s="23" t="str">
        <f>IFERROR(__xludf.DUMMYFUNCTION("""COMPUTED_VALUE"""),"the-number-of-good-subsets")</f>
        <v>the-number-of-good-subsets</v>
      </c>
      <c r="D1995" s="23" t="b">
        <f>IFERROR(__xludf.DUMMYFUNCTION("""COMPUTED_VALUE"""),FALSE)</f>
        <v>0</v>
      </c>
      <c r="E1995" s="23" t="str">
        <f>IFERROR(__xludf.DUMMYFUNCTION("""COMPUTED_VALUE"""),"Hard")</f>
        <v>Hard</v>
      </c>
      <c r="F1995" s="23">
        <f>IFERROR(__xludf.DUMMYFUNCTION("""COMPUTED_VALUE"""),216.0)</f>
        <v>216</v>
      </c>
      <c r="G1995" s="23">
        <f>IFERROR(__xludf.DUMMYFUNCTION("""COMPUTED_VALUE"""),8.0)</f>
        <v>8</v>
      </c>
      <c r="H1995" s="23" t="str">
        <f>IFERROR(__xludf.DUMMYFUNCTION("""COMPUTED_VALUE"""),"Algorithms")</f>
        <v>Algorithms</v>
      </c>
      <c r="I1995" s="23">
        <f>IFERROR(__xludf.DUMMYFUNCTION("""COMPUTED_VALUE"""),0.34)</f>
        <v>0.34</v>
      </c>
      <c r="J1995" s="23">
        <f>IFERROR(__xludf.DUMMYFUNCTION("""COMPUTED_VALUE"""),1994.0)</f>
        <v>1994</v>
      </c>
      <c r="K1995" s="23" t="b">
        <f>IFERROR(__xludf.DUMMYFUNCTION("""COMPUTED_VALUE"""),FALSE)</f>
        <v>0</v>
      </c>
      <c r="L1995" s="23" t="str">
        <f>IFERROR(__xludf.DUMMYFUNCTION("""COMPUTED_VALUE"""),"Array;Math;Dynamic Programming;Bit Manipulation;Bitmask;")</f>
        <v>Array;Math;Dynamic Programming;Bit Manipulation;Bitmask;</v>
      </c>
      <c r="M1995" s="23" t="b">
        <f>IFERROR(__xludf.DUMMYFUNCTION("""COMPUTED_VALUE"""),FALSE)</f>
        <v>0</v>
      </c>
      <c r="N1995" s="23" t="b">
        <f>IFERROR(__xludf.DUMMYFUNCTION("""COMPUTED_VALUE"""),FALSE)</f>
        <v>0</v>
      </c>
      <c r="O1995" s="23">
        <f>IFERROR(__xludf.DUMMYFUNCTION("""COMPUTED_VALUE"""),34.0417563898511)</f>
        <v>34.04175639</v>
      </c>
      <c r="P1995" s="23">
        <f>IFERROR(__xludf.DUMMYFUNCTION("""COMPUTED_VALUE"""),3636.0)</f>
        <v>3636</v>
      </c>
      <c r="Q1995" s="23">
        <f>IFERROR(__xludf.DUMMYFUNCTION("""COMPUTED_VALUE"""),10681.0)</f>
        <v>10681</v>
      </c>
    </row>
    <row r="1996">
      <c r="A1996" s="23">
        <f>IFERROR(__xludf.DUMMYFUNCTION("""COMPUTED_VALUE"""),2122.0)</f>
        <v>2122</v>
      </c>
      <c r="B1996" s="23" t="str">
        <f>IFERROR(__xludf.DUMMYFUNCTION("""COMPUTED_VALUE"""),"Count Special Quadruplets")</f>
        <v>Count Special Quadruplets</v>
      </c>
      <c r="C1996" s="23" t="str">
        <f>IFERROR(__xludf.DUMMYFUNCTION("""COMPUTED_VALUE"""),"count-special-quadruplets")</f>
        <v>count-special-quadruplets</v>
      </c>
      <c r="D1996" s="23" t="b">
        <f>IFERROR(__xludf.DUMMYFUNCTION("""COMPUTED_VALUE"""),FALSE)</f>
        <v>0</v>
      </c>
      <c r="E1996" s="23" t="str">
        <f>IFERROR(__xludf.DUMMYFUNCTION("""COMPUTED_VALUE"""),"Easy")</f>
        <v>Easy</v>
      </c>
      <c r="F1996" s="23">
        <f>IFERROR(__xludf.DUMMYFUNCTION("""COMPUTED_VALUE"""),265.0)</f>
        <v>265</v>
      </c>
      <c r="G1996" s="23">
        <f>IFERROR(__xludf.DUMMYFUNCTION("""COMPUTED_VALUE"""),135.0)</f>
        <v>135</v>
      </c>
      <c r="H1996" s="23" t="str">
        <f>IFERROR(__xludf.DUMMYFUNCTION("""COMPUTED_VALUE"""),"Algorithms")</f>
        <v>Algorithms</v>
      </c>
      <c r="I1996" s="23">
        <f>IFERROR(__xludf.DUMMYFUNCTION("""COMPUTED_VALUE"""),0.579)</f>
        <v>0.579</v>
      </c>
      <c r="J1996" s="23">
        <f>IFERROR(__xludf.DUMMYFUNCTION("""COMPUTED_VALUE"""),1995.0)</f>
        <v>1995</v>
      </c>
      <c r="K1996" s="23" t="b">
        <f>IFERROR(__xludf.DUMMYFUNCTION("""COMPUTED_VALUE"""),FALSE)</f>
        <v>0</v>
      </c>
      <c r="L1996" s="23" t="str">
        <f>IFERROR(__xludf.DUMMYFUNCTION("""COMPUTED_VALUE"""),"Array;Enumeration;")</f>
        <v>Array;Enumeration;</v>
      </c>
      <c r="M1996" s="23" t="b">
        <f>IFERROR(__xludf.DUMMYFUNCTION("""COMPUTED_VALUE"""),FALSE)</f>
        <v>0</v>
      </c>
      <c r="N1996" s="23" t="b">
        <f>IFERROR(__xludf.DUMMYFUNCTION("""COMPUTED_VALUE"""),FALSE)</f>
        <v>0</v>
      </c>
      <c r="O1996" s="23">
        <f>IFERROR(__xludf.DUMMYFUNCTION("""COMPUTED_VALUE"""),57.9188090398182)</f>
        <v>57.91880904</v>
      </c>
      <c r="P1996" s="23">
        <f>IFERROR(__xludf.DUMMYFUNCTION("""COMPUTED_VALUE"""),19375.0)</f>
        <v>19375</v>
      </c>
      <c r="Q1996" s="23">
        <f>IFERROR(__xludf.DUMMYFUNCTION("""COMPUTED_VALUE"""),33452.0)</f>
        <v>33452</v>
      </c>
    </row>
    <row r="1997">
      <c r="A1997" s="23">
        <f>IFERROR(__xludf.DUMMYFUNCTION("""COMPUTED_VALUE"""),2123.0)</f>
        <v>2123</v>
      </c>
      <c r="B1997" s="23" t="str">
        <f>IFERROR(__xludf.DUMMYFUNCTION("""COMPUTED_VALUE"""),"The Number of Weak Characters in the Game")</f>
        <v>The Number of Weak Characters in the Game</v>
      </c>
      <c r="C1997" s="23" t="str">
        <f>IFERROR(__xludf.DUMMYFUNCTION("""COMPUTED_VALUE"""),"the-number-of-weak-characters-in-the-game")</f>
        <v>the-number-of-weak-characters-in-the-game</v>
      </c>
      <c r="D1997" s="23" t="b">
        <f>IFERROR(__xludf.DUMMYFUNCTION("""COMPUTED_VALUE"""),FALSE)</f>
        <v>0</v>
      </c>
      <c r="E1997" s="23" t="str">
        <f>IFERROR(__xludf.DUMMYFUNCTION("""COMPUTED_VALUE"""),"Medium")</f>
        <v>Medium</v>
      </c>
      <c r="F1997" s="23">
        <f>IFERROR(__xludf.DUMMYFUNCTION("""COMPUTED_VALUE"""),609.0)</f>
        <v>609</v>
      </c>
      <c r="G1997" s="23">
        <f>IFERROR(__xludf.DUMMYFUNCTION("""COMPUTED_VALUE"""),20.0)</f>
        <v>20</v>
      </c>
      <c r="H1997" s="23" t="str">
        <f>IFERROR(__xludf.DUMMYFUNCTION("""COMPUTED_VALUE"""),"Algorithms")</f>
        <v>Algorithms</v>
      </c>
      <c r="I1997" s="23">
        <f>IFERROR(__xludf.DUMMYFUNCTION("""COMPUTED_VALUE"""),0.332)</f>
        <v>0.332</v>
      </c>
      <c r="J1997" s="23">
        <f>IFERROR(__xludf.DUMMYFUNCTION("""COMPUTED_VALUE"""),1996.0)</f>
        <v>1996</v>
      </c>
      <c r="K1997" s="23" t="b">
        <f>IFERROR(__xludf.DUMMYFUNCTION("""COMPUTED_VALUE"""),FALSE)</f>
        <v>0</v>
      </c>
      <c r="L1997" s="23" t="str">
        <f>IFERROR(__xludf.DUMMYFUNCTION("""COMPUTED_VALUE"""),"Array;Stack;Greedy;Sorting;Monotonic Stack;")</f>
        <v>Array;Stack;Greedy;Sorting;Monotonic Stack;</v>
      </c>
      <c r="M1997" s="23" t="b">
        <f>IFERROR(__xludf.DUMMYFUNCTION("""COMPUTED_VALUE"""),FALSE)</f>
        <v>0</v>
      </c>
      <c r="N1997" s="23" t="b">
        <f>IFERROR(__xludf.DUMMYFUNCTION("""COMPUTED_VALUE"""),FALSE)</f>
        <v>0</v>
      </c>
      <c r="O1997" s="23">
        <f>IFERROR(__xludf.DUMMYFUNCTION("""COMPUTED_VALUE"""),33.1654474957029)</f>
        <v>33.1654475</v>
      </c>
      <c r="P1997" s="23">
        <f>IFERROR(__xludf.DUMMYFUNCTION("""COMPUTED_VALUE"""),16594.0)</f>
        <v>16594</v>
      </c>
      <c r="Q1997" s="23">
        <f>IFERROR(__xludf.DUMMYFUNCTION("""COMPUTED_VALUE"""),50029.0)</f>
        <v>50029</v>
      </c>
    </row>
    <row r="1998">
      <c r="A1998" s="23">
        <f>IFERROR(__xludf.DUMMYFUNCTION("""COMPUTED_VALUE"""),2124.0)</f>
        <v>2124</v>
      </c>
      <c r="B1998" s="23" t="str">
        <f>IFERROR(__xludf.DUMMYFUNCTION("""COMPUTED_VALUE"""),"First Day Where You Have Been in All the Rooms")</f>
        <v>First Day Where You Have Been in All the Rooms</v>
      </c>
      <c r="C1998" s="23" t="str">
        <f>IFERROR(__xludf.DUMMYFUNCTION("""COMPUTED_VALUE"""),"first-day-where-you-have-been-in-all-the-rooms")</f>
        <v>first-day-where-you-have-been-in-all-the-rooms</v>
      </c>
      <c r="D1998" s="23" t="b">
        <f>IFERROR(__xludf.DUMMYFUNCTION("""COMPUTED_VALUE"""),FALSE)</f>
        <v>0</v>
      </c>
      <c r="E1998" s="23" t="str">
        <f>IFERROR(__xludf.DUMMYFUNCTION("""COMPUTED_VALUE"""),"Medium")</f>
        <v>Medium</v>
      </c>
      <c r="F1998" s="23">
        <f>IFERROR(__xludf.DUMMYFUNCTION("""COMPUTED_VALUE"""),322.0)</f>
        <v>322</v>
      </c>
      <c r="G1998" s="23">
        <f>IFERROR(__xludf.DUMMYFUNCTION("""COMPUTED_VALUE"""),55.0)</f>
        <v>55</v>
      </c>
      <c r="H1998" s="23" t="str">
        <f>IFERROR(__xludf.DUMMYFUNCTION("""COMPUTED_VALUE"""),"Algorithms")</f>
        <v>Algorithms</v>
      </c>
      <c r="I1998" s="23">
        <f>IFERROR(__xludf.DUMMYFUNCTION("""COMPUTED_VALUE"""),0.353)</f>
        <v>0.353</v>
      </c>
      <c r="J1998" s="23">
        <f>IFERROR(__xludf.DUMMYFUNCTION("""COMPUTED_VALUE"""),1997.0)</f>
        <v>1997</v>
      </c>
      <c r="K1998" s="23" t="b">
        <f>IFERROR(__xludf.DUMMYFUNCTION("""COMPUTED_VALUE"""),FALSE)</f>
        <v>0</v>
      </c>
      <c r="L1998" s="23" t="str">
        <f>IFERROR(__xludf.DUMMYFUNCTION("""COMPUTED_VALUE"""),"Array;Dynamic Programming;")</f>
        <v>Array;Dynamic Programming;</v>
      </c>
      <c r="M1998" s="23" t="b">
        <f>IFERROR(__xludf.DUMMYFUNCTION("""COMPUTED_VALUE"""),FALSE)</f>
        <v>0</v>
      </c>
      <c r="N1998" s="23" t="b">
        <f>IFERROR(__xludf.DUMMYFUNCTION("""COMPUTED_VALUE"""),FALSE)</f>
        <v>0</v>
      </c>
      <c r="O1998" s="23">
        <f>IFERROR(__xludf.DUMMYFUNCTION("""COMPUTED_VALUE"""),35.3230424498941)</f>
        <v>35.32304245</v>
      </c>
      <c r="P1998" s="23">
        <f>IFERROR(__xludf.DUMMYFUNCTION("""COMPUTED_VALUE"""),5675.0)</f>
        <v>5675</v>
      </c>
      <c r="Q1998" s="23">
        <f>IFERROR(__xludf.DUMMYFUNCTION("""COMPUTED_VALUE"""),16066.0)</f>
        <v>16066</v>
      </c>
    </row>
    <row r="1999">
      <c r="A1999" s="23">
        <f>IFERROR(__xludf.DUMMYFUNCTION("""COMPUTED_VALUE"""),2125.0)</f>
        <v>2125</v>
      </c>
      <c r="B1999" s="23" t="str">
        <f>IFERROR(__xludf.DUMMYFUNCTION("""COMPUTED_VALUE"""),"GCD Sort of an Array")</f>
        <v>GCD Sort of an Array</v>
      </c>
      <c r="C1999" s="23" t="str">
        <f>IFERROR(__xludf.DUMMYFUNCTION("""COMPUTED_VALUE"""),"gcd-sort-of-an-array")</f>
        <v>gcd-sort-of-an-array</v>
      </c>
      <c r="D1999" s="23" t="b">
        <f>IFERROR(__xludf.DUMMYFUNCTION("""COMPUTED_VALUE"""),FALSE)</f>
        <v>0</v>
      </c>
      <c r="E1999" s="23" t="str">
        <f>IFERROR(__xludf.DUMMYFUNCTION("""COMPUTED_VALUE"""),"Hard")</f>
        <v>Hard</v>
      </c>
      <c r="F1999" s="23">
        <f>IFERROR(__xludf.DUMMYFUNCTION("""COMPUTED_VALUE"""),254.0)</f>
        <v>254</v>
      </c>
      <c r="G1999" s="23">
        <f>IFERROR(__xludf.DUMMYFUNCTION("""COMPUTED_VALUE"""),5.0)</f>
        <v>5</v>
      </c>
      <c r="H1999" s="23" t="str">
        <f>IFERROR(__xludf.DUMMYFUNCTION("""COMPUTED_VALUE"""),"Algorithms")</f>
        <v>Algorithms</v>
      </c>
      <c r="I1999" s="23">
        <f>IFERROR(__xludf.DUMMYFUNCTION("""COMPUTED_VALUE"""),0.454)</f>
        <v>0.454</v>
      </c>
      <c r="J1999" s="23">
        <f>IFERROR(__xludf.DUMMYFUNCTION("""COMPUTED_VALUE"""),1998.0)</f>
        <v>1998</v>
      </c>
      <c r="K1999" s="23" t="b">
        <f>IFERROR(__xludf.DUMMYFUNCTION("""COMPUTED_VALUE"""),FALSE)</f>
        <v>0</v>
      </c>
      <c r="L1999" s="23" t="str">
        <f>IFERROR(__xludf.DUMMYFUNCTION("""COMPUTED_VALUE"""),"Array;Math;Union Find;Sorting;")</f>
        <v>Array;Math;Union Find;Sorting;</v>
      </c>
      <c r="M1999" s="23" t="b">
        <f>IFERROR(__xludf.DUMMYFUNCTION("""COMPUTED_VALUE"""),FALSE)</f>
        <v>0</v>
      </c>
      <c r="N1999" s="23" t="b">
        <f>IFERROR(__xludf.DUMMYFUNCTION("""COMPUTED_VALUE"""),FALSE)</f>
        <v>0</v>
      </c>
      <c r="O1999" s="23">
        <f>IFERROR(__xludf.DUMMYFUNCTION("""COMPUTED_VALUE"""),45.4067730634488)</f>
        <v>45.40677306</v>
      </c>
      <c r="P1999" s="23">
        <f>IFERROR(__xludf.DUMMYFUNCTION("""COMPUTED_VALUE"""),4666.0)</f>
        <v>4666</v>
      </c>
      <c r="Q1999" s="23">
        <f>IFERROR(__xludf.DUMMYFUNCTION("""COMPUTED_VALUE"""),10276.0)</f>
        <v>10276</v>
      </c>
    </row>
    <row r="2000">
      <c r="A2000" s="23">
        <f>IFERROR(__xludf.DUMMYFUNCTION("""COMPUTED_VALUE"""),2141.0)</f>
        <v>2141</v>
      </c>
      <c r="B2000" s="23" t="str">
        <f>IFERROR(__xludf.DUMMYFUNCTION("""COMPUTED_VALUE"""),"Smallest Greater Multiple Made of Two Digits")</f>
        <v>Smallest Greater Multiple Made of Two Digits</v>
      </c>
      <c r="C2000" s="23" t="str">
        <f>IFERROR(__xludf.DUMMYFUNCTION("""COMPUTED_VALUE"""),"smallest-greater-multiple-made-of-two-digits")</f>
        <v>smallest-greater-multiple-made-of-two-digits</v>
      </c>
      <c r="D2000" s="23" t="b">
        <f>IFERROR(__xludf.DUMMYFUNCTION("""COMPUTED_VALUE"""),TRUE)</f>
        <v>1</v>
      </c>
      <c r="E2000" s="23" t="str">
        <f>IFERROR(__xludf.DUMMYFUNCTION("""COMPUTED_VALUE"""),"Medium")</f>
        <v>Medium</v>
      </c>
      <c r="F2000" s="23">
        <f>IFERROR(__xludf.DUMMYFUNCTION("""COMPUTED_VALUE"""),19.0)</f>
        <v>19</v>
      </c>
      <c r="G2000" s="23">
        <f>IFERROR(__xludf.DUMMYFUNCTION("""COMPUTED_VALUE"""),3.0)</f>
        <v>3</v>
      </c>
      <c r="H2000" s="23" t="str">
        <f>IFERROR(__xludf.DUMMYFUNCTION("""COMPUTED_VALUE"""),"Algorithms")</f>
        <v>Algorithms</v>
      </c>
      <c r="I2000" s="23">
        <f>IFERROR(__xludf.DUMMYFUNCTION("""COMPUTED_VALUE"""),0.524)</f>
        <v>0.524</v>
      </c>
      <c r="J2000" s="23">
        <f>IFERROR(__xludf.DUMMYFUNCTION("""COMPUTED_VALUE"""),1999.0)</f>
        <v>1999</v>
      </c>
      <c r="K2000" s="23" t="b">
        <f>IFERROR(__xludf.DUMMYFUNCTION("""COMPUTED_VALUE"""),TRUE)</f>
        <v>1</v>
      </c>
      <c r="L2000" s="23" t="str">
        <f>IFERROR(__xludf.DUMMYFUNCTION("""COMPUTED_VALUE"""),"Math;Enumeration;")</f>
        <v>Math;Enumeration;</v>
      </c>
      <c r="M2000" s="23" t="b">
        <f>IFERROR(__xludf.DUMMYFUNCTION("""COMPUTED_VALUE"""),FALSE)</f>
        <v>0</v>
      </c>
      <c r="N2000" s="23" t="b">
        <f>IFERROR(__xludf.DUMMYFUNCTION("""COMPUTED_VALUE"""),FALSE)</f>
        <v>0</v>
      </c>
      <c r="O2000" s="23">
        <f>IFERROR(__xludf.DUMMYFUNCTION("""COMPUTED_VALUE"""),52.394366197183)</f>
        <v>52.3943662</v>
      </c>
      <c r="P2000" s="23">
        <f>IFERROR(__xludf.DUMMYFUNCTION("""COMPUTED_VALUE"""),930.0)</f>
        <v>930</v>
      </c>
      <c r="Q2000" s="23">
        <f>IFERROR(__xludf.DUMMYFUNCTION("""COMPUTED_VALUE"""),1775.0)</f>
        <v>1775</v>
      </c>
    </row>
    <row r="2001">
      <c r="A2001" s="23">
        <f>IFERROR(__xludf.DUMMYFUNCTION("""COMPUTED_VALUE"""),2128.0)</f>
        <v>2128</v>
      </c>
      <c r="B2001" s="23" t="str">
        <f>IFERROR(__xludf.DUMMYFUNCTION("""COMPUTED_VALUE"""),"Reverse Prefix of Word")</f>
        <v>Reverse Prefix of Word</v>
      </c>
      <c r="C2001" s="23" t="str">
        <f>IFERROR(__xludf.DUMMYFUNCTION("""COMPUTED_VALUE"""),"reverse-prefix-of-word")</f>
        <v>reverse-prefix-of-word</v>
      </c>
      <c r="D2001" s="23" t="b">
        <f>IFERROR(__xludf.DUMMYFUNCTION("""COMPUTED_VALUE"""),FALSE)</f>
        <v>0</v>
      </c>
      <c r="E2001" s="23" t="str">
        <f>IFERROR(__xludf.DUMMYFUNCTION("""COMPUTED_VALUE"""),"Easy")</f>
        <v>Easy</v>
      </c>
      <c r="F2001" s="23">
        <f>IFERROR(__xludf.DUMMYFUNCTION("""COMPUTED_VALUE"""),318.0)</f>
        <v>318</v>
      </c>
      <c r="G2001" s="23">
        <f>IFERROR(__xludf.DUMMYFUNCTION("""COMPUTED_VALUE"""),6.0)</f>
        <v>6</v>
      </c>
      <c r="H2001" s="23" t="str">
        <f>IFERROR(__xludf.DUMMYFUNCTION("""COMPUTED_VALUE"""),"Algorithms")</f>
        <v>Algorithms</v>
      </c>
      <c r="I2001" s="23">
        <f>IFERROR(__xludf.DUMMYFUNCTION("""COMPUTED_VALUE"""),0.78)</f>
        <v>0.78</v>
      </c>
      <c r="J2001" s="23">
        <f>IFERROR(__xludf.DUMMYFUNCTION("""COMPUTED_VALUE"""),2000.0)</f>
        <v>2000</v>
      </c>
      <c r="K2001" s="23" t="b">
        <f>IFERROR(__xludf.DUMMYFUNCTION("""COMPUTED_VALUE"""),FALSE)</f>
        <v>0</v>
      </c>
      <c r="L2001" s="23" t="str">
        <f>IFERROR(__xludf.DUMMYFUNCTION("""COMPUTED_VALUE"""),"Two Pointers;String;")</f>
        <v>Two Pointers;String;</v>
      </c>
      <c r="M2001" s="23" t="b">
        <f>IFERROR(__xludf.DUMMYFUNCTION("""COMPUTED_VALUE"""),FALSE)</f>
        <v>0</v>
      </c>
      <c r="N2001" s="23" t="b">
        <f>IFERROR(__xludf.DUMMYFUNCTION("""COMPUTED_VALUE"""),FALSE)</f>
        <v>0</v>
      </c>
      <c r="O2001" s="23">
        <f>IFERROR(__xludf.DUMMYFUNCTION("""COMPUTED_VALUE"""),77.9703728126987)</f>
        <v>77.97037281</v>
      </c>
      <c r="P2001" s="23">
        <f>IFERROR(__xludf.DUMMYFUNCTION("""COMPUTED_VALUE"""),33107.0)</f>
        <v>33107</v>
      </c>
      <c r="Q2001" s="23">
        <f>IFERROR(__xludf.DUMMYFUNCTION("""COMPUTED_VALUE"""),42461.0)</f>
        <v>42461</v>
      </c>
    </row>
    <row r="2002">
      <c r="A2002" s="23">
        <f>IFERROR(__xludf.DUMMYFUNCTION("""COMPUTED_VALUE"""),2129.0)</f>
        <v>2129</v>
      </c>
      <c r="B2002" s="23" t="str">
        <f>IFERROR(__xludf.DUMMYFUNCTION("""COMPUTED_VALUE"""),"Number of Pairs of Interchangeable Rectangles")</f>
        <v>Number of Pairs of Interchangeable Rectangles</v>
      </c>
      <c r="C2002" s="23" t="str">
        <f>IFERROR(__xludf.DUMMYFUNCTION("""COMPUTED_VALUE"""),"number-of-pairs-of-interchangeable-rectangles")</f>
        <v>number-of-pairs-of-interchangeable-rectangles</v>
      </c>
      <c r="D2002" s="23" t="b">
        <f>IFERROR(__xludf.DUMMYFUNCTION("""COMPUTED_VALUE"""),FALSE)</f>
        <v>0</v>
      </c>
      <c r="E2002" s="23" t="str">
        <f>IFERROR(__xludf.DUMMYFUNCTION("""COMPUTED_VALUE"""),"Medium")</f>
        <v>Medium</v>
      </c>
      <c r="F2002" s="23">
        <f>IFERROR(__xludf.DUMMYFUNCTION("""COMPUTED_VALUE"""),215.0)</f>
        <v>215</v>
      </c>
      <c r="G2002" s="23">
        <f>IFERROR(__xludf.DUMMYFUNCTION("""COMPUTED_VALUE"""),20.0)</f>
        <v>20</v>
      </c>
      <c r="H2002" s="23" t="str">
        <f>IFERROR(__xludf.DUMMYFUNCTION("""COMPUTED_VALUE"""),"Algorithms")</f>
        <v>Algorithms</v>
      </c>
      <c r="I2002" s="23">
        <f>IFERROR(__xludf.DUMMYFUNCTION("""COMPUTED_VALUE"""),0.431)</f>
        <v>0.431</v>
      </c>
      <c r="J2002" s="23">
        <f>IFERROR(__xludf.DUMMYFUNCTION("""COMPUTED_VALUE"""),2001.0)</f>
        <v>2001</v>
      </c>
      <c r="K2002" s="23" t="b">
        <f>IFERROR(__xludf.DUMMYFUNCTION("""COMPUTED_VALUE"""),FALSE)</f>
        <v>0</v>
      </c>
      <c r="L2002" s="23" t="str">
        <f>IFERROR(__xludf.DUMMYFUNCTION("""COMPUTED_VALUE"""),"Array;Hash Table;Math;Counting;Number Theory;")</f>
        <v>Array;Hash Table;Math;Counting;Number Theory;</v>
      </c>
      <c r="M2002" s="23" t="b">
        <f>IFERROR(__xludf.DUMMYFUNCTION("""COMPUTED_VALUE"""),FALSE)</f>
        <v>0</v>
      </c>
      <c r="N2002" s="23" t="b">
        <f>IFERROR(__xludf.DUMMYFUNCTION("""COMPUTED_VALUE"""),FALSE)</f>
        <v>0</v>
      </c>
      <c r="O2002" s="23">
        <f>IFERROR(__xludf.DUMMYFUNCTION("""COMPUTED_VALUE"""),43.0776757079958)</f>
        <v>43.07767571</v>
      </c>
      <c r="P2002" s="23">
        <f>IFERROR(__xludf.DUMMYFUNCTION("""COMPUTED_VALUE"""),15849.0)</f>
        <v>15849</v>
      </c>
      <c r="Q2002" s="23">
        <f>IFERROR(__xludf.DUMMYFUNCTION("""COMPUTED_VALUE"""),36793.0)</f>
        <v>36793</v>
      </c>
    </row>
    <row r="2003">
      <c r="A2003" s="23">
        <f>IFERROR(__xludf.DUMMYFUNCTION("""COMPUTED_VALUE"""),2130.0)</f>
        <v>2130</v>
      </c>
      <c r="B2003" s="23" t="str">
        <f>IFERROR(__xludf.DUMMYFUNCTION("""COMPUTED_VALUE"""),"Maximum Product of the Length of Two Palindromic Subsequences")</f>
        <v>Maximum Product of the Length of Two Palindromic Subsequences</v>
      </c>
      <c r="C2003" s="23" t="str">
        <f>IFERROR(__xludf.DUMMYFUNCTION("""COMPUTED_VALUE"""),"maximum-product-of-the-length-of-two-palindromic-subsequences")</f>
        <v>maximum-product-of-the-length-of-two-palindromic-subsequences</v>
      </c>
      <c r="D2003" s="23" t="b">
        <f>IFERROR(__xludf.DUMMYFUNCTION("""COMPUTED_VALUE"""),FALSE)</f>
        <v>0</v>
      </c>
      <c r="E2003" s="23" t="str">
        <f>IFERROR(__xludf.DUMMYFUNCTION("""COMPUTED_VALUE"""),"Medium")</f>
        <v>Medium</v>
      </c>
      <c r="F2003" s="23">
        <f>IFERROR(__xludf.DUMMYFUNCTION("""COMPUTED_VALUE"""),441.0)</f>
        <v>441</v>
      </c>
      <c r="G2003" s="23">
        <f>IFERROR(__xludf.DUMMYFUNCTION("""COMPUTED_VALUE"""),30.0)</f>
        <v>30</v>
      </c>
      <c r="H2003" s="23" t="str">
        <f>IFERROR(__xludf.DUMMYFUNCTION("""COMPUTED_VALUE"""),"Algorithms")</f>
        <v>Algorithms</v>
      </c>
      <c r="I2003" s="23">
        <f>IFERROR(__xludf.DUMMYFUNCTION("""COMPUTED_VALUE"""),0.529)</f>
        <v>0.529</v>
      </c>
      <c r="J2003" s="23">
        <f>IFERROR(__xludf.DUMMYFUNCTION("""COMPUTED_VALUE"""),2002.0)</f>
        <v>2002</v>
      </c>
      <c r="K2003" s="23" t="b">
        <f>IFERROR(__xludf.DUMMYFUNCTION("""COMPUTED_VALUE"""),FALSE)</f>
        <v>0</v>
      </c>
      <c r="L2003" s="23" t="str">
        <f>IFERROR(__xludf.DUMMYFUNCTION("""COMPUTED_VALUE"""),"String;Dynamic Programming;Backtracking;Bit Manipulation;Bitmask;")</f>
        <v>String;Dynamic Programming;Backtracking;Bit Manipulation;Bitmask;</v>
      </c>
      <c r="M2003" s="23" t="b">
        <f>IFERROR(__xludf.DUMMYFUNCTION("""COMPUTED_VALUE"""),FALSE)</f>
        <v>0</v>
      </c>
      <c r="N2003" s="23" t="b">
        <f>IFERROR(__xludf.DUMMYFUNCTION("""COMPUTED_VALUE"""),FALSE)</f>
        <v>0</v>
      </c>
      <c r="O2003" s="23">
        <f>IFERROR(__xludf.DUMMYFUNCTION("""COMPUTED_VALUE"""),52.8860294117647)</f>
        <v>52.88602941</v>
      </c>
      <c r="P2003" s="23">
        <f>IFERROR(__xludf.DUMMYFUNCTION("""COMPUTED_VALUE"""),11508.0)</f>
        <v>11508</v>
      </c>
      <c r="Q2003" s="23">
        <f>IFERROR(__xludf.DUMMYFUNCTION("""COMPUTED_VALUE"""),21760.0)</f>
        <v>21760</v>
      </c>
    </row>
    <row r="2004">
      <c r="A2004" s="23">
        <f>IFERROR(__xludf.DUMMYFUNCTION("""COMPUTED_VALUE"""),2131.0)</f>
        <v>2131</v>
      </c>
      <c r="B2004" s="23" t="str">
        <f>IFERROR(__xludf.DUMMYFUNCTION("""COMPUTED_VALUE"""),"Smallest Missing Genetic Value in Each Subtree")</f>
        <v>Smallest Missing Genetic Value in Each Subtree</v>
      </c>
      <c r="C2004" s="23" t="str">
        <f>IFERROR(__xludf.DUMMYFUNCTION("""COMPUTED_VALUE"""),"smallest-missing-genetic-value-in-each-subtree")</f>
        <v>smallest-missing-genetic-value-in-each-subtree</v>
      </c>
      <c r="D2004" s="23" t="b">
        <f>IFERROR(__xludf.DUMMYFUNCTION("""COMPUTED_VALUE"""),FALSE)</f>
        <v>0</v>
      </c>
      <c r="E2004" s="23" t="str">
        <f>IFERROR(__xludf.DUMMYFUNCTION("""COMPUTED_VALUE"""),"Hard")</f>
        <v>Hard</v>
      </c>
      <c r="F2004" s="23">
        <f>IFERROR(__xludf.DUMMYFUNCTION("""COMPUTED_VALUE"""),268.0)</f>
        <v>268</v>
      </c>
      <c r="G2004" s="23">
        <f>IFERROR(__xludf.DUMMYFUNCTION("""COMPUTED_VALUE"""),16.0)</f>
        <v>16</v>
      </c>
      <c r="H2004" s="23" t="str">
        <f>IFERROR(__xludf.DUMMYFUNCTION("""COMPUTED_VALUE"""),"Algorithms")</f>
        <v>Algorithms</v>
      </c>
      <c r="I2004" s="23">
        <f>IFERROR(__xludf.DUMMYFUNCTION("""COMPUTED_VALUE"""),0.423)</f>
        <v>0.423</v>
      </c>
      <c r="J2004" s="23">
        <f>IFERROR(__xludf.DUMMYFUNCTION("""COMPUTED_VALUE"""),2003.0)</f>
        <v>2003</v>
      </c>
      <c r="K2004" s="23" t="b">
        <f>IFERROR(__xludf.DUMMYFUNCTION("""COMPUTED_VALUE"""),FALSE)</f>
        <v>0</v>
      </c>
      <c r="L2004" s="23" t="str">
        <f>IFERROR(__xludf.DUMMYFUNCTION("""COMPUTED_VALUE"""),"Dynamic Programming;Tree;Depth-First Search;Union Find;")</f>
        <v>Dynamic Programming;Tree;Depth-First Search;Union Find;</v>
      </c>
      <c r="M2004" s="23" t="b">
        <f>IFERROR(__xludf.DUMMYFUNCTION("""COMPUTED_VALUE"""),FALSE)</f>
        <v>0</v>
      </c>
      <c r="N2004" s="23" t="b">
        <f>IFERROR(__xludf.DUMMYFUNCTION("""COMPUTED_VALUE"""),FALSE)</f>
        <v>0</v>
      </c>
      <c r="O2004" s="23">
        <f>IFERROR(__xludf.DUMMYFUNCTION("""COMPUTED_VALUE"""),42.3305900893013)</f>
        <v>42.33059009</v>
      </c>
      <c r="P2004" s="23">
        <f>IFERROR(__xludf.DUMMYFUNCTION("""COMPUTED_VALUE"""),4835.0)</f>
        <v>4835</v>
      </c>
      <c r="Q2004" s="23">
        <f>IFERROR(__xludf.DUMMYFUNCTION("""COMPUTED_VALUE"""),11422.0)</f>
        <v>11422</v>
      </c>
    </row>
    <row r="2005">
      <c r="A2005" s="23">
        <f>IFERROR(__xludf.DUMMYFUNCTION("""COMPUTED_VALUE"""),2152.0)</f>
        <v>2152</v>
      </c>
      <c r="B2005" s="23" t="str">
        <f>IFERROR(__xludf.DUMMYFUNCTION("""COMPUTED_VALUE"""),"The Number of Seniors and Juniors to Join the Company")</f>
        <v>The Number of Seniors and Juniors to Join the Company</v>
      </c>
      <c r="C2005" s="23" t="str">
        <f>IFERROR(__xludf.DUMMYFUNCTION("""COMPUTED_VALUE"""),"the-number-of-seniors-and-juniors-to-join-the-company")</f>
        <v>the-number-of-seniors-and-juniors-to-join-the-company</v>
      </c>
      <c r="D2005" s="23" t="b">
        <f>IFERROR(__xludf.DUMMYFUNCTION("""COMPUTED_VALUE"""),TRUE)</f>
        <v>1</v>
      </c>
      <c r="E2005" s="23" t="str">
        <f>IFERROR(__xludf.DUMMYFUNCTION("""COMPUTED_VALUE"""),"Hard")</f>
        <v>Hard</v>
      </c>
      <c r="F2005" s="23">
        <f>IFERROR(__xludf.DUMMYFUNCTION("""COMPUTED_VALUE"""),56.0)</f>
        <v>56</v>
      </c>
      <c r="G2005" s="23">
        <f>IFERROR(__xludf.DUMMYFUNCTION("""COMPUTED_VALUE"""),4.0)</f>
        <v>4</v>
      </c>
      <c r="H2005" s="23" t="str">
        <f>IFERROR(__xludf.DUMMYFUNCTION("""COMPUTED_VALUE"""),"Database")</f>
        <v>Database</v>
      </c>
      <c r="I2005" s="23">
        <f>IFERROR(__xludf.DUMMYFUNCTION("""COMPUTED_VALUE"""),0.384)</f>
        <v>0.384</v>
      </c>
      <c r="J2005" s="23">
        <f>IFERROR(__xludf.DUMMYFUNCTION("""COMPUTED_VALUE"""),2004.0)</f>
        <v>2004</v>
      </c>
      <c r="K2005" s="23" t="b">
        <f>IFERROR(__xludf.DUMMYFUNCTION("""COMPUTED_VALUE"""),TRUE)</f>
        <v>1</v>
      </c>
      <c r="L2005" s="23" t="str">
        <f>IFERROR(__xludf.DUMMYFUNCTION("""COMPUTED_VALUE"""),"Database;")</f>
        <v>Database;</v>
      </c>
      <c r="M2005" s="23" t="b">
        <f>IFERROR(__xludf.DUMMYFUNCTION("""COMPUTED_VALUE"""),FALSE)</f>
        <v>0</v>
      </c>
      <c r="N2005" s="23" t="b">
        <f>IFERROR(__xludf.DUMMYFUNCTION("""COMPUTED_VALUE"""),FALSE)</f>
        <v>0</v>
      </c>
      <c r="O2005" s="23">
        <f>IFERROR(__xludf.DUMMYFUNCTION("""COMPUTED_VALUE"""),38.4202543460506)</f>
        <v>38.42025435</v>
      </c>
      <c r="P2005" s="23">
        <f>IFERROR(__xludf.DUMMYFUNCTION("""COMPUTED_VALUE"""),3293.0)</f>
        <v>3293</v>
      </c>
      <c r="Q2005" s="23">
        <f>IFERROR(__xludf.DUMMYFUNCTION("""COMPUTED_VALUE"""),8571.0)</f>
        <v>8571</v>
      </c>
    </row>
    <row r="2006">
      <c r="A2006" s="23">
        <f>IFERROR(__xludf.DUMMYFUNCTION("""COMPUTED_VALUE"""),2153.0)</f>
        <v>2153</v>
      </c>
      <c r="B2006" s="23" t="str">
        <f>IFERROR(__xludf.DUMMYFUNCTION("""COMPUTED_VALUE"""),"Subtree Removal Game with Fibonacci Tree")</f>
        <v>Subtree Removal Game with Fibonacci Tree</v>
      </c>
      <c r="C2006" s="23" t="str">
        <f>IFERROR(__xludf.DUMMYFUNCTION("""COMPUTED_VALUE"""),"subtree-removal-game-with-fibonacci-tree")</f>
        <v>subtree-removal-game-with-fibonacci-tree</v>
      </c>
      <c r="D2006" s="23" t="b">
        <f>IFERROR(__xludf.DUMMYFUNCTION("""COMPUTED_VALUE"""),TRUE)</f>
        <v>1</v>
      </c>
      <c r="E2006" s="23" t="str">
        <f>IFERROR(__xludf.DUMMYFUNCTION("""COMPUTED_VALUE"""),"Hard")</f>
        <v>Hard</v>
      </c>
      <c r="F2006" s="23">
        <f>IFERROR(__xludf.DUMMYFUNCTION("""COMPUTED_VALUE"""),9.0)</f>
        <v>9</v>
      </c>
      <c r="G2006" s="23">
        <f>IFERROR(__xludf.DUMMYFUNCTION("""COMPUTED_VALUE"""),26.0)</f>
        <v>26</v>
      </c>
      <c r="H2006" s="23" t="str">
        <f>IFERROR(__xludf.DUMMYFUNCTION("""COMPUTED_VALUE"""),"Algorithms")</f>
        <v>Algorithms</v>
      </c>
      <c r="I2006" s="23">
        <f>IFERROR(__xludf.DUMMYFUNCTION("""COMPUTED_VALUE"""),0.624)</f>
        <v>0.624</v>
      </c>
      <c r="J2006" s="23">
        <f>IFERROR(__xludf.DUMMYFUNCTION("""COMPUTED_VALUE"""),2005.0)</f>
        <v>2005</v>
      </c>
      <c r="K2006" s="23" t="b">
        <f>IFERROR(__xludf.DUMMYFUNCTION("""COMPUTED_VALUE"""),TRUE)</f>
        <v>1</v>
      </c>
      <c r="L2006" s="23" t="str">
        <f>IFERROR(__xludf.DUMMYFUNCTION("""COMPUTED_VALUE"""),"Math;Dynamic Programming;Tree;Binary Tree;Game Theory;")</f>
        <v>Math;Dynamic Programming;Tree;Binary Tree;Game Theory;</v>
      </c>
      <c r="M2006" s="23" t="b">
        <f>IFERROR(__xludf.DUMMYFUNCTION("""COMPUTED_VALUE"""),FALSE)</f>
        <v>0</v>
      </c>
      <c r="N2006" s="23" t="b">
        <f>IFERROR(__xludf.DUMMYFUNCTION("""COMPUTED_VALUE"""),FALSE)</f>
        <v>0</v>
      </c>
      <c r="O2006" s="23">
        <f>IFERROR(__xludf.DUMMYFUNCTION("""COMPUTED_VALUE"""),62.4463519313304)</f>
        <v>62.44635193</v>
      </c>
      <c r="P2006" s="23">
        <f>IFERROR(__xludf.DUMMYFUNCTION("""COMPUTED_VALUE"""),291.0)</f>
        <v>291</v>
      </c>
      <c r="Q2006" s="23">
        <f>IFERROR(__xludf.DUMMYFUNCTION("""COMPUTED_VALUE"""),466.0)</f>
        <v>466</v>
      </c>
    </row>
    <row r="2007">
      <c r="A2007" s="23">
        <f>IFERROR(__xludf.DUMMYFUNCTION("""COMPUTED_VALUE"""),2116.0)</f>
        <v>2116</v>
      </c>
      <c r="B2007" s="23" t="str">
        <f>IFERROR(__xludf.DUMMYFUNCTION("""COMPUTED_VALUE"""),"Count Number of Pairs With Absolute Difference K")</f>
        <v>Count Number of Pairs With Absolute Difference K</v>
      </c>
      <c r="C2007" s="23" t="str">
        <f>IFERROR(__xludf.DUMMYFUNCTION("""COMPUTED_VALUE"""),"count-number-of-pairs-with-absolute-difference-k")</f>
        <v>count-number-of-pairs-with-absolute-difference-k</v>
      </c>
      <c r="D2007" s="23" t="b">
        <f>IFERROR(__xludf.DUMMYFUNCTION("""COMPUTED_VALUE"""),FALSE)</f>
        <v>0</v>
      </c>
      <c r="E2007" s="23" t="str">
        <f>IFERROR(__xludf.DUMMYFUNCTION("""COMPUTED_VALUE"""),"Easy")</f>
        <v>Easy</v>
      </c>
      <c r="F2007" s="23">
        <f>IFERROR(__xludf.DUMMYFUNCTION("""COMPUTED_VALUE"""),605.0)</f>
        <v>605</v>
      </c>
      <c r="G2007" s="23">
        <f>IFERROR(__xludf.DUMMYFUNCTION("""COMPUTED_VALUE"""),13.0)</f>
        <v>13</v>
      </c>
      <c r="H2007" s="23" t="str">
        <f>IFERROR(__xludf.DUMMYFUNCTION("""COMPUTED_VALUE"""),"Algorithms")</f>
        <v>Algorithms</v>
      </c>
      <c r="I2007" s="23">
        <f>IFERROR(__xludf.DUMMYFUNCTION("""COMPUTED_VALUE"""),0.828)</f>
        <v>0.828</v>
      </c>
      <c r="J2007" s="23">
        <f>IFERROR(__xludf.DUMMYFUNCTION("""COMPUTED_VALUE"""),2006.0)</f>
        <v>2006</v>
      </c>
      <c r="K2007" s="23" t="b">
        <f>IFERROR(__xludf.DUMMYFUNCTION("""COMPUTED_VALUE"""),FALSE)</f>
        <v>0</v>
      </c>
      <c r="L2007" s="23" t="str">
        <f>IFERROR(__xludf.DUMMYFUNCTION("""COMPUTED_VALUE"""),"Array;Hash Table;Counting;")</f>
        <v>Array;Hash Table;Counting;</v>
      </c>
      <c r="M2007" s="23" t="b">
        <f>IFERROR(__xludf.DUMMYFUNCTION("""COMPUTED_VALUE"""),FALSE)</f>
        <v>0</v>
      </c>
      <c r="N2007" s="23" t="b">
        <f>IFERROR(__xludf.DUMMYFUNCTION("""COMPUTED_VALUE"""),FALSE)</f>
        <v>0</v>
      </c>
      <c r="O2007" s="23">
        <f>IFERROR(__xludf.DUMMYFUNCTION("""COMPUTED_VALUE"""),82.8139473914183)</f>
        <v>82.81394739</v>
      </c>
      <c r="P2007" s="23">
        <f>IFERROR(__xludf.DUMMYFUNCTION("""COMPUTED_VALUE"""),47381.0)</f>
        <v>47381</v>
      </c>
      <c r="Q2007" s="23">
        <f>IFERROR(__xludf.DUMMYFUNCTION("""COMPUTED_VALUE"""),57213.0)</f>
        <v>57213</v>
      </c>
    </row>
    <row r="2008">
      <c r="A2008" s="23">
        <f>IFERROR(__xludf.DUMMYFUNCTION("""COMPUTED_VALUE"""),2117.0)</f>
        <v>2117</v>
      </c>
      <c r="B2008" s="23" t="str">
        <f>IFERROR(__xludf.DUMMYFUNCTION("""COMPUTED_VALUE"""),"Find Original Array From Doubled Array")</f>
        <v>Find Original Array From Doubled Array</v>
      </c>
      <c r="C2008" s="23" t="str">
        <f>IFERROR(__xludf.DUMMYFUNCTION("""COMPUTED_VALUE"""),"find-original-array-from-doubled-array")</f>
        <v>find-original-array-from-doubled-array</v>
      </c>
      <c r="D2008" s="23" t="b">
        <f>IFERROR(__xludf.DUMMYFUNCTION("""COMPUTED_VALUE"""),FALSE)</f>
        <v>0</v>
      </c>
      <c r="E2008" s="23" t="str">
        <f>IFERROR(__xludf.DUMMYFUNCTION("""COMPUTED_VALUE"""),"Medium")</f>
        <v>Medium</v>
      </c>
      <c r="F2008" s="23">
        <f>IFERROR(__xludf.DUMMYFUNCTION("""COMPUTED_VALUE"""),583.0)</f>
        <v>583</v>
      </c>
      <c r="G2008" s="23">
        <f>IFERROR(__xludf.DUMMYFUNCTION("""COMPUTED_VALUE"""),44.0)</f>
        <v>44</v>
      </c>
      <c r="H2008" s="23" t="str">
        <f>IFERROR(__xludf.DUMMYFUNCTION("""COMPUTED_VALUE"""),"Algorithms")</f>
        <v>Algorithms</v>
      </c>
      <c r="I2008" s="23">
        <f>IFERROR(__xludf.DUMMYFUNCTION("""COMPUTED_VALUE"""),0.38)</f>
        <v>0.38</v>
      </c>
      <c r="J2008" s="23">
        <f>IFERROR(__xludf.DUMMYFUNCTION("""COMPUTED_VALUE"""),2007.0)</f>
        <v>2007</v>
      </c>
      <c r="K2008" s="23" t="b">
        <f>IFERROR(__xludf.DUMMYFUNCTION("""COMPUTED_VALUE"""),FALSE)</f>
        <v>0</v>
      </c>
      <c r="L2008" s="23" t="str">
        <f>IFERROR(__xludf.DUMMYFUNCTION("""COMPUTED_VALUE"""),"Array;Hash Table;Greedy;Sorting;")</f>
        <v>Array;Hash Table;Greedy;Sorting;</v>
      </c>
      <c r="M2008" s="23" t="b">
        <f>IFERROR(__xludf.DUMMYFUNCTION("""COMPUTED_VALUE"""),FALSE)</f>
        <v>0</v>
      </c>
      <c r="N2008" s="23" t="b">
        <f>IFERROR(__xludf.DUMMYFUNCTION("""COMPUTED_VALUE"""),FALSE)</f>
        <v>0</v>
      </c>
      <c r="O2008" s="23">
        <f>IFERROR(__xludf.DUMMYFUNCTION("""COMPUTED_VALUE"""),38.0366164542294)</f>
        <v>38.03661645</v>
      </c>
      <c r="P2008" s="23">
        <f>IFERROR(__xludf.DUMMYFUNCTION("""COMPUTED_VALUE"""),41032.0)</f>
        <v>41032</v>
      </c>
      <c r="Q2008" s="23">
        <f>IFERROR(__xludf.DUMMYFUNCTION("""COMPUTED_VALUE"""),107875.0)</f>
        <v>107875</v>
      </c>
    </row>
    <row r="2009">
      <c r="A2009" s="23">
        <f>IFERROR(__xludf.DUMMYFUNCTION("""COMPUTED_VALUE"""),2118.0)</f>
        <v>2118</v>
      </c>
      <c r="B2009" s="23" t="str">
        <f>IFERROR(__xludf.DUMMYFUNCTION("""COMPUTED_VALUE"""),"Maximum Earnings From Taxi")</f>
        <v>Maximum Earnings From Taxi</v>
      </c>
      <c r="C2009" s="23" t="str">
        <f>IFERROR(__xludf.DUMMYFUNCTION("""COMPUTED_VALUE"""),"maximum-earnings-from-taxi")</f>
        <v>maximum-earnings-from-taxi</v>
      </c>
      <c r="D2009" s="23" t="b">
        <f>IFERROR(__xludf.DUMMYFUNCTION("""COMPUTED_VALUE"""),FALSE)</f>
        <v>0</v>
      </c>
      <c r="E2009" s="23" t="str">
        <f>IFERROR(__xludf.DUMMYFUNCTION("""COMPUTED_VALUE"""),"Medium")</f>
        <v>Medium</v>
      </c>
      <c r="F2009" s="23">
        <f>IFERROR(__xludf.DUMMYFUNCTION("""COMPUTED_VALUE"""),563.0)</f>
        <v>563</v>
      </c>
      <c r="G2009" s="23">
        <f>IFERROR(__xludf.DUMMYFUNCTION("""COMPUTED_VALUE"""),11.0)</f>
        <v>11</v>
      </c>
      <c r="H2009" s="23" t="str">
        <f>IFERROR(__xludf.DUMMYFUNCTION("""COMPUTED_VALUE"""),"Algorithms")</f>
        <v>Algorithms</v>
      </c>
      <c r="I2009" s="23">
        <f>IFERROR(__xludf.DUMMYFUNCTION("""COMPUTED_VALUE"""),0.426)</f>
        <v>0.426</v>
      </c>
      <c r="J2009" s="23">
        <f>IFERROR(__xludf.DUMMYFUNCTION("""COMPUTED_VALUE"""),2008.0)</f>
        <v>2008</v>
      </c>
      <c r="K2009" s="23" t="b">
        <f>IFERROR(__xludf.DUMMYFUNCTION("""COMPUTED_VALUE"""),FALSE)</f>
        <v>0</v>
      </c>
      <c r="L2009" s="23" t="str">
        <f>IFERROR(__xludf.DUMMYFUNCTION("""COMPUTED_VALUE"""),"Array;Binary Search;Dynamic Programming;Sorting;")</f>
        <v>Array;Binary Search;Dynamic Programming;Sorting;</v>
      </c>
      <c r="M2009" s="23" t="b">
        <f>IFERROR(__xludf.DUMMYFUNCTION("""COMPUTED_VALUE"""),FALSE)</f>
        <v>0</v>
      </c>
      <c r="N2009" s="23" t="b">
        <f>IFERROR(__xludf.DUMMYFUNCTION("""COMPUTED_VALUE"""),FALSE)</f>
        <v>0</v>
      </c>
      <c r="O2009" s="23">
        <f>IFERROR(__xludf.DUMMYFUNCTION("""COMPUTED_VALUE"""),42.5954779959142)</f>
        <v>42.595478</v>
      </c>
      <c r="P2009" s="23">
        <f>IFERROR(__xludf.DUMMYFUNCTION("""COMPUTED_VALUE"""),12302.0)</f>
        <v>12302</v>
      </c>
      <c r="Q2009" s="23">
        <f>IFERROR(__xludf.DUMMYFUNCTION("""COMPUTED_VALUE"""),28881.0)</f>
        <v>28881</v>
      </c>
    </row>
    <row r="2010">
      <c r="A2010" s="23">
        <f>IFERROR(__xludf.DUMMYFUNCTION("""COMPUTED_VALUE"""),2119.0)</f>
        <v>2119</v>
      </c>
      <c r="B2010" s="23" t="str">
        <f>IFERROR(__xludf.DUMMYFUNCTION("""COMPUTED_VALUE"""),"Minimum Number of Operations to Make Array Continuous")</f>
        <v>Minimum Number of Operations to Make Array Continuous</v>
      </c>
      <c r="C2010" s="23" t="str">
        <f>IFERROR(__xludf.DUMMYFUNCTION("""COMPUTED_VALUE"""),"minimum-number-of-operations-to-make-array-continuous")</f>
        <v>minimum-number-of-operations-to-make-array-continuous</v>
      </c>
      <c r="D2010" s="23" t="b">
        <f>IFERROR(__xludf.DUMMYFUNCTION("""COMPUTED_VALUE"""),FALSE)</f>
        <v>0</v>
      </c>
      <c r="E2010" s="23" t="str">
        <f>IFERROR(__xludf.DUMMYFUNCTION("""COMPUTED_VALUE"""),"Hard")</f>
        <v>Hard</v>
      </c>
      <c r="F2010" s="23">
        <f>IFERROR(__xludf.DUMMYFUNCTION("""COMPUTED_VALUE"""),412.0)</f>
        <v>412</v>
      </c>
      <c r="G2010" s="23">
        <f>IFERROR(__xludf.DUMMYFUNCTION("""COMPUTED_VALUE"""),4.0)</f>
        <v>4</v>
      </c>
      <c r="H2010" s="23" t="str">
        <f>IFERROR(__xludf.DUMMYFUNCTION("""COMPUTED_VALUE"""),"Algorithms")</f>
        <v>Algorithms</v>
      </c>
      <c r="I2010" s="23">
        <f>IFERROR(__xludf.DUMMYFUNCTION("""COMPUTED_VALUE"""),0.458)</f>
        <v>0.458</v>
      </c>
      <c r="J2010" s="23">
        <f>IFERROR(__xludf.DUMMYFUNCTION("""COMPUTED_VALUE"""),2009.0)</f>
        <v>2009</v>
      </c>
      <c r="K2010" s="23" t="b">
        <f>IFERROR(__xludf.DUMMYFUNCTION("""COMPUTED_VALUE"""),FALSE)</f>
        <v>0</v>
      </c>
      <c r="L2010" s="23" t="str">
        <f>IFERROR(__xludf.DUMMYFUNCTION("""COMPUTED_VALUE"""),"Array;Binary Search;")</f>
        <v>Array;Binary Search;</v>
      </c>
      <c r="M2010" s="23" t="b">
        <f>IFERROR(__xludf.DUMMYFUNCTION("""COMPUTED_VALUE"""),FALSE)</f>
        <v>0</v>
      </c>
      <c r="N2010" s="23" t="b">
        <f>IFERROR(__xludf.DUMMYFUNCTION("""COMPUTED_VALUE"""),FALSE)</f>
        <v>0</v>
      </c>
      <c r="O2010" s="23">
        <f>IFERROR(__xludf.DUMMYFUNCTION("""COMPUTED_VALUE"""),45.8256945423776)</f>
        <v>45.82569454</v>
      </c>
      <c r="P2010" s="23">
        <f>IFERROR(__xludf.DUMMYFUNCTION("""COMPUTED_VALUE"""),6499.0)</f>
        <v>6499</v>
      </c>
      <c r="Q2010" s="23">
        <f>IFERROR(__xludf.DUMMYFUNCTION("""COMPUTED_VALUE"""),14182.0)</f>
        <v>14182</v>
      </c>
    </row>
    <row r="2011">
      <c r="A2011" s="23">
        <f>IFERROR(__xludf.DUMMYFUNCTION("""COMPUTED_VALUE"""),2158.0)</f>
        <v>2158</v>
      </c>
      <c r="B2011" s="23" t="str">
        <f>IFERROR(__xludf.DUMMYFUNCTION("""COMPUTED_VALUE"""),"The Number of Seniors and Juniors to Join the Company II")</f>
        <v>The Number of Seniors and Juniors to Join the Company II</v>
      </c>
      <c r="C2011" s="23" t="str">
        <f>IFERROR(__xludf.DUMMYFUNCTION("""COMPUTED_VALUE"""),"the-number-of-seniors-and-juniors-to-join-the-company-ii")</f>
        <v>the-number-of-seniors-and-juniors-to-join-the-company-ii</v>
      </c>
      <c r="D2011" s="23" t="b">
        <f>IFERROR(__xludf.DUMMYFUNCTION("""COMPUTED_VALUE"""),TRUE)</f>
        <v>1</v>
      </c>
      <c r="E2011" s="23" t="str">
        <f>IFERROR(__xludf.DUMMYFUNCTION("""COMPUTED_VALUE"""),"Hard")</f>
        <v>Hard</v>
      </c>
      <c r="F2011" s="23">
        <f>IFERROR(__xludf.DUMMYFUNCTION("""COMPUTED_VALUE"""),11.0)</f>
        <v>11</v>
      </c>
      <c r="G2011" s="23">
        <f>IFERROR(__xludf.DUMMYFUNCTION("""COMPUTED_VALUE"""),5.0)</f>
        <v>5</v>
      </c>
      <c r="H2011" s="23" t="str">
        <f>IFERROR(__xludf.DUMMYFUNCTION("""COMPUTED_VALUE"""),"Database")</f>
        <v>Database</v>
      </c>
      <c r="I2011" s="23">
        <f>IFERROR(__xludf.DUMMYFUNCTION("""COMPUTED_VALUE"""),0.573)</f>
        <v>0.573</v>
      </c>
      <c r="J2011" s="23">
        <f>IFERROR(__xludf.DUMMYFUNCTION("""COMPUTED_VALUE"""),2010.0)</f>
        <v>2010</v>
      </c>
      <c r="K2011" s="23" t="b">
        <f>IFERROR(__xludf.DUMMYFUNCTION("""COMPUTED_VALUE"""),TRUE)</f>
        <v>1</v>
      </c>
      <c r="L2011" s="23" t="str">
        <f>IFERROR(__xludf.DUMMYFUNCTION("""COMPUTED_VALUE"""),"Database;")</f>
        <v>Database;</v>
      </c>
      <c r="M2011" s="23" t="b">
        <f>IFERROR(__xludf.DUMMYFUNCTION("""COMPUTED_VALUE"""),FALSE)</f>
        <v>0</v>
      </c>
      <c r="N2011" s="23" t="b">
        <f>IFERROR(__xludf.DUMMYFUNCTION("""COMPUTED_VALUE"""),FALSE)</f>
        <v>0</v>
      </c>
      <c r="O2011" s="23">
        <f>IFERROR(__xludf.DUMMYFUNCTION("""COMPUTED_VALUE"""),57.3048266925817)</f>
        <v>57.30482669</v>
      </c>
      <c r="P2011" s="23">
        <f>IFERROR(__xludf.DUMMYFUNCTION("""COMPUTED_VALUE"""),1769.0)</f>
        <v>1769</v>
      </c>
      <c r="Q2011" s="23">
        <f>IFERROR(__xludf.DUMMYFUNCTION("""COMPUTED_VALUE"""),3087.0)</f>
        <v>3087</v>
      </c>
    </row>
    <row r="2012">
      <c r="A2012" s="23">
        <f>IFERROR(__xludf.DUMMYFUNCTION("""COMPUTED_VALUE"""),2137.0)</f>
        <v>2137</v>
      </c>
      <c r="B2012" s="23" t="str">
        <f>IFERROR(__xludf.DUMMYFUNCTION("""COMPUTED_VALUE"""),"Final Value of Variable After Performing Operations")</f>
        <v>Final Value of Variable After Performing Operations</v>
      </c>
      <c r="C2012" s="23" t="str">
        <f>IFERROR(__xludf.DUMMYFUNCTION("""COMPUTED_VALUE"""),"final-value-of-variable-after-performing-operations")</f>
        <v>final-value-of-variable-after-performing-operations</v>
      </c>
      <c r="D2012" s="23" t="b">
        <f>IFERROR(__xludf.DUMMYFUNCTION("""COMPUTED_VALUE"""),FALSE)</f>
        <v>0</v>
      </c>
      <c r="E2012" s="23" t="str">
        <f>IFERROR(__xludf.DUMMYFUNCTION("""COMPUTED_VALUE"""),"Easy")</f>
        <v>Easy</v>
      </c>
      <c r="F2012" s="23">
        <f>IFERROR(__xludf.DUMMYFUNCTION("""COMPUTED_VALUE"""),486.0)</f>
        <v>486</v>
      </c>
      <c r="G2012" s="23">
        <f>IFERROR(__xludf.DUMMYFUNCTION("""COMPUTED_VALUE"""),85.0)</f>
        <v>85</v>
      </c>
      <c r="H2012" s="23" t="str">
        <f>IFERROR(__xludf.DUMMYFUNCTION("""COMPUTED_VALUE"""),"Algorithms")</f>
        <v>Algorithms</v>
      </c>
      <c r="I2012" s="23">
        <f>IFERROR(__xludf.DUMMYFUNCTION("""COMPUTED_VALUE"""),0.891)</f>
        <v>0.891</v>
      </c>
      <c r="J2012" s="23">
        <f>IFERROR(__xludf.DUMMYFUNCTION("""COMPUTED_VALUE"""),2011.0)</f>
        <v>2011</v>
      </c>
      <c r="K2012" s="23" t="b">
        <f>IFERROR(__xludf.DUMMYFUNCTION("""COMPUTED_VALUE"""),FALSE)</f>
        <v>0</v>
      </c>
      <c r="L2012" s="23" t="str">
        <f>IFERROR(__xludf.DUMMYFUNCTION("""COMPUTED_VALUE"""),"Array;String;Simulation;")</f>
        <v>Array;String;Simulation;</v>
      </c>
      <c r="M2012" s="23" t="b">
        <f>IFERROR(__xludf.DUMMYFUNCTION("""COMPUTED_VALUE"""),FALSE)</f>
        <v>0</v>
      </c>
      <c r="N2012" s="23" t="b">
        <f>IFERROR(__xludf.DUMMYFUNCTION("""COMPUTED_VALUE"""),FALSE)</f>
        <v>0</v>
      </c>
      <c r="O2012" s="23">
        <f>IFERROR(__xludf.DUMMYFUNCTION("""COMPUTED_VALUE"""),89.1482065066271)</f>
        <v>89.14820651</v>
      </c>
      <c r="P2012" s="23">
        <f>IFERROR(__xludf.DUMMYFUNCTION("""COMPUTED_VALUE"""),96178.0)</f>
        <v>96178</v>
      </c>
      <c r="Q2012" s="23">
        <f>IFERROR(__xludf.DUMMYFUNCTION("""COMPUTED_VALUE"""),107886.0)</f>
        <v>107886</v>
      </c>
    </row>
    <row r="2013">
      <c r="A2013" s="23">
        <f>IFERROR(__xludf.DUMMYFUNCTION("""COMPUTED_VALUE"""),2138.0)</f>
        <v>2138</v>
      </c>
      <c r="B2013" s="23" t="str">
        <f>IFERROR(__xludf.DUMMYFUNCTION("""COMPUTED_VALUE"""),"Sum of Beauty in the Array")</f>
        <v>Sum of Beauty in the Array</v>
      </c>
      <c r="C2013" s="23" t="str">
        <f>IFERROR(__xludf.DUMMYFUNCTION("""COMPUTED_VALUE"""),"sum-of-beauty-in-the-array")</f>
        <v>sum-of-beauty-in-the-array</v>
      </c>
      <c r="D2013" s="23" t="b">
        <f>IFERROR(__xludf.DUMMYFUNCTION("""COMPUTED_VALUE"""),FALSE)</f>
        <v>0</v>
      </c>
      <c r="E2013" s="23" t="str">
        <f>IFERROR(__xludf.DUMMYFUNCTION("""COMPUTED_VALUE"""),"Medium")</f>
        <v>Medium</v>
      </c>
      <c r="F2013" s="23">
        <f>IFERROR(__xludf.DUMMYFUNCTION("""COMPUTED_VALUE"""),296.0)</f>
        <v>296</v>
      </c>
      <c r="G2013" s="23">
        <f>IFERROR(__xludf.DUMMYFUNCTION("""COMPUTED_VALUE"""),30.0)</f>
        <v>30</v>
      </c>
      <c r="H2013" s="23" t="str">
        <f>IFERROR(__xludf.DUMMYFUNCTION("""COMPUTED_VALUE"""),"Algorithms")</f>
        <v>Algorithms</v>
      </c>
      <c r="I2013" s="23">
        <f>IFERROR(__xludf.DUMMYFUNCTION("""COMPUTED_VALUE"""),0.459)</f>
        <v>0.459</v>
      </c>
      <c r="J2013" s="23">
        <f>IFERROR(__xludf.DUMMYFUNCTION("""COMPUTED_VALUE"""),2012.0)</f>
        <v>2012</v>
      </c>
      <c r="K2013" s="23" t="b">
        <f>IFERROR(__xludf.DUMMYFUNCTION("""COMPUTED_VALUE"""),FALSE)</f>
        <v>0</v>
      </c>
      <c r="L2013" s="23" t="str">
        <f>IFERROR(__xludf.DUMMYFUNCTION("""COMPUTED_VALUE"""),"Array;")</f>
        <v>Array;</v>
      </c>
      <c r="M2013" s="23" t="b">
        <f>IFERROR(__xludf.DUMMYFUNCTION("""COMPUTED_VALUE"""),FALSE)</f>
        <v>0</v>
      </c>
      <c r="N2013" s="23" t="b">
        <f>IFERROR(__xludf.DUMMYFUNCTION("""COMPUTED_VALUE"""),FALSE)</f>
        <v>0</v>
      </c>
      <c r="O2013" s="23">
        <f>IFERROR(__xludf.DUMMYFUNCTION("""COMPUTED_VALUE"""),45.8930467091295)</f>
        <v>45.89304671</v>
      </c>
      <c r="P2013" s="23">
        <f>IFERROR(__xludf.DUMMYFUNCTION("""COMPUTED_VALUE"""),13834.0)</f>
        <v>13834</v>
      </c>
      <c r="Q2013" s="23">
        <f>IFERROR(__xludf.DUMMYFUNCTION("""COMPUTED_VALUE"""),30143.0)</f>
        <v>30143</v>
      </c>
    </row>
    <row r="2014">
      <c r="A2014" s="23">
        <f>IFERROR(__xludf.DUMMYFUNCTION("""COMPUTED_VALUE"""),2139.0)</f>
        <v>2139</v>
      </c>
      <c r="B2014" s="23" t="str">
        <f>IFERROR(__xludf.DUMMYFUNCTION("""COMPUTED_VALUE"""),"Detect Squares")</f>
        <v>Detect Squares</v>
      </c>
      <c r="C2014" s="23" t="str">
        <f>IFERROR(__xludf.DUMMYFUNCTION("""COMPUTED_VALUE"""),"detect-squares")</f>
        <v>detect-squares</v>
      </c>
      <c r="D2014" s="23" t="b">
        <f>IFERROR(__xludf.DUMMYFUNCTION("""COMPUTED_VALUE"""),FALSE)</f>
        <v>0</v>
      </c>
      <c r="E2014" s="23" t="str">
        <f>IFERROR(__xludf.DUMMYFUNCTION("""COMPUTED_VALUE"""),"Medium")</f>
        <v>Medium</v>
      </c>
      <c r="F2014" s="23">
        <f>IFERROR(__xludf.DUMMYFUNCTION("""COMPUTED_VALUE"""),313.0)</f>
        <v>313</v>
      </c>
      <c r="G2014" s="23">
        <f>IFERROR(__xludf.DUMMYFUNCTION("""COMPUTED_VALUE"""),101.0)</f>
        <v>101</v>
      </c>
      <c r="H2014" s="23" t="str">
        <f>IFERROR(__xludf.DUMMYFUNCTION("""COMPUTED_VALUE"""),"Algorithms")</f>
        <v>Algorithms</v>
      </c>
      <c r="I2014" s="23">
        <f>IFERROR(__xludf.DUMMYFUNCTION("""COMPUTED_VALUE"""),0.466)</f>
        <v>0.466</v>
      </c>
      <c r="J2014" s="23">
        <f>IFERROR(__xludf.DUMMYFUNCTION("""COMPUTED_VALUE"""),2013.0)</f>
        <v>2013</v>
      </c>
      <c r="K2014" s="23" t="b">
        <f>IFERROR(__xludf.DUMMYFUNCTION("""COMPUTED_VALUE"""),FALSE)</f>
        <v>0</v>
      </c>
      <c r="L2014" s="23" t="str">
        <f>IFERROR(__xludf.DUMMYFUNCTION("""COMPUTED_VALUE"""),"Array;Hash Table;Design;Counting;")</f>
        <v>Array;Hash Table;Design;Counting;</v>
      </c>
      <c r="M2014" s="23" t="b">
        <f>IFERROR(__xludf.DUMMYFUNCTION("""COMPUTED_VALUE"""),FALSE)</f>
        <v>0</v>
      </c>
      <c r="N2014" s="23" t="b">
        <f>IFERROR(__xludf.DUMMYFUNCTION("""COMPUTED_VALUE"""),FALSE)</f>
        <v>0</v>
      </c>
      <c r="O2014" s="23">
        <f>IFERROR(__xludf.DUMMYFUNCTION("""COMPUTED_VALUE"""),46.5927137405484)</f>
        <v>46.59271374</v>
      </c>
      <c r="P2014" s="23">
        <f>IFERROR(__xludf.DUMMYFUNCTION("""COMPUTED_VALUE"""),19657.0)</f>
        <v>19657</v>
      </c>
      <c r="Q2014" s="23">
        <f>IFERROR(__xludf.DUMMYFUNCTION("""COMPUTED_VALUE"""),42189.0)</f>
        <v>42189</v>
      </c>
    </row>
    <row r="2015">
      <c r="A2015" s="23">
        <f>IFERROR(__xludf.DUMMYFUNCTION("""COMPUTED_VALUE"""),2140.0)</f>
        <v>2140</v>
      </c>
      <c r="B2015" s="23" t="str">
        <f>IFERROR(__xludf.DUMMYFUNCTION("""COMPUTED_VALUE"""),"Longest Subsequence Repeated k Times")</f>
        <v>Longest Subsequence Repeated k Times</v>
      </c>
      <c r="C2015" s="23" t="str">
        <f>IFERROR(__xludf.DUMMYFUNCTION("""COMPUTED_VALUE"""),"longest-subsequence-repeated-k-times")</f>
        <v>longest-subsequence-repeated-k-times</v>
      </c>
      <c r="D2015" s="23" t="b">
        <f>IFERROR(__xludf.DUMMYFUNCTION("""COMPUTED_VALUE"""),FALSE)</f>
        <v>0</v>
      </c>
      <c r="E2015" s="23" t="str">
        <f>IFERROR(__xludf.DUMMYFUNCTION("""COMPUTED_VALUE"""),"Hard")</f>
        <v>Hard</v>
      </c>
      <c r="F2015" s="23">
        <f>IFERROR(__xludf.DUMMYFUNCTION("""COMPUTED_VALUE"""),190.0)</f>
        <v>190</v>
      </c>
      <c r="G2015" s="23">
        <f>IFERROR(__xludf.DUMMYFUNCTION("""COMPUTED_VALUE"""),53.0)</f>
        <v>53</v>
      </c>
      <c r="H2015" s="23" t="str">
        <f>IFERROR(__xludf.DUMMYFUNCTION("""COMPUTED_VALUE"""),"Algorithms")</f>
        <v>Algorithms</v>
      </c>
      <c r="I2015" s="23">
        <f>IFERROR(__xludf.DUMMYFUNCTION("""COMPUTED_VALUE"""),0.549)</f>
        <v>0.549</v>
      </c>
      <c r="J2015" s="23">
        <f>IFERROR(__xludf.DUMMYFUNCTION("""COMPUTED_VALUE"""),2014.0)</f>
        <v>2014</v>
      </c>
      <c r="K2015" s="23" t="b">
        <f>IFERROR(__xludf.DUMMYFUNCTION("""COMPUTED_VALUE"""),FALSE)</f>
        <v>0</v>
      </c>
      <c r="L2015" s="23" t="str">
        <f>IFERROR(__xludf.DUMMYFUNCTION("""COMPUTED_VALUE"""),"String;Backtracking;Greedy;Counting;Enumeration;")</f>
        <v>String;Backtracking;Greedy;Counting;Enumeration;</v>
      </c>
      <c r="M2015" s="23" t="b">
        <f>IFERROR(__xludf.DUMMYFUNCTION("""COMPUTED_VALUE"""),FALSE)</f>
        <v>0</v>
      </c>
      <c r="N2015" s="23" t="b">
        <f>IFERROR(__xludf.DUMMYFUNCTION("""COMPUTED_VALUE"""),FALSE)</f>
        <v>0</v>
      </c>
      <c r="O2015" s="23">
        <f>IFERROR(__xludf.DUMMYFUNCTION("""COMPUTED_VALUE"""),54.8768874982995)</f>
        <v>54.8768875</v>
      </c>
      <c r="P2015" s="23">
        <f>IFERROR(__xludf.DUMMYFUNCTION("""COMPUTED_VALUE"""),4034.0)</f>
        <v>4034</v>
      </c>
      <c r="Q2015" s="23">
        <f>IFERROR(__xludf.DUMMYFUNCTION("""COMPUTED_VALUE"""),7351.0)</f>
        <v>7351</v>
      </c>
    </row>
    <row r="2016">
      <c r="A2016" s="23">
        <f>IFERROR(__xludf.DUMMYFUNCTION("""COMPUTED_VALUE"""),2142.0)</f>
        <v>2142</v>
      </c>
      <c r="B2016" s="23" t="str">
        <f>IFERROR(__xludf.DUMMYFUNCTION("""COMPUTED_VALUE"""),"Average Height of Buildings in Each Segment")</f>
        <v>Average Height of Buildings in Each Segment</v>
      </c>
      <c r="C2016" s="23" t="str">
        <f>IFERROR(__xludf.DUMMYFUNCTION("""COMPUTED_VALUE"""),"average-height-of-buildings-in-each-segment")</f>
        <v>average-height-of-buildings-in-each-segment</v>
      </c>
      <c r="D2016" s="23" t="b">
        <f>IFERROR(__xludf.DUMMYFUNCTION("""COMPUTED_VALUE"""),TRUE)</f>
        <v>1</v>
      </c>
      <c r="E2016" s="23" t="str">
        <f>IFERROR(__xludf.DUMMYFUNCTION("""COMPUTED_VALUE"""),"Medium")</f>
        <v>Medium</v>
      </c>
      <c r="F2016" s="23">
        <f>IFERROR(__xludf.DUMMYFUNCTION("""COMPUTED_VALUE"""),30.0)</f>
        <v>30</v>
      </c>
      <c r="G2016" s="23">
        <f>IFERROR(__xludf.DUMMYFUNCTION("""COMPUTED_VALUE"""),13.0)</f>
        <v>13</v>
      </c>
      <c r="H2016" s="23" t="str">
        <f>IFERROR(__xludf.DUMMYFUNCTION("""COMPUTED_VALUE"""),"Algorithms")</f>
        <v>Algorithms</v>
      </c>
      <c r="I2016" s="23">
        <f>IFERROR(__xludf.DUMMYFUNCTION("""COMPUTED_VALUE"""),0.575)</f>
        <v>0.575</v>
      </c>
      <c r="J2016" s="23">
        <f>IFERROR(__xludf.DUMMYFUNCTION("""COMPUTED_VALUE"""),2015.0)</f>
        <v>2015</v>
      </c>
      <c r="K2016" s="23" t="b">
        <f>IFERROR(__xludf.DUMMYFUNCTION("""COMPUTED_VALUE"""),TRUE)</f>
        <v>1</v>
      </c>
      <c r="L2016" s="23" t="str">
        <f>IFERROR(__xludf.DUMMYFUNCTION("""COMPUTED_VALUE"""),"Array;Greedy;Sorting;Heap (Priority Queue);")</f>
        <v>Array;Greedy;Sorting;Heap (Priority Queue);</v>
      </c>
      <c r="M2016" s="23" t="b">
        <f>IFERROR(__xludf.DUMMYFUNCTION("""COMPUTED_VALUE"""),FALSE)</f>
        <v>0</v>
      </c>
      <c r="N2016" s="23" t="b">
        <f>IFERROR(__xludf.DUMMYFUNCTION("""COMPUTED_VALUE"""),FALSE)</f>
        <v>0</v>
      </c>
      <c r="O2016" s="23">
        <f>IFERROR(__xludf.DUMMYFUNCTION("""COMPUTED_VALUE"""),57.4983628028814)</f>
        <v>57.4983628</v>
      </c>
      <c r="P2016" s="23">
        <f>IFERROR(__xludf.DUMMYFUNCTION("""COMPUTED_VALUE"""),878.0)</f>
        <v>878</v>
      </c>
      <c r="Q2016" s="23">
        <f>IFERROR(__xludf.DUMMYFUNCTION("""COMPUTED_VALUE"""),1527.0)</f>
        <v>1527</v>
      </c>
    </row>
    <row r="2017">
      <c r="A2017" s="23">
        <f>IFERROR(__xludf.DUMMYFUNCTION("""COMPUTED_VALUE"""),2144.0)</f>
        <v>2144</v>
      </c>
      <c r="B2017" s="23" t="str">
        <f>IFERROR(__xludf.DUMMYFUNCTION("""COMPUTED_VALUE"""),"Maximum Difference Between Increasing Elements")</f>
        <v>Maximum Difference Between Increasing Elements</v>
      </c>
      <c r="C2017" s="23" t="str">
        <f>IFERROR(__xludf.DUMMYFUNCTION("""COMPUTED_VALUE"""),"maximum-difference-between-increasing-elements")</f>
        <v>maximum-difference-between-increasing-elements</v>
      </c>
      <c r="D2017" s="23" t="b">
        <f>IFERROR(__xludf.DUMMYFUNCTION("""COMPUTED_VALUE"""),FALSE)</f>
        <v>0</v>
      </c>
      <c r="E2017" s="23" t="str">
        <f>IFERROR(__xludf.DUMMYFUNCTION("""COMPUTED_VALUE"""),"Easy")</f>
        <v>Easy</v>
      </c>
      <c r="F2017" s="23">
        <f>IFERROR(__xludf.DUMMYFUNCTION("""COMPUTED_VALUE"""),381.0)</f>
        <v>381</v>
      </c>
      <c r="G2017" s="23">
        <f>IFERROR(__xludf.DUMMYFUNCTION("""COMPUTED_VALUE"""),15.0)</f>
        <v>15</v>
      </c>
      <c r="H2017" s="23" t="str">
        <f>IFERROR(__xludf.DUMMYFUNCTION("""COMPUTED_VALUE"""),"Algorithms")</f>
        <v>Algorithms</v>
      </c>
      <c r="I2017" s="23">
        <f>IFERROR(__xludf.DUMMYFUNCTION("""COMPUTED_VALUE"""),0.546)</f>
        <v>0.546</v>
      </c>
      <c r="J2017" s="23">
        <f>IFERROR(__xludf.DUMMYFUNCTION("""COMPUTED_VALUE"""),2016.0)</f>
        <v>2016</v>
      </c>
      <c r="K2017" s="23" t="b">
        <f>IFERROR(__xludf.DUMMYFUNCTION("""COMPUTED_VALUE"""),FALSE)</f>
        <v>0</v>
      </c>
      <c r="L2017" s="23" t="str">
        <f>IFERROR(__xludf.DUMMYFUNCTION("""COMPUTED_VALUE"""),"Array;")</f>
        <v>Array;</v>
      </c>
      <c r="M2017" s="23" t="b">
        <f>IFERROR(__xludf.DUMMYFUNCTION("""COMPUTED_VALUE"""),FALSE)</f>
        <v>0</v>
      </c>
      <c r="N2017" s="23" t="b">
        <f>IFERROR(__xludf.DUMMYFUNCTION("""COMPUTED_VALUE"""),FALSE)</f>
        <v>0</v>
      </c>
      <c r="O2017" s="23">
        <f>IFERROR(__xludf.DUMMYFUNCTION("""COMPUTED_VALUE"""),54.588680312511)</f>
        <v>54.58868031</v>
      </c>
      <c r="P2017" s="23">
        <f>IFERROR(__xludf.DUMMYFUNCTION("""COMPUTED_VALUE"""),30883.0)</f>
        <v>30883</v>
      </c>
      <c r="Q2017" s="23">
        <f>IFERROR(__xludf.DUMMYFUNCTION("""COMPUTED_VALUE"""),56574.0)</f>
        <v>56574</v>
      </c>
    </row>
    <row r="2018">
      <c r="A2018" s="23">
        <f>IFERROR(__xludf.DUMMYFUNCTION("""COMPUTED_VALUE"""),2145.0)</f>
        <v>2145</v>
      </c>
      <c r="B2018" s="23" t="str">
        <f>IFERROR(__xludf.DUMMYFUNCTION("""COMPUTED_VALUE"""),"Grid Game")</f>
        <v>Grid Game</v>
      </c>
      <c r="C2018" s="23" t="str">
        <f>IFERROR(__xludf.DUMMYFUNCTION("""COMPUTED_VALUE"""),"grid-game")</f>
        <v>grid-game</v>
      </c>
      <c r="D2018" s="23" t="b">
        <f>IFERROR(__xludf.DUMMYFUNCTION("""COMPUTED_VALUE"""),FALSE)</f>
        <v>0</v>
      </c>
      <c r="E2018" s="23" t="str">
        <f>IFERROR(__xludf.DUMMYFUNCTION("""COMPUTED_VALUE"""),"Medium")</f>
        <v>Medium</v>
      </c>
      <c r="F2018" s="23">
        <f>IFERROR(__xludf.DUMMYFUNCTION("""COMPUTED_VALUE"""),433.0)</f>
        <v>433</v>
      </c>
      <c r="G2018" s="23">
        <f>IFERROR(__xludf.DUMMYFUNCTION("""COMPUTED_VALUE"""),12.0)</f>
        <v>12</v>
      </c>
      <c r="H2018" s="23" t="str">
        <f>IFERROR(__xludf.DUMMYFUNCTION("""COMPUTED_VALUE"""),"Algorithms")</f>
        <v>Algorithms</v>
      </c>
      <c r="I2018" s="23">
        <f>IFERROR(__xludf.DUMMYFUNCTION("""COMPUTED_VALUE"""),0.415)</f>
        <v>0.415</v>
      </c>
      <c r="J2018" s="23">
        <f>IFERROR(__xludf.DUMMYFUNCTION("""COMPUTED_VALUE"""),2017.0)</f>
        <v>2017</v>
      </c>
      <c r="K2018" s="23" t="b">
        <f>IFERROR(__xludf.DUMMYFUNCTION("""COMPUTED_VALUE"""),FALSE)</f>
        <v>0</v>
      </c>
      <c r="L2018" s="23" t="str">
        <f>IFERROR(__xludf.DUMMYFUNCTION("""COMPUTED_VALUE"""),"Array;Matrix;Prefix Sum;")</f>
        <v>Array;Matrix;Prefix Sum;</v>
      </c>
      <c r="M2018" s="23" t="b">
        <f>IFERROR(__xludf.DUMMYFUNCTION("""COMPUTED_VALUE"""),FALSE)</f>
        <v>0</v>
      </c>
      <c r="N2018" s="23" t="b">
        <f>IFERROR(__xludf.DUMMYFUNCTION("""COMPUTED_VALUE"""),FALSE)</f>
        <v>0</v>
      </c>
      <c r="O2018" s="23">
        <f>IFERROR(__xludf.DUMMYFUNCTION("""COMPUTED_VALUE"""),41.5082073785145)</f>
        <v>41.50820738</v>
      </c>
      <c r="P2018" s="23">
        <f>IFERROR(__xludf.DUMMYFUNCTION("""COMPUTED_VALUE"""),10216.0)</f>
        <v>10216</v>
      </c>
      <c r="Q2018" s="23">
        <f>IFERROR(__xludf.DUMMYFUNCTION("""COMPUTED_VALUE"""),24612.0)</f>
        <v>24612</v>
      </c>
    </row>
    <row r="2019">
      <c r="A2019" s="23">
        <f>IFERROR(__xludf.DUMMYFUNCTION("""COMPUTED_VALUE"""),2146.0)</f>
        <v>2146</v>
      </c>
      <c r="B2019" s="23" t="str">
        <f>IFERROR(__xludf.DUMMYFUNCTION("""COMPUTED_VALUE"""),"Check if Word Can Be Placed In Crossword")</f>
        <v>Check if Word Can Be Placed In Crossword</v>
      </c>
      <c r="C2019" s="23" t="str">
        <f>IFERROR(__xludf.DUMMYFUNCTION("""COMPUTED_VALUE"""),"check-if-word-can-be-placed-in-crossword")</f>
        <v>check-if-word-can-be-placed-in-crossword</v>
      </c>
      <c r="D2019" s="23" t="b">
        <f>IFERROR(__xludf.DUMMYFUNCTION("""COMPUTED_VALUE"""),FALSE)</f>
        <v>0</v>
      </c>
      <c r="E2019" s="23" t="str">
        <f>IFERROR(__xludf.DUMMYFUNCTION("""COMPUTED_VALUE"""),"Medium")</f>
        <v>Medium</v>
      </c>
      <c r="F2019" s="23">
        <f>IFERROR(__xludf.DUMMYFUNCTION("""COMPUTED_VALUE"""),163.0)</f>
        <v>163</v>
      </c>
      <c r="G2019" s="23">
        <f>IFERROR(__xludf.DUMMYFUNCTION("""COMPUTED_VALUE"""),173.0)</f>
        <v>173</v>
      </c>
      <c r="H2019" s="23" t="str">
        <f>IFERROR(__xludf.DUMMYFUNCTION("""COMPUTED_VALUE"""),"Algorithms")</f>
        <v>Algorithms</v>
      </c>
      <c r="I2019" s="23">
        <f>IFERROR(__xludf.DUMMYFUNCTION("""COMPUTED_VALUE"""),0.482)</f>
        <v>0.482</v>
      </c>
      <c r="J2019" s="23">
        <f>IFERROR(__xludf.DUMMYFUNCTION("""COMPUTED_VALUE"""),2018.0)</f>
        <v>2018</v>
      </c>
      <c r="K2019" s="23" t="b">
        <f>IFERROR(__xludf.DUMMYFUNCTION("""COMPUTED_VALUE"""),FALSE)</f>
        <v>0</v>
      </c>
      <c r="L2019" s="23" t="str">
        <f>IFERROR(__xludf.DUMMYFUNCTION("""COMPUTED_VALUE"""),"Array;Matrix;Enumeration;")</f>
        <v>Array;Matrix;Enumeration;</v>
      </c>
      <c r="M2019" s="23" t="b">
        <f>IFERROR(__xludf.DUMMYFUNCTION("""COMPUTED_VALUE"""),FALSE)</f>
        <v>0</v>
      </c>
      <c r="N2019" s="23" t="b">
        <f>IFERROR(__xludf.DUMMYFUNCTION("""COMPUTED_VALUE"""),FALSE)</f>
        <v>0</v>
      </c>
      <c r="O2019" s="23">
        <f>IFERROR(__xludf.DUMMYFUNCTION("""COMPUTED_VALUE"""),48.2466681232248)</f>
        <v>48.24666812</v>
      </c>
      <c r="P2019" s="23">
        <f>IFERROR(__xludf.DUMMYFUNCTION("""COMPUTED_VALUE"""),8833.0)</f>
        <v>8833</v>
      </c>
      <c r="Q2019" s="23">
        <f>IFERROR(__xludf.DUMMYFUNCTION("""COMPUTED_VALUE"""),18308.0)</f>
        <v>18308</v>
      </c>
    </row>
    <row r="2020">
      <c r="A2020" s="23">
        <f>IFERROR(__xludf.DUMMYFUNCTION("""COMPUTED_VALUE"""),2147.0)</f>
        <v>2147</v>
      </c>
      <c r="B2020" s="23" t="str">
        <f>IFERROR(__xludf.DUMMYFUNCTION("""COMPUTED_VALUE"""),"The Score of Students Solving Math Expression")</f>
        <v>The Score of Students Solving Math Expression</v>
      </c>
      <c r="C2020" s="23" t="str">
        <f>IFERROR(__xludf.DUMMYFUNCTION("""COMPUTED_VALUE"""),"the-score-of-students-solving-math-expression")</f>
        <v>the-score-of-students-solving-math-expression</v>
      </c>
      <c r="D2020" s="23" t="b">
        <f>IFERROR(__xludf.DUMMYFUNCTION("""COMPUTED_VALUE"""),FALSE)</f>
        <v>0</v>
      </c>
      <c r="E2020" s="23" t="str">
        <f>IFERROR(__xludf.DUMMYFUNCTION("""COMPUTED_VALUE"""),"Hard")</f>
        <v>Hard</v>
      </c>
      <c r="F2020" s="23">
        <f>IFERROR(__xludf.DUMMYFUNCTION("""COMPUTED_VALUE"""),140.0)</f>
        <v>140</v>
      </c>
      <c r="G2020" s="23">
        <f>IFERROR(__xludf.DUMMYFUNCTION("""COMPUTED_VALUE"""),63.0)</f>
        <v>63</v>
      </c>
      <c r="H2020" s="23" t="str">
        <f>IFERROR(__xludf.DUMMYFUNCTION("""COMPUTED_VALUE"""),"Algorithms")</f>
        <v>Algorithms</v>
      </c>
      <c r="I2020" s="23">
        <f>IFERROR(__xludf.DUMMYFUNCTION("""COMPUTED_VALUE"""),0.339)</f>
        <v>0.339</v>
      </c>
      <c r="J2020" s="23">
        <f>IFERROR(__xludf.DUMMYFUNCTION("""COMPUTED_VALUE"""),2019.0)</f>
        <v>2019</v>
      </c>
      <c r="K2020" s="23" t="b">
        <f>IFERROR(__xludf.DUMMYFUNCTION("""COMPUTED_VALUE"""),FALSE)</f>
        <v>0</v>
      </c>
      <c r="L2020" s="23" t="str">
        <f>IFERROR(__xludf.DUMMYFUNCTION("""COMPUTED_VALUE"""),"Array;Math;String;Dynamic Programming;Stack;Memoization;")</f>
        <v>Array;Math;String;Dynamic Programming;Stack;Memoization;</v>
      </c>
      <c r="M2020" s="23" t="b">
        <f>IFERROR(__xludf.DUMMYFUNCTION("""COMPUTED_VALUE"""),FALSE)</f>
        <v>0</v>
      </c>
      <c r="N2020" s="23" t="b">
        <f>IFERROR(__xludf.DUMMYFUNCTION("""COMPUTED_VALUE"""),FALSE)</f>
        <v>0</v>
      </c>
      <c r="O2020" s="23">
        <f>IFERROR(__xludf.DUMMYFUNCTION("""COMPUTED_VALUE"""),33.8652766639935)</f>
        <v>33.86527666</v>
      </c>
      <c r="P2020" s="23">
        <f>IFERROR(__xludf.DUMMYFUNCTION("""COMPUTED_VALUE"""),4223.0)</f>
        <v>4223</v>
      </c>
      <c r="Q2020" s="23">
        <f>IFERROR(__xludf.DUMMYFUNCTION("""COMPUTED_VALUE"""),12470.0)</f>
        <v>12470</v>
      </c>
    </row>
    <row r="2021">
      <c r="A2021" s="23">
        <f>IFERROR(__xludf.DUMMYFUNCTION("""COMPUTED_VALUE"""),2167.0)</f>
        <v>2167</v>
      </c>
      <c r="B2021" s="23" t="str">
        <f>IFERROR(__xludf.DUMMYFUNCTION("""COMPUTED_VALUE"""),"Number of Accounts That Did Not Stream")</f>
        <v>Number of Accounts That Did Not Stream</v>
      </c>
      <c r="C2021" s="23" t="str">
        <f>IFERROR(__xludf.DUMMYFUNCTION("""COMPUTED_VALUE"""),"number-of-accounts-that-did-not-stream")</f>
        <v>number-of-accounts-that-did-not-stream</v>
      </c>
      <c r="D2021" s="23" t="b">
        <f>IFERROR(__xludf.DUMMYFUNCTION("""COMPUTED_VALUE"""),TRUE)</f>
        <v>1</v>
      </c>
      <c r="E2021" s="23" t="str">
        <f>IFERROR(__xludf.DUMMYFUNCTION("""COMPUTED_VALUE"""),"Medium")</f>
        <v>Medium</v>
      </c>
      <c r="F2021" s="23">
        <f>IFERROR(__xludf.DUMMYFUNCTION("""COMPUTED_VALUE"""),10.0)</f>
        <v>10</v>
      </c>
      <c r="G2021" s="23">
        <f>IFERROR(__xludf.DUMMYFUNCTION("""COMPUTED_VALUE"""),79.0)</f>
        <v>79</v>
      </c>
      <c r="H2021" s="23" t="str">
        <f>IFERROR(__xludf.DUMMYFUNCTION("""COMPUTED_VALUE"""),"Database")</f>
        <v>Database</v>
      </c>
      <c r="I2021" s="23">
        <f>IFERROR(__xludf.DUMMYFUNCTION("""COMPUTED_VALUE"""),0.728)</f>
        <v>0.728</v>
      </c>
      <c r="J2021" s="23">
        <f>IFERROR(__xludf.DUMMYFUNCTION("""COMPUTED_VALUE"""),2020.0)</f>
        <v>2020</v>
      </c>
      <c r="K2021" s="23" t="b">
        <f>IFERROR(__xludf.DUMMYFUNCTION("""COMPUTED_VALUE"""),TRUE)</f>
        <v>1</v>
      </c>
      <c r="L2021" s="23" t="str">
        <f>IFERROR(__xludf.DUMMYFUNCTION("""COMPUTED_VALUE"""),"Database;")</f>
        <v>Database;</v>
      </c>
      <c r="M2021" s="23" t="b">
        <f>IFERROR(__xludf.DUMMYFUNCTION("""COMPUTED_VALUE"""),FALSE)</f>
        <v>0</v>
      </c>
      <c r="N2021" s="23" t="b">
        <f>IFERROR(__xludf.DUMMYFUNCTION("""COMPUTED_VALUE"""),FALSE)</f>
        <v>0</v>
      </c>
      <c r="O2021" s="23">
        <f>IFERROR(__xludf.DUMMYFUNCTION("""COMPUTED_VALUE"""),72.7730441518203)</f>
        <v>72.77304415</v>
      </c>
      <c r="P2021" s="23">
        <f>IFERROR(__xludf.DUMMYFUNCTION("""COMPUTED_VALUE"""),3758.0)</f>
        <v>3758</v>
      </c>
      <c r="Q2021" s="23">
        <f>IFERROR(__xludf.DUMMYFUNCTION("""COMPUTED_VALUE"""),5164.0)</f>
        <v>5164</v>
      </c>
    </row>
    <row r="2022">
      <c r="A2022" s="23">
        <f>IFERROR(__xludf.DUMMYFUNCTION("""COMPUTED_VALUE"""),2075.0)</f>
        <v>2075</v>
      </c>
      <c r="B2022" s="23" t="str">
        <f>IFERROR(__xludf.DUMMYFUNCTION("""COMPUTED_VALUE"""),"Brightest Position on Street")</f>
        <v>Brightest Position on Street</v>
      </c>
      <c r="C2022" s="23" t="str">
        <f>IFERROR(__xludf.DUMMYFUNCTION("""COMPUTED_VALUE"""),"brightest-position-on-street")</f>
        <v>brightest-position-on-street</v>
      </c>
      <c r="D2022" s="23" t="b">
        <f>IFERROR(__xludf.DUMMYFUNCTION("""COMPUTED_VALUE"""),TRUE)</f>
        <v>1</v>
      </c>
      <c r="E2022" s="23" t="str">
        <f>IFERROR(__xludf.DUMMYFUNCTION("""COMPUTED_VALUE"""),"Medium")</f>
        <v>Medium</v>
      </c>
      <c r="F2022" s="23">
        <f>IFERROR(__xludf.DUMMYFUNCTION("""COMPUTED_VALUE"""),86.0)</f>
        <v>86</v>
      </c>
      <c r="G2022" s="23">
        <f>IFERROR(__xludf.DUMMYFUNCTION("""COMPUTED_VALUE"""),2.0)</f>
        <v>2</v>
      </c>
      <c r="H2022" s="23" t="str">
        <f>IFERROR(__xludf.DUMMYFUNCTION("""COMPUTED_VALUE"""),"Algorithms")</f>
        <v>Algorithms</v>
      </c>
      <c r="I2022" s="23">
        <f>IFERROR(__xludf.DUMMYFUNCTION("""COMPUTED_VALUE"""),0.628)</f>
        <v>0.628</v>
      </c>
      <c r="J2022" s="23">
        <f>IFERROR(__xludf.DUMMYFUNCTION("""COMPUTED_VALUE"""),2021.0)</f>
        <v>2021</v>
      </c>
      <c r="K2022" s="23" t="b">
        <f>IFERROR(__xludf.DUMMYFUNCTION("""COMPUTED_VALUE"""),TRUE)</f>
        <v>1</v>
      </c>
      <c r="L2022" s="23" t="str">
        <f>IFERROR(__xludf.DUMMYFUNCTION("""COMPUTED_VALUE"""),"Array;Prefix Sum;Ordered Set;")</f>
        <v>Array;Prefix Sum;Ordered Set;</v>
      </c>
      <c r="M2022" s="23" t="b">
        <f>IFERROR(__xludf.DUMMYFUNCTION("""COMPUTED_VALUE"""),FALSE)</f>
        <v>0</v>
      </c>
      <c r="N2022" s="23" t="b">
        <f>IFERROR(__xludf.DUMMYFUNCTION("""COMPUTED_VALUE"""),FALSE)</f>
        <v>0</v>
      </c>
      <c r="O2022" s="23">
        <f>IFERROR(__xludf.DUMMYFUNCTION("""COMPUTED_VALUE"""),62.7712854757929)</f>
        <v>62.77128548</v>
      </c>
      <c r="P2022" s="23">
        <f>IFERROR(__xludf.DUMMYFUNCTION("""COMPUTED_VALUE"""),2630.0)</f>
        <v>2630</v>
      </c>
      <c r="Q2022" s="23">
        <f>IFERROR(__xludf.DUMMYFUNCTION("""COMPUTED_VALUE"""),4191.0)</f>
        <v>4191</v>
      </c>
    </row>
    <row r="2023">
      <c r="A2023" s="23">
        <f>IFERROR(__xludf.DUMMYFUNCTION("""COMPUTED_VALUE"""),2132.0)</f>
        <v>2132</v>
      </c>
      <c r="B2023" s="23" t="str">
        <f>IFERROR(__xludf.DUMMYFUNCTION("""COMPUTED_VALUE"""),"Convert 1D Array Into 2D Array")</f>
        <v>Convert 1D Array Into 2D Array</v>
      </c>
      <c r="C2023" s="23" t="str">
        <f>IFERROR(__xludf.DUMMYFUNCTION("""COMPUTED_VALUE"""),"convert-1d-array-into-2d-array")</f>
        <v>convert-1d-array-into-2d-array</v>
      </c>
      <c r="D2023" s="23" t="b">
        <f>IFERROR(__xludf.DUMMYFUNCTION("""COMPUTED_VALUE"""),FALSE)</f>
        <v>0</v>
      </c>
      <c r="E2023" s="23" t="str">
        <f>IFERROR(__xludf.DUMMYFUNCTION("""COMPUTED_VALUE"""),"Easy")</f>
        <v>Easy</v>
      </c>
      <c r="F2023" s="23">
        <f>IFERROR(__xludf.DUMMYFUNCTION("""COMPUTED_VALUE"""),303.0)</f>
        <v>303</v>
      </c>
      <c r="G2023" s="23">
        <f>IFERROR(__xludf.DUMMYFUNCTION("""COMPUTED_VALUE"""),21.0)</f>
        <v>21</v>
      </c>
      <c r="H2023" s="23" t="str">
        <f>IFERROR(__xludf.DUMMYFUNCTION("""COMPUTED_VALUE"""),"Algorithms")</f>
        <v>Algorithms</v>
      </c>
      <c r="I2023" s="23">
        <f>IFERROR(__xludf.DUMMYFUNCTION("""COMPUTED_VALUE"""),0.591)</f>
        <v>0.591</v>
      </c>
      <c r="J2023" s="23">
        <f>IFERROR(__xludf.DUMMYFUNCTION("""COMPUTED_VALUE"""),2022.0)</f>
        <v>2022</v>
      </c>
      <c r="K2023" s="23" t="b">
        <f>IFERROR(__xludf.DUMMYFUNCTION("""COMPUTED_VALUE"""),FALSE)</f>
        <v>0</v>
      </c>
      <c r="L2023" s="23" t="str">
        <f>IFERROR(__xludf.DUMMYFUNCTION("""COMPUTED_VALUE"""),"Array;Matrix;Simulation;")</f>
        <v>Array;Matrix;Simulation;</v>
      </c>
      <c r="M2023" s="23" t="b">
        <f>IFERROR(__xludf.DUMMYFUNCTION("""COMPUTED_VALUE"""),FALSE)</f>
        <v>0</v>
      </c>
      <c r="N2023" s="23" t="b">
        <f>IFERROR(__xludf.DUMMYFUNCTION("""COMPUTED_VALUE"""),FALSE)</f>
        <v>0</v>
      </c>
      <c r="O2023" s="23">
        <f>IFERROR(__xludf.DUMMYFUNCTION("""COMPUTED_VALUE"""),59.0553332682736)</f>
        <v>59.05533327</v>
      </c>
      <c r="P2023" s="23">
        <f>IFERROR(__xludf.DUMMYFUNCTION("""COMPUTED_VALUE"""),30256.0)</f>
        <v>30256</v>
      </c>
      <c r="Q2023" s="23">
        <f>IFERROR(__xludf.DUMMYFUNCTION("""COMPUTED_VALUE"""),51234.0)</f>
        <v>51234</v>
      </c>
    </row>
    <row r="2024">
      <c r="A2024" s="23">
        <f>IFERROR(__xludf.DUMMYFUNCTION("""COMPUTED_VALUE"""),2133.0)</f>
        <v>2133</v>
      </c>
      <c r="B2024" s="23" t="str">
        <f>IFERROR(__xludf.DUMMYFUNCTION("""COMPUTED_VALUE"""),"Number of Pairs of Strings With Concatenation Equal to Target")</f>
        <v>Number of Pairs of Strings With Concatenation Equal to Target</v>
      </c>
      <c r="C2024" s="23" t="str">
        <f>IFERROR(__xludf.DUMMYFUNCTION("""COMPUTED_VALUE"""),"number-of-pairs-of-strings-with-concatenation-equal-to-target")</f>
        <v>number-of-pairs-of-strings-with-concatenation-equal-to-target</v>
      </c>
      <c r="D2024" s="23" t="b">
        <f>IFERROR(__xludf.DUMMYFUNCTION("""COMPUTED_VALUE"""),FALSE)</f>
        <v>0</v>
      </c>
      <c r="E2024" s="23" t="str">
        <f>IFERROR(__xludf.DUMMYFUNCTION("""COMPUTED_VALUE"""),"Medium")</f>
        <v>Medium</v>
      </c>
      <c r="F2024" s="23">
        <f>IFERROR(__xludf.DUMMYFUNCTION("""COMPUTED_VALUE"""),290.0)</f>
        <v>290</v>
      </c>
      <c r="G2024" s="23">
        <f>IFERROR(__xludf.DUMMYFUNCTION("""COMPUTED_VALUE"""),27.0)</f>
        <v>27</v>
      </c>
      <c r="H2024" s="23" t="str">
        <f>IFERROR(__xludf.DUMMYFUNCTION("""COMPUTED_VALUE"""),"Algorithms")</f>
        <v>Algorithms</v>
      </c>
      <c r="I2024" s="23">
        <f>IFERROR(__xludf.DUMMYFUNCTION("""COMPUTED_VALUE"""),0.73)</f>
        <v>0.73</v>
      </c>
      <c r="J2024" s="23">
        <f>IFERROR(__xludf.DUMMYFUNCTION("""COMPUTED_VALUE"""),2023.0)</f>
        <v>2023</v>
      </c>
      <c r="K2024" s="23" t="b">
        <f>IFERROR(__xludf.DUMMYFUNCTION("""COMPUTED_VALUE"""),FALSE)</f>
        <v>0</v>
      </c>
      <c r="L2024" s="23" t="str">
        <f>IFERROR(__xludf.DUMMYFUNCTION("""COMPUTED_VALUE"""),"Array;String;")</f>
        <v>Array;String;</v>
      </c>
      <c r="M2024" s="23" t="b">
        <f>IFERROR(__xludf.DUMMYFUNCTION("""COMPUTED_VALUE"""),FALSE)</f>
        <v>0</v>
      </c>
      <c r="N2024" s="23" t="b">
        <f>IFERROR(__xludf.DUMMYFUNCTION("""COMPUTED_VALUE"""),FALSE)</f>
        <v>0</v>
      </c>
      <c r="O2024" s="23">
        <f>IFERROR(__xludf.DUMMYFUNCTION("""COMPUTED_VALUE"""),72.9737442922374)</f>
        <v>72.97374429</v>
      </c>
      <c r="P2024" s="23">
        <f>IFERROR(__xludf.DUMMYFUNCTION("""COMPUTED_VALUE"""),17898.0)</f>
        <v>17898</v>
      </c>
      <c r="Q2024" s="23">
        <f>IFERROR(__xludf.DUMMYFUNCTION("""COMPUTED_VALUE"""),24527.0)</f>
        <v>24527</v>
      </c>
    </row>
    <row r="2025">
      <c r="A2025" s="23">
        <f>IFERROR(__xludf.DUMMYFUNCTION("""COMPUTED_VALUE"""),2134.0)</f>
        <v>2134</v>
      </c>
      <c r="B2025" s="23" t="str">
        <f>IFERROR(__xludf.DUMMYFUNCTION("""COMPUTED_VALUE"""),"Maximize the Confusion of an Exam")</f>
        <v>Maximize the Confusion of an Exam</v>
      </c>
      <c r="C2025" s="23" t="str">
        <f>IFERROR(__xludf.DUMMYFUNCTION("""COMPUTED_VALUE"""),"maximize-the-confusion-of-an-exam")</f>
        <v>maximize-the-confusion-of-an-exam</v>
      </c>
      <c r="D2025" s="23" t="b">
        <f>IFERROR(__xludf.DUMMYFUNCTION("""COMPUTED_VALUE"""),FALSE)</f>
        <v>0</v>
      </c>
      <c r="E2025" s="23" t="str">
        <f>IFERROR(__xludf.DUMMYFUNCTION("""COMPUTED_VALUE"""),"Medium")</f>
        <v>Medium</v>
      </c>
      <c r="F2025" s="23">
        <f>IFERROR(__xludf.DUMMYFUNCTION("""COMPUTED_VALUE"""),476.0)</f>
        <v>476</v>
      </c>
      <c r="G2025" s="23">
        <f>IFERROR(__xludf.DUMMYFUNCTION("""COMPUTED_VALUE"""),10.0)</f>
        <v>10</v>
      </c>
      <c r="H2025" s="23" t="str">
        <f>IFERROR(__xludf.DUMMYFUNCTION("""COMPUTED_VALUE"""),"Algorithms")</f>
        <v>Algorithms</v>
      </c>
      <c r="I2025" s="23">
        <f>IFERROR(__xludf.DUMMYFUNCTION("""COMPUTED_VALUE"""),0.572)</f>
        <v>0.572</v>
      </c>
      <c r="J2025" s="23">
        <f>IFERROR(__xludf.DUMMYFUNCTION("""COMPUTED_VALUE"""),2024.0)</f>
        <v>2024</v>
      </c>
      <c r="K2025" s="23" t="b">
        <f>IFERROR(__xludf.DUMMYFUNCTION("""COMPUTED_VALUE"""),FALSE)</f>
        <v>0</v>
      </c>
      <c r="L2025" s="23" t="str">
        <f>IFERROR(__xludf.DUMMYFUNCTION("""COMPUTED_VALUE"""),"String;Binary Search;Sliding Window;Prefix Sum;")</f>
        <v>String;Binary Search;Sliding Window;Prefix Sum;</v>
      </c>
      <c r="M2025" s="23" t="b">
        <f>IFERROR(__xludf.DUMMYFUNCTION("""COMPUTED_VALUE"""),FALSE)</f>
        <v>0</v>
      </c>
      <c r="N2025" s="23" t="b">
        <f>IFERROR(__xludf.DUMMYFUNCTION("""COMPUTED_VALUE"""),FALSE)</f>
        <v>0</v>
      </c>
      <c r="O2025" s="23">
        <f>IFERROR(__xludf.DUMMYFUNCTION("""COMPUTED_VALUE"""),57.2351959966638)</f>
        <v>57.235196</v>
      </c>
      <c r="P2025" s="23">
        <f>IFERROR(__xludf.DUMMYFUNCTION("""COMPUTED_VALUE"""),13725.0)</f>
        <v>13725</v>
      </c>
      <c r="Q2025" s="23">
        <f>IFERROR(__xludf.DUMMYFUNCTION("""COMPUTED_VALUE"""),23980.0)</f>
        <v>23980</v>
      </c>
    </row>
    <row r="2026">
      <c r="A2026" s="23">
        <f>IFERROR(__xludf.DUMMYFUNCTION("""COMPUTED_VALUE"""),2135.0)</f>
        <v>2135</v>
      </c>
      <c r="B2026" s="23" t="str">
        <f>IFERROR(__xludf.DUMMYFUNCTION("""COMPUTED_VALUE"""),"Maximum Number of Ways to Partition an Array")</f>
        <v>Maximum Number of Ways to Partition an Array</v>
      </c>
      <c r="C2026" s="23" t="str">
        <f>IFERROR(__xludf.DUMMYFUNCTION("""COMPUTED_VALUE"""),"maximum-number-of-ways-to-partition-an-array")</f>
        <v>maximum-number-of-ways-to-partition-an-array</v>
      </c>
      <c r="D2026" s="23" t="b">
        <f>IFERROR(__xludf.DUMMYFUNCTION("""COMPUTED_VALUE"""),FALSE)</f>
        <v>0</v>
      </c>
      <c r="E2026" s="23" t="str">
        <f>IFERROR(__xludf.DUMMYFUNCTION("""COMPUTED_VALUE"""),"Hard")</f>
        <v>Hard</v>
      </c>
      <c r="F2026" s="23">
        <f>IFERROR(__xludf.DUMMYFUNCTION("""COMPUTED_VALUE"""),271.0)</f>
        <v>271</v>
      </c>
      <c r="G2026" s="23">
        <f>IFERROR(__xludf.DUMMYFUNCTION("""COMPUTED_VALUE"""),25.0)</f>
        <v>25</v>
      </c>
      <c r="H2026" s="23" t="str">
        <f>IFERROR(__xludf.DUMMYFUNCTION("""COMPUTED_VALUE"""),"Algorithms")</f>
        <v>Algorithms</v>
      </c>
      <c r="I2026" s="23">
        <f>IFERROR(__xludf.DUMMYFUNCTION("""COMPUTED_VALUE"""),0.314)</f>
        <v>0.314</v>
      </c>
      <c r="J2026" s="23">
        <f>IFERROR(__xludf.DUMMYFUNCTION("""COMPUTED_VALUE"""),2025.0)</f>
        <v>2025</v>
      </c>
      <c r="K2026" s="23" t="b">
        <f>IFERROR(__xludf.DUMMYFUNCTION("""COMPUTED_VALUE"""),FALSE)</f>
        <v>0</v>
      </c>
      <c r="L2026" s="23" t="str">
        <f>IFERROR(__xludf.DUMMYFUNCTION("""COMPUTED_VALUE"""),"Array;Hash Table;Counting;Enumeration;Prefix Sum;")</f>
        <v>Array;Hash Table;Counting;Enumeration;Prefix Sum;</v>
      </c>
      <c r="M2026" s="23" t="b">
        <f>IFERROR(__xludf.DUMMYFUNCTION("""COMPUTED_VALUE"""),FALSE)</f>
        <v>0</v>
      </c>
      <c r="N2026" s="23" t="b">
        <f>IFERROR(__xludf.DUMMYFUNCTION("""COMPUTED_VALUE"""),FALSE)</f>
        <v>0</v>
      </c>
      <c r="O2026" s="23">
        <f>IFERROR(__xludf.DUMMYFUNCTION("""COMPUTED_VALUE"""),31.3666352497643)</f>
        <v>31.36663525</v>
      </c>
      <c r="P2026" s="23">
        <f>IFERROR(__xludf.DUMMYFUNCTION("""COMPUTED_VALUE"""),4992.0)</f>
        <v>4992</v>
      </c>
      <c r="Q2026" s="23">
        <f>IFERROR(__xludf.DUMMYFUNCTION("""COMPUTED_VALUE"""),15915.0)</f>
        <v>15915</v>
      </c>
    </row>
    <row r="2027">
      <c r="A2027" s="23">
        <f>IFERROR(__xludf.DUMMYFUNCTION("""COMPUTED_VALUE"""),2172.0)</f>
        <v>2172</v>
      </c>
      <c r="B2027" s="23" t="str">
        <f>IFERROR(__xludf.DUMMYFUNCTION("""COMPUTED_VALUE"""),"Low-Quality Problems")</f>
        <v>Low-Quality Problems</v>
      </c>
      <c r="C2027" s="23" t="str">
        <f>IFERROR(__xludf.DUMMYFUNCTION("""COMPUTED_VALUE"""),"low-quality-problems")</f>
        <v>low-quality-problems</v>
      </c>
      <c r="D2027" s="23" t="b">
        <f>IFERROR(__xludf.DUMMYFUNCTION("""COMPUTED_VALUE"""),TRUE)</f>
        <v>1</v>
      </c>
      <c r="E2027" s="23" t="str">
        <f>IFERROR(__xludf.DUMMYFUNCTION("""COMPUTED_VALUE"""),"Easy")</f>
        <v>Easy</v>
      </c>
      <c r="F2027" s="23">
        <f>IFERROR(__xludf.DUMMYFUNCTION("""COMPUTED_VALUE"""),16.0)</f>
        <v>16</v>
      </c>
      <c r="G2027" s="23">
        <f>IFERROR(__xludf.DUMMYFUNCTION("""COMPUTED_VALUE"""),6.0)</f>
        <v>6</v>
      </c>
      <c r="H2027" s="23" t="str">
        <f>IFERROR(__xludf.DUMMYFUNCTION("""COMPUTED_VALUE"""),"Database")</f>
        <v>Database</v>
      </c>
      <c r="I2027" s="23">
        <f>IFERROR(__xludf.DUMMYFUNCTION("""COMPUTED_VALUE"""),0.858)</f>
        <v>0.858</v>
      </c>
      <c r="J2027" s="23">
        <f>IFERROR(__xludf.DUMMYFUNCTION("""COMPUTED_VALUE"""),2026.0)</f>
        <v>2026</v>
      </c>
      <c r="K2027" s="23" t="b">
        <f>IFERROR(__xludf.DUMMYFUNCTION("""COMPUTED_VALUE"""),TRUE)</f>
        <v>1</v>
      </c>
      <c r="L2027" s="23" t="str">
        <f>IFERROR(__xludf.DUMMYFUNCTION("""COMPUTED_VALUE"""),"Database;")</f>
        <v>Database;</v>
      </c>
      <c r="M2027" s="23" t="b">
        <f>IFERROR(__xludf.DUMMYFUNCTION("""COMPUTED_VALUE"""),FALSE)</f>
        <v>0</v>
      </c>
      <c r="N2027" s="23" t="b">
        <f>IFERROR(__xludf.DUMMYFUNCTION("""COMPUTED_VALUE"""),FALSE)</f>
        <v>0</v>
      </c>
      <c r="O2027" s="23">
        <f>IFERROR(__xludf.DUMMYFUNCTION("""COMPUTED_VALUE"""),85.7834015630815)</f>
        <v>85.78340156</v>
      </c>
      <c r="P2027" s="23">
        <f>IFERROR(__xludf.DUMMYFUNCTION("""COMPUTED_VALUE"""),4610.0)</f>
        <v>4610</v>
      </c>
      <c r="Q2027" s="23">
        <f>IFERROR(__xludf.DUMMYFUNCTION("""COMPUTED_VALUE"""),5374.0)</f>
        <v>5374</v>
      </c>
    </row>
    <row r="2028">
      <c r="A2028" s="23">
        <f>IFERROR(__xludf.DUMMYFUNCTION("""COMPUTED_VALUE"""),2154.0)</f>
        <v>2154</v>
      </c>
      <c r="B2028" s="23" t="str">
        <f>IFERROR(__xludf.DUMMYFUNCTION("""COMPUTED_VALUE"""),"Minimum Moves to Convert String")</f>
        <v>Minimum Moves to Convert String</v>
      </c>
      <c r="C2028" s="23" t="str">
        <f>IFERROR(__xludf.DUMMYFUNCTION("""COMPUTED_VALUE"""),"minimum-moves-to-convert-string")</f>
        <v>minimum-moves-to-convert-string</v>
      </c>
      <c r="D2028" s="23" t="b">
        <f>IFERROR(__xludf.DUMMYFUNCTION("""COMPUTED_VALUE"""),FALSE)</f>
        <v>0</v>
      </c>
      <c r="E2028" s="23" t="str">
        <f>IFERROR(__xludf.DUMMYFUNCTION("""COMPUTED_VALUE"""),"Easy")</f>
        <v>Easy</v>
      </c>
      <c r="F2028" s="23">
        <f>IFERROR(__xludf.DUMMYFUNCTION("""COMPUTED_VALUE"""),205.0)</f>
        <v>205</v>
      </c>
      <c r="G2028" s="23">
        <f>IFERROR(__xludf.DUMMYFUNCTION("""COMPUTED_VALUE"""),46.0)</f>
        <v>46</v>
      </c>
      <c r="H2028" s="23" t="str">
        <f>IFERROR(__xludf.DUMMYFUNCTION("""COMPUTED_VALUE"""),"Algorithms")</f>
        <v>Algorithms</v>
      </c>
      <c r="I2028" s="23">
        <f>IFERROR(__xludf.DUMMYFUNCTION("""COMPUTED_VALUE"""),0.535)</f>
        <v>0.535</v>
      </c>
      <c r="J2028" s="23">
        <f>IFERROR(__xludf.DUMMYFUNCTION("""COMPUTED_VALUE"""),2027.0)</f>
        <v>2027</v>
      </c>
      <c r="K2028" s="23" t="b">
        <f>IFERROR(__xludf.DUMMYFUNCTION("""COMPUTED_VALUE"""),FALSE)</f>
        <v>0</v>
      </c>
      <c r="L2028" s="23" t="str">
        <f>IFERROR(__xludf.DUMMYFUNCTION("""COMPUTED_VALUE"""),"String;Greedy;")</f>
        <v>String;Greedy;</v>
      </c>
      <c r="M2028" s="23" t="b">
        <f>IFERROR(__xludf.DUMMYFUNCTION("""COMPUTED_VALUE"""),FALSE)</f>
        <v>0</v>
      </c>
      <c r="N2028" s="23" t="b">
        <f>IFERROR(__xludf.DUMMYFUNCTION("""COMPUTED_VALUE"""),FALSE)</f>
        <v>0</v>
      </c>
      <c r="O2028" s="23">
        <f>IFERROR(__xludf.DUMMYFUNCTION("""COMPUTED_VALUE"""),53.4535596416784)</f>
        <v>53.45355964</v>
      </c>
      <c r="P2028" s="23">
        <f>IFERROR(__xludf.DUMMYFUNCTION("""COMPUTED_VALUE"""),18140.0)</f>
        <v>18140</v>
      </c>
      <c r="Q2028" s="23">
        <f>IFERROR(__xludf.DUMMYFUNCTION("""COMPUTED_VALUE"""),33936.0)</f>
        <v>33936</v>
      </c>
    </row>
    <row r="2029">
      <c r="A2029" s="23">
        <f>IFERROR(__xludf.DUMMYFUNCTION("""COMPUTED_VALUE"""),2155.0)</f>
        <v>2155</v>
      </c>
      <c r="B2029" s="23" t="str">
        <f>IFERROR(__xludf.DUMMYFUNCTION("""COMPUTED_VALUE"""),"Find Missing Observations")</f>
        <v>Find Missing Observations</v>
      </c>
      <c r="C2029" s="23" t="str">
        <f>IFERROR(__xludf.DUMMYFUNCTION("""COMPUTED_VALUE"""),"find-missing-observations")</f>
        <v>find-missing-observations</v>
      </c>
      <c r="D2029" s="23" t="b">
        <f>IFERROR(__xludf.DUMMYFUNCTION("""COMPUTED_VALUE"""),FALSE)</f>
        <v>0</v>
      </c>
      <c r="E2029" s="23" t="str">
        <f>IFERROR(__xludf.DUMMYFUNCTION("""COMPUTED_VALUE"""),"Medium")</f>
        <v>Medium</v>
      </c>
      <c r="F2029" s="23">
        <f>IFERROR(__xludf.DUMMYFUNCTION("""COMPUTED_VALUE"""),212.0)</f>
        <v>212</v>
      </c>
      <c r="G2029" s="23">
        <f>IFERROR(__xludf.DUMMYFUNCTION("""COMPUTED_VALUE"""),9.0)</f>
        <v>9</v>
      </c>
      <c r="H2029" s="23" t="str">
        <f>IFERROR(__xludf.DUMMYFUNCTION("""COMPUTED_VALUE"""),"Algorithms")</f>
        <v>Algorithms</v>
      </c>
      <c r="I2029" s="23">
        <f>IFERROR(__xludf.DUMMYFUNCTION("""COMPUTED_VALUE"""),0.421)</f>
        <v>0.421</v>
      </c>
      <c r="J2029" s="23">
        <f>IFERROR(__xludf.DUMMYFUNCTION("""COMPUTED_VALUE"""),2028.0)</f>
        <v>2028</v>
      </c>
      <c r="K2029" s="23" t="b">
        <f>IFERROR(__xludf.DUMMYFUNCTION("""COMPUTED_VALUE"""),FALSE)</f>
        <v>0</v>
      </c>
      <c r="L2029" s="23" t="str">
        <f>IFERROR(__xludf.DUMMYFUNCTION("""COMPUTED_VALUE"""),"Array;Math;Simulation;")</f>
        <v>Array;Math;Simulation;</v>
      </c>
      <c r="M2029" s="23" t="b">
        <f>IFERROR(__xludf.DUMMYFUNCTION("""COMPUTED_VALUE"""),FALSE)</f>
        <v>0</v>
      </c>
      <c r="N2029" s="23" t="b">
        <f>IFERROR(__xludf.DUMMYFUNCTION("""COMPUTED_VALUE"""),FALSE)</f>
        <v>0</v>
      </c>
      <c r="O2029" s="23">
        <f>IFERROR(__xludf.DUMMYFUNCTION("""COMPUTED_VALUE"""),42.0946076225978)</f>
        <v>42.09460762</v>
      </c>
      <c r="P2029" s="23">
        <f>IFERROR(__xludf.DUMMYFUNCTION("""COMPUTED_VALUE"""),13099.0)</f>
        <v>13099</v>
      </c>
      <c r="Q2029" s="23">
        <f>IFERROR(__xludf.DUMMYFUNCTION("""COMPUTED_VALUE"""),31118.0)</f>
        <v>31118</v>
      </c>
    </row>
    <row r="2030">
      <c r="A2030" s="23">
        <f>IFERROR(__xludf.DUMMYFUNCTION("""COMPUTED_VALUE"""),2156.0)</f>
        <v>2156</v>
      </c>
      <c r="B2030" s="23" t="str">
        <f>IFERROR(__xludf.DUMMYFUNCTION("""COMPUTED_VALUE"""),"Stone Game IX")</f>
        <v>Stone Game IX</v>
      </c>
      <c r="C2030" s="23" t="str">
        <f>IFERROR(__xludf.DUMMYFUNCTION("""COMPUTED_VALUE"""),"stone-game-ix")</f>
        <v>stone-game-ix</v>
      </c>
      <c r="D2030" s="23" t="b">
        <f>IFERROR(__xludf.DUMMYFUNCTION("""COMPUTED_VALUE"""),FALSE)</f>
        <v>0</v>
      </c>
      <c r="E2030" s="23" t="str">
        <f>IFERROR(__xludf.DUMMYFUNCTION("""COMPUTED_VALUE"""),"Medium")</f>
        <v>Medium</v>
      </c>
      <c r="F2030" s="23">
        <f>IFERROR(__xludf.DUMMYFUNCTION("""COMPUTED_VALUE"""),141.0)</f>
        <v>141</v>
      </c>
      <c r="G2030" s="23">
        <f>IFERROR(__xludf.DUMMYFUNCTION("""COMPUTED_VALUE"""),202.0)</f>
        <v>202</v>
      </c>
      <c r="H2030" s="23" t="str">
        <f>IFERROR(__xludf.DUMMYFUNCTION("""COMPUTED_VALUE"""),"Algorithms")</f>
        <v>Algorithms</v>
      </c>
      <c r="I2030" s="23">
        <f>IFERROR(__xludf.DUMMYFUNCTION("""COMPUTED_VALUE"""),0.248)</f>
        <v>0.248</v>
      </c>
      <c r="J2030" s="23">
        <f>IFERROR(__xludf.DUMMYFUNCTION("""COMPUTED_VALUE"""),2029.0)</f>
        <v>2029</v>
      </c>
      <c r="K2030" s="23" t="b">
        <f>IFERROR(__xludf.DUMMYFUNCTION("""COMPUTED_VALUE"""),FALSE)</f>
        <v>0</v>
      </c>
      <c r="L2030" s="23" t="str">
        <f>IFERROR(__xludf.DUMMYFUNCTION("""COMPUTED_VALUE"""),"Array;Math;Greedy;Counting;Game Theory;")</f>
        <v>Array;Math;Greedy;Counting;Game Theory;</v>
      </c>
      <c r="M2030" s="23" t="b">
        <f>IFERROR(__xludf.DUMMYFUNCTION("""COMPUTED_VALUE"""),FALSE)</f>
        <v>0</v>
      </c>
      <c r="N2030" s="23" t="b">
        <f>IFERROR(__xludf.DUMMYFUNCTION("""COMPUTED_VALUE"""),FALSE)</f>
        <v>0</v>
      </c>
      <c r="O2030" s="23">
        <f>IFERROR(__xludf.DUMMYFUNCTION("""COMPUTED_VALUE"""),24.8085521920131)</f>
        <v>24.80855219</v>
      </c>
      <c r="P2030" s="23">
        <f>IFERROR(__xludf.DUMMYFUNCTION("""COMPUTED_VALUE"""),4827.0)</f>
        <v>4827</v>
      </c>
      <c r="Q2030" s="23">
        <f>IFERROR(__xludf.DUMMYFUNCTION("""COMPUTED_VALUE"""),19457.0)</f>
        <v>19457</v>
      </c>
    </row>
    <row r="2031">
      <c r="A2031" s="23">
        <f>IFERROR(__xludf.DUMMYFUNCTION("""COMPUTED_VALUE"""),2157.0)</f>
        <v>2157</v>
      </c>
      <c r="B2031" s="23" t="str">
        <f>IFERROR(__xludf.DUMMYFUNCTION("""COMPUTED_VALUE"""),"Smallest K-Length Subsequence With Occurrences of a Letter")</f>
        <v>Smallest K-Length Subsequence With Occurrences of a Letter</v>
      </c>
      <c r="C2031" s="23" t="str">
        <f>IFERROR(__xludf.DUMMYFUNCTION("""COMPUTED_VALUE"""),"smallest-k-length-subsequence-with-occurrences-of-a-letter")</f>
        <v>smallest-k-length-subsequence-with-occurrences-of-a-letter</v>
      </c>
      <c r="D2031" s="23" t="b">
        <f>IFERROR(__xludf.DUMMYFUNCTION("""COMPUTED_VALUE"""),FALSE)</f>
        <v>0</v>
      </c>
      <c r="E2031" s="23" t="str">
        <f>IFERROR(__xludf.DUMMYFUNCTION("""COMPUTED_VALUE"""),"Hard")</f>
        <v>Hard</v>
      </c>
      <c r="F2031" s="23">
        <f>IFERROR(__xludf.DUMMYFUNCTION("""COMPUTED_VALUE"""),252.0)</f>
        <v>252</v>
      </c>
      <c r="G2031" s="23">
        <f>IFERROR(__xludf.DUMMYFUNCTION("""COMPUTED_VALUE"""),6.0)</f>
        <v>6</v>
      </c>
      <c r="H2031" s="23" t="str">
        <f>IFERROR(__xludf.DUMMYFUNCTION("""COMPUTED_VALUE"""),"Algorithms")</f>
        <v>Algorithms</v>
      </c>
      <c r="I2031" s="23">
        <f>IFERROR(__xludf.DUMMYFUNCTION("""COMPUTED_VALUE"""),0.388)</f>
        <v>0.388</v>
      </c>
      <c r="J2031" s="23">
        <f>IFERROR(__xludf.DUMMYFUNCTION("""COMPUTED_VALUE"""),2030.0)</f>
        <v>2030</v>
      </c>
      <c r="K2031" s="23" t="b">
        <f>IFERROR(__xludf.DUMMYFUNCTION("""COMPUTED_VALUE"""),FALSE)</f>
        <v>0</v>
      </c>
      <c r="L2031" s="23" t="str">
        <f>IFERROR(__xludf.DUMMYFUNCTION("""COMPUTED_VALUE"""),"String;Stack;Greedy;Monotonic Stack;")</f>
        <v>String;Stack;Greedy;Monotonic Stack;</v>
      </c>
      <c r="M2031" s="23" t="b">
        <f>IFERROR(__xludf.DUMMYFUNCTION("""COMPUTED_VALUE"""),FALSE)</f>
        <v>0</v>
      </c>
      <c r="N2031" s="23" t="b">
        <f>IFERROR(__xludf.DUMMYFUNCTION("""COMPUTED_VALUE"""),FALSE)</f>
        <v>0</v>
      </c>
      <c r="O2031" s="23">
        <f>IFERROR(__xludf.DUMMYFUNCTION("""COMPUTED_VALUE"""),38.8122270742358)</f>
        <v>38.81222707</v>
      </c>
      <c r="P2031" s="23">
        <f>IFERROR(__xludf.DUMMYFUNCTION("""COMPUTED_VALUE"""),4444.0)</f>
        <v>4444</v>
      </c>
      <c r="Q2031" s="23">
        <f>IFERROR(__xludf.DUMMYFUNCTION("""COMPUTED_VALUE"""),11450.0)</f>
        <v>11450</v>
      </c>
    </row>
    <row r="2032">
      <c r="A2032" s="23">
        <f>IFERROR(__xludf.DUMMYFUNCTION("""COMPUTED_VALUE"""),510.0)</f>
        <v>510</v>
      </c>
      <c r="B2032" s="23" t="str">
        <f>IFERROR(__xludf.DUMMYFUNCTION("""COMPUTED_VALUE"""),"Count Subarrays With More Ones Than Zeros")</f>
        <v>Count Subarrays With More Ones Than Zeros</v>
      </c>
      <c r="C2032" s="23" t="str">
        <f>IFERROR(__xludf.DUMMYFUNCTION("""COMPUTED_VALUE"""),"count-subarrays-with-more-ones-than-zeros")</f>
        <v>count-subarrays-with-more-ones-than-zeros</v>
      </c>
      <c r="D2032" s="23" t="b">
        <f>IFERROR(__xludf.DUMMYFUNCTION("""COMPUTED_VALUE"""),TRUE)</f>
        <v>1</v>
      </c>
      <c r="E2032" s="23" t="str">
        <f>IFERROR(__xludf.DUMMYFUNCTION("""COMPUTED_VALUE"""),"Medium")</f>
        <v>Medium</v>
      </c>
      <c r="F2032" s="23">
        <f>IFERROR(__xludf.DUMMYFUNCTION("""COMPUTED_VALUE"""),84.0)</f>
        <v>84</v>
      </c>
      <c r="G2032" s="23">
        <f>IFERROR(__xludf.DUMMYFUNCTION("""COMPUTED_VALUE"""),5.0)</f>
        <v>5</v>
      </c>
      <c r="H2032" s="23" t="str">
        <f>IFERROR(__xludf.DUMMYFUNCTION("""COMPUTED_VALUE"""),"Algorithms")</f>
        <v>Algorithms</v>
      </c>
      <c r="I2032" s="23">
        <f>IFERROR(__xludf.DUMMYFUNCTION("""COMPUTED_VALUE"""),0.537)</f>
        <v>0.537</v>
      </c>
      <c r="J2032" s="23">
        <f>IFERROR(__xludf.DUMMYFUNCTION("""COMPUTED_VALUE"""),2031.0)</f>
        <v>2031</v>
      </c>
      <c r="K2032" s="23" t="b">
        <f>IFERROR(__xludf.DUMMYFUNCTION("""COMPUTED_VALUE"""),TRUE)</f>
        <v>1</v>
      </c>
      <c r="L2032" s="23" t="str">
        <f>IFERROR(__xludf.DUMMYFUNCTION("""COMPUTED_VALUE"""),"Array;Binary Search;Divide and Conquer;Binary Indexed Tree;Segment Tree;Merge Sort;Ordered Set;")</f>
        <v>Array;Binary Search;Divide and Conquer;Binary Indexed Tree;Segment Tree;Merge Sort;Ordered Set;</v>
      </c>
      <c r="M2032" s="23" t="b">
        <f>IFERROR(__xludf.DUMMYFUNCTION("""COMPUTED_VALUE"""),FALSE)</f>
        <v>0</v>
      </c>
      <c r="N2032" s="23" t="b">
        <f>IFERROR(__xludf.DUMMYFUNCTION("""COMPUTED_VALUE"""),FALSE)</f>
        <v>0</v>
      </c>
      <c r="O2032" s="23">
        <f>IFERROR(__xludf.DUMMYFUNCTION("""COMPUTED_VALUE"""),53.6896551724137)</f>
        <v>53.68965517</v>
      </c>
      <c r="P2032" s="23">
        <f>IFERROR(__xludf.DUMMYFUNCTION("""COMPUTED_VALUE"""),1557.0)</f>
        <v>1557</v>
      </c>
      <c r="Q2032" s="23">
        <f>IFERROR(__xludf.DUMMYFUNCTION("""COMPUTED_VALUE"""),2900.0)</f>
        <v>2900</v>
      </c>
    </row>
    <row r="2033">
      <c r="A2033" s="23">
        <f>IFERROR(__xludf.DUMMYFUNCTION("""COMPUTED_VALUE"""),2159.0)</f>
        <v>2159</v>
      </c>
      <c r="B2033" s="23" t="str">
        <f>IFERROR(__xludf.DUMMYFUNCTION("""COMPUTED_VALUE"""),"Two Out of Three")</f>
        <v>Two Out of Three</v>
      </c>
      <c r="C2033" s="23" t="str">
        <f>IFERROR(__xludf.DUMMYFUNCTION("""COMPUTED_VALUE"""),"two-out-of-three")</f>
        <v>two-out-of-three</v>
      </c>
      <c r="D2033" s="23" t="b">
        <f>IFERROR(__xludf.DUMMYFUNCTION("""COMPUTED_VALUE"""),FALSE)</f>
        <v>0</v>
      </c>
      <c r="E2033" s="23" t="str">
        <f>IFERROR(__xludf.DUMMYFUNCTION("""COMPUTED_VALUE"""),"Easy")</f>
        <v>Easy</v>
      </c>
      <c r="F2033" s="23">
        <f>IFERROR(__xludf.DUMMYFUNCTION("""COMPUTED_VALUE"""),289.0)</f>
        <v>289</v>
      </c>
      <c r="G2033" s="23">
        <f>IFERROR(__xludf.DUMMYFUNCTION("""COMPUTED_VALUE"""),26.0)</f>
        <v>26</v>
      </c>
      <c r="H2033" s="23" t="str">
        <f>IFERROR(__xludf.DUMMYFUNCTION("""COMPUTED_VALUE"""),"Algorithms")</f>
        <v>Algorithms</v>
      </c>
      <c r="I2033" s="23">
        <f>IFERROR(__xludf.DUMMYFUNCTION("""COMPUTED_VALUE"""),0.729)</f>
        <v>0.729</v>
      </c>
      <c r="J2033" s="23">
        <f>IFERROR(__xludf.DUMMYFUNCTION("""COMPUTED_VALUE"""),2032.0)</f>
        <v>2032</v>
      </c>
      <c r="K2033" s="23" t="b">
        <f>IFERROR(__xludf.DUMMYFUNCTION("""COMPUTED_VALUE"""),FALSE)</f>
        <v>0</v>
      </c>
      <c r="L2033" s="23" t="str">
        <f>IFERROR(__xludf.DUMMYFUNCTION("""COMPUTED_VALUE"""),"Array;Hash Table;")</f>
        <v>Array;Hash Table;</v>
      </c>
      <c r="M2033" s="23" t="b">
        <f>IFERROR(__xludf.DUMMYFUNCTION("""COMPUTED_VALUE"""),FALSE)</f>
        <v>0</v>
      </c>
      <c r="N2033" s="23" t="b">
        <f>IFERROR(__xludf.DUMMYFUNCTION("""COMPUTED_VALUE"""),FALSE)</f>
        <v>0</v>
      </c>
      <c r="O2033" s="23">
        <f>IFERROR(__xludf.DUMMYFUNCTION("""COMPUTED_VALUE"""),72.933314770987)</f>
        <v>72.93331477</v>
      </c>
      <c r="P2033" s="23">
        <f>IFERROR(__xludf.DUMMYFUNCTION("""COMPUTED_VALUE"""),26193.0)</f>
        <v>26193</v>
      </c>
      <c r="Q2033" s="23">
        <f>IFERROR(__xludf.DUMMYFUNCTION("""COMPUTED_VALUE"""),35913.0)</f>
        <v>35913</v>
      </c>
    </row>
    <row r="2034">
      <c r="A2034" s="23">
        <f>IFERROR(__xludf.DUMMYFUNCTION("""COMPUTED_VALUE"""),2160.0)</f>
        <v>2160</v>
      </c>
      <c r="B2034" s="23" t="str">
        <f>IFERROR(__xludf.DUMMYFUNCTION("""COMPUTED_VALUE"""),"Minimum Operations to Make a Uni-Value Grid")</f>
        <v>Minimum Operations to Make a Uni-Value Grid</v>
      </c>
      <c r="C2034" s="23" t="str">
        <f>IFERROR(__xludf.DUMMYFUNCTION("""COMPUTED_VALUE"""),"minimum-operations-to-make-a-uni-value-grid")</f>
        <v>minimum-operations-to-make-a-uni-value-grid</v>
      </c>
      <c r="D2034" s="23" t="b">
        <f>IFERROR(__xludf.DUMMYFUNCTION("""COMPUTED_VALUE"""),FALSE)</f>
        <v>0</v>
      </c>
      <c r="E2034" s="23" t="str">
        <f>IFERROR(__xludf.DUMMYFUNCTION("""COMPUTED_VALUE"""),"Medium")</f>
        <v>Medium</v>
      </c>
      <c r="F2034" s="23">
        <f>IFERROR(__xludf.DUMMYFUNCTION("""COMPUTED_VALUE"""),305.0)</f>
        <v>305</v>
      </c>
      <c r="G2034" s="23">
        <f>IFERROR(__xludf.DUMMYFUNCTION("""COMPUTED_VALUE"""),29.0)</f>
        <v>29</v>
      </c>
      <c r="H2034" s="23" t="str">
        <f>IFERROR(__xludf.DUMMYFUNCTION("""COMPUTED_VALUE"""),"Algorithms")</f>
        <v>Algorithms</v>
      </c>
      <c r="I2034" s="23">
        <f>IFERROR(__xludf.DUMMYFUNCTION("""COMPUTED_VALUE"""),0.506)</f>
        <v>0.506</v>
      </c>
      <c r="J2034" s="23">
        <f>IFERROR(__xludf.DUMMYFUNCTION("""COMPUTED_VALUE"""),2033.0)</f>
        <v>2033</v>
      </c>
      <c r="K2034" s="23" t="b">
        <f>IFERROR(__xludf.DUMMYFUNCTION("""COMPUTED_VALUE"""),FALSE)</f>
        <v>0</v>
      </c>
      <c r="L2034" s="23" t="str">
        <f>IFERROR(__xludf.DUMMYFUNCTION("""COMPUTED_VALUE"""),"Array;Math;Sorting;Matrix;")</f>
        <v>Array;Math;Sorting;Matrix;</v>
      </c>
      <c r="M2034" s="23" t="b">
        <f>IFERROR(__xludf.DUMMYFUNCTION("""COMPUTED_VALUE"""),FALSE)</f>
        <v>0</v>
      </c>
      <c r="N2034" s="23" t="b">
        <f>IFERROR(__xludf.DUMMYFUNCTION("""COMPUTED_VALUE"""),FALSE)</f>
        <v>0</v>
      </c>
      <c r="O2034" s="23">
        <f>IFERROR(__xludf.DUMMYFUNCTION("""COMPUTED_VALUE"""),50.5889784846345)</f>
        <v>50.58897848</v>
      </c>
      <c r="P2034" s="23">
        <f>IFERROR(__xludf.DUMMYFUNCTION("""COMPUTED_VALUE"""),13614.0)</f>
        <v>13614</v>
      </c>
      <c r="Q2034" s="23">
        <f>IFERROR(__xludf.DUMMYFUNCTION("""COMPUTED_VALUE"""),26911.0)</f>
        <v>26911</v>
      </c>
    </row>
    <row r="2035">
      <c r="A2035" s="23">
        <f>IFERROR(__xludf.DUMMYFUNCTION("""COMPUTED_VALUE"""),2161.0)</f>
        <v>2161</v>
      </c>
      <c r="B2035" s="23" t="str">
        <f>IFERROR(__xludf.DUMMYFUNCTION("""COMPUTED_VALUE"""),"Stock Price Fluctuation ")</f>
        <v>Stock Price Fluctuation </v>
      </c>
      <c r="C2035" s="23" t="str">
        <f>IFERROR(__xludf.DUMMYFUNCTION("""COMPUTED_VALUE"""),"stock-price-fluctuation")</f>
        <v>stock-price-fluctuation</v>
      </c>
      <c r="D2035" s="23" t="b">
        <f>IFERROR(__xludf.DUMMYFUNCTION("""COMPUTED_VALUE"""),FALSE)</f>
        <v>0</v>
      </c>
      <c r="E2035" s="23" t="str">
        <f>IFERROR(__xludf.DUMMYFUNCTION("""COMPUTED_VALUE"""),"Medium")</f>
        <v>Medium</v>
      </c>
      <c r="F2035" s="23">
        <f>IFERROR(__xludf.DUMMYFUNCTION("""COMPUTED_VALUE"""),469.0)</f>
        <v>469</v>
      </c>
      <c r="G2035" s="23">
        <f>IFERROR(__xludf.DUMMYFUNCTION("""COMPUTED_VALUE"""),30.0)</f>
        <v>30</v>
      </c>
      <c r="H2035" s="23" t="str">
        <f>IFERROR(__xludf.DUMMYFUNCTION("""COMPUTED_VALUE"""),"Algorithms")</f>
        <v>Algorithms</v>
      </c>
      <c r="I2035" s="23">
        <f>IFERROR(__xludf.DUMMYFUNCTION("""COMPUTED_VALUE"""),0.477)</f>
        <v>0.477</v>
      </c>
      <c r="J2035" s="23">
        <f>IFERROR(__xludf.DUMMYFUNCTION("""COMPUTED_VALUE"""),2034.0)</f>
        <v>2034</v>
      </c>
      <c r="K2035" s="23" t="b">
        <f>IFERROR(__xludf.DUMMYFUNCTION("""COMPUTED_VALUE"""),FALSE)</f>
        <v>0</v>
      </c>
      <c r="L2035" s="23" t="str">
        <f>IFERROR(__xludf.DUMMYFUNCTION("""COMPUTED_VALUE"""),"Hash Table;Design;Heap (Priority Queue);Data Stream;Ordered Set;")</f>
        <v>Hash Table;Design;Heap (Priority Queue);Data Stream;Ordered Set;</v>
      </c>
      <c r="M2035" s="23" t="b">
        <f>IFERROR(__xludf.DUMMYFUNCTION("""COMPUTED_VALUE"""),FALSE)</f>
        <v>0</v>
      </c>
      <c r="N2035" s="23" t="b">
        <f>IFERROR(__xludf.DUMMYFUNCTION("""COMPUTED_VALUE"""),FALSE)</f>
        <v>0</v>
      </c>
      <c r="O2035" s="23">
        <f>IFERROR(__xludf.DUMMYFUNCTION("""COMPUTED_VALUE"""),47.7201550965625)</f>
        <v>47.7201551</v>
      </c>
      <c r="P2035" s="23">
        <f>IFERROR(__xludf.DUMMYFUNCTION("""COMPUTED_VALUE"""),25599.0)</f>
        <v>25599</v>
      </c>
      <c r="Q2035" s="23">
        <f>IFERROR(__xludf.DUMMYFUNCTION("""COMPUTED_VALUE"""),53644.0)</f>
        <v>53644</v>
      </c>
    </row>
    <row r="2036">
      <c r="A2036" s="23">
        <f>IFERROR(__xludf.DUMMYFUNCTION("""COMPUTED_VALUE"""),2162.0)</f>
        <v>2162</v>
      </c>
      <c r="B2036" s="23" t="str">
        <f>IFERROR(__xludf.DUMMYFUNCTION("""COMPUTED_VALUE"""),"Partition Array Into Two Arrays to Minimize Sum Difference")</f>
        <v>Partition Array Into Two Arrays to Minimize Sum Difference</v>
      </c>
      <c r="C2036" s="23" t="str">
        <f>IFERROR(__xludf.DUMMYFUNCTION("""COMPUTED_VALUE"""),"partition-array-into-two-arrays-to-minimize-sum-difference")</f>
        <v>partition-array-into-two-arrays-to-minimize-sum-difference</v>
      </c>
      <c r="D2036" s="23" t="b">
        <f>IFERROR(__xludf.DUMMYFUNCTION("""COMPUTED_VALUE"""),FALSE)</f>
        <v>0</v>
      </c>
      <c r="E2036" s="23" t="str">
        <f>IFERROR(__xludf.DUMMYFUNCTION("""COMPUTED_VALUE"""),"Hard")</f>
        <v>Hard</v>
      </c>
      <c r="F2036" s="23">
        <f>IFERROR(__xludf.DUMMYFUNCTION("""COMPUTED_VALUE"""),606.0)</f>
        <v>606</v>
      </c>
      <c r="G2036" s="23">
        <f>IFERROR(__xludf.DUMMYFUNCTION("""COMPUTED_VALUE"""),39.0)</f>
        <v>39</v>
      </c>
      <c r="H2036" s="23" t="str">
        <f>IFERROR(__xludf.DUMMYFUNCTION("""COMPUTED_VALUE"""),"Algorithms")</f>
        <v>Algorithms</v>
      </c>
      <c r="I2036" s="23">
        <f>IFERROR(__xludf.DUMMYFUNCTION("""COMPUTED_VALUE"""),0.215)</f>
        <v>0.215</v>
      </c>
      <c r="J2036" s="23">
        <f>IFERROR(__xludf.DUMMYFUNCTION("""COMPUTED_VALUE"""),2035.0)</f>
        <v>2035</v>
      </c>
      <c r="K2036" s="23" t="b">
        <f>IFERROR(__xludf.DUMMYFUNCTION("""COMPUTED_VALUE"""),FALSE)</f>
        <v>0</v>
      </c>
      <c r="L2036" s="23" t="str">
        <f>IFERROR(__xludf.DUMMYFUNCTION("""COMPUTED_VALUE"""),"Array;Two Pointers;Binary Search;Dynamic Programming;Bit Manipulation;Ordered Set;Bitmask;")</f>
        <v>Array;Two Pointers;Binary Search;Dynamic Programming;Bit Manipulation;Ordered Set;Bitmask;</v>
      </c>
      <c r="M2036" s="23" t="b">
        <f>IFERROR(__xludf.DUMMYFUNCTION("""COMPUTED_VALUE"""),FALSE)</f>
        <v>0</v>
      </c>
      <c r="N2036" s="23" t="b">
        <f>IFERROR(__xludf.DUMMYFUNCTION("""COMPUTED_VALUE"""),FALSE)</f>
        <v>0</v>
      </c>
      <c r="O2036" s="23">
        <f>IFERROR(__xludf.DUMMYFUNCTION("""COMPUTED_VALUE"""),21.542818395756)</f>
        <v>21.5428184</v>
      </c>
      <c r="P2036" s="23">
        <f>IFERROR(__xludf.DUMMYFUNCTION("""COMPUTED_VALUE"""),5401.0)</f>
        <v>5401</v>
      </c>
      <c r="Q2036" s="23">
        <f>IFERROR(__xludf.DUMMYFUNCTION("""COMPUTED_VALUE"""),25071.0)</f>
        <v>25071</v>
      </c>
    </row>
    <row r="2037">
      <c r="A2037" s="23">
        <f>IFERROR(__xludf.DUMMYFUNCTION("""COMPUTED_VALUE"""),512.0)</f>
        <v>512</v>
      </c>
      <c r="B2037" s="23" t="str">
        <f>IFERROR(__xludf.DUMMYFUNCTION("""COMPUTED_VALUE"""),"Maximum Alternating Subarray Sum")</f>
        <v>Maximum Alternating Subarray Sum</v>
      </c>
      <c r="C2037" s="23" t="str">
        <f>IFERROR(__xludf.DUMMYFUNCTION("""COMPUTED_VALUE"""),"maximum-alternating-subarray-sum")</f>
        <v>maximum-alternating-subarray-sum</v>
      </c>
      <c r="D2037" s="23" t="b">
        <f>IFERROR(__xludf.DUMMYFUNCTION("""COMPUTED_VALUE"""),TRUE)</f>
        <v>1</v>
      </c>
      <c r="E2037" s="23" t="str">
        <f>IFERROR(__xludf.DUMMYFUNCTION("""COMPUTED_VALUE"""),"Medium")</f>
        <v>Medium</v>
      </c>
      <c r="F2037" s="23">
        <f>IFERROR(__xludf.DUMMYFUNCTION("""COMPUTED_VALUE"""),42.0)</f>
        <v>42</v>
      </c>
      <c r="G2037" s="23">
        <f>IFERROR(__xludf.DUMMYFUNCTION("""COMPUTED_VALUE"""),2.0)</f>
        <v>2</v>
      </c>
      <c r="H2037" s="23" t="str">
        <f>IFERROR(__xludf.DUMMYFUNCTION("""COMPUTED_VALUE"""),"Algorithms")</f>
        <v>Algorithms</v>
      </c>
      <c r="I2037" s="23">
        <f>IFERROR(__xludf.DUMMYFUNCTION("""COMPUTED_VALUE"""),0.408)</f>
        <v>0.408</v>
      </c>
      <c r="J2037" s="23">
        <f>IFERROR(__xludf.DUMMYFUNCTION("""COMPUTED_VALUE"""),2036.0)</f>
        <v>2036</v>
      </c>
      <c r="K2037" s="23" t="b">
        <f>IFERROR(__xludf.DUMMYFUNCTION("""COMPUTED_VALUE"""),TRUE)</f>
        <v>1</v>
      </c>
      <c r="L2037" s="23" t="str">
        <f>IFERROR(__xludf.DUMMYFUNCTION("""COMPUTED_VALUE"""),"Array;Dynamic Programming;")</f>
        <v>Array;Dynamic Programming;</v>
      </c>
      <c r="M2037" s="23" t="b">
        <f>IFERROR(__xludf.DUMMYFUNCTION("""COMPUTED_VALUE"""),FALSE)</f>
        <v>0</v>
      </c>
      <c r="N2037" s="23" t="b">
        <f>IFERROR(__xludf.DUMMYFUNCTION("""COMPUTED_VALUE"""),FALSE)</f>
        <v>0</v>
      </c>
      <c r="O2037" s="23">
        <f>IFERROR(__xludf.DUMMYFUNCTION("""COMPUTED_VALUE"""),40.84813338166)</f>
        <v>40.84813338</v>
      </c>
      <c r="P2037" s="23">
        <f>IFERROR(__xludf.DUMMYFUNCTION("""COMPUTED_VALUE"""),1127.0)</f>
        <v>1127</v>
      </c>
      <c r="Q2037" s="23">
        <f>IFERROR(__xludf.DUMMYFUNCTION("""COMPUTED_VALUE"""),2759.0)</f>
        <v>2759</v>
      </c>
    </row>
    <row r="2038">
      <c r="A2038" s="23">
        <f>IFERROR(__xludf.DUMMYFUNCTION("""COMPUTED_VALUE"""),2148.0)</f>
        <v>2148</v>
      </c>
      <c r="B2038" s="23" t="str">
        <f>IFERROR(__xludf.DUMMYFUNCTION("""COMPUTED_VALUE"""),"Minimum Number of Moves to Seat Everyone")</f>
        <v>Minimum Number of Moves to Seat Everyone</v>
      </c>
      <c r="C2038" s="23" t="str">
        <f>IFERROR(__xludf.DUMMYFUNCTION("""COMPUTED_VALUE"""),"minimum-number-of-moves-to-seat-everyone")</f>
        <v>minimum-number-of-moves-to-seat-everyone</v>
      </c>
      <c r="D2038" s="23" t="b">
        <f>IFERROR(__xludf.DUMMYFUNCTION("""COMPUTED_VALUE"""),FALSE)</f>
        <v>0</v>
      </c>
      <c r="E2038" s="23" t="str">
        <f>IFERROR(__xludf.DUMMYFUNCTION("""COMPUTED_VALUE"""),"Easy")</f>
        <v>Easy</v>
      </c>
      <c r="F2038" s="23">
        <f>IFERROR(__xludf.DUMMYFUNCTION("""COMPUTED_VALUE"""),291.0)</f>
        <v>291</v>
      </c>
      <c r="G2038" s="23">
        <f>IFERROR(__xludf.DUMMYFUNCTION("""COMPUTED_VALUE"""),51.0)</f>
        <v>51</v>
      </c>
      <c r="H2038" s="23" t="str">
        <f>IFERROR(__xludf.DUMMYFUNCTION("""COMPUTED_VALUE"""),"Algorithms")</f>
        <v>Algorithms</v>
      </c>
      <c r="I2038" s="23">
        <f>IFERROR(__xludf.DUMMYFUNCTION("""COMPUTED_VALUE"""),0.827)</f>
        <v>0.827</v>
      </c>
      <c r="J2038" s="23">
        <f>IFERROR(__xludf.DUMMYFUNCTION("""COMPUTED_VALUE"""),2037.0)</f>
        <v>2037</v>
      </c>
      <c r="K2038" s="23" t="b">
        <f>IFERROR(__xludf.DUMMYFUNCTION("""COMPUTED_VALUE"""),FALSE)</f>
        <v>0</v>
      </c>
      <c r="L2038" s="23" t="str">
        <f>IFERROR(__xludf.DUMMYFUNCTION("""COMPUTED_VALUE"""),"Array;Sorting;")</f>
        <v>Array;Sorting;</v>
      </c>
      <c r="M2038" s="23" t="b">
        <f>IFERROR(__xludf.DUMMYFUNCTION("""COMPUTED_VALUE"""),FALSE)</f>
        <v>0</v>
      </c>
      <c r="N2038" s="23" t="b">
        <f>IFERROR(__xludf.DUMMYFUNCTION("""COMPUTED_VALUE"""),FALSE)</f>
        <v>0</v>
      </c>
      <c r="O2038" s="23">
        <f>IFERROR(__xludf.DUMMYFUNCTION("""COMPUTED_VALUE"""),82.7425707124955)</f>
        <v>82.74257071</v>
      </c>
      <c r="P2038" s="23">
        <f>IFERROR(__xludf.DUMMYFUNCTION("""COMPUTED_VALUE"""),23110.0)</f>
        <v>23110</v>
      </c>
      <c r="Q2038" s="23">
        <f>IFERROR(__xludf.DUMMYFUNCTION("""COMPUTED_VALUE"""),27930.0)</f>
        <v>27930</v>
      </c>
    </row>
    <row r="2039">
      <c r="A2039" s="23">
        <f>IFERROR(__xludf.DUMMYFUNCTION("""COMPUTED_VALUE"""),2149.0)</f>
        <v>2149</v>
      </c>
      <c r="B2039" s="23" t="str">
        <f>IFERROR(__xludf.DUMMYFUNCTION("""COMPUTED_VALUE"""),"Remove Colored Pieces if Both Neighbors are the Same Color")</f>
        <v>Remove Colored Pieces if Both Neighbors are the Same Color</v>
      </c>
      <c r="C2039" s="23" t="str">
        <f>IFERROR(__xludf.DUMMYFUNCTION("""COMPUTED_VALUE"""),"remove-colored-pieces-if-both-neighbors-are-the-same-color")</f>
        <v>remove-colored-pieces-if-both-neighbors-are-the-same-color</v>
      </c>
      <c r="D2039" s="23" t="b">
        <f>IFERROR(__xludf.DUMMYFUNCTION("""COMPUTED_VALUE"""),FALSE)</f>
        <v>0</v>
      </c>
      <c r="E2039" s="23" t="str">
        <f>IFERROR(__xludf.DUMMYFUNCTION("""COMPUTED_VALUE"""),"Medium")</f>
        <v>Medium</v>
      </c>
      <c r="F2039" s="23">
        <f>IFERROR(__xludf.DUMMYFUNCTION("""COMPUTED_VALUE"""),212.0)</f>
        <v>212</v>
      </c>
      <c r="G2039" s="23">
        <f>IFERROR(__xludf.DUMMYFUNCTION("""COMPUTED_VALUE"""),19.0)</f>
        <v>19</v>
      </c>
      <c r="H2039" s="23" t="str">
        <f>IFERROR(__xludf.DUMMYFUNCTION("""COMPUTED_VALUE"""),"Algorithms")</f>
        <v>Algorithms</v>
      </c>
      <c r="I2039" s="23">
        <f>IFERROR(__xludf.DUMMYFUNCTION("""COMPUTED_VALUE"""),0.562)</f>
        <v>0.562</v>
      </c>
      <c r="J2039" s="23">
        <f>IFERROR(__xludf.DUMMYFUNCTION("""COMPUTED_VALUE"""),2038.0)</f>
        <v>2038</v>
      </c>
      <c r="K2039" s="23" t="b">
        <f>IFERROR(__xludf.DUMMYFUNCTION("""COMPUTED_VALUE"""),FALSE)</f>
        <v>0</v>
      </c>
      <c r="L2039" s="23" t="str">
        <f>IFERROR(__xludf.DUMMYFUNCTION("""COMPUTED_VALUE"""),"Math;String;Greedy;Game Theory;")</f>
        <v>Math;String;Greedy;Game Theory;</v>
      </c>
      <c r="M2039" s="23" t="b">
        <f>IFERROR(__xludf.DUMMYFUNCTION("""COMPUTED_VALUE"""),FALSE)</f>
        <v>0</v>
      </c>
      <c r="N2039" s="23" t="b">
        <f>IFERROR(__xludf.DUMMYFUNCTION("""COMPUTED_VALUE"""),FALSE)</f>
        <v>0</v>
      </c>
      <c r="O2039" s="23">
        <f>IFERROR(__xludf.DUMMYFUNCTION("""COMPUTED_VALUE"""),56.164317201957)</f>
        <v>56.1643172</v>
      </c>
      <c r="P2039" s="23">
        <f>IFERROR(__xludf.DUMMYFUNCTION("""COMPUTED_VALUE"""),11594.0)</f>
        <v>11594</v>
      </c>
      <c r="Q2039" s="23">
        <f>IFERROR(__xludf.DUMMYFUNCTION("""COMPUTED_VALUE"""),20643.0)</f>
        <v>20643</v>
      </c>
    </row>
    <row r="2040">
      <c r="A2040" s="23">
        <f>IFERROR(__xludf.DUMMYFUNCTION("""COMPUTED_VALUE"""),2151.0)</f>
        <v>2151</v>
      </c>
      <c r="B2040" s="23" t="str">
        <f>IFERROR(__xludf.DUMMYFUNCTION("""COMPUTED_VALUE"""),"The Time When the Network Becomes Idle")</f>
        <v>The Time When the Network Becomes Idle</v>
      </c>
      <c r="C2040" s="23" t="str">
        <f>IFERROR(__xludf.DUMMYFUNCTION("""COMPUTED_VALUE"""),"the-time-when-the-network-becomes-idle")</f>
        <v>the-time-when-the-network-becomes-idle</v>
      </c>
      <c r="D2040" s="23" t="b">
        <f>IFERROR(__xludf.DUMMYFUNCTION("""COMPUTED_VALUE"""),FALSE)</f>
        <v>0</v>
      </c>
      <c r="E2040" s="23" t="str">
        <f>IFERROR(__xludf.DUMMYFUNCTION("""COMPUTED_VALUE"""),"Medium")</f>
        <v>Medium</v>
      </c>
      <c r="F2040" s="23">
        <f>IFERROR(__xludf.DUMMYFUNCTION("""COMPUTED_VALUE"""),271.0)</f>
        <v>271</v>
      </c>
      <c r="G2040" s="23">
        <f>IFERROR(__xludf.DUMMYFUNCTION("""COMPUTED_VALUE"""),18.0)</f>
        <v>18</v>
      </c>
      <c r="H2040" s="23" t="str">
        <f>IFERROR(__xludf.DUMMYFUNCTION("""COMPUTED_VALUE"""),"Algorithms")</f>
        <v>Algorithms</v>
      </c>
      <c r="I2040" s="23">
        <f>IFERROR(__xludf.DUMMYFUNCTION("""COMPUTED_VALUE"""),0.492)</f>
        <v>0.492</v>
      </c>
      <c r="J2040" s="23">
        <f>IFERROR(__xludf.DUMMYFUNCTION("""COMPUTED_VALUE"""),2039.0)</f>
        <v>2039</v>
      </c>
      <c r="K2040" s="23" t="b">
        <f>IFERROR(__xludf.DUMMYFUNCTION("""COMPUTED_VALUE"""),FALSE)</f>
        <v>0</v>
      </c>
      <c r="L2040" s="23" t="str">
        <f>IFERROR(__xludf.DUMMYFUNCTION("""COMPUTED_VALUE"""),"Array;Breadth-First Search;Graph;")</f>
        <v>Array;Breadth-First Search;Graph;</v>
      </c>
      <c r="M2040" s="23" t="b">
        <f>IFERROR(__xludf.DUMMYFUNCTION("""COMPUTED_VALUE"""),FALSE)</f>
        <v>0</v>
      </c>
      <c r="N2040" s="23" t="b">
        <f>IFERROR(__xludf.DUMMYFUNCTION("""COMPUTED_VALUE"""),FALSE)</f>
        <v>0</v>
      </c>
      <c r="O2040" s="23">
        <f>IFERROR(__xludf.DUMMYFUNCTION("""COMPUTED_VALUE"""),49.204665959703)</f>
        <v>49.20466596</v>
      </c>
      <c r="P2040" s="23">
        <f>IFERROR(__xludf.DUMMYFUNCTION("""COMPUTED_VALUE"""),6496.0)</f>
        <v>6496</v>
      </c>
      <c r="Q2040" s="23">
        <f>IFERROR(__xludf.DUMMYFUNCTION("""COMPUTED_VALUE"""),13202.0)</f>
        <v>13202</v>
      </c>
    </row>
    <row r="2041">
      <c r="A2041" s="23">
        <f>IFERROR(__xludf.DUMMYFUNCTION("""COMPUTED_VALUE"""),2150.0)</f>
        <v>2150</v>
      </c>
      <c r="B2041" s="23" t="str">
        <f>IFERROR(__xludf.DUMMYFUNCTION("""COMPUTED_VALUE"""),"Kth Smallest Product of Two Sorted Arrays")</f>
        <v>Kth Smallest Product of Two Sorted Arrays</v>
      </c>
      <c r="C2041" s="23" t="str">
        <f>IFERROR(__xludf.DUMMYFUNCTION("""COMPUTED_VALUE"""),"kth-smallest-product-of-two-sorted-arrays")</f>
        <v>kth-smallest-product-of-two-sorted-arrays</v>
      </c>
      <c r="D2041" s="23" t="b">
        <f>IFERROR(__xludf.DUMMYFUNCTION("""COMPUTED_VALUE"""),FALSE)</f>
        <v>0</v>
      </c>
      <c r="E2041" s="23" t="str">
        <f>IFERROR(__xludf.DUMMYFUNCTION("""COMPUTED_VALUE"""),"Hard")</f>
        <v>Hard</v>
      </c>
      <c r="F2041" s="23">
        <f>IFERROR(__xludf.DUMMYFUNCTION("""COMPUTED_VALUE"""),309.0)</f>
        <v>309</v>
      </c>
      <c r="G2041" s="23">
        <f>IFERROR(__xludf.DUMMYFUNCTION("""COMPUTED_VALUE"""),19.0)</f>
        <v>19</v>
      </c>
      <c r="H2041" s="23" t="str">
        <f>IFERROR(__xludf.DUMMYFUNCTION("""COMPUTED_VALUE"""),"Algorithms")</f>
        <v>Algorithms</v>
      </c>
      <c r="I2041" s="23">
        <f>IFERROR(__xludf.DUMMYFUNCTION("""COMPUTED_VALUE"""),0.281)</f>
        <v>0.281</v>
      </c>
      <c r="J2041" s="23">
        <f>IFERROR(__xludf.DUMMYFUNCTION("""COMPUTED_VALUE"""),2040.0)</f>
        <v>2040</v>
      </c>
      <c r="K2041" s="23" t="b">
        <f>IFERROR(__xludf.DUMMYFUNCTION("""COMPUTED_VALUE"""),FALSE)</f>
        <v>0</v>
      </c>
      <c r="L2041" s="23" t="str">
        <f>IFERROR(__xludf.DUMMYFUNCTION("""COMPUTED_VALUE"""),"Array;Binary Search;")</f>
        <v>Array;Binary Search;</v>
      </c>
      <c r="M2041" s="23" t="b">
        <f>IFERROR(__xludf.DUMMYFUNCTION("""COMPUTED_VALUE"""),FALSE)</f>
        <v>0</v>
      </c>
      <c r="N2041" s="23" t="b">
        <f>IFERROR(__xludf.DUMMYFUNCTION("""COMPUTED_VALUE"""),FALSE)</f>
        <v>0</v>
      </c>
      <c r="O2041" s="23">
        <f>IFERROR(__xludf.DUMMYFUNCTION("""COMPUTED_VALUE"""),28.0860412834661)</f>
        <v>28.08604128</v>
      </c>
      <c r="P2041" s="23">
        <f>IFERROR(__xludf.DUMMYFUNCTION("""COMPUTED_VALUE"""),5497.0)</f>
        <v>5497</v>
      </c>
      <c r="Q2041" s="23">
        <f>IFERROR(__xludf.DUMMYFUNCTION("""COMPUTED_VALUE"""),19572.0)</f>
        <v>19572</v>
      </c>
    </row>
    <row r="2042">
      <c r="A2042" s="23">
        <f>IFERROR(__xludf.DUMMYFUNCTION("""COMPUTED_VALUE"""),2185.0)</f>
        <v>2185</v>
      </c>
      <c r="B2042" s="23" t="str">
        <f>IFERROR(__xludf.DUMMYFUNCTION("""COMPUTED_VALUE"""),"Accepted Candidates From the Interviews")</f>
        <v>Accepted Candidates From the Interviews</v>
      </c>
      <c r="C2042" s="23" t="str">
        <f>IFERROR(__xludf.DUMMYFUNCTION("""COMPUTED_VALUE"""),"accepted-candidates-from-the-interviews")</f>
        <v>accepted-candidates-from-the-interviews</v>
      </c>
      <c r="D2042" s="23" t="b">
        <f>IFERROR(__xludf.DUMMYFUNCTION("""COMPUTED_VALUE"""),TRUE)</f>
        <v>1</v>
      </c>
      <c r="E2042" s="23" t="str">
        <f>IFERROR(__xludf.DUMMYFUNCTION("""COMPUTED_VALUE"""),"Medium")</f>
        <v>Medium</v>
      </c>
      <c r="F2042" s="23">
        <f>IFERROR(__xludf.DUMMYFUNCTION("""COMPUTED_VALUE"""),20.0)</f>
        <v>20</v>
      </c>
      <c r="G2042" s="23">
        <f>IFERROR(__xludf.DUMMYFUNCTION("""COMPUTED_VALUE"""),17.0)</f>
        <v>17</v>
      </c>
      <c r="H2042" s="23" t="str">
        <f>IFERROR(__xludf.DUMMYFUNCTION("""COMPUTED_VALUE"""),"Database")</f>
        <v>Database</v>
      </c>
      <c r="I2042" s="23">
        <f>IFERROR(__xludf.DUMMYFUNCTION("""COMPUTED_VALUE"""),0.777)</f>
        <v>0.777</v>
      </c>
      <c r="J2042" s="23">
        <f>IFERROR(__xludf.DUMMYFUNCTION("""COMPUTED_VALUE"""),2041.0)</f>
        <v>2041</v>
      </c>
      <c r="K2042" s="23" t="b">
        <f>IFERROR(__xludf.DUMMYFUNCTION("""COMPUTED_VALUE"""),TRUE)</f>
        <v>1</v>
      </c>
      <c r="L2042" s="23" t="str">
        <f>IFERROR(__xludf.DUMMYFUNCTION("""COMPUTED_VALUE"""),"Database;")</f>
        <v>Database;</v>
      </c>
      <c r="M2042" s="23" t="b">
        <f>IFERROR(__xludf.DUMMYFUNCTION("""COMPUTED_VALUE"""),FALSE)</f>
        <v>0</v>
      </c>
      <c r="N2042" s="23" t="b">
        <f>IFERROR(__xludf.DUMMYFUNCTION("""COMPUTED_VALUE"""),FALSE)</f>
        <v>0</v>
      </c>
      <c r="O2042" s="23">
        <f>IFERROR(__xludf.DUMMYFUNCTION("""COMPUTED_VALUE"""),77.6969392875062)</f>
        <v>77.69693929</v>
      </c>
      <c r="P2042" s="23">
        <f>IFERROR(__xludf.DUMMYFUNCTION("""COMPUTED_VALUE"""),3097.0)</f>
        <v>3097</v>
      </c>
      <c r="Q2042" s="23">
        <f>IFERROR(__xludf.DUMMYFUNCTION("""COMPUTED_VALUE"""),3986.0)</f>
        <v>3986</v>
      </c>
    </row>
    <row r="2043">
      <c r="A2043" s="23">
        <f>IFERROR(__xludf.DUMMYFUNCTION("""COMPUTED_VALUE"""),2168.0)</f>
        <v>2168</v>
      </c>
      <c r="B2043" s="23" t="str">
        <f>IFERROR(__xludf.DUMMYFUNCTION("""COMPUTED_VALUE"""),"Check if Numbers Are Ascending in a Sentence")</f>
        <v>Check if Numbers Are Ascending in a Sentence</v>
      </c>
      <c r="C2043" s="23" t="str">
        <f>IFERROR(__xludf.DUMMYFUNCTION("""COMPUTED_VALUE"""),"check-if-numbers-are-ascending-in-a-sentence")</f>
        <v>check-if-numbers-are-ascending-in-a-sentence</v>
      </c>
      <c r="D2043" s="23" t="b">
        <f>IFERROR(__xludf.DUMMYFUNCTION("""COMPUTED_VALUE"""),FALSE)</f>
        <v>0</v>
      </c>
      <c r="E2043" s="23" t="str">
        <f>IFERROR(__xludf.DUMMYFUNCTION("""COMPUTED_VALUE"""),"Easy")</f>
        <v>Easy</v>
      </c>
      <c r="F2043" s="23">
        <f>IFERROR(__xludf.DUMMYFUNCTION("""COMPUTED_VALUE"""),243.0)</f>
        <v>243</v>
      </c>
      <c r="G2043" s="23">
        <f>IFERROR(__xludf.DUMMYFUNCTION("""COMPUTED_VALUE"""),12.0)</f>
        <v>12</v>
      </c>
      <c r="H2043" s="23" t="str">
        <f>IFERROR(__xludf.DUMMYFUNCTION("""COMPUTED_VALUE"""),"Algorithms")</f>
        <v>Algorithms</v>
      </c>
      <c r="I2043" s="23">
        <f>IFERROR(__xludf.DUMMYFUNCTION("""COMPUTED_VALUE"""),0.677)</f>
        <v>0.677</v>
      </c>
      <c r="J2043" s="23">
        <f>IFERROR(__xludf.DUMMYFUNCTION("""COMPUTED_VALUE"""),2042.0)</f>
        <v>2042</v>
      </c>
      <c r="K2043" s="23" t="b">
        <f>IFERROR(__xludf.DUMMYFUNCTION("""COMPUTED_VALUE"""),FALSE)</f>
        <v>0</v>
      </c>
      <c r="L2043" s="23" t="str">
        <f>IFERROR(__xludf.DUMMYFUNCTION("""COMPUTED_VALUE"""),"String;")</f>
        <v>String;</v>
      </c>
      <c r="M2043" s="23" t="b">
        <f>IFERROR(__xludf.DUMMYFUNCTION("""COMPUTED_VALUE"""),FALSE)</f>
        <v>0</v>
      </c>
      <c r="N2043" s="23" t="b">
        <f>IFERROR(__xludf.DUMMYFUNCTION("""COMPUTED_VALUE"""),FALSE)</f>
        <v>0</v>
      </c>
      <c r="O2043" s="23">
        <f>IFERROR(__xludf.DUMMYFUNCTION("""COMPUTED_VALUE"""),67.7260493615072)</f>
        <v>67.72604936</v>
      </c>
      <c r="P2043" s="23">
        <f>IFERROR(__xludf.DUMMYFUNCTION("""COMPUTED_VALUE"""),23654.0)</f>
        <v>23654</v>
      </c>
      <c r="Q2043" s="23">
        <f>IFERROR(__xludf.DUMMYFUNCTION("""COMPUTED_VALUE"""),34926.0)</f>
        <v>34926</v>
      </c>
    </row>
    <row r="2044">
      <c r="A2044" s="23">
        <f>IFERROR(__xludf.DUMMYFUNCTION("""COMPUTED_VALUE"""),2169.0)</f>
        <v>2169</v>
      </c>
      <c r="B2044" s="23" t="str">
        <f>IFERROR(__xludf.DUMMYFUNCTION("""COMPUTED_VALUE"""),"Simple Bank System")</f>
        <v>Simple Bank System</v>
      </c>
      <c r="C2044" s="23" t="str">
        <f>IFERROR(__xludf.DUMMYFUNCTION("""COMPUTED_VALUE"""),"simple-bank-system")</f>
        <v>simple-bank-system</v>
      </c>
      <c r="D2044" s="23" t="b">
        <f>IFERROR(__xludf.DUMMYFUNCTION("""COMPUTED_VALUE"""),FALSE)</f>
        <v>0</v>
      </c>
      <c r="E2044" s="23" t="str">
        <f>IFERROR(__xludf.DUMMYFUNCTION("""COMPUTED_VALUE"""),"Medium")</f>
        <v>Medium</v>
      </c>
      <c r="F2044" s="23">
        <f>IFERROR(__xludf.DUMMYFUNCTION("""COMPUTED_VALUE"""),105.0)</f>
        <v>105</v>
      </c>
      <c r="G2044" s="23">
        <f>IFERROR(__xludf.DUMMYFUNCTION("""COMPUTED_VALUE"""),118.0)</f>
        <v>118</v>
      </c>
      <c r="H2044" s="23" t="str">
        <f>IFERROR(__xludf.DUMMYFUNCTION("""COMPUTED_VALUE"""),"Algorithms")</f>
        <v>Algorithms</v>
      </c>
      <c r="I2044" s="23">
        <f>IFERROR(__xludf.DUMMYFUNCTION("""COMPUTED_VALUE"""),0.652)</f>
        <v>0.652</v>
      </c>
      <c r="J2044" s="23">
        <f>IFERROR(__xludf.DUMMYFUNCTION("""COMPUTED_VALUE"""),2043.0)</f>
        <v>2043</v>
      </c>
      <c r="K2044" s="23" t="b">
        <f>IFERROR(__xludf.DUMMYFUNCTION("""COMPUTED_VALUE"""),FALSE)</f>
        <v>0</v>
      </c>
      <c r="L2044" s="23" t="str">
        <f>IFERROR(__xludf.DUMMYFUNCTION("""COMPUTED_VALUE"""),"Array;Hash Table;Design;Simulation;")</f>
        <v>Array;Hash Table;Design;Simulation;</v>
      </c>
      <c r="M2044" s="23" t="b">
        <f>IFERROR(__xludf.DUMMYFUNCTION("""COMPUTED_VALUE"""),FALSE)</f>
        <v>0</v>
      </c>
      <c r="N2044" s="23" t="b">
        <f>IFERROR(__xludf.DUMMYFUNCTION("""COMPUTED_VALUE"""),FALSE)</f>
        <v>0</v>
      </c>
      <c r="O2044" s="23">
        <f>IFERROR(__xludf.DUMMYFUNCTION("""COMPUTED_VALUE"""),65.2038431576214)</f>
        <v>65.20384316</v>
      </c>
      <c r="P2044" s="23">
        <f>IFERROR(__xludf.DUMMYFUNCTION("""COMPUTED_VALUE"""),12555.0)</f>
        <v>12555</v>
      </c>
      <c r="Q2044" s="23">
        <f>IFERROR(__xludf.DUMMYFUNCTION("""COMPUTED_VALUE"""),19255.0)</f>
        <v>19255</v>
      </c>
    </row>
    <row r="2045">
      <c r="A2045" s="23">
        <f>IFERROR(__xludf.DUMMYFUNCTION("""COMPUTED_VALUE"""),2170.0)</f>
        <v>2170</v>
      </c>
      <c r="B2045" s="23" t="str">
        <f>IFERROR(__xludf.DUMMYFUNCTION("""COMPUTED_VALUE"""),"Count Number of Maximum Bitwise-OR Subsets")</f>
        <v>Count Number of Maximum Bitwise-OR Subsets</v>
      </c>
      <c r="C2045" s="23" t="str">
        <f>IFERROR(__xludf.DUMMYFUNCTION("""COMPUTED_VALUE"""),"count-number-of-maximum-bitwise-or-subsets")</f>
        <v>count-number-of-maximum-bitwise-or-subsets</v>
      </c>
      <c r="D2045" s="23" t="b">
        <f>IFERROR(__xludf.DUMMYFUNCTION("""COMPUTED_VALUE"""),FALSE)</f>
        <v>0</v>
      </c>
      <c r="E2045" s="23" t="str">
        <f>IFERROR(__xludf.DUMMYFUNCTION("""COMPUTED_VALUE"""),"Medium")</f>
        <v>Medium</v>
      </c>
      <c r="F2045" s="23">
        <f>IFERROR(__xludf.DUMMYFUNCTION("""COMPUTED_VALUE"""),253.0)</f>
        <v>253</v>
      </c>
      <c r="G2045" s="23">
        <f>IFERROR(__xludf.DUMMYFUNCTION("""COMPUTED_VALUE"""),13.0)</f>
        <v>13</v>
      </c>
      <c r="H2045" s="23" t="str">
        <f>IFERROR(__xludf.DUMMYFUNCTION("""COMPUTED_VALUE"""),"Algorithms")</f>
        <v>Algorithms</v>
      </c>
      <c r="I2045" s="23">
        <f>IFERROR(__xludf.DUMMYFUNCTION("""COMPUTED_VALUE"""),0.747)</f>
        <v>0.747</v>
      </c>
      <c r="J2045" s="23">
        <f>IFERROR(__xludf.DUMMYFUNCTION("""COMPUTED_VALUE"""),2044.0)</f>
        <v>2044</v>
      </c>
      <c r="K2045" s="23" t="b">
        <f>IFERROR(__xludf.DUMMYFUNCTION("""COMPUTED_VALUE"""),FALSE)</f>
        <v>0</v>
      </c>
      <c r="L2045" s="23" t="str">
        <f>IFERROR(__xludf.DUMMYFUNCTION("""COMPUTED_VALUE"""),"Array;Backtracking;Bit Manipulation;")</f>
        <v>Array;Backtracking;Bit Manipulation;</v>
      </c>
      <c r="M2045" s="23" t="b">
        <f>IFERROR(__xludf.DUMMYFUNCTION("""COMPUTED_VALUE"""),FALSE)</f>
        <v>0</v>
      </c>
      <c r="N2045" s="23" t="b">
        <f>IFERROR(__xludf.DUMMYFUNCTION("""COMPUTED_VALUE"""),FALSE)</f>
        <v>0</v>
      </c>
      <c r="O2045" s="23">
        <f>IFERROR(__xludf.DUMMYFUNCTION("""COMPUTED_VALUE"""),74.7353443369379)</f>
        <v>74.73534434</v>
      </c>
      <c r="P2045" s="23">
        <f>IFERROR(__xludf.DUMMYFUNCTION("""COMPUTED_VALUE"""),13131.0)</f>
        <v>13131</v>
      </c>
      <c r="Q2045" s="23">
        <f>IFERROR(__xludf.DUMMYFUNCTION("""COMPUTED_VALUE"""),17570.0)</f>
        <v>17570</v>
      </c>
    </row>
    <row r="2046">
      <c r="A2046" s="23">
        <f>IFERROR(__xludf.DUMMYFUNCTION("""COMPUTED_VALUE"""),2171.0)</f>
        <v>2171</v>
      </c>
      <c r="B2046" s="23" t="str">
        <f>IFERROR(__xludf.DUMMYFUNCTION("""COMPUTED_VALUE"""),"Second Minimum Time to Reach Destination")</f>
        <v>Second Minimum Time to Reach Destination</v>
      </c>
      <c r="C2046" s="23" t="str">
        <f>IFERROR(__xludf.DUMMYFUNCTION("""COMPUTED_VALUE"""),"second-minimum-time-to-reach-destination")</f>
        <v>second-minimum-time-to-reach-destination</v>
      </c>
      <c r="D2046" s="23" t="b">
        <f>IFERROR(__xludf.DUMMYFUNCTION("""COMPUTED_VALUE"""),FALSE)</f>
        <v>0</v>
      </c>
      <c r="E2046" s="23" t="str">
        <f>IFERROR(__xludf.DUMMYFUNCTION("""COMPUTED_VALUE"""),"Hard")</f>
        <v>Hard</v>
      </c>
      <c r="F2046" s="23">
        <f>IFERROR(__xludf.DUMMYFUNCTION("""COMPUTED_VALUE"""),317.0)</f>
        <v>317</v>
      </c>
      <c r="G2046" s="23">
        <f>IFERROR(__xludf.DUMMYFUNCTION("""COMPUTED_VALUE"""),6.0)</f>
        <v>6</v>
      </c>
      <c r="H2046" s="23" t="str">
        <f>IFERROR(__xludf.DUMMYFUNCTION("""COMPUTED_VALUE"""),"Algorithms")</f>
        <v>Algorithms</v>
      </c>
      <c r="I2046" s="23">
        <f>IFERROR(__xludf.DUMMYFUNCTION("""COMPUTED_VALUE"""),0.367)</f>
        <v>0.367</v>
      </c>
      <c r="J2046" s="23">
        <f>IFERROR(__xludf.DUMMYFUNCTION("""COMPUTED_VALUE"""),2045.0)</f>
        <v>2045</v>
      </c>
      <c r="K2046" s="23" t="b">
        <f>IFERROR(__xludf.DUMMYFUNCTION("""COMPUTED_VALUE"""),FALSE)</f>
        <v>0</v>
      </c>
      <c r="L2046" s="23" t="str">
        <f>IFERROR(__xludf.DUMMYFUNCTION("""COMPUTED_VALUE"""),"Breadth-First Search;Graph;Shortest Path;")</f>
        <v>Breadth-First Search;Graph;Shortest Path;</v>
      </c>
      <c r="M2046" s="23" t="b">
        <f>IFERROR(__xludf.DUMMYFUNCTION("""COMPUTED_VALUE"""),FALSE)</f>
        <v>0</v>
      </c>
      <c r="N2046" s="23" t="b">
        <f>IFERROR(__xludf.DUMMYFUNCTION("""COMPUTED_VALUE"""),FALSE)</f>
        <v>0</v>
      </c>
      <c r="O2046" s="23">
        <f>IFERROR(__xludf.DUMMYFUNCTION("""COMPUTED_VALUE"""),36.7141346931161)</f>
        <v>36.71413469</v>
      </c>
      <c r="P2046" s="23">
        <f>IFERROR(__xludf.DUMMYFUNCTION("""COMPUTED_VALUE"""),5904.0)</f>
        <v>5904</v>
      </c>
      <c r="Q2046" s="23">
        <f>IFERROR(__xludf.DUMMYFUNCTION("""COMPUTED_VALUE"""),16081.0)</f>
        <v>16081</v>
      </c>
    </row>
    <row r="2047">
      <c r="A2047" s="23">
        <f>IFERROR(__xludf.DUMMYFUNCTION("""COMPUTED_VALUE"""),1992.0)</f>
        <v>1992</v>
      </c>
      <c r="B2047" s="23" t="str">
        <f>IFERROR(__xludf.DUMMYFUNCTION("""COMPUTED_VALUE"""),"Sort Linked List Already Sorted Using Absolute Values")</f>
        <v>Sort Linked List Already Sorted Using Absolute Values</v>
      </c>
      <c r="C2047" s="23" t="str">
        <f>IFERROR(__xludf.DUMMYFUNCTION("""COMPUTED_VALUE"""),"sort-linked-list-already-sorted-using-absolute-values")</f>
        <v>sort-linked-list-already-sorted-using-absolute-values</v>
      </c>
      <c r="D2047" s="23" t="b">
        <f>IFERROR(__xludf.DUMMYFUNCTION("""COMPUTED_VALUE"""),TRUE)</f>
        <v>1</v>
      </c>
      <c r="E2047" s="23" t="str">
        <f>IFERROR(__xludf.DUMMYFUNCTION("""COMPUTED_VALUE"""),"Medium")</f>
        <v>Medium</v>
      </c>
      <c r="F2047" s="23">
        <f>IFERROR(__xludf.DUMMYFUNCTION("""COMPUTED_VALUE"""),70.0)</f>
        <v>70</v>
      </c>
      <c r="G2047" s="23">
        <f>IFERROR(__xludf.DUMMYFUNCTION("""COMPUTED_VALUE"""),0.0)</f>
        <v>0</v>
      </c>
      <c r="H2047" s="23" t="str">
        <f>IFERROR(__xludf.DUMMYFUNCTION("""COMPUTED_VALUE"""),"Algorithms")</f>
        <v>Algorithms</v>
      </c>
      <c r="I2047" s="23">
        <f>IFERROR(__xludf.DUMMYFUNCTION("""COMPUTED_VALUE"""),0.696)</f>
        <v>0.696</v>
      </c>
      <c r="J2047" s="23">
        <f>IFERROR(__xludf.DUMMYFUNCTION("""COMPUTED_VALUE"""),2046.0)</f>
        <v>2046</v>
      </c>
      <c r="K2047" s="23" t="b">
        <f>IFERROR(__xludf.DUMMYFUNCTION("""COMPUTED_VALUE"""),TRUE)</f>
        <v>1</v>
      </c>
      <c r="L2047" s="23" t="str">
        <f>IFERROR(__xludf.DUMMYFUNCTION("""COMPUTED_VALUE"""),"Linked List;Two Pointers;Sorting;")</f>
        <v>Linked List;Two Pointers;Sorting;</v>
      </c>
      <c r="M2047" s="23" t="b">
        <f>IFERROR(__xludf.DUMMYFUNCTION("""COMPUTED_VALUE"""),FALSE)</f>
        <v>0</v>
      </c>
      <c r="N2047" s="23" t="b">
        <f>IFERROR(__xludf.DUMMYFUNCTION("""COMPUTED_VALUE"""),FALSE)</f>
        <v>0</v>
      </c>
      <c r="O2047" s="23">
        <f>IFERROR(__xludf.DUMMYFUNCTION("""COMPUTED_VALUE"""),69.6381053751995)</f>
        <v>69.63810538</v>
      </c>
      <c r="P2047" s="23">
        <f>IFERROR(__xludf.DUMMYFUNCTION("""COMPUTED_VALUE"""),2617.0)</f>
        <v>2617</v>
      </c>
      <c r="Q2047" s="23">
        <f>IFERROR(__xludf.DUMMYFUNCTION("""COMPUTED_VALUE"""),3758.0)</f>
        <v>3758</v>
      </c>
    </row>
    <row r="2048">
      <c r="A2048" s="23">
        <f>IFERROR(__xludf.DUMMYFUNCTION("""COMPUTED_VALUE"""),2173.0)</f>
        <v>2173</v>
      </c>
      <c r="B2048" s="23" t="str">
        <f>IFERROR(__xludf.DUMMYFUNCTION("""COMPUTED_VALUE"""),"Number of Valid Words in a Sentence")</f>
        <v>Number of Valid Words in a Sentence</v>
      </c>
      <c r="C2048" s="23" t="str">
        <f>IFERROR(__xludf.DUMMYFUNCTION("""COMPUTED_VALUE"""),"number-of-valid-words-in-a-sentence")</f>
        <v>number-of-valid-words-in-a-sentence</v>
      </c>
      <c r="D2048" s="23" t="b">
        <f>IFERROR(__xludf.DUMMYFUNCTION("""COMPUTED_VALUE"""),FALSE)</f>
        <v>0</v>
      </c>
      <c r="E2048" s="23" t="str">
        <f>IFERROR(__xludf.DUMMYFUNCTION("""COMPUTED_VALUE"""),"Easy")</f>
        <v>Easy</v>
      </c>
      <c r="F2048" s="23">
        <f>IFERROR(__xludf.DUMMYFUNCTION("""COMPUTED_VALUE"""),121.0)</f>
        <v>121</v>
      </c>
      <c r="G2048" s="23">
        <f>IFERROR(__xludf.DUMMYFUNCTION("""COMPUTED_VALUE"""),485.0)</f>
        <v>485</v>
      </c>
      <c r="H2048" s="23" t="str">
        <f>IFERROR(__xludf.DUMMYFUNCTION("""COMPUTED_VALUE"""),"Algorithms")</f>
        <v>Algorithms</v>
      </c>
      <c r="I2048" s="23">
        <f>IFERROR(__xludf.DUMMYFUNCTION("""COMPUTED_VALUE"""),0.293)</f>
        <v>0.293</v>
      </c>
      <c r="J2048" s="23">
        <f>IFERROR(__xludf.DUMMYFUNCTION("""COMPUTED_VALUE"""),2047.0)</f>
        <v>2047</v>
      </c>
      <c r="K2048" s="23" t="b">
        <f>IFERROR(__xludf.DUMMYFUNCTION("""COMPUTED_VALUE"""),FALSE)</f>
        <v>0</v>
      </c>
      <c r="L2048" s="23" t="str">
        <f>IFERROR(__xludf.DUMMYFUNCTION("""COMPUTED_VALUE"""),"String;")</f>
        <v>String;</v>
      </c>
      <c r="M2048" s="23" t="b">
        <f>IFERROR(__xludf.DUMMYFUNCTION("""COMPUTED_VALUE"""),FALSE)</f>
        <v>0</v>
      </c>
      <c r="N2048" s="23" t="b">
        <f>IFERROR(__xludf.DUMMYFUNCTION("""COMPUTED_VALUE"""),FALSE)</f>
        <v>0</v>
      </c>
      <c r="O2048" s="23">
        <f>IFERROR(__xludf.DUMMYFUNCTION("""COMPUTED_VALUE"""),29.3057050592034)</f>
        <v>29.30570506</v>
      </c>
      <c r="P2048" s="23">
        <f>IFERROR(__xludf.DUMMYFUNCTION("""COMPUTED_VALUE"""),14157.0)</f>
        <v>14157</v>
      </c>
      <c r="Q2048" s="23">
        <f>IFERROR(__xludf.DUMMYFUNCTION("""COMPUTED_VALUE"""),48308.0)</f>
        <v>48308</v>
      </c>
    </row>
    <row r="2049">
      <c r="A2049" s="23">
        <f>IFERROR(__xludf.DUMMYFUNCTION("""COMPUTED_VALUE"""),2174.0)</f>
        <v>2174</v>
      </c>
      <c r="B2049" s="23" t="str">
        <f>IFERROR(__xludf.DUMMYFUNCTION("""COMPUTED_VALUE"""),"Next Greater Numerically Balanced Number")</f>
        <v>Next Greater Numerically Balanced Number</v>
      </c>
      <c r="C2049" s="23" t="str">
        <f>IFERROR(__xludf.DUMMYFUNCTION("""COMPUTED_VALUE"""),"next-greater-numerically-balanced-number")</f>
        <v>next-greater-numerically-balanced-number</v>
      </c>
      <c r="D2049" s="23" t="b">
        <f>IFERROR(__xludf.DUMMYFUNCTION("""COMPUTED_VALUE"""),FALSE)</f>
        <v>0</v>
      </c>
      <c r="E2049" s="23" t="str">
        <f>IFERROR(__xludf.DUMMYFUNCTION("""COMPUTED_VALUE"""),"Medium")</f>
        <v>Medium</v>
      </c>
      <c r="F2049" s="23">
        <f>IFERROR(__xludf.DUMMYFUNCTION("""COMPUTED_VALUE"""),98.0)</f>
        <v>98</v>
      </c>
      <c r="G2049" s="23">
        <f>IFERROR(__xludf.DUMMYFUNCTION("""COMPUTED_VALUE"""),220.0)</f>
        <v>220</v>
      </c>
      <c r="H2049" s="23" t="str">
        <f>IFERROR(__xludf.DUMMYFUNCTION("""COMPUTED_VALUE"""),"Algorithms")</f>
        <v>Algorithms</v>
      </c>
      <c r="I2049" s="23">
        <f>IFERROR(__xludf.DUMMYFUNCTION("""COMPUTED_VALUE"""),0.463)</f>
        <v>0.463</v>
      </c>
      <c r="J2049" s="23">
        <f>IFERROR(__xludf.DUMMYFUNCTION("""COMPUTED_VALUE"""),2048.0)</f>
        <v>2048</v>
      </c>
      <c r="K2049" s="23" t="b">
        <f>IFERROR(__xludf.DUMMYFUNCTION("""COMPUTED_VALUE"""),FALSE)</f>
        <v>0</v>
      </c>
      <c r="L2049" s="23" t="str">
        <f>IFERROR(__xludf.DUMMYFUNCTION("""COMPUTED_VALUE"""),"Math;Backtracking;Enumeration;")</f>
        <v>Math;Backtracking;Enumeration;</v>
      </c>
      <c r="M2049" s="23" t="b">
        <f>IFERROR(__xludf.DUMMYFUNCTION("""COMPUTED_VALUE"""),FALSE)</f>
        <v>0</v>
      </c>
      <c r="N2049" s="23" t="b">
        <f>IFERROR(__xludf.DUMMYFUNCTION("""COMPUTED_VALUE"""),FALSE)</f>
        <v>0</v>
      </c>
      <c r="O2049" s="23">
        <f>IFERROR(__xludf.DUMMYFUNCTION("""COMPUTED_VALUE"""),46.2825894829871)</f>
        <v>46.28258948</v>
      </c>
      <c r="P2049" s="23">
        <f>IFERROR(__xludf.DUMMYFUNCTION("""COMPUTED_VALUE"""),8379.0)</f>
        <v>8379</v>
      </c>
      <c r="Q2049" s="23">
        <f>IFERROR(__xludf.DUMMYFUNCTION("""COMPUTED_VALUE"""),18104.0)</f>
        <v>18104</v>
      </c>
    </row>
    <row r="2050">
      <c r="A2050" s="23">
        <f>IFERROR(__xludf.DUMMYFUNCTION("""COMPUTED_VALUE"""),2175.0)</f>
        <v>2175</v>
      </c>
      <c r="B2050" s="23" t="str">
        <f>IFERROR(__xludf.DUMMYFUNCTION("""COMPUTED_VALUE"""),"Count Nodes With the Highest Score")</f>
        <v>Count Nodes With the Highest Score</v>
      </c>
      <c r="C2050" s="23" t="str">
        <f>IFERROR(__xludf.DUMMYFUNCTION("""COMPUTED_VALUE"""),"count-nodes-with-the-highest-score")</f>
        <v>count-nodes-with-the-highest-score</v>
      </c>
      <c r="D2050" s="23" t="b">
        <f>IFERROR(__xludf.DUMMYFUNCTION("""COMPUTED_VALUE"""),FALSE)</f>
        <v>0</v>
      </c>
      <c r="E2050" s="23" t="str">
        <f>IFERROR(__xludf.DUMMYFUNCTION("""COMPUTED_VALUE"""),"Medium")</f>
        <v>Medium</v>
      </c>
      <c r="F2050" s="23">
        <f>IFERROR(__xludf.DUMMYFUNCTION("""COMPUTED_VALUE"""),400.0)</f>
        <v>400</v>
      </c>
      <c r="G2050" s="23">
        <f>IFERROR(__xludf.DUMMYFUNCTION("""COMPUTED_VALUE"""),26.0)</f>
        <v>26</v>
      </c>
      <c r="H2050" s="23" t="str">
        <f>IFERROR(__xludf.DUMMYFUNCTION("""COMPUTED_VALUE"""),"Algorithms")</f>
        <v>Algorithms</v>
      </c>
      <c r="I2050" s="23">
        <f>IFERROR(__xludf.DUMMYFUNCTION("""COMPUTED_VALUE"""),0.463)</f>
        <v>0.463</v>
      </c>
      <c r="J2050" s="23">
        <f>IFERROR(__xludf.DUMMYFUNCTION("""COMPUTED_VALUE"""),2049.0)</f>
        <v>2049</v>
      </c>
      <c r="K2050" s="23" t="b">
        <f>IFERROR(__xludf.DUMMYFUNCTION("""COMPUTED_VALUE"""),FALSE)</f>
        <v>0</v>
      </c>
      <c r="L2050" s="23" t="str">
        <f>IFERROR(__xludf.DUMMYFUNCTION("""COMPUTED_VALUE"""),"Array;Tree;Depth-First Search;Binary Tree;")</f>
        <v>Array;Tree;Depth-First Search;Binary Tree;</v>
      </c>
      <c r="M2050" s="23" t="b">
        <f>IFERROR(__xludf.DUMMYFUNCTION("""COMPUTED_VALUE"""),FALSE)</f>
        <v>0</v>
      </c>
      <c r="N2050" s="23" t="b">
        <f>IFERROR(__xludf.DUMMYFUNCTION("""COMPUTED_VALUE"""),FALSE)</f>
        <v>0</v>
      </c>
      <c r="O2050" s="23">
        <f>IFERROR(__xludf.DUMMYFUNCTION("""COMPUTED_VALUE"""),46.3065887606289)</f>
        <v>46.30658876</v>
      </c>
      <c r="P2050" s="23">
        <f>IFERROR(__xludf.DUMMYFUNCTION("""COMPUTED_VALUE"""),9747.0)</f>
        <v>9747</v>
      </c>
      <c r="Q2050" s="23">
        <f>IFERROR(__xludf.DUMMYFUNCTION("""COMPUTED_VALUE"""),21050.0)</f>
        <v>21050</v>
      </c>
    </row>
    <row r="2051">
      <c r="A2051" s="23">
        <f>IFERROR(__xludf.DUMMYFUNCTION("""COMPUTED_VALUE"""),2176.0)</f>
        <v>2176</v>
      </c>
      <c r="B2051" s="23" t="str">
        <f>IFERROR(__xludf.DUMMYFUNCTION("""COMPUTED_VALUE"""),"Parallel Courses III")</f>
        <v>Parallel Courses III</v>
      </c>
      <c r="C2051" s="23" t="str">
        <f>IFERROR(__xludf.DUMMYFUNCTION("""COMPUTED_VALUE"""),"parallel-courses-iii")</f>
        <v>parallel-courses-iii</v>
      </c>
      <c r="D2051" s="23" t="b">
        <f>IFERROR(__xludf.DUMMYFUNCTION("""COMPUTED_VALUE"""),FALSE)</f>
        <v>0</v>
      </c>
      <c r="E2051" s="23" t="str">
        <f>IFERROR(__xludf.DUMMYFUNCTION("""COMPUTED_VALUE"""),"Hard")</f>
        <v>Hard</v>
      </c>
      <c r="F2051" s="23">
        <f>IFERROR(__xludf.DUMMYFUNCTION("""COMPUTED_VALUE"""),326.0)</f>
        <v>326</v>
      </c>
      <c r="G2051" s="23">
        <f>IFERROR(__xludf.DUMMYFUNCTION("""COMPUTED_VALUE"""),10.0)</f>
        <v>10</v>
      </c>
      <c r="H2051" s="23" t="str">
        <f>IFERROR(__xludf.DUMMYFUNCTION("""COMPUTED_VALUE"""),"Algorithms")</f>
        <v>Algorithms</v>
      </c>
      <c r="I2051" s="23">
        <f>IFERROR(__xludf.DUMMYFUNCTION("""COMPUTED_VALUE"""),0.596)</f>
        <v>0.596</v>
      </c>
      <c r="J2051" s="23">
        <f>IFERROR(__xludf.DUMMYFUNCTION("""COMPUTED_VALUE"""),2050.0)</f>
        <v>2050</v>
      </c>
      <c r="K2051" s="23" t="b">
        <f>IFERROR(__xludf.DUMMYFUNCTION("""COMPUTED_VALUE"""),FALSE)</f>
        <v>0</v>
      </c>
      <c r="L2051" s="23" t="str">
        <f>IFERROR(__xludf.DUMMYFUNCTION("""COMPUTED_VALUE"""),"Dynamic Programming;Graph;Topological Sort;")</f>
        <v>Dynamic Programming;Graph;Topological Sort;</v>
      </c>
      <c r="M2051" s="23" t="b">
        <f>IFERROR(__xludf.DUMMYFUNCTION("""COMPUTED_VALUE"""),FALSE)</f>
        <v>0</v>
      </c>
      <c r="N2051" s="23" t="b">
        <f>IFERROR(__xludf.DUMMYFUNCTION("""COMPUTED_VALUE"""),FALSE)</f>
        <v>0</v>
      </c>
      <c r="O2051" s="23">
        <f>IFERROR(__xludf.DUMMYFUNCTION("""COMPUTED_VALUE"""),59.5613977145121)</f>
        <v>59.56139771</v>
      </c>
      <c r="P2051" s="23">
        <f>IFERROR(__xludf.DUMMYFUNCTION("""COMPUTED_VALUE"""),9017.0)</f>
        <v>9017</v>
      </c>
      <c r="Q2051" s="23">
        <f>IFERROR(__xludf.DUMMYFUNCTION("""COMPUTED_VALUE"""),15139.0)</f>
        <v>15139</v>
      </c>
    </row>
    <row r="2052">
      <c r="A2052" s="23">
        <f>IFERROR(__xludf.DUMMYFUNCTION("""COMPUTED_VALUE"""),2194.0)</f>
        <v>2194</v>
      </c>
      <c r="B2052" s="23" t="str">
        <f>IFERROR(__xludf.DUMMYFUNCTION("""COMPUTED_VALUE"""),"The Category of Each Member in the Store")</f>
        <v>The Category of Each Member in the Store</v>
      </c>
      <c r="C2052" s="23" t="str">
        <f>IFERROR(__xludf.DUMMYFUNCTION("""COMPUTED_VALUE"""),"the-category-of-each-member-in-the-store")</f>
        <v>the-category-of-each-member-in-the-store</v>
      </c>
      <c r="D2052" s="23" t="b">
        <f>IFERROR(__xludf.DUMMYFUNCTION("""COMPUTED_VALUE"""),TRUE)</f>
        <v>1</v>
      </c>
      <c r="E2052" s="23" t="str">
        <f>IFERROR(__xludf.DUMMYFUNCTION("""COMPUTED_VALUE"""),"Medium")</f>
        <v>Medium</v>
      </c>
      <c r="F2052" s="23">
        <f>IFERROR(__xludf.DUMMYFUNCTION("""COMPUTED_VALUE"""),26.0)</f>
        <v>26</v>
      </c>
      <c r="G2052" s="23">
        <f>IFERROR(__xludf.DUMMYFUNCTION("""COMPUTED_VALUE"""),4.0)</f>
        <v>4</v>
      </c>
      <c r="H2052" s="23" t="str">
        <f>IFERROR(__xludf.DUMMYFUNCTION("""COMPUTED_VALUE"""),"Database")</f>
        <v>Database</v>
      </c>
      <c r="I2052" s="23">
        <f>IFERROR(__xludf.DUMMYFUNCTION("""COMPUTED_VALUE"""),0.731)</f>
        <v>0.731</v>
      </c>
      <c r="J2052" s="23">
        <f>IFERROR(__xludf.DUMMYFUNCTION("""COMPUTED_VALUE"""),2051.0)</f>
        <v>2051</v>
      </c>
      <c r="K2052" s="23" t="b">
        <f>IFERROR(__xludf.DUMMYFUNCTION("""COMPUTED_VALUE"""),TRUE)</f>
        <v>1</v>
      </c>
      <c r="L2052" s="23" t="str">
        <f>IFERROR(__xludf.DUMMYFUNCTION("""COMPUTED_VALUE"""),"Database;")</f>
        <v>Database;</v>
      </c>
      <c r="M2052" s="23" t="b">
        <f>IFERROR(__xludf.DUMMYFUNCTION("""COMPUTED_VALUE"""),FALSE)</f>
        <v>0</v>
      </c>
      <c r="N2052" s="23" t="b">
        <f>IFERROR(__xludf.DUMMYFUNCTION("""COMPUTED_VALUE"""),FALSE)</f>
        <v>0</v>
      </c>
      <c r="O2052" s="23">
        <f>IFERROR(__xludf.DUMMYFUNCTION("""COMPUTED_VALUE"""),73.0810234541577)</f>
        <v>73.08102345</v>
      </c>
      <c r="P2052" s="23">
        <f>IFERROR(__xludf.DUMMYFUNCTION("""COMPUTED_VALUE"""),2742.0)</f>
        <v>2742</v>
      </c>
      <c r="Q2052" s="23">
        <f>IFERROR(__xludf.DUMMYFUNCTION("""COMPUTED_VALUE"""),3752.0)</f>
        <v>3752</v>
      </c>
    </row>
    <row r="2053">
      <c r="A2053" s="23">
        <f>IFERROR(__xludf.DUMMYFUNCTION("""COMPUTED_VALUE"""),2082.0)</f>
        <v>2082</v>
      </c>
      <c r="B2053" s="23" t="str">
        <f>IFERROR(__xludf.DUMMYFUNCTION("""COMPUTED_VALUE"""),"Minimum Cost to Separate Sentence Into Rows")</f>
        <v>Minimum Cost to Separate Sentence Into Rows</v>
      </c>
      <c r="C2053" s="23" t="str">
        <f>IFERROR(__xludf.DUMMYFUNCTION("""COMPUTED_VALUE"""),"minimum-cost-to-separate-sentence-into-rows")</f>
        <v>minimum-cost-to-separate-sentence-into-rows</v>
      </c>
      <c r="D2053" s="23" t="b">
        <f>IFERROR(__xludf.DUMMYFUNCTION("""COMPUTED_VALUE"""),TRUE)</f>
        <v>1</v>
      </c>
      <c r="E2053" s="23" t="str">
        <f>IFERROR(__xludf.DUMMYFUNCTION("""COMPUTED_VALUE"""),"Medium")</f>
        <v>Medium</v>
      </c>
      <c r="F2053" s="23">
        <f>IFERROR(__xludf.DUMMYFUNCTION("""COMPUTED_VALUE"""),23.0)</f>
        <v>23</v>
      </c>
      <c r="G2053" s="23">
        <f>IFERROR(__xludf.DUMMYFUNCTION("""COMPUTED_VALUE"""),8.0)</f>
        <v>8</v>
      </c>
      <c r="H2053" s="23" t="str">
        <f>IFERROR(__xludf.DUMMYFUNCTION("""COMPUTED_VALUE"""),"Algorithms")</f>
        <v>Algorithms</v>
      </c>
      <c r="I2053" s="23">
        <f>IFERROR(__xludf.DUMMYFUNCTION("""COMPUTED_VALUE"""),0.53)</f>
        <v>0.53</v>
      </c>
      <c r="J2053" s="23">
        <f>IFERROR(__xludf.DUMMYFUNCTION("""COMPUTED_VALUE"""),2052.0)</f>
        <v>2052</v>
      </c>
      <c r="K2053" s="23" t="b">
        <f>IFERROR(__xludf.DUMMYFUNCTION("""COMPUTED_VALUE"""),TRUE)</f>
        <v>1</v>
      </c>
      <c r="L2053" s="23" t="str">
        <f>IFERROR(__xludf.DUMMYFUNCTION("""COMPUTED_VALUE"""),"Array;Dynamic Programming;")</f>
        <v>Array;Dynamic Programming;</v>
      </c>
      <c r="M2053" s="23" t="b">
        <f>IFERROR(__xludf.DUMMYFUNCTION("""COMPUTED_VALUE"""),FALSE)</f>
        <v>0</v>
      </c>
      <c r="N2053" s="23" t="b">
        <f>IFERROR(__xludf.DUMMYFUNCTION("""COMPUTED_VALUE"""),FALSE)</f>
        <v>0</v>
      </c>
      <c r="O2053" s="23">
        <f>IFERROR(__xludf.DUMMYFUNCTION("""COMPUTED_VALUE"""),52.9544175576814)</f>
        <v>52.95441756</v>
      </c>
      <c r="P2053" s="23">
        <f>IFERROR(__xludf.DUMMYFUNCTION("""COMPUTED_VALUE"""),941.0)</f>
        <v>941</v>
      </c>
      <c r="Q2053" s="23">
        <f>IFERROR(__xludf.DUMMYFUNCTION("""COMPUTED_VALUE"""),1777.0)</f>
        <v>1777</v>
      </c>
    </row>
    <row r="2054">
      <c r="A2054" s="23">
        <f>IFERROR(__xludf.DUMMYFUNCTION("""COMPUTED_VALUE"""),2163.0)</f>
        <v>2163</v>
      </c>
      <c r="B2054" s="23" t="str">
        <f>IFERROR(__xludf.DUMMYFUNCTION("""COMPUTED_VALUE"""),"Kth Distinct String in an Array")</f>
        <v>Kth Distinct String in an Array</v>
      </c>
      <c r="C2054" s="23" t="str">
        <f>IFERROR(__xludf.DUMMYFUNCTION("""COMPUTED_VALUE"""),"kth-distinct-string-in-an-array")</f>
        <v>kth-distinct-string-in-an-array</v>
      </c>
      <c r="D2054" s="23" t="b">
        <f>IFERROR(__xludf.DUMMYFUNCTION("""COMPUTED_VALUE"""),FALSE)</f>
        <v>0</v>
      </c>
      <c r="E2054" s="23" t="str">
        <f>IFERROR(__xludf.DUMMYFUNCTION("""COMPUTED_VALUE"""),"Easy")</f>
        <v>Easy</v>
      </c>
      <c r="F2054" s="23">
        <f>IFERROR(__xludf.DUMMYFUNCTION("""COMPUTED_VALUE"""),296.0)</f>
        <v>296</v>
      </c>
      <c r="G2054" s="23">
        <f>IFERROR(__xludf.DUMMYFUNCTION("""COMPUTED_VALUE"""),6.0)</f>
        <v>6</v>
      </c>
      <c r="H2054" s="23" t="str">
        <f>IFERROR(__xludf.DUMMYFUNCTION("""COMPUTED_VALUE"""),"Algorithms")</f>
        <v>Algorithms</v>
      </c>
      <c r="I2054" s="23">
        <f>IFERROR(__xludf.DUMMYFUNCTION("""COMPUTED_VALUE"""),0.728)</f>
        <v>0.728</v>
      </c>
      <c r="J2054" s="23">
        <f>IFERROR(__xludf.DUMMYFUNCTION("""COMPUTED_VALUE"""),2053.0)</f>
        <v>2053</v>
      </c>
      <c r="K2054" s="23" t="b">
        <f>IFERROR(__xludf.DUMMYFUNCTION("""COMPUTED_VALUE"""),FALSE)</f>
        <v>0</v>
      </c>
      <c r="L2054" s="23" t="str">
        <f>IFERROR(__xludf.DUMMYFUNCTION("""COMPUTED_VALUE"""),"Array;Hash Table;String;Counting;")</f>
        <v>Array;Hash Table;String;Counting;</v>
      </c>
      <c r="M2054" s="23" t="b">
        <f>IFERROR(__xludf.DUMMYFUNCTION("""COMPUTED_VALUE"""),FALSE)</f>
        <v>0</v>
      </c>
      <c r="N2054" s="23" t="b">
        <f>IFERROR(__xludf.DUMMYFUNCTION("""COMPUTED_VALUE"""),FALSE)</f>
        <v>0</v>
      </c>
      <c r="O2054" s="23">
        <f>IFERROR(__xludf.DUMMYFUNCTION("""COMPUTED_VALUE"""),72.7730328321371)</f>
        <v>72.77303283</v>
      </c>
      <c r="P2054" s="23">
        <f>IFERROR(__xludf.DUMMYFUNCTION("""COMPUTED_VALUE"""),22409.0)</f>
        <v>22409</v>
      </c>
      <c r="Q2054" s="23">
        <f>IFERROR(__xludf.DUMMYFUNCTION("""COMPUTED_VALUE"""),30793.0)</f>
        <v>30793</v>
      </c>
    </row>
    <row r="2055">
      <c r="A2055" s="23">
        <f>IFERROR(__xludf.DUMMYFUNCTION("""COMPUTED_VALUE"""),2164.0)</f>
        <v>2164</v>
      </c>
      <c r="B2055" s="23" t="str">
        <f>IFERROR(__xludf.DUMMYFUNCTION("""COMPUTED_VALUE"""),"Two Best Non-Overlapping Events")</f>
        <v>Two Best Non-Overlapping Events</v>
      </c>
      <c r="C2055" s="23" t="str">
        <f>IFERROR(__xludf.DUMMYFUNCTION("""COMPUTED_VALUE"""),"two-best-non-overlapping-events")</f>
        <v>two-best-non-overlapping-events</v>
      </c>
      <c r="D2055" s="23" t="b">
        <f>IFERROR(__xludf.DUMMYFUNCTION("""COMPUTED_VALUE"""),FALSE)</f>
        <v>0</v>
      </c>
      <c r="E2055" s="23" t="str">
        <f>IFERROR(__xludf.DUMMYFUNCTION("""COMPUTED_VALUE"""),"Medium")</f>
        <v>Medium</v>
      </c>
      <c r="F2055" s="23">
        <f>IFERROR(__xludf.DUMMYFUNCTION("""COMPUTED_VALUE"""),394.0)</f>
        <v>394</v>
      </c>
      <c r="G2055" s="23">
        <f>IFERROR(__xludf.DUMMYFUNCTION("""COMPUTED_VALUE"""),7.0)</f>
        <v>7</v>
      </c>
      <c r="H2055" s="23" t="str">
        <f>IFERROR(__xludf.DUMMYFUNCTION("""COMPUTED_VALUE"""),"Algorithms")</f>
        <v>Algorithms</v>
      </c>
      <c r="I2055" s="23">
        <f>IFERROR(__xludf.DUMMYFUNCTION("""COMPUTED_VALUE"""),0.433)</f>
        <v>0.433</v>
      </c>
      <c r="J2055" s="23">
        <f>IFERROR(__xludf.DUMMYFUNCTION("""COMPUTED_VALUE"""),2054.0)</f>
        <v>2054</v>
      </c>
      <c r="K2055" s="23" t="b">
        <f>IFERROR(__xludf.DUMMYFUNCTION("""COMPUTED_VALUE"""),FALSE)</f>
        <v>0</v>
      </c>
      <c r="L2055" s="23" t="str">
        <f>IFERROR(__xludf.DUMMYFUNCTION("""COMPUTED_VALUE"""),"Array;Binary Search;Dynamic Programming;Sorting;Heap (Priority Queue);")</f>
        <v>Array;Binary Search;Dynamic Programming;Sorting;Heap (Priority Queue);</v>
      </c>
      <c r="M2055" s="23" t="b">
        <f>IFERROR(__xludf.DUMMYFUNCTION("""COMPUTED_VALUE"""),FALSE)</f>
        <v>0</v>
      </c>
      <c r="N2055" s="23" t="b">
        <f>IFERROR(__xludf.DUMMYFUNCTION("""COMPUTED_VALUE"""),FALSE)</f>
        <v>0</v>
      </c>
      <c r="O2055" s="23">
        <f>IFERROR(__xludf.DUMMYFUNCTION("""COMPUTED_VALUE"""),43.2713792403006)</f>
        <v>43.27137924</v>
      </c>
      <c r="P2055" s="23">
        <f>IFERROR(__xludf.DUMMYFUNCTION("""COMPUTED_VALUE"""),8521.0)</f>
        <v>8521</v>
      </c>
      <c r="Q2055" s="23">
        <f>IFERROR(__xludf.DUMMYFUNCTION("""COMPUTED_VALUE"""),19692.0)</f>
        <v>19692</v>
      </c>
    </row>
    <row r="2056">
      <c r="A2056" s="23">
        <f>IFERROR(__xludf.DUMMYFUNCTION("""COMPUTED_VALUE"""),2165.0)</f>
        <v>2165</v>
      </c>
      <c r="B2056" s="23" t="str">
        <f>IFERROR(__xludf.DUMMYFUNCTION("""COMPUTED_VALUE"""),"Plates Between Candles")</f>
        <v>Plates Between Candles</v>
      </c>
      <c r="C2056" s="23" t="str">
        <f>IFERROR(__xludf.DUMMYFUNCTION("""COMPUTED_VALUE"""),"plates-between-candles")</f>
        <v>plates-between-candles</v>
      </c>
      <c r="D2056" s="23" t="b">
        <f>IFERROR(__xludf.DUMMYFUNCTION("""COMPUTED_VALUE"""),FALSE)</f>
        <v>0</v>
      </c>
      <c r="E2056" s="23" t="str">
        <f>IFERROR(__xludf.DUMMYFUNCTION("""COMPUTED_VALUE"""),"Medium")</f>
        <v>Medium</v>
      </c>
      <c r="F2056" s="23">
        <f>IFERROR(__xludf.DUMMYFUNCTION("""COMPUTED_VALUE"""),388.0)</f>
        <v>388</v>
      </c>
      <c r="G2056" s="23">
        <f>IFERROR(__xludf.DUMMYFUNCTION("""COMPUTED_VALUE"""),10.0)</f>
        <v>10</v>
      </c>
      <c r="H2056" s="23" t="str">
        <f>IFERROR(__xludf.DUMMYFUNCTION("""COMPUTED_VALUE"""),"Algorithms")</f>
        <v>Algorithms</v>
      </c>
      <c r="I2056" s="23">
        <f>IFERROR(__xludf.DUMMYFUNCTION("""COMPUTED_VALUE"""),0.456)</f>
        <v>0.456</v>
      </c>
      <c r="J2056" s="23">
        <f>IFERROR(__xludf.DUMMYFUNCTION("""COMPUTED_VALUE"""),2055.0)</f>
        <v>2055</v>
      </c>
      <c r="K2056" s="23" t="b">
        <f>IFERROR(__xludf.DUMMYFUNCTION("""COMPUTED_VALUE"""),FALSE)</f>
        <v>0</v>
      </c>
      <c r="L2056" s="23" t="str">
        <f>IFERROR(__xludf.DUMMYFUNCTION("""COMPUTED_VALUE"""),"Array;String;Binary Search;Prefix Sum;")</f>
        <v>Array;String;Binary Search;Prefix Sum;</v>
      </c>
      <c r="M2056" s="23" t="b">
        <f>IFERROR(__xludf.DUMMYFUNCTION("""COMPUTED_VALUE"""),FALSE)</f>
        <v>0</v>
      </c>
      <c r="N2056" s="23" t="b">
        <f>IFERROR(__xludf.DUMMYFUNCTION("""COMPUTED_VALUE"""),FALSE)</f>
        <v>0</v>
      </c>
      <c r="O2056" s="23">
        <f>IFERROR(__xludf.DUMMYFUNCTION("""COMPUTED_VALUE"""),45.6332442451935)</f>
        <v>45.63324425</v>
      </c>
      <c r="P2056" s="23">
        <f>IFERROR(__xludf.DUMMYFUNCTION("""COMPUTED_VALUE"""),10585.0)</f>
        <v>10585</v>
      </c>
      <c r="Q2056" s="23">
        <f>IFERROR(__xludf.DUMMYFUNCTION("""COMPUTED_VALUE"""),23196.0)</f>
        <v>23196</v>
      </c>
    </row>
    <row r="2057">
      <c r="A2057" s="23">
        <f>IFERROR(__xludf.DUMMYFUNCTION("""COMPUTED_VALUE"""),2166.0)</f>
        <v>2166</v>
      </c>
      <c r="B2057" s="23" t="str">
        <f>IFERROR(__xludf.DUMMYFUNCTION("""COMPUTED_VALUE"""),"Number of Valid Move Combinations On Chessboard")</f>
        <v>Number of Valid Move Combinations On Chessboard</v>
      </c>
      <c r="C2057" s="23" t="str">
        <f>IFERROR(__xludf.DUMMYFUNCTION("""COMPUTED_VALUE"""),"number-of-valid-move-combinations-on-chessboard")</f>
        <v>number-of-valid-move-combinations-on-chessboard</v>
      </c>
      <c r="D2057" s="23" t="b">
        <f>IFERROR(__xludf.DUMMYFUNCTION("""COMPUTED_VALUE"""),FALSE)</f>
        <v>0</v>
      </c>
      <c r="E2057" s="23" t="str">
        <f>IFERROR(__xludf.DUMMYFUNCTION("""COMPUTED_VALUE"""),"Hard")</f>
        <v>Hard</v>
      </c>
      <c r="F2057" s="23">
        <f>IFERROR(__xludf.DUMMYFUNCTION("""COMPUTED_VALUE"""),33.0)</f>
        <v>33</v>
      </c>
      <c r="G2057" s="23">
        <f>IFERROR(__xludf.DUMMYFUNCTION("""COMPUTED_VALUE"""),187.0)</f>
        <v>187</v>
      </c>
      <c r="H2057" s="23" t="str">
        <f>IFERROR(__xludf.DUMMYFUNCTION("""COMPUTED_VALUE"""),"Algorithms")</f>
        <v>Algorithms</v>
      </c>
      <c r="I2057" s="23">
        <f>IFERROR(__xludf.DUMMYFUNCTION("""COMPUTED_VALUE"""),0.585)</f>
        <v>0.585</v>
      </c>
      <c r="J2057" s="23">
        <f>IFERROR(__xludf.DUMMYFUNCTION("""COMPUTED_VALUE"""),2056.0)</f>
        <v>2056</v>
      </c>
      <c r="K2057" s="23" t="b">
        <f>IFERROR(__xludf.DUMMYFUNCTION("""COMPUTED_VALUE"""),FALSE)</f>
        <v>0</v>
      </c>
      <c r="L2057" s="23" t="str">
        <f>IFERROR(__xludf.DUMMYFUNCTION("""COMPUTED_VALUE"""),"Array;String;Backtracking;Simulation;")</f>
        <v>Array;String;Backtracking;Simulation;</v>
      </c>
      <c r="M2057" s="23" t="b">
        <f>IFERROR(__xludf.DUMMYFUNCTION("""COMPUTED_VALUE"""),FALSE)</f>
        <v>0</v>
      </c>
      <c r="N2057" s="23" t="b">
        <f>IFERROR(__xludf.DUMMYFUNCTION("""COMPUTED_VALUE"""),FALSE)</f>
        <v>0</v>
      </c>
      <c r="O2057" s="23">
        <f>IFERROR(__xludf.DUMMYFUNCTION("""COMPUTED_VALUE"""),58.5212741222971)</f>
        <v>58.52127412</v>
      </c>
      <c r="P2057" s="23">
        <f>IFERROR(__xludf.DUMMYFUNCTION("""COMPUTED_VALUE"""),2517.0)</f>
        <v>2517</v>
      </c>
      <c r="Q2057" s="23">
        <f>IFERROR(__xludf.DUMMYFUNCTION("""COMPUTED_VALUE"""),4301.0)</f>
        <v>4301</v>
      </c>
    </row>
    <row r="2058">
      <c r="A2058" s="23">
        <f>IFERROR(__xludf.DUMMYFUNCTION("""COMPUTED_VALUE"""),2181.0)</f>
        <v>2181</v>
      </c>
      <c r="B2058" s="23" t="str">
        <f>IFERROR(__xludf.DUMMYFUNCTION("""COMPUTED_VALUE"""),"Smallest Index With Equal Value")</f>
        <v>Smallest Index With Equal Value</v>
      </c>
      <c r="C2058" s="23" t="str">
        <f>IFERROR(__xludf.DUMMYFUNCTION("""COMPUTED_VALUE"""),"smallest-index-with-equal-value")</f>
        <v>smallest-index-with-equal-value</v>
      </c>
      <c r="D2058" s="23" t="b">
        <f>IFERROR(__xludf.DUMMYFUNCTION("""COMPUTED_VALUE"""),FALSE)</f>
        <v>0</v>
      </c>
      <c r="E2058" s="23" t="str">
        <f>IFERROR(__xludf.DUMMYFUNCTION("""COMPUTED_VALUE"""),"Easy")</f>
        <v>Easy</v>
      </c>
      <c r="F2058" s="23">
        <f>IFERROR(__xludf.DUMMYFUNCTION("""COMPUTED_VALUE"""),150.0)</f>
        <v>150</v>
      </c>
      <c r="G2058" s="23">
        <f>IFERROR(__xludf.DUMMYFUNCTION("""COMPUTED_VALUE"""),67.0)</f>
        <v>67</v>
      </c>
      <c r="H2058" s="23" t="str">
        <f>IFERROR(__xludf.DUMMYFUNCTION("""COMPUTED_VALUE"""),"Algorithms")</f>
        <v>Algorithms</v>
      </c>
      <c r="I2058" s="23">
        <f>IFERROR(__xludf.DUMMYFUNCTION("""COMPUTED_VALUE"""),0.73)</f>
        <v>0.73</v>
      </c>
      <c r="J2058" s="23">
        <f>IFERROR(__xludf.DUMMYFUNCTION("""COMPUTED_VALUE"""),2057.0)</f>
        <v>2057</v>
      </c>
      <c r="K2058" s="23" t="b">
        <f>IFERROR(__xludf.DUMMYFUNCTION("""COMPUTED_VALUE"""),FALSE)</f>
        <v>0</v>
      </c>
      <c r="L2058" s="23" t="str">
        <f>IFERROR(__xludf.DUMMYFUNCTION("""COMPUTED_VALUE"""),"Array;")</f>
        <v>Array;</v>
      </c>
      <c r="M2058" s="23" t="b">
        <f>IFERROR(__xludf.DUMMYFUNCTION("""COMPUTED_VALUE"""),FALSE)</f>
        <v>0</v>
      </c>
      <c r="N2058" s="23" t="b">
        <f>IFERROR(__xludf.DUMMYFUNCTION("""COMPUTED_VALUE"""),FALSE)</f>
        <v>0</v>
      </c>
      <c r="O2058" s="23">
        <f>IFERROR(__xludf.DUMMYFUNCTION("""COMPUTED_VALUE"""),73.0346961057867)</f>
        <v>73.03469611</v>
      </c>
      <c r="P2058" s="23">
        <f>IFERROR(__xludf.DUMMYFUNCTION("""COMPUTED_VALUE"""),24081.0)</f>
        <v>24081</v>
      </c>
      <c r="Q2058" s="23">
        <f>IFERROR(__xludf.DUMMYFUNCTION("""COMPUTED_VALUE"""),32972.0)</f>
        <v>32972</v>
      </c>
    </row>
    <row r="2059">
      <c r="A2059" s="23">
        <f>IFERROR(__xludf.DUMMYFUNCTION("""COMPUTED_VALUE"""),2182.0)</f>
        <v>2182</v>
      </c>
      <c r="B2059" s="23" t="str">
        <f>IFERROR(__xludf.DUMMYFUNCTION("""COMPUTED_VALUE"""),"Find the Minimum and Maximum Number of Nodes Between Critical Points")</f>
        <v>Find the Minimum and Maximum Number of Nodes Between Critical Points</v>
      </c>
      <c r="C2059" s="23" t="str">
        <f>IFERROR(__xludf.DUMMYFUNCTION("""COMPUTED_VALUE"""),"find-the-minimum-and-maximum-number-of-nodes-between-critical-points")</f>
        <v>find-the-minimum-and-maximum-number-of-nodes-between-critical-points</v>
      </c>
      <c r="D2059" s="23" t="b">
        <f>IFERROR(__xludf.DUMMYFUNCTION("""COMPUTED_VALUE"""),FALSE)</f>
        <v>0</v>
      </c>
      <c r="E2059" s="23" t="str">
        <f>IFERROR(__xludf.DUMMYFUNCTION("""COMPUTED_VALUE"""),"Medium")</f>
        <v>Medium</v>
      </c>
      <c r="F2059" s="23">
        <f>IFERROR(__xludf.DUMMYFUNCTION("""COMPUTED_VALUE"""),251.0)</f>
        <v>251</v>
      </c>
      <c r="G2059" s="23">
        <f>IFERROR(__xludf.DUMMYFUNCTION("""COMPUTED_VALUE"""),12.0)</f>
        <v>12</v>
      </c>
      <c r="H2059" s="23" t="str">
        <f>IFERROR(__xludf.DUMMYFUNCTION("""COMPUTED_VALUE"""),"Algorithms")</f>
        <v>Algorithms</v>
      </c>
      <c r="I2059" s="23">
        <f>IFERROR(__xludf.DUMMYFUNCTION("""COMPUTED_VALUE"""),0.577)</f>
        <v>0.577</v>
      </c>
      <c r="J2059" s="23">
        <f>IFERROR(__xludf.DUMMYFUNCTION("""COMPUTED_VALUE"""),2058.0)</f>
        <v>2058</v>
      </c>
      <c r="K2059" s="23" t="b">
        <f>IFERROR(__xludf.DUMMYFUNCTION("""COMPUTED_VALUE"""),FALSE)</f>
        <v>0</v>
      </c>
      <c r="L2059" s="23" t="str">
        <f>IFERROR(__xludf.DUMMYFUNCTION("""COMPUTED_VALUE"""),"Linked List;")</f>
        <v>Linked List;</v>
      </c>
      <c r="M2059" s="23" t="b">
        <f>IFERROR(__xludf.DUMMYFUNCTION("""COMPUTED_VALUE"""),FALSE)</f>
        <v>0</v>
      </c>
      <c r="N2059" s="23" t="b">
        <f>IFERROR(__xludf.DUMMYFUNCTION("""COMPUTED_VALUE"""),FALSE)</f>
        <v>0</v>
      </c>
      <c r="O2059" s="23">
        <f>IFERROR(__xludf.DUMMYFUNCTION("""COMPUTED_VALUE"""),57.7147152790828)</f>
        <v>57.71471528</v>
      </c>
      <c r="P2059" s="23">
        <f>IFERROR(__xludf.DUMMYFUNCTION("""COMPUTED_VALUE"""),15355.0)</f>
        <v>15355</v>
      </c>
      <c r="Q2059" s="23">
        <f>IFERROR(__xludf.DUMMYFUNCTION("""COMPUTED_VALUE"""),26605.0)</f>
        <v>26605</v>
      </c>
    </row>
    <row r="2060">
      <c r="A2060" s="23">
        <f>IFERROR(__xludf.DUMMYFUNCTION("""COMPUTED_VALUE"""),2183.0)</f>
        <v>2183</v>
      </c>
      <c r="B2060" s="23" t="str">
        <f>IFERROR(__xludf.DUMMYFUNCTION("""COMPUTED_VALUE"""),"Minimum Operations to Convert Number")</f>
        <v>Minimum Operations to Convert Number</v>
      </c>
      <c r="C2060" s="23" t="str">
        <f>IFERROR(__xludf.DUMMYFUNCTION("""COMPUTED_VALUE"""),"minimum-operations-to-convert-number")</f>
        <v>minimum-operations-to-convert-number</v>
      </c>
      <c r="D2060" s="23" t="b">
        <f>IFERROR(__xludf.DUMMYFUNCTION("""COMPUTED_VALUE"""),FALSE)</f>
        <v>0</v>
      </c>
      <c r="E2060" s="23" t="str">
        <f>IFERROR(__xludf.DUMMYFUNCTION("""COMPUTED_VALUE"""),"Medium")</f>
        <v>Medium</v>
      </c>
      <c r="F2060" s="23">
        <f>IFERROR(__xludf.DUMMYFUNCTION("""COMPUTED_VALUE"""),350.0)</f>
        <v>350</v>
      </c>
      <c r="G2060" s="23">
        <f>IFERROR(__xludf.DUMMYFUNCTION("""COMPUTED_VALUE"""),19.0)</f>
        <v>19</v>
      </c>
      <c r="H2060" s="23" t="str">
        <f>IFERROR(__xludf.DUMMYFUNCTION("""COMPUTED_VALUE"""),"Algorithms")</f>
        <v>Algorithms</v>
      </c>
      <c r="I2060" s="23">
        <f>IFERROR(__xludf.DUMMYFUNCTION("""COMPUTED_VALUE"""),0.462)</f>
        <v>0.462</v>
      </c>
      <c r="J2060" s="23">
        <f>IFERROR(__xludf.DUMMYFUNCTION("""COMPUTED_VALUE"""),2059.0)</f>
        <v>2059</v>
      </c>
      <c r="K2060" s="23" t="b">
        <f>IFERROR(__xludf.DUMMYFUNCTION("""COMPUTED_VALUE"""),FALSE)</f>
        <v>0</v>
      </c>
      <c r="L2060" s="23" t="str">
        <f>IFERROR(__xludf.DUMMYFUNCTION("""COMPUTED_VALUE"""),"Array;Breadth-First Search;")</f>
        <v>Array;Breadth-First Search;</v>
      </c>
      <c r="M2060" s="23" t="b">
        <f>IFERROR(__xludf.DUMMYFUNCTION("""COMPUTED_VALUE"""),FALSE)</f>
        <v>0</v>
      </c>
      <c r="N2060" s="23" t="b">
        <f>IFERROR(__xludf.DUMMYFUNCTION("""COMPUTED_VALUE"""),FALSE)</f>
        <v>0</v>
      </c>
      <c r="O2060" s="23">
        <f>IFERROR(__xludf.DUMMYFUNCTION("""COMPUTED_VALUE"""),46.1608425083772)</f>
        <v>46.16084251</v>
      </c>
      <c r="P2060" s="23">
        <f>IFERROR(__xludf.DUMMYFUNCTION("""COMPUTED_VALUE"""),9643.0)</f>
        <v>9643</v>
      </c>
      <c r="Q2060" s="23">
        <f>IFERROR(__xludf.DUMMYFUNCTION("""COMPUTED_VALUE"""),20890.0)</f>
        <v>20890</v>
      </c>
    </row>
    <row r="2061">
      <c r="A2061" s="23">
        <f>IFERROR(__xludf.DUMMYFUNCTION("""COMPUTED_VALUE"""),2184.0)</f>
        <v>2184</v>
      </c>
      <c r="B2061" s="23" t="str">
        <f>IFERROR(__xludf.DUMMYFUNCTION("""COMPUTED_VALUE"""),"Check if an Original String Exists Given Two Encoded Strings")</f>
        <v>Check if an Original String Exists Given Two Encoded Strings</v>
      </c>
      <c r="C2061" s="23" t="str">
        <f>IFERROR(__xludf.DUMMYFUNCTION("""COMPUTED_VALUE"""),"check-if-an-original-string-exists-given-two-encoded-strings")</f>
        <v>check-if-an-original-string-exists-given-two-encoded-strings</v>
      </c>
      <c r="D2061" s="23" t="b">
        <f>IFERROR(__xludf.DUMMYFUNCTION("""COMPUTED_VALUE"""),FALSE)</f>
        <v>0</v>
      </c>
      <c r="E2061" s="23" t="str">
        <f>IFERROR(__xludf.DUMMYFUNCTION("""COMPUTED_VALUE"""),"Hard")</f>
        <v>Hard</v>
      </c>
      <c r="F2061" s="23">
        <f>IFERROR(__xludf.DUMMYFUNCTION("""COMPUTED_VALUE"""),152.0)</f>
        <v>152</v>
      </c>
      <c r="G2061" s="23">
        <f>IFERROR(__xludf.DUMMYFUNCTION("""COMPUTED_VALUE"""),88.0)</f>
        <v>88</v>
      </c>
      <c r="H2061" s="23" t="str">
        <f>IFERROR(__xludf.DUMMYFUNCTION("""COMPUTED_VALUE"""),"Algorithms")</f>
        <v>Algorithms</v>
      </c>
      <c r="I2061" s="23">
        <f>IFERROR(__xludf.DUMMYFUNCTION("""COMPUTED_VALUE"""),0.408)</f>
        <v>0.408</v>
      </c>
      <c r="J2061" s="23">
        <f>IFERROR(__xludf.DUMMYFUNCTION("""COMPUTED_VALUE"""),2060.0)</f>
        <v>2060</v>
      </c>
      <c r="K2061" s="23" t="b">
        <f>IFERROR(__xludf.DUMMYFUNCTION("""COMPUTED_VALUE"""),FALSE)</f>
        <v>0</v>
      </c>
      <c r="L2061" s="23" t="str">
        <f>IFERROR(__xludf.DUMMYFUNCTION("""COMPUTED_VALUE"""),"String;Dynamic Programming;")</f>
        <v>String;Dynamic Programming;</v>
      </c>
      <c r="M2061" s="23" t="b">
        <f>IFERROR(__xludf.DUMMYFUNCTION("""COMPUTED_VALUE"""),FALSE)</f>
        <v>0</v>
      </c>
      <c r="N2061" s="23" t="b">
        <f>IFERROR(__xludf.DUMMYFUNCTION("""COMPUTED_VALUE"""),FALSE)</f>
        <v>0</v>
      </c>
      <c r="O2061" s="23">
        <f>IFERROR(__xludf.DUMMYFUNCTION("""COMPUTED_VALUE"""),40.7922168172341)</f>
        <v>40.79221682</v>
      </c>
      <c r="P2061" s="23">
        <f>IFERROR(__xludf.DUMMYFUNCTION("""COMPUTED_VALUE"""),5870.0)</f>
        <v>5870</v>
      </c>
      <c r="Q2061" s="23">
        <f>IFERROR(__xludf.DUMMYFUNCTION("""COMPUTED_VALUE"""),14388.0)</f>
        <v>14388</v>
      </c>
    </row>
    <row r="2062">
      <c r="A2062" s="23">
        <f>IFERROR(__xludf.DUMMYFUNCTION("""COMPUTED_VALUE"""),2203.0)</f>
        <v>2203</v>
      </c>
      <c r="B2062" s="23" t="str">
        <f>IFERROR(__xludf.DUMMYFUNCTION("""COMPUTED_VALUE"""),"Number of Spaces Cleaning Robot Cleaned")</f>
        <v>Number of Spaces Cleaning Robot Cleaned</v>
      </c>
      <c r="C2062" s="23" t="str">
        <f>IFERROR(__xludf.DUMMYFUNCTION("""COMPUTED_VALUE"""),"number-of-spaces-cleaning-robot-cleaned")</f>
        <v>number-of-spaces-cleaning-robot-cleaned</v>
      </c>
      <c r="D2062" s="23" t="b">
        <f>IFERROR(__xludf.DUMMYFUNCTION("""COMPUTED_VALUE"""),TRUE)</f>
        <v>1</v>
      </c>
      <c r="E2062" s="23" t="str">
        <f>IFERROR(__xludf.DUMMYFUNCTION("""COMPUTED_VALUE"""),"Medium")</f>
        <v>Medium</v>
      </c>
      <c r="F2062" s="23">
        <f>IFERROR(__xludf.DUMMYFUNCTION("""COMPUTED_VALUE"""),56.0)</f>
        <v>56</v>
      </c>
      <c r="G2062" s="23">
        <f>IFERROR(__xludf.DUMMYFUNCTION("""COMPUTED_VALUE"""),14.0)</f>
        <v>14</v>
      </c>
      <c r="H2062" s="23" t="str">
        <f>IFERROR(__xludf.DUMMYFUNCTION("""COMPUTED_VALUE"""),"Algorithms")</f>
        <v>Algorithms</v>
      </c>
      <c r="I2062" s="23">
        <f>IFERROR(__xludf.DUMMYFUNCTION("""COMPUTED_VALUE"""),0.539)</f>
        <v>0.539</v>
      </c>
      <c r="J2062" s="23">
        <f>IFERROR(__xludf.DUMMYFUNCTION("""COMPUTED_VALUE"""),2061.0)</f>
        <v>2061</v>
      </c>
      <c r="K2062" s="23" t="b">
        <f>IFERROR(__xludf.DUMMYFUNCTION("""COMPUTED_VALUE"""),TRUE)</f>
        <v>1</v>
      </c>
      <c r="L2062" s="23" t="str">
        <f>IFERROR(__xludf.DUMMYFUNCTION("""COMPUTED_VALUE"""),"Array;Matrix;Simulation;")</f>
        <v>Array;Matrix;Simulation;</v>
      </c>
      <c r="M2062" s="23" t="b">
        <f>IFERROR(__xludf.DUMMYFUNCTION("""COMPUTED_VALUE"""),FALSE)</f>
        <v>0</v>
      </c>
      <c r="N2062" s="23" t="b">
        <f>IFERROR(__xludf.DUMMYFUNCTION("""COMPUTED_VALUE"""),FALSE)</f>
        <v>0</v>
      </c>
      <c r="O2062" s="23">
        <f>IFERROR(__xludf.DUMMYFUNCTION("""COMPUTED_VALUE"""),53.875968992248)</f>
        <v>53.87596899</v>
      </c>
      <c r="P2062" s="23">
        <f>IFERROR(__xludf.DUMMYFUNCTION("""COMPUTED_VALUE"""),2502.0)</f>
        <v>2502</v>
      </c>
      <c r="Q2062" s="23">
        <f>IFERROR(__xludf.DUMMYFUNCTION("""COMPUTED_VALUE"""),4644.0)</f>
        <v>4644</v>
      </c>
    </row>
    <row r="2063">
      <c r="A2063" s="23">
        <f>IFERROR(__xludf.DUMMYFUNCTION("""COMPUTED_VALUE"""),2186.0)</f>
        <v>2186</v>
      </c>
      <c r="B2063" s="23" t="str">
        <f>IFERROR(__xludf.DUMMYFUNCTION("""COMPUTED_VALUE"""),"Count Vowel Substrings of a String")</f>
        <v>Count Vowel Substrings of a String</v>
      </c>
      <c r="C2063" s="23" t="str">
        <f>IFERROR(__xludf.DUMMYFUNCTION("""COMPUTED_VALUE"""),"count-vowel-substrings-of-a-string")</f>
        <v>count-vowel-substrings-of-a-string</v>
      </c>
      <c r="D2063" s="23" t="b">
        <f>IFERROR(__xludf.DUMMYFUNCTION("""COMPUTED_VALUE"""),FALSE)</f>
        <v>0</v>
      </c>
      <c r="E2063" s="23" t="str">
        <f>IFERROR(__xludf.DUMMYFUNCTION("""COMPUTED_VALUE"""),"Easy")</f>
        <v>Easy</v>
      </c>
      <c r="F2063" s="23">
        <f>IFERROR(__xludf.DUMMYFUNCTION("""COMPUTED_VALUE"""),370.0)</f>
        <v>370</v>
      </c>
      <c r="G2063" s="23">
        <f>IFERROR(__xludf.DUMMYFUNCTION("""COMPUTED_VALUE"""),111.0)</f>
        <v>111</v>
      </c>
      <c r="H2063" s="23" t="str">
        <f>IFERROR(__xludf.DUMMYFUNCTION("""COMPUTED_VALUE"""),"Algorithms")</f>
        <v>Algorithms</v>
      </c>
      <c r="I2063" s="23">
        <f>IFERROR(__xludf.DUMMYFUNCTION("""COMPUTED_VALUE"""),0.658)</f>
        <v>0.658</v>
      </c>
      <c r="J2063" s="23">
        <f>IFERROR(__xludf.DUMMYFUNCTION("""COMPUTED_VALUE"""),2062.0)</f>
        <v>2062</v>
      </c>
      <c r="K2063" s="23" t="b">
        <f>IFERROR(__xludf.DUMMYFUNCTION("""COMPUTED_VALUE"""),FALSE)</f>
        <v>0</v>
      </c>
      <c r="L2063" s="23" t="str">
        <f>IFERROR(__xludf.DUMMYFUNCTION("""COMPUTED_VALUE"""),"Hash Table;String;")</f>
        <v>Hash Table;String;</v>
      </c>
      <c r="M2063" s="23" t="b">
        <f>IFERROR(__xludf.DUMMYFUNCTION("""COMPUTED_VALUE"""),FALSE)</f>
        <v>0</v>
      </c>
      <c r="N2063" s="23" t="b">
        <f>IFERROR(__xludf.DUMMYFUNCTION("""COMPUTED_VALUE"""),FALSE)</f>
        <v>0</v>
      </c>
      <c r="O2063" s="23">
        <f>IFERROR(__xludf.DUMMYFUNCTION("""COMPUTED_VALUE"""),65.7748711850971)</f>
        <v>65.77487119</v>
      </c>
      <c r="P2063" s="23">
        <f>IFERROR(__xludf.DUMMYFUNCTION("""COMPUTED_VALUE"""),16595.0)</f>
        <v>16595</v>
      </c>
      <c r="Q2063" s="23">
        <f>IFERROR(__xludf.DUMMYFUNCTION("""COMPUTED_VALUE"""),25230.0)</f>
        <v>25230</v>
      </c>
    </row>
    <row r="2064">
      <c r="A2064" s="23">
        <f>IFERROR(__xludf.DUMMYFUNCTION("""COMPUTED_VALUE"""),2187.0)</f>
        <v>2187</v>
      </c>
      <c r="B2064" s="23" t="str">
        <f>IFERROR(__xludf.DUMMYFUNCTION("""COMPUTED_VALUE"""),"Vowels of All Substrings")</f>
        <v>Vowels of All Substrings</v>
      </c>
      <c r="C2064" s="23" t="str">
        <f>IFERROR(__xludf.DUMMYFUNCTION("""COMPUTED_VALUE"""),"vowels-of-all-substrings")</f>
        <v>vowels-of-all-substrings</v>
      </c>
      <c r="D2064" s="23" t="b">
        <f>IFERROR(__xludf.DUMMYFUNCTION("""COMPUTED_VALUE"""),FALSE)</f>
        <v>0</v>
      </c>
      <c r="E2064" s="23" t="str">
        <f>IFERROR(__xludf.DUMMYFUNCTION("""COMPUTED_VALUE"""),"Medium")</f>
        <v>Medium</v>
      </c>
      <c r="F2064" s="23">
        <f>IFERROR(__xludf.DUMMYFUNCTION("""COMPUTED_VALUE"""),357.0)</f>
        <v>357</v>
      </c>
      <c r="G2064" s="23">
        <f>IFERROR(__xludf.DUMMYFUNCTION("""COMPUTED_VALUE"""),14.0)</f>
        <v>14</v>
      </c>
      <c r="H2064" s="23" t="str">
        <f>IFERROR(__xludf.DUMMYFUNCTION("""COMPUTED_VALUE"""),"Algorithms")</f>
        <v>Algorithms</v>
      </c>
      <c r="I2064" s="23">
        <f>IFERROR(__xludf.DUMMYFUNCTION("""COMPUTED_VALUE"""),0.541)</f>
        <v>0.541</v>
      </c>
      <c r="J2064" s="23">
        <f>IFERROR(__xludf.DUMMYFUNCTION("""COMPUTED_VALUE"""),2063.0)</f>
        <v>2063</v>
      </c>
      <c r="K2064" s="23" t="b">
        <f>IFERROR(__xludf.DUMMYFUNCTION("""COMPUTED_VALUE"""),FALSE)</f>
        <v>0</v>
      </c>
      <c r="L2064" s="23" t="str">
        <f>IFERROR(__xludf.DUMMYFUNCTION("""COMPUTED_VALUE"""),"Math;String;Dynamic Programming;Combinatorics;")</f>
        <v>Math;String;Dynamic Programming;Combinatorics;</v>
      </c>
      <c r="M2064" s="23" t="b">
        <f>IFERROR(__xludf.DUMMYFUNCTION("""COMPUTED_VALUE"""),FALSE)</f>
        <v>0</v>
      </c>
      <c r="N2064" s="23" t="b">
        <f>IFERROR(__xludf.DUMMYFUNCTION("""COMPUTED_VALUE"""),FALSE)</f>
        <v>0</v>
      </c>
      <c r="O2064" s="23">
        <f>IFERROR(__xludf.DUMMYFUNCTION("""COMPUTED_VALUE"""),54.0788718537345)</f>
        <v>54.07887185</v>
      </c>
      <c r="P2064" s="23">
        <f>IFERROR(__xludf.DUMMYFUNCTION("""COMPUTED_VALUE"""),13192.0)</f>
        <v>13192</v>
      </c>
      <c r="Q2064" s="23">
        <f>IFERROR(__xludf.DUMMYFUNCTION("""COMPUTED_VALUE"""),24394.0)</f>
        <v>24394</v>
      </c>
    </row>
    <row r="2065">
      <c r="A2065" s="23">
        <f>IFERROR(__xludf.DUMMYFUNCTION("""COMPUTED_VALUE"""),2188.0)</f>
        <v>2188</v>
      </c>
      <c r="B2065" s="23" t="str">
        <f>IFERROR(__xludf.DUMMYFUNCTION("""COMPUTED_VALUE"""),"Minimized Maximum of Products Distributed to Any Store")</f>
        <v>Minimized Maximum of Products Distributed to Any Store</v>
      </c>
      <c r="C2065" s="23" t="str">
        <f>IFERROR(__xludf.DUMMYFUNCTION("""COMPUTED_VALUE"""),"minimized-maximum-of-products-distributed-to-any-store")</f>
        <v>minimized-maximum-of-products-distributed-to-any-store</v>
      </c>
      <c r="D2065" s="23" t="b">
        <f>IFERROR(__xludf.DUMMYFUNCTION("""COMPUTED_VALUE"""),FALSE)</f>
        <v>0</v>
      </c>
      <c r="E2065" s="23" t="str">
        <f>IFERROR(__xludf.DUMMYFUNCTION("""COMPUTED_VALUE"""),"Medium")</f>
        <v>Medium</v>
      </c>
      <c r="F2065" s="23">
        <f>IFERROR(__xludf.DUMMYFUNCTION("""COMPUTED_VALUE"""),412.0)</f>
        <v>412</v>
      </c>
      <c r="G2065" s="23">
        <f>IFERROR(__xludf.DUMMYFUNCTION("""COMPUTED_VALUE"""),16.0)</f>
        <v>16</v>
      </c>
      <c r="H2065" s="23" t="str">
        <f>IFERROR(__xludf.DUMMYFUNCTION("""COMPUTED_VALUE"""),"Algorithms")</f>
        <v>Algorithms</v>
      </c>
      <c r="I2065" s="23">
        <f>IFERROR(__xludf.DUMMYFUNCTION("""COMPUTED_VALUE"""),0.49)</f>
        <v>0.49</v>
      </c>
      <c r="J2065" s="23">
        <f>IFERROR(__xludf.DUMMYFUNCTION("""COMPUTED_VALUE"""),2064.0)</f>
        <v>2064</v>
      </c>
      <c r="K2065" s="23" t="b">
        <f>IFERROR(__xludf.DUMMYFUNCTION("""COMPUTED_VALUE"""),FALSE)</f>
        <v>0</v>
      </c>
      <c r="L2065" s="23" t="str">
        <f>IFERROR(__xludf.DUMMYFUNCTION("""COMPUTED_VALUE"""),"Array;Binary Search;")</f>
        <v>Array;Binary Search;</v>
      </c>
      <c r="M2065" s="23" t="b">
        <f>IFERROR(__xludf.DUMMYFUNCTION("""COMPUTED_VALUE"""),FALSE)</f>
        <v>0</v>
      </c>
      <c r="N2065" s="23" t="b">
        <f>IFERROR(__xludf.DUMMYFUNCTION("""COMPUTED_VALUE"""),FALSE)</f>
        <v>0</v>
      </c>
      <c r="O2065" s="23">
        <f>IFERROR(__xludf.DUMMYFUNCTION("""COMPUTED_VALUE"""),48.95061472865)</f>
        <v>48.95061473</v>
      </c>
      <c r="P2065" s="23">
        <f>IFERROR(__xludf.DUMMYFUNCTION("""COMPUTED_VALUE"""),11825.0)</f>
        <v>11825</v>
      </c>
      <c r="Q2065" s="23">
        <f>IFERROR(__xludf.DUMMYFUNCTION("""COMPUTED_VALUE"""),24157.0)</f>
        <v>24157</v>
      </c>
    </row>
    <row r="2066">
      <c r="A2066" s="23">
        <f>IFERROR(__xludf.DUMMYFUNCTION("""COMPUTED_VALUE"""),2189.0)</f>
        <v>2189</v>
      </c>
      <c r="B2066" s="23" t="str">
        <f>IFERROR(__xludf.DUMMYFUNCTION("""COMPUTED_VALUE"""),"Maximum Path Quality of a Graph")</f>
        <v>Maximum Path Quality of a Graph</v>
      </c>
      <c r="C2066" s="23" t="str">
        <f>IFERROR(__xludf.DUMMYFUNCTION("""COMPUTED_VALUE"""),"maximum-path-quality-of-a-graph")</f>
        <v>maximum-path-quality-of-a-graph</v>
      </c>
      <c r="D2066" s="23" t="b">
        <f>IFERROR(__xludf.DUMMYFUNCTION("""COMPUTED_VALUE"""),FALSE)</f>
        <v>0</v>
      </c>
      <c r="E2066" s="23" t="str">
        <f>IFERROR(__xludf.DUMMYFUNCTION("""COMPUTED_VALUE"""),"Hard")</f>
        <v>Hard</v>
      </c>
      <c r="F2066" s="23">
        <f>IFERROR(__xludf.DUMMYFUNCTION("""COMPUTED_VALUE"""),264.0)</f>
        <v>264</v>
      </c>
      <c r="G2066" s="23">
        <f>IFERROR(__xludf.DUMMYFUNCTION("""COMPUTED_VALUE"""),27.0)</f>
        <v>27</v>
      </c>
      <c r="H2066" s="23" t="str">
        <f>IFERROR(__xludf.DUMMYFUNCTION("""COMPUTED_VALUE"""),"Algorithms")</f>
        <v>Algorithms</v>
      </c>
      <c r="I2066" s="23">
        <f>IFERROR(__xludf.DUMMYFUNCTION("""COMPUTED_VALUE"""),0.577)</f>
        <v>0.577</v>
      </c>
      <c r="J2066" s="23">
        <f>IFERROR(__xludf.DUMMYFUNCTION("""COMPUTED_VALUE"""),2065.0)</f>
        <v>2065</v>
      </c>
      <c r="K2066" s="23" t="b">
        <f>IFERROR(__xludf.DUMMYFUNCTION("""COMPUTED_VALUE"""),FALSE)</f>
        <v>0</v>
      </c>
      <c r="L2066" s="23" t="str">
        <f>IFERROR(__xludf.DUMMYFUNCTION("""COMPUTED_VALUE"""),"Array;Backtracking;Graph;")</f>
        <v>Array;Backtracking;Graph;</v>
      </c>
      <c r="M2066" s="23" t="b">
        <f>IFERROR(__xludf.DUMMYFUNCTION("""COMPUTED_VALUE"""),FALSE)</f>
        <v>0</v>
      </c>
      <c r="N2066" s="23" t="b">
        <f>IFERROR(__xludf.DUMMYFUNCTION("""COMPUTED_VALUE"""),FALSE)</f>
        <v>0</v>
      </c>
      <c r="O2066" s="23">
        <f>IFERROR(__xludf.DUMMYFUNCTION("""COMPUTED_VALUE"""),57.7023678414096)</f>
        <v>57.70236784</v>
      </c>
      <c r="P2066" s="23">
        <f>IFERROR(__xludf.DUMMYFUNCTION("""COMPUTED_VALUE"""),8383.0)</f>
        <v>8383</v>
      </c>
      <c r="Q2066" s="23">
        <f>IFERROR(__xludf.DUMMYFUNCTION("""COMPUTED_VALUE"""),14528.0)</f>
        <v>14528</v>
      </c>
    </row>
    <row r="2067">
      <c r="A2067" s="23">
        <f>IFERROR(__xludf.DUMMYFUNCTION("""COMPUTED_VALUE"""),2208.0)</f>
        <v>2208</v>
      </c>
      <c r="B2067" s="23" t="str">
        <f>IFERROR(__xludf.DUMMYFUNCTION("""COMPUTED_VALUE"""),"Account Balance")</f>
        <v>Account Balance</v>
      </c>
      <c r="C2067" s="23" t="str">
        <f>IFERROR(__xludf.DUMMYFUNCTION("""COMPUTED_VALUE"""),"account-balance")</f>
        <v>account-balance</v>
      </c>
      <c r="D2067" s="23" t="b">
        <f>IFERROR(__xludf.DUMMYFUNCTION("""COMPUTED_VALUE"""),TRUE)</f>
        <v>1</v>
      </c>
      <c r="E2067" s="23" t="str">
        <f>IFERROR(__xludf.DUMMYFUNCTION("""COMPUTED_VALUE"""),"Medium")</f>
        <v>Medium</v>
      </c>
      <c r="F2067" s="23">
        <f>IFERROR(__xludf.DUMMYFUNCTION("""COMPUTED_VALUE"""),30.0)</f>
        <v>30</v>
      </c>
      <c r="G2067" s="23">
        <f>IFERROR(__xludf.DUMMYFUNCTION("""COMPUTED_VALUE"""),1.0)</f>
        <v>1</v>
      </c>
      <c r="H2067" s="23" t="str">
        <f>IFERROR(__xludf.DUMMYFUNCTION("""COMPUTED_VALUE"""),"Database")</f>
        <v>Database</v>
      </c>
      <c r="I2067" s="23">
        <f>IFERROR(__xludf.DUMMYFUNCTION("""COMPUTED_VALUE"""),0.855)</f>
        <v>0.855</v>
      </c>
      <c r="J2067" s="23">
        <f>IFERROR(__xludf.DUMMYFUNCTION("""COMPUTED_VALUE"""),2066.0)</f>
        <v>2066</v>
      </c>
      <c r="K2067" s="23" t="b">
        <f>IFERROR(__xludf.DUMMYFUNCTION("""COMPUTED_VALUE"""),TRUE)</f>
        <v>1</v>
      </c>
      <c r="L2067" s="23" t="str">
        <f>IFERROR(__xludf.DUMMYFUNCTION("""COMPUTED_VALUE"""),"Database;")</f>
        <v>Database;</v>
      </c>
      <c r="M2067" s="23" t="b">
        <f>IFERROR(__xludf.DUMMYFUNCTION("""COMPUTED_VALUE"""),FALSE)</f>
        <v>0</v>
      </c>
      <c r="N2067" s="23" t="b">
        <f>IFERROR(__xludf.DUMMYFUNCTION("""COMPUTED_VALUE"""),FALSE)</f>
        <v>0</v>
      </c>
      <c r="O2067" s="23">
        <f>IFERROR(__xludf.DUMMYFUNCTION("""COMPUTED_VALUE"""),85.5002675227394)</f>
        <v>85.50026752</v>
      </c>
      <c r="P2067" s="23">
        <f>IFERROR(__xludf.DUMMYFUNCTION("""COMPUTED_VALUE"""),3196.0)</f>
        <v>3196</v>
      </c>
      <c r="Q2067" s="23">
        <f>IFERROR(__xludf.DUMMYFUNCTION("""COMPUTED_VALUE"""),3738.0)</f>
        <v>3738</v>
      </c>
    </row>
    <row r="2068">
      <c r="A2068" s="23">
        <f>IFERROR(__xludf.DUMMYFUNCTION("""COMPUTED_VALUE"""),2209.0)</f>
        <v>2209</v>
      </c>
      <c r="B2068" s="23" t="str">
        <f>IFERROR(__xludf.DUMMYFUNCTION("""COMPUTED_VALUE"""),"Number of Equal Count Substrings")</f>
        <v>Number of Equal Count Substrings</v>
      </c>
      <c r="C2068" s="23" t="str">
        <f>IFERROR(__xludf.DUMMYFUNCTION("""COMPUTED_VALUE"""),"number-of-equal-count-substrings")</f>
        <v>number-of-equal-count-substrings</v>
      </c>
      <c r="D2068" s="23" t="b">
        <f>IFERROR(__xludf.DUMMYFUNCTION("""COMPUTED_VALUE"""),TRUE)</f>
        <v>1</v>
      </c>
      <c r="E2068" s="23" t="str">
        <f>IFERROR(__xludf.DUMMYFUNCTION("""COMPUTED_VALUE"""),"Medium")</f>
        <v>Medium</v>
      </c>
      <c r="F2068" s="23">
        <f>IFERROR(__xludf.DUMMYFUNCTION("""COMPUTED_VALUE"""),52.0)</f>
        <v>52</v>
      </c>
      <c r="G2068" s="23">
        <f>IFERROR(__xludf.DUMMYFUNCTION("""COMPUTED_VALUE"""),4.0)</f>
        <v>4</v>
      </c>
      <c r="H2068" s="23" t="str">
        <f>IFERROR(__xludf.DUMMYFUNCTION("""COMPUTED_VALUE"""),"Algorithms")</f>
        <v>Algorithms</v>
      </c>
      <c r="I2068" s="23">
        <f>IFERROR(__xludf.DUMMYFUNCTION("""COMPUTED_VALUE"""),0.504)</f>
        <v>0.504</v>
      </c>
      <c r="J2068" s="23">
        <f>IFERROR(__xludf.DUMMYFUNCTION("""COMPUTED_VALUE"""),2067.0)</f>
        <v>2067</v>
      </c>
      <c r="K2068" s="23" t="b">
        <f>IFERROR(__xludf.DUMMYFUNCTION("""COMPUTED_VALUE"""),TRUE)</f>
        <v>1</v>
      </c>
      <c r="L2068" s="23" t="str">
        <f>IFERROR(__xludf.DUMMYFUNCTION("""COMPUTED_VALUE"""),"String;Counting;Prefix Sum;")</f>
        <v>String;Counting;Prefix Sum;</v>
      </c>
      <c r="M2068" s="23" t="b">
        <f>IFERROR(__xludf.DUMMYFUNCTION("""COMPUTED_VALUE"""),FALSE)</f>
        <v>0</v>
      </c>
      <c r="N2068" s="23" t="b">
        <f>IFERROR(__xludf.DUMMYFUNCTION("""COMPUTED_VALUE"""),FALSE)</f>
        <v>0</v>
      </c>
      <c r="O2068" s="23">
        <f>IFERROR(__xludf.DUMMYFUNCTION("""COMPUTED_VALUE"""),50.3600576092174)</f>
        <v>50.36005761</v>
      </c>
      <c r="P2068" s="23">
        <f>IFERROR(__xludf.DUMMYFUNCTION("""COMPUTED_VALUE"""),1049.0)</f>
        <v>1049</v>
      </c>
      <c r="Q2068" s="23">
        <f>IFERROR(__xludf.DUMMYFUNCTION("""COMPUTED_VALUE"""),2083.0)</f>
        <v>2083</v>
      </c>
    </row>
    <row r="2069">
      <c r="A2069" s="23">
        <f>IFERROR(__xludf.DUMMYFUNCTION("""COMPUTED_VALUE"""),2177.0)</f>
        <v>2177</v>
      </c>
      <c r="B2069" s="23" t="str">
        <f>IFERROR(__xludf.DUMMYFUNCTION("""COMPUTED_VALUE"""),"Check Whether Two Strings are Almost Equivalent")</f>
        <v>Check Whether Two Strings are Almost Equivalent</v>
      </c>
      <c r="C2069" s="23" t="str">
        <f>IFERROR(__xludf.DUMMYFUNCTION("""COMPUTED_VALUE"""),"check-whether-two-strings-are-almost-equivalent")</f>
        <v>check-whether-two-strings-are-almost-equivalent</v>
      </c>
      <c r="D2069" s="23" t="b">
        <f>IFERROR(__xludf.DUMMYFUNCTION("""COMPUTED_VALUE"""),FALSE)</f>
        <v>0</v>
      </c>
      <c r="E2069" s="23" t="str">
        <f>IFERROR(__xludf.DUMMYFUNCTION("""COMPUTED_VALUE"""),"Easy")</f>
        <v>Easy</v>
      </c>
      <c r="F2069" s="23">
        <f>IFERROR(__xludf.DUMMYFUNCTION("""COMPUTED_VALUE"""),198.0)</f>
        <v>198</v>
      </c>
      <c r="G2069" s="23">
        <f>IFERROR(__xludf.DUMMYFUNCTION("""COMPUTED_VALUE"""),6.0)</f>
        <v>6</v>
      </c>
      <c r="H2069" s="23" t="str">
        <f>IFERROR(__xludf.DUMMYFUNCTION("""COMPUTED_VALUE"""),"Algorithms")</f>
        <v>Algorithms</v>
      </c>
      <c r="I2069" s="23">
        <f>IFERROR(__xludf.DUMMYFUNCTION("""COMPUTED_VALUE"""),0.663)</f>
        <v>0.663</v>
      </c>
      <c r="J2069" s="23">
        <f>IFERROR(__xludf.DUMMYFUNCTION("""COMPUTED_VALUE"""),2068.0)</f>
        <v>2068</v>
      </c>
      <c r="K2069" s="23" t="b">
        <f>IFERROR(__xludf.DUMMYFUNCTION("""COMPUTED_VALUE"""),FALSE)</f>
        <v>0</v>
      </c>
      <c r="L2069" s="23" t="str">
        <f>IFERROR(__xludf.DUMMYFUNCTION("""COMPUTED_VALUE"""),"Hash Table;String;Counting;")</f>
        <v>Hash Table;String;Counting;</v>
      </c>
      <c r="M2069" s="23" t="b">
        <f>IFERROR(__xludf.DUMMYFUNCTION("""COMPUTED_VALUE"""),FALSE)</f>
        <v>0</v>
      </c>
      <c r="N2069" s="23" t="b">
        <f>IFERROR(__xludf.DUMMYFUNCTION("""COMPUTED_VALUE"""),FALSE)</f>
        <v>0</v>
      </c>
      <c r="O2069" s="23">
        <f>IFERROR(__xludf.DUMMYFUNCTION("""COMPUTED_VALUE"""),66.2732137236386)</f>
        <v>66.27321372</v>
      </c>
      <c r="P2069" s="23">
        <f>IFERROR(__xludf.DUMMYFUNCTION("""COMPUTED_VALUE"""),16844.0)</f>
        <v>16844</v>
      </c>
      <c r="Q2069" s="23">
        <f>IFERROR(__xludf.DUMMYFUNCTION("""COMPUTED_VALUE"""),25416.0)</f>
        <v>25416</v>
      </c>
    </row>
    <row r="2070">
      <c r="A2070" s="23">
        <f>IFERROR(__xludf.DUMMYFUNCTION("""COMPUTED_VALUE"""),2178.0)</f>
        <v>2178</v>
      </c>
      <c r="B2070" s="23" t="str">
        <f>IFERROR(__xludf.DUMMYFUNCTION("""COMPUTED_VALUE"""),"Walking Robot Simulation II")</f>
        <v>Walking Robot Simulation II</v>
      </c>
      <c r="C2070" s="23" t="str">
        <f>IFERROR(__xludf.DUMMYFUNCTION("""COMPUTED_VALUE"""),"walking-robot-simulation-ii")</f>
        <v>walking-robot-simulation-ii</v>
      </c>
      <c r="D2070" s="23" t="b">
        <f>IFERROR(__xludf.DUMMYFUNCTION("""COMPUTED_VALUE"""),FALSE)</f>
        <v>0</v>
      </c>
      <c r="E2070" s="23" t="str">
        <f>IFERROR(__xludf.DUMMYFUNCTION("""COMPUTED_VALUE"""),"Medium")</f>
        <v>Medium</v>
      </c>
      <c r="F2070" s="23">
        <f>IFERROR(__xludf.DUMMYFUNCTION("""COMPUTED_VALUE"""),109.0)</f>
        <v>109</v>
      </c>
      <c r="G2070" s="23">
        <f>IFERROR(__xludf.DUMMYFUNCTION("""COMPUTED_VALUE"""),235.0)</f>
        <v>235</v>
      </c>
      <c r="H2070" s="23" t="str">
        <f>IFERROR(__xludf.DUMMYFUNCTION("""COMPUTED_VALUE"""),"Algorithms")</f>
        <v>Algorithms</v>
      </c>
      <c r="I2070" s="23">
        <f>IFERROR(__xludf.DUMMYFUNCTION("""COMPUTED_VALUE"""),0.216)</f>
        <v>0.216</v>
      </c>
      <c r="J2070" s="23">
        <f>IFERROR(__xludf.DUMMYFUNCTION("""COMPUTED_VALUE"""),2069.0)</f>
        <v>2069</v>
      </c>
      <c r="K2070" s="23" t="b">
        <f>IFERROR(__xludf.DUMMYFUNCTION("""COMPUTED_VALUE"""),FALSE)</f>
        <v>0</v>
      </c>
      <c r="L2070" s="23" t="str">
        <f>IFERROR(__xludf.DUMMYFUNCTION("""COMPUTED_VALUE"""),"Design;Simulation;")</f>
        <v>Design;Simulation;</v>
      </c>
      <c r="M2070" s="23" t="b">
        <f>IFERROR(__xludf.DUMMYFUNCTION("""COMPUTED_VALUE"""),FALSE)</f>
        <v>0</v>
      </c>
      <c r="N2070" s="23" t="b">
        <f>IFERROR(__xludf.DUMMYFUNCTION("""COMPUTED_VALUE"""),FALSE)</f>
        <v>0</v>
      </c>
      <c r="O2070" s="23">
        <f>IFERROR(__xludf.DUMMYFUNCTION("""COMPUTED_VALUE"""),21.6289454600969)</f>
        <v>21.62894546</v>
      </c>
      <c r="P2070" s="23">
        <f>IFERROR(__xludf.DUMMYFUNCTION("""COMPUTED_VALUE"""),5667.0)</f>
        <v>5667</v>
      </c>
      <c r="Q2070" s="23">
        <f>IFERROR(__xludf.DUMMYFUNCTION("""COMPUTED_VALUE"""),26201.0)</f>
        <v>26201</v>
      </c>
    </row>
    <row r="2071">
      <c r="A2071" s="23">
        <f>IFERROR(__xludf.DUMMYFUNCTION("""COMPUTED_VALUE"""),2179.0)</f>
        <v>2179</v>
      </c>
      <c r="B2071" s="23" t="str">
        <f>IFERROR(__xludf.DUMMYFUNCTION("""COMPUTED_VALUE"""),"Most Beautiful Item for Each Query")</f>
        <v>Most Beautiful Item for Each Query</v>
      </c>
      <c r="C2071" s="23" t="str">
        <f>IFERROR(__xludf.DUMMYFUNCTION("""COMPUTED_VALUE"""),"most-beautiful-item-for-each-query")</f>
        <v>most-beautiful-item-for-each-query</v>
      </c>
      <c r="D2071" s="23" t="b">
        <f>IFERROR(__xludf.DUMMYFUNCTION("""COMPUTED_VALUE"""),FALSE)</f>
        <v>0</v>
      </c>
      <c r="E2071" s="23" t="str">
        <f>IFERROR(__xludf.DUMMYFUNCTION("""COMPUTED_VALUE"""),"Medium")</f>
        <v>Medium</v>
      </c>
      <c r="F2071" s="23">
        <f>IFERROR(__xludf.DUMMYFUNCTION("""COMPUTED_VALUE"""),298.0)</f>
        <v>298</v>
      </c>
      <c r="G2071" s="23">
        <f>IFERROR(__xludf.DUMMYFUNCTION("""COMPUTED_VALUE"""),8.0)</f>
        <v>8</v>
      </c>
      <c r="H2071" s="23" t="str">
        <f>IFERROR(__xludf.DUMMYFUNCTION("""COMPUTED_VALUE"""),"Algorithms")</f>
        <v>Algorithms</v>
      </c>
      <c r="I2071" s="23">
        <f>IFERROR(__xludf.DUMMYFUNCTION("""COMPUTED_VALUE"""),0.484)</f>
        <v>0.484</v>
      </c>
      <c r="J2071" s="23">
        <f>IFERROR(__xludf.DUMMYFUNCTION("""COMPUTED_VALUE"""),2070.0)</f>
        <v>2070</v>
      </c>
      <c r="K2071" s="23" t="b">
        <f>IFERROR(__xludf.DUMMYFUNCTION("""COMPUTED_VALUE"""),FALSE)</f>
        <v>0</v>
      </c>
      <c r="L2071" s="23" t="str">
        <f>IFERROR(__xludf.DUMMYFUNCTION("""COMPUTED_VALUE"""),"Array;Binary Search;Sorting;")</f>
        <v>Array;Binary Search;Sorting;</v>
      </c>
      <c r="M2071" s="23" t="b">
        <f>IFERROR(__xludf.DUMMYFUNCTION("""COMPUTED_VALUE"""),FALSE)</f>
        <v>0</v>
      </c>
      <c r="N2071" s="23" t="b">
        <f>IFERROR(__xludf.DUMMYFUNCTION("""COMPUTED_VALUE"""),FALSE)</f>
        <v>0</v>
      </c>
      <c r="O2071" s="23">
        <f>IFERROR(__xludf.DUMMYFUNCTION("""COMPUTED_VALUE"""),48.430732720261)</f>
        <v>48.43073272</v>
      </c>
      <c r="P2071" s="23">
        <f>IFERROR(__xludf.DUMMYFUNCTION("""COMPUTED_VALUE"""),8163.0)</f>
        <v>8163</v>
      </c>
      <c r="Q2071" s="23">
        <f>IFERROR(__xludf.DUMMYFUNCTION("""COMPUTED_VALUE"""),16855.0)</f>
        <v>16855</v>
      </c>
    </row>
    <row r="2072">
      <c r="A2072" s="23">
        <f>IFERROR(__xludf.DUMMYFUNCTION("""COMPUTED_VALUE"""),2180.0)</f>
        <v>2180</v>
      </c>
      <c r="B2072" s="23" t="str">
        <f>IFERROR(__xludf.DUMMYFUNCTION("""COMPUTED_VALUE"""),"Maximum Number of Tasks You Can Assign")</f>
        <v>Maximum Number of Tasks You Can Assign</v>
      </c>
      <c r="C2072" s="23" t="str">
        <f>IFERROR(__xludf.DUMMYFUNCTION("""COMPUTED_VALUE"""),"maximum-number-of-tasks-you-can-assign")</f>
        <v>maximum-number-of-tasks-you-can-assign</v>
      </c>
      <c r="D2072" s="23" t="b">
        <f>IFERROR(__xludf.DUMMYFUNCTION("""COMPUTED_VALUE"""),FALSE)</f>
        <v>0</v>
      </c>
      <c r="E2072" s="23" t="str">
        <f>IFERROR(__xludf.DUMMYFUNCTION("""COMPUTED_VALUE"""),"Hard")</f>
        <v>Hard</v>
      </c>
      <c r="F2072" s="23">
        <f>IFERROR(__xludf.DUMMYFUNCTION("""COMPUTED_VALUE"""),239.0)</f>
        <v>239</v>
      </c>
      <c r="G2072" s="23">
        <f>IFERROR(__xludf.DUMMYFUNCTION("""COMPUTED_VALUE"""),12.0)</f>
        <v>12</v>
      </c>
      <c r="H2072" s="23" t="str">
        <f>IFERROR(__xludf.DUMMYFUNCTION("""COMPUTED_VALUE"""),"Algorithms")</f>
        <v>Algorithms</v>
      </c>
      <c r="I2072" s="23">
        <f>IFERROR(__xludf.DUMMYFUNCTION("""COMPUTED_VALUE"""),0.368)</f>
        <v>0.368</v>
      </c>
      <c r="J2072" s="23">
        <f>IFERROR(__xludf.DUMMYFUNCTION("""COMPUTED_VALUE"""),2071.0)</f>
        <v>2071</v>
      </c>
      <c r="K2072" s="23" t="b">
        <f>IFERROR(__xludf.DUMMYFUNCTION("""COMPUTED_VALUE"""),FALSE)</f>
        <v>0</v>
      </c>
      <c r="L2072" s="23" t="str">
        <f>IFERROR(__xludf.DUMMYFUNCTION("""COMPUTED_VALUE"""),"Array;Binary Search;Greedy;Queue;Sorting;Monotonic Queue;")</f>
        <v>Array;Binary Search;Greedy;Queue;Sorting;Monotonic Queue;</v>
      </c>
      <c r="M2072" s="23" t="b">
        <f>IFERROR(__xludf.DUMMYFUNCTION("""COMPUTED_VALUE"""),FALSE)</f>
        <v>0</v>
      </c>
      <c r="N2072" s="23" t="b">
        <f>IFERROR(__xludf.DUMMYFUNCTION("""COMPUTED_VALUE"""),FALSE)</f>
        <v>0</v>
      </c>
      <c r="O2072" s="23">
        <f>IFERROR(__xludf.DUMMYFUNCTION("""COMPUTED_VALUE"""),36.7636786961583)</f>
        <v>36.7636787</v>
      </c>
      <c r="P2072" s="23">
        <f>IFERROR(__xludf.DUMMYFUNCTION("""COMPUTED_VALUE"""),4737.0)</f>
        <v>4737</v>
      </c>
      <c r="Q2072" s="23">
        <f>IFERROR(__xludf.DUMMYFUNCTION("""COMPUTED_VALUE"""),12882.0)</f>
        <v>12882</v>
      </c>
    </row>
    <row r="2073">
      <c r="A2073" s="23">
        <f>IFERROR(__xludf.DUMMYFUNCTION("""COMPUTED_VALUE"""),2214.0)</f>
        <v>2214</v>
      </c>
      <c r="B2073" s="23" t="str">
        <f>IFERROR(__xludf.DUMMYFUNCTION("""COMPUTED_VALUE"""),"The Winner University")</f>
        <v>The Winner University</v>
      </c>
      <c r="C2073" s="23" t="str">
        <f>IFERROR(__xludf.DUMMYFUNCTION("""COMPUTED_VALUE"""),"the-winner-university")</f>
        <v>the-winner-university</v>
      </c>
      <c r="D2073" s="23" t="b">
        <f>IFERROR(__xludf.DUMMYFUNCTION("""COMPUTED_VALUE"""),TRUE)</f>
        <v>1</v>
      </c>
      <c r="E2073" s="23" t="str">
        <f>IFERROR(__xludf.DUMMYFUNCTION("""COMPUTED_VALUE"""),"Easy")</f>
        <v>Easy</v>
      </c>
      <c r="F2073" s="23">
        <f>IFERROR(__xludf.DUMMYFUNCTION("""COMPUTED_VALUE"""),29.0)</f>
        <v>29</v>
      </c>
      <c r="G2073" s="23">
        <f>IFERROR(__xludf.DUMMYFUNCTION("""COMPUTED_VALUE"""),2.0)</f>
        <v>2</v>
      </c>
      <c r="H2073" s="23" t="str">
        <f>IFERROR(__xludf.DUMMYFUNCTION("""COMPUTED_VALUE"""),"Database")</f>
        <v>Database</v>
      </c>
      <c r="I2073" s="23">
        <f>IFERROR(__xludf.DUMMYFUNCTION("""COMPUTED_VALUE"""),0.735)</f>
        <v>0.735</v>
      </c>
      <c r="J2073" s="23">
        <f>IFERROR(__xludf.DUMMYFUNCTION("""COMPUTED_VALUE"""),2072.0)</f>
        <v>2072</v>
      </c>
      <c r="K2073" s="23" t="b">
        <f>IFERROR(__xludf.DUMMYFUNCTION("""COMPUTED_VALUE"""),TRUE)</f>
        <v>1</v>
      </c>
      <c r="L2073" s="23" t="str">
        <f>IFERROR(__xludf.DUMMYFUNCTION("""COMPUTED_VALUE"""),"Database;")</f>
        <v>Database;</v>
      </c>
      <c r="M2073" s="23" t="b">
        <f>IFERROR(__xludf.DUMMYFUNCTION("""COMPUTED_VALUE"""),FALSE)</f>
        <v>0</v>
      </c>
      <c r="N2073" s="23" t="b">
        <f>IFERROR(__xludf.DUMMYFUNCTION("""COMPUTED_VALUE"""),FALSE)</f>
        <v>0</v>
      </c>
      <c r="O2073" s="23">
        <f>IFERROR(__xludf.DUMMYFUNCTION("""COMPUTED_VALUE"""),73.4642788368958)</f>
        <v>73.46427884</v>
      </c>
      <c r="P2073" s="23">
        <f>IFERROR(__xludf.DUMMYFUNCTION("""COMPUTED_VALUE"""),3815.0)</f>
        <v>3815</v>
      </c>
      <c r="Q2073" s="23">
        <f>IFERROR(__xludf.DUMMYFUNCTION("""COMPUTED_VALUE"""),5193.0)</f>
        <v>5193</v>
      </c>
    </row>
    <row r="2074">
      <c r="A2074" s="23">
        <f>IFERROR(__xludf.DUMMYFUNCTION("""COMPUTED_VALUE"""),2195.0)</f>
        <v>2195</v>
      </c>
      <c r="B2074" s="23" t="str">
        <f>IFERROR(__xludf.DUMMYFUNCTION("""COMPUTED_VALUE"""),"Time Needed to Buy Tickets")</f>
        <v>Time Needed to Buy Tickets</v>
      </c>
      <c r="C2074" s="23" t="str">
        <f>IFERROR(__xludf.DUMMYFUNCTION("""COMPUTED_VALUE"""),"time-needed-to-buy-tickets")</f>
        <v>time-needed-to-buy-tickets</v>
      </c>
      <c r="D2074" s="23" t="b">
        <f>IFERROR(__xludf.DUMMYFUNCTION("""COMPUTED_VALUE"""),FALSE)</f>
        <v>0</v>
      </c>
      <c r="E2074" s="23" t="str">
        <f>IFERROR(__xludf.DUMMYFUNCTION("""COMPUTED_VALUE"""),"Easy")</f>
        <v>Easy</v>
      </c>
      <c r="F2074" s="23">
        <f>IFERROR(__xludf.DUMMYFUNCTION("""COMPUTED_VALUE"""),334.0)</f>
        <v>334</v>
      </c>
      <c r="G2074" s="23">
        <f>IFERROR(__xludf.DUMMYFUNCTION("""COMPUTED_VALUE"""),22.0)</f>
        <v>22</v>
      </c>
      <c r="H2074" s="23" t="str">
        <f>IFERROR(__xludf.DUMMYFUNCTION("""COMPUTED_VALUE"""),"Algorithms")</f>
        <v>Algorithms</v>
      </c>
      <c r="I2074" s="23">
        <f>IFERROR(__xludf.DUMMYFUNCTION("""COMPUTED_VALUE"""),0.623)</f>
        <v>0.623</v>
      </c>
      <c r="J2074" s="23">
        <f>IFERROR(__xludf.DUMMYFUNCTION("""COMPUTED_VALUE"""),2073.0)</f>
        <v>2073</v>
      </c>
      <c r="K2074" s="23" t="b">
        <f>IFERROR(__xludf.DUMMYFUNCTION("""COMPUTED_VALUE"""),FALSE)</f>
        <v>0</v>
      </c>
      <c r="L2074" s="23" t="str">
        <f>IFERROR(__xludf.DUMMYFUNCTION("""COMPUTED_VALUE"""),"Array;Queue;Simulation;")</f>
        <v>Array;Queue;Simulation;</v>
      </c>
      <c r="M2074" s="23" t="b">
        <f>IFERROR(__xludf.DUMMYFUNCTION("""COMPUTED_VALUE"""),FALSE)</f>
        <v>0</v>
      </c>
      <c r="N2074" s="23" t="b">
        <f>IFERROR(__xludf.DUMMYFUNCTION("""COMPUTED_VALUE"""),FALSE)</f>
        <v>0</v>
      </c>
      <c r="O2074" s="23">
        <f>IFERROR(__xludf.DUMMYFUNCTION("""COMPUTED_VALUE"""),62.3110368855999)</f>
        <v>62.31103689</v>
      </c>
      <c r="P2074" s="23">
        <f>IFERROR(__xludf.DUMMYFUNCTION("""COMPUTED_VALUE"""),21640.0)</f>
        <v>21640</v>
      </c>
      <c r="Q2074" s="23">
        <f>IFERROR(__xludf.DUMMYFUNCTION("""COMPUTED_VALUE"""),34729.0)</f>
        <v>34729</v>
      </c>
    </row>
    <row r="2075">
      <c r="A2075" s="23">
        <f>IFERROR(__xludf.DUMMYFUNCTION("""COMPUTED_VALUE"""),2196.0)</f>
        <v>2196</v>
      </c>
      <c r="B2075" s="23" t="str">
        <f>IFERROR(__xludf.DUMMYFUNCTION("""COMPUTED_VALUE"""),"Reverse Nodes in Even Length Groups")</f>
        <v>Reverse Nodes in Even Length Groups</v>
      </c>
      <c r="C2075" s="23" t="str">
        <f>IFERROR(__xludf.DUMMYFUNCTION("""COMPUTED_VALUE"""),"reverse-nodes-in-even-length-groups")</f>
        <v>reverse-nodes-in-even-length-groups</v>
      </c>
      <c r="D2075" s="23" t="b">
        <f>IFERROR(__xludf.DUMMYFUNCTION("""COMPUTED_VALUE"""),FALSE)</f>
        <v>0</v>
      </c>
      <c r="E2075" s="23" t="str">
        <f>IFERROR(__xludf.DUMMYFUNCTION("""COMPUTED_VALUE"""),"Medium")</f>
        <v>Medium</v>
      </c>
      <c r="F2075" s="23">
        <f>IFERROR(__xludf.DUMMYFUNCTION("""COMPUTED_VALUE"""),185.0)</f>
        <v>185</v>
      </c>
      <c r="G2075" s="23">
        <f>IFERROR(__xludf.DUMMYFUNCTION("""COMPUTED_VALUE"""),195.0)</f>
        <v>195</v>
      </c>
      <c r="H2075" s="23" t="str">
        <f>IFERROR(__xludf.DUMMYFUNCTION("""COMPUTED_VALUE"""),"Algorithms")</f>
        <v>Algorithms</v>
      </c>
      <c r="I2075" s="23">
        <f>IFERROR(__xludf.DUMMYFUNCTION("""COMPUTED_VALUE"""),0.504)</f>
        <v>0.504</v>
      </c>
      <c r="J2075" s="23">
        <f>IFERROR(__xludf.DUMMYFUNCTION("""COMPUTED_VALUE"""),2074.0)</f>
        <v>2074</v>
      </c>
      <c r="K2075" s="23" t="b">
        <f>IFERROR(__xludf.DUMMYFUNCTION("""COMPUTED_VALUE"""),FALSE)</f>
        <v>0</v>
      </c>
      <c r="L2075" s="23" t="str">
        <f>IFERROR(__xludf.DUMMYFUNCTION("""COMPUTED_VALUE"""),"Linked List;")</f>
        <v>Linked List;</v>
      </c>
      <c r="M2075" s="23" t="b">
        <f>IFERROR(__xludf.DUMMYFUNCTION("""COMPUTED_VALUE"""),FALSE)</f>
        <v>0</v>
      </c>
      <c r="N2075" s="23" t="b">
        <f>IFERROR(__xludf.DUMMYFUNCTION("""COMPUTED_VALUE"""),FALSE)</f>
        <v>0</v>
      </c>
      <c r="O2075" s="23">
        <f>IFERROR(__xludf.DUMMYFUNCTION("""COMPUTED_VALUE"""),50.4279826693437)</f>
        <v>50.42798267</v>
      </c>
      <c r="P2075" s="23">
        <f>IFERROR(__xludf.DUMMYFUNCTION("""COMPUTED_VALUE"""),9544.0)</f>
        <v>9544</v>
      </c>
      <c r="Q2075" s="23">
        <f>IFERROR(__xludf.DUMMYFUNCTION("""COMPUTED_VALUE"""),18926.0)</f>
        <v>18926</v>
      </c>
    </row>
    <row r="2076">
      <c r="A2076" s="23">
        <f>IFERROR(__xludf.DUMMYFUNCTION("""COMPUTED_VALUE"""),2197.0)</f>
        <v>2197</v>
      </c>
      <c r="B2076" s="23" t="str">
        <f>IFERROR(__xludf.DUMMYFUNCTION("""COMPUTED_VALUE"""),"Decode the Slanted Ciphertext")</f>
        <v>Decode the Slanted Ciphertext</v>
      </c>
      <c r="C2076" s="23" t="str">
        <f>IFERROR(__xludf.DUMMYFUNCTION("""COMPUTED_VALUE"""),"decode-the-slanted-ciphertext")</f>
        <v>decode-the-slanted-ciphertext</v>
      </c>
      <c r="D2076" s="23" t="b">
        <f>IFERROR(__xludf.DUMMYFUNCTION("""COMPUTED_VALUE"""),FALSE)</f>
        <v>0</v>
      </c>
      <c r="E2076" s="23" t="str">
        <f>IFERROR(__xludf.DUMMYFUNCTION("""COMPUTED_VALUE"""),"Medium")</f>
        <v>Medium</v>
      </c>
      <c r="F2076" s="23">
        <f>IFERROR(__xludf.DUMMYFUNCTION("""COMPUTED_VALUE"""),146.0)</f>
        <v>146</v>
      </c>
      <c r="G2076" s="23">
        <f>IFERROR(__xludf.DUMMYFUNCTION("""COMPUTED_VALUE"""),32.0)</f>
        <v>32</v>
      </c>
      <c r="H2076" s="23" t="str">
        <f>IFERROR(__xludf.DUMMYFUNCTION("""COMPUTED_VALUE"""),"Algorithms")</f>
        <v>Algorithms</v>
      </c>
      <c r="I2076" s="23">
        <f>IFERROR(__xludf.DUMMYFUNCTION("""COMPUTED_VALUE"""),0.497)</f>
        <v>0.497</v>
      </c>
      <c r="J2076" s="23">
        <f>IFERROR(__xludf.DUMMYFUNCTION("""COMPUTED_VALUE"""),2075.0)</f>
        <v>2075</v>
      </c>
      <c r="K2076" s="23" t="b">
        <f>IFERROR(__xludf.DUMMYFUNCTION("""COMPUTED_VALUE"""),FALSE)</f>
        <v>0</v>
      </c>
      <c r="L2076" s="23" t="str">
        <f>IFERROR(__xludf.DUMMYFUNCTION("""COMPUTED_VALUE"""),"String;Simulation;")</f>
        <v>String;Simulation;</v>
      </c>
      <c r="M2076" s="23" t="b">
        <f>IFERROR(__xludf.DUMMYFUNCTION("""COMPUTED_VALUE"""),FALSE)</f>
        <v>0</v>
      </c>
      <c r="N2076" s="23" t="b">
        <f>IFERROR(__xludf.DUMMYFUNCTION("""COMPUTED_VALUE"""),FALSE)</f>
        <v>0</v>
      </c>
      <c r="O2076" s="23">
        <f>IFERROR(__xludf.DUMMYFUNCTION("""COMPUTED_VALUE"""),49.7404734776554)</f>
        <v>49.74047348</v>
      </c>
      <c r="P2076" s="23">
        <f>IFERROR(__xludf.DUMMYFUNCTION("""COMPUTED_VALUE"""),7858.0)</f>
        <v>7858</v>
      </c>
      <c r="Q2076" s="23">
        <f>IFERROR(__xludf.DUMMYFUNCTION("""COMPUTED_VALUE"""),15798.0)</f>
        <v>15798</v>
      </c>
    </row>
    <row r="2077">
      <c r="A2077" s="23">
        <f>IFERROR(__xludf.DUMMYFUNCTION("""COMPUTED_VALUE"""),2198.0)</f>
        <v>2198</v>
      </c>
      <c r="B2077" s="23" t="str">
        <f>IFERROR(__xludf.DUMMYFUNCTION("""COMPUTED_VALUE"""),"Process Restricted Friend Requests")</f>
        <v>Process Restricted Friend Requests</v>
      </c>
      <c r="C2077" s="23" t="str">
        <f>IFERROR(__xludf.DUMMYFUNCTION("""COMPUTED_VALUE"""),"process-restricted-friend-requests")</f>
        <v>process-restricted-friend-requests</v>
      </c>
      <c r="D2077" s="23" t="b">
        <f>IFERROR(__xludf.DUMMYFUNCTION("""COMPUTED_VALUE"""),FALSE)</f>
        <v>0</v>
      </c>
      <c r="E2077" s="23" t="str">
        <f>IFERROR(__xludf.DUMMYFUNCTION("""COMPUTED_VALUE"""),"Hard")</f>
        <v>Hard</v>
      </c>
      <c r="F2077" s="23">
        <f>IFERROR(__xludf.DUMMYFUNCTION("""COMPUTED_VALUE"""),333.0)</f>
        <v>333</v>
      </c>
      <c r="G2077" s="23">
        <f>IFERROR(__xludf.DUMMYFUNCTION("""COMPUTED_VALUE"""),4.0)</f>
        <v>4</v>
      </c>
      <c r="H2077" s="23" t="str">
        <f>IFERROR(__xludf.DUMMYFUNCTION("""COMPUTED_VALUE"""),"Algorithms")</f>
        <v>Algorithms</v>
      </c>
      <c r="I2077" s="23">
        <f>IFERROR(__xludf.DUMMYFUNCTION("""COMPUTED_VALUE"""),0.54)</f>
        <v>0.54</v>
      </c>
      <c r="J2077" s="23">
        <f>IFERROR(__xludf.DUMMYFUNCTION("""COMPUTED_VALUE"""),2076.0)</f>
        <v>2076</v>
      </c>
      <c r="K2077" s="23" t="b">
        <f>IFERROR(__xludf.DUMMYFUNCTION("""COMPUTED_VALUE"""),FALSE)</f>
        <v>0</v>
      </c>
      <c r="L2077" s="23" t="str">
        <f>IFERROR(__xludf.DUMMYFUNCTION("""COMPUTED_VALUE"""),"Union Find;Graph;")</f>
        <v>Union Find;Graph;</v>
      </c>
      <c r="M2077" s="23" t="b">
        <f>IFERROR(__xludf.DUMMYFUNCTION("""COMPUTED_VALUE"""),FALSE)</f>
        <v>0</v>
      </c>
      <c r="N2077" s="23" t="b">
        <f>IFERROR(__xludf.DUMMYFUNCTION("""COMPUTED_VALUE"""),FALSE)</f>
        <v>0</v>
      </c>
      <c r="O2077" s="23">
        <f>IFERROR(__xludf.DUMMYFUNCTION("""COMPUTED_VALUE"""),53.9768339768339)</f>
        <v>53.97683398</v>
      </c>
      <c r="P2077" s="23">
        <f>IFERROR(__xludf.DUMMYFUNCTION("""COMPUTED_VALUE"""),9786.0)</f>
        <v>9786</v>
      </c>
      <c r="Q2077" s="23">
        <f>IFERROR(__xludf.DUMMYFUNCTION("""COMPUTED_VALUE"""),18130.0)</f>
        <v>18130</v>
      </c>
    </row>
    <row r="2078">
      <c r="A2078" s="23">
        <f>IFERROR(__xludf.DUMMYFUNCTION("""COMPUTED_VALUE"""),2218.0)</f>
        <v>2218</v>
      </c>
      <c r="B2078" s="23" t="str">
        <f>IFERROR(__xludf.DUMMYFUNCTION("""COMPUTED_VALUE"""),"Paths in Maze That Lead to Same Room")</f>
        <v>Paths in Maze That Lead to Same Room</v>
      </c>
      <c r="C2078" s="23" t="str">
        <f>IFERROR(__xludf.DUMMYFUNCTION("""COMPUTED_VALUE"""),"paths-in-maze-that-lead-to-same-room")</f>
        <v>paths-in-maze-that-lead-to-same-room</v>
      </c>
      <c r="D2078" s="23" t="b">
        <f>IFERROR(__xludf.DUMMYFUNCTION("""COMPUTED_VALUE"""),TRUE)</f>
        <v>1</v>
      </c>
      <c r="E2078" s="23" t="str">
        <f>IFERROR(__xludf.DUMMYFUNCTION("""COMPUTED_VALUE"""),"Medium")</f>
        <v>Medium</v>
      </c>
      <c r="F2078" s="23">
        <f>IFERROR(__xludf.DUMMYFUNCTION("""COMPUTED_VALUE"""),49.0)</f>
        <v>49</v>
      </c>
      <c r="G2078" s="23">
        <f>IFERROR(__xludf.DUMMYFUNCTION("""COMPUTED_VALUE"""),4.0)</f>
        <v>4</v>
      </c>
      <c r="H2078" s="23" t="str">
        <f>IFERROR(__xludf.DUMMYFUNCTION("""COMPUTED_VALUE"""),"Algorithms")</f>
        <v>Algorithms</v>
      </c>
      <c r="I2078" s="23">
        <f>IFERROR(__xludf.DUMMYFUNCTION("""COMPUTED_VALUE"""),0.572)</f>
        <v>0.572</v>
      </c>
      <c r="J2078" s="23">
        <f>IFERROR(__xludf.DUMMYFUNCTION("""COMPUTED_VALUE"""),2077.0)</f>
        <v>2077</v>
      </c>
      <c r="K2078" s="23" t="b">
        <f>IFERROR(__xludf.DUMMYFUNCTION("""COMPUTED_VALUE"""),TRUE)</f>
        <v>1</v>
      </c>
      <c r="L2078" s="23" t="str">
        <f>IFERROR(__xludf.DUMMYFUNCTION("""COMPUTED_VALUE"""),"Graph;")</f>
        <v>Graph;</v>
      </c>
      <c r="M2078" s="23" t="b">
        <f>IFERROR(__xludf.DUMMYFUNCTION("""COMPUTED_VALUE"""),FALSE)</f>
        <v>0</v>
      </c>
      <c r="N2078" s="23" t="b">
        <f>IFERROR(__xludf.DUMMYFUNCTION("""COMPUTED_VALUE"""),FALSE)</f>
        <v>0</v>
      </c>
      <c r="O2078" s="23">
        <f>IFERROR(__xludf.DUMMYFUNCTION("""COMPUTED_VALUE"""),57.1719918422841)</f>
        <v>57.17199184</v>
      </c>
      <c r="P2078" s="23">
        <f>IFERROR(__xludf.DUMMYFUNCTION("""COMPUTED_VALUE"""),1682.0)</f>
        <v>1682</v>
      </c>
      <c r="Q2078" s="23">
        <f>IFERROR(__xludf.DUMMYFUNCTION("""COMPUTED_VALUE"""),2942.0)</f>
        <v>2942</v>
      </c>
    </row>
    <row r="2079">
      <c r="A2079" s="23">
        <f>IFERROR(__xludf.DUMMYFUNCTION("""COMPUTED_VALUE"""),2199.0)</f>
        <v>2199</v>
      </c>
      <c r="B2079" s="23" t="str">
        <f>IFERROR(__xludf.DUMMYFUNCTION("""COMPUTED_VALUE"""),"Two Furthest Houses With Different Colors")</f>
        <v>Two Furthest Houses With Different Colors</v>
      </c>
      <c r="C2079" s="23" t="str">
        <f>IFERROR(__xludf.DUMMYFUNCTION("""COMPUTED_VALUE"""),"two-furthest-houses-with-different-colors")</f>
        <v>two-furthest-houses-with-different-colors</v>
      </c>
      <c r="D2079" s="23" t="b">
        <f>IFERROR(__xludf.DUMMYFUNCTION("""COMPUTED_VALUE"""),FALSE)</f>
        <v>0</v>
      </c>
      <c r="E2079" s="23" t="str">
        <f>IFERROR(__xludf.DUMMYFUNCTION("""COMPUTED_VALUE"""),"Easy")</f>
        <v>Easy</v>
      </c>
      <c r="F2079" s="23">
        <f>IFERROR(__xludf.DUMMYFUNCTION("""COMPUTED_VALUE"""),398.0)</f>
        <v>398</v>
      </c>
      <c r="G2079" s="23">
        <f>IFERROR(__xludf.DUMMYFUNCTION("""COMPUTED_VALUE"""),11.0)</f>
        <v>11</v>
      </c>
      <c r="H2079" s="23" t="str">
        <f>IFERROR(__xludf.DUMMYFUNCTION("""COMPUTED_VALUE"""),"Algorithms")</f>
        <v>Algorithms</v>
      </c>
      <c r="I2079" s="23">
        <f>IFERROR(__xludf.DUMMYFUNCTION("""COMPUTED_VALUE"""),0.685)</f>
        <v>0.685</v>
      </c>
      <c r="J2079" s="23">
        <f>IFERROR(__xludf.DUMMYFUNCTION("""COMPUTED_VALUE"""),2078.0)</f>
        <v>2078</v>
      </c>
      <c r="K2079" s="23" t="b">
        <f>IFERROR(__xludf.DUMMYFUNCTION("""COMPUTED_VALUE"""),FALSE)</f>
        <v>0</v>
      </c>
      <c r="L2079" s="23" t="str">
        <f>IFERROR(__xludf.DUMMYFUNCTION("""COMPUTED_VALUE"""),"Array;Greedy;")</f>
        <v>Array;Greedy;</v>
      </c>
      <c r="M2079" s="23" t="b">
        <f>IFERROR(__xludf.DUMMYFUNCTION("""COMPUTED_VALUE"""),FALSE)</f>
        <v>0</v>
      </c>
      <c r="N2079" s="23" t="b">
        <f>IFERROR(__xludf.DUMMYFUNCTION("""COMPUTED_VALUE"""),FALSE)</f>
        <v>0</v>
      </c>
      <c r="O2079" s="23">
        <f>IFERROR(__xludf.DUMMYFUNCTION("""COMPUTED_VALUE"""),68.5524697537396)</f>
        <v>68.55246975</v>
      </c>
      <c r="P2079" s="23">
        <f>IFERROR(__xludf.DUMMYFUNCTION("""COMPUTED_VALUE"""),23965.0)</f>
        <v>23965</v>
      </c>
      <c r="Q2079" s="23">
        <f>IFERROR(__xludf.DUMMYFUNCTION("""COMPUTED_VALUE"""),34960.0)</f>
        <v>34960</v>
      </c>
    </row>
    <row r="2080">
      <c r="A2080" s="23">
        <f>IFERROR(__xludf.DUMMYFUNCTION("""COMPUTED_VALUE"""),1310.0)</f>
        <v>1310</v>
      </c>
      <c r="B2080" s="23" t="str">
        <f>IFERROR(__xludf.DUMMYFUNCTION("""COMPUTED_VALUE"""),"Watering Plants")</f>
        <v>Watering Plants</v>
      </c>
      <c r="C2080" s="23" t="str">
        <f>IFERROR(__xludf.DUMMYFUNCTION("""COMPUTED_VALUE"""),"watering-plants")</f>
        <v>watering-plants</v>
      </c>
      <c r="D2080" s="23" t="b">
        <f>IFERROR(__xludf.DUMMYFUNCTION("""COMPUTED_VALUE"""),FALSE)</f>
        <v>0</v>
      </c>
      <c r="E2080" s="23" t="str">
        <f>IFERROR(__xludf.DUMMYFUNCTION("""COMPUTED_VALUE"""),"Medium")</f>
        <v>Medium</v>
      </c>
      <c r="F2080" s="23">
        <f>IFERROR(__xludf.DUMMYFUNCTION("""COMPUTED_VALUE"""),354.0)</f>
        <v>354</v>
      </c>
      <c r="G2080" s="23">
        <f>IFERROR(__xludf.DUMMYFUNCTION("""COMPUTED_VALUE"""),27.0)</f>
        <v>27</v>
      </c>
      <c r="H2080" s="23" t="str">
        <f>IFERROR(__xludf.DUMMYFUNCTION("""COMPUTED_VALUE"""),"Algorithms")</f>
        <v>Algorithms</v>
      </c>
      <c r="I2080" s="23">
        <f>IFERROR(__xludf.DUMMYFUNCTION("""COMPUTED_VALUE"""),0.805)</f>
        <v>0.805</v>
      </c>
      <c r="J2080" s="23">
        <f>IFERROR(__xludf.DUMMYFUNCTION("""COMPUTED_VALUE"""),2079.0)</f>
        <v>2079</v>
      </c>
      <c r="K2080" s="23" t="b">
        <f>IFERROR(__xludf.DUMMYFUNCTION("""COMPUTED_VALUE"""),FALSE)</f>
        <v>0</v>
      </c>
      <c r="L2080" s="23" t="str">
        <f>IFERROR(__xludf.DUMMYFUNCTION("""COMPUTED_VALUE"""),"Array;")</f>
        <v>Array;</v>
      </c>
      <c r="M2080" s="23" t="b">
        <f>IFERROR(__xludf.DUMMYFUNCTION("""COMPUTED_VALUE"""),FALSE)</f>
        <v>0</v>
      </c>
      <c r="N2080" s="23" t="b">
        <f>IFERROR(__xludf.DUMMYFUNCTION("""COMPUTED_VALUE"""),FALSE)</f>
        <v>0</v>
      </c>
      <c r="O2080" s="23">
        <f>IFERROR(__xludf.DUMMYFUNCTION("""COMPUTED_VALUE"""),80.475599669148)</f>
        <v>80.47559967</v>
      </c>
      <c r="P2080" s="23">
        <f>IFERROR(__xludf.DUMMYFUNCTION("""COMPUTED_VALUE"""),19458.0)</f>
        <v>19458</v>
      </c>
      <c r="Q2080" s="23">
        <f>IFERROR(__xludf.DUMMYFUNCTION("""COMPUTED_VALUE"""),24179.0)</f>
        <v>24179</v>
      </c>
    </row>
    <row r="2081">
      <c r="A2081" s="23">
        <f>IFERROR(__xludf.DUMMYFUNCTION("""COMPUTED_VALUE"""),1294.0)</f>
        <v>1294</v>
      </c>
      <c r="B2081" s="23" t="str">
        <f>IFERROR(__xludf.DUMMYFUNCTION("""COMPUTED_VALUE"""),"Range Frequency Queries")</f>
        <v>Range Frequency Queries</v>
      </c>
      <c r="C2081" s="23" t="str">
        <f>IFERROR(__xludf.DUMMYFUNCTION("""COMPUTED_VALUE"""),"range-frequency-queries")</f>
        <v>range-frequency-queries</v>
      </c>
      <c r="D2081" s="23" t="b">
        <f>IFERROR(__xludf.DUMMYFUNCTION("""COMPUTED_VALUE"""),FALSE)</f>
        <v>0</v>
      </c>
      <c r="E2081" s="23" t="str">
        <f>IFERROR(__xludf.DUMMYFUNCTION("""COMPUTED_VALUE"""),"Medium")</f>
        <v>Medium</v>
      </c>
      <c r="F2081" s="23">
        <f>IFERROR(__xludf.DUMMYFUNCTION("""COMPUTED_VALUE"""),321.0)</f>
        <v>321</v>
      </c>
      <c r="G2081" s="23">
        <f>IFERROR(__xludf.DUMMYFUNCTION("""COMPUTED_VALUE"""),19.0)</f>
        <v>19</v>
      </c>
      <c r="H2081" s="23" t="str">
        <f>IFERROR(__xludf.DUMMYFUNCTION("""COMPUTED_VALUE"""),"Algorithms")</f>
        <v>Algorithms</v>
      </c>
      <c r="I2081" s="23">
        <f>IFERROR(__xludf.DUMMYFUNCTION("""COMPUTED_VALUE"""),0.365)</f>
        <v>0.365</v>
      </c>
      <c r="J2081" s="23">
        <f>IFERROR(__xludf.DUMMYFUNCTION("""COMPUTED_VALUE"""),2080.0)</f>
        <v>2080</v>
      </c>
      <c r="K2081" s="23" t="b">
        <f>IFERROR(__xludf.DUMMYFUNCTION("""COMPUTED_VALUE"""),FALSE)</f>
        <v>0</v>
      </c>
      <c r="L2081" s="23" t="str">
        <f>IFERROR(__xludf.DUMMYFUNCTION("""COMPUTED_VALUE"""),"Array;Hash Table;Binary Search;Design;Segment Tree;")</f>
        <v>Array;Hash Table;Binary Search;Design;Segment Tree;</v>
      </c>
      <c r="M2081" s="23" t="b">
        <f>IFERROR(__xludf.DUMMYFUNCTION("""COMPUTED_VALUE"""),FALSE)</f>
        <v>0</v>
      </c>
      <c r="N2081" s="23" t="b">
        <f>IFERROR(__xludf.DUMMYFUNCTION("""COMPUTED_VALUE"""),FALSE)</f>
        <v>0</v>
      </c>
      <c r="O2081" s="23">
        <f>IFERROR(__xludf.DUMMYFUNCTION("""COMPUTED_VALUE"""),36.5164738515662)</f>
        <v>36.51647385</v>
      </c>
      <c r="P2081" s="23">
        <f>IFERROR(__xludf.DUMMYFUNCTION("""COMPUTED_VALUE"""),10795.0)</f>
        <v>10795</v>
      </c>
      <c r="Q2081" s="23">
        <f>IFERROR(__xludf.DUMMYFUNCTION("""COMPUTED_VALUE"""),29562.0)</f>
        <v>29562</v>
      </c>
    </row>
    <row r="2082">
      <c r="A2082" s="23">
        <f>IFERROR(__xludf.DUMMYFUNCTION("""COMPUTED_VALUE"""),2202.0)</f>
        <v>2202</v>
      </c>
      <c r="B2082" s="23" t="str">
        <f>IFERROR(__xludf.DUMMYFUNCTION("""COMPUTED_VALUE"""),"Sum of k-Mirror Numbers")</f>
        <v>Sum of k-Mirror Numbers</v>
      </c>
      <c r="C2082" s="23" t="str">
        <f>IFERROR(__xludf.DUMMYFUNCTION("""COMPUTED_VALUE"""),"sum-of-k-mirror-numbers")</f>
        <v>sum-of-k-mirror-numbers</v>
      </c>
      <c r="D2082" s="23" t="b">
        <f>IFERROR(__xludf.DUMMYFUNCTION("""COMPUTED_VALUE"""),FALSE)</f>
        <v>0</v>
      </c>
      <c r="E2082" s="23" t="str">
        <f>IFERROR(__xludf.DUMMYFUNCTION("""COMPUTED_VALUE"""),"Hard")</f>
        <v>Hard</v>
      </c>
      <c r="F2082" s="23">
        <f>IFERROR(__xludf.DUMMYFUNCTION("""COMPUTED_VALUE"""),81.0)</f>
        <v>81</v>
      </c>
      <c r="G2082" s="23">
        <f>IFERROR(__xludf.DUMMYFUNCTION("""COMPUTED_VALUE"""),121.0)</f>
        <v>121</v>
      </c>
      <c r="H2082" s="23" t="str">
        <f>IFERROR(__xludf.DUMMYFUNCTION("""COMPUTED_VALUE"""),"Algorithms")</f>
        <v>Algorithms</v>
      </c>
      <c r="I2082" s="23">
        <f>IFERROR(__xludf.DUMMYFUNCTION("""COMPUTED_VALUE"""),0.411)</f>
        <v>0.411</v>
      </c>
      <c r="J2082" s="23">
        <f>IFERROR(__xludf.DUMMYFUNCTION("""COMPUTED_VALUE"""),2081.0)</f>
        <v>2081</v>
      </c>
      <c r="K2082" s="23" t="b">
        <f>IFERROR(__xludf.DUMMYFUNCTION("""COMPUTED_VALUE"""),FALSE)</f>
        <v>0</v>
      </c>
      <c r="L2082" s="23" t="str">
        <f>IFERROR(__xludf.DUMMYFUNCTION("""COMPUTED_VALUE"""),"Math;Enumeration;")</f>
        <v>Math;Enumeration;</v>
      </c>
      <c r="M2082" s="23" t="b">
        <f>IFERROR(__xludf.DUMMYFUNCTION("""COMPUTED_VALUE"""),FALSE)</f>
        <v>0</v>
      </c>
      <c r="N2082" s="23" t="b">
        <f>IFERROR(__xludf.DUMMYFUNCTION("""COMPUTED_VALUE"""),FALSE)</f>
        <v>0</v>
      </c>
      <c r="O2082" s="23">
        <f>IFERROR(__xludf.DUMMYFUNCTION("""COMPUTED_VALUE"""),41.1120064464141)</f>
        <v>41.11200645</v>
      </c>
      <c r="P2082" s="23">
        <f>IFERROR(__xludf.DUMMYFUNCTION("""COMPUTED_VALUE"""),5102.0)</f>
        <v>5102</v>
      </c>
      <c r="Q2082" s="23">
        <f>IFERROR(__xludf.DUMMYFUNCTION("""COMPUTED_VALUE"""),12410.0)</f>
        <v>12410</v>
      </c>
    </row>
    <row r="2083">
      <c r="A2083" s="23">
        <f>IFERROR(__xludf.DUMMYFUNCTION("""COMPUTED_VALUE"""),2223.0)</f>
        <v>2223</v>
      </c>
      <c r="B2083" s="23" t="str">
        <f>IFERROR(__xludf.DUMMYFUNCTION("""COMPUTED_VALUE"""),"The Number of Rich Customers")</f>
        <v>The Number of Rich Customers</v>
      </c>
      <c r="C2083" s="23" t="str">
        <f>IFERROR(__xludf.DUMMYFUNCTION("""COMPUTED_VALUE"""),"the-number-of-rich-customers")</f>
        <v>the-number-of-rich-customers</v>
      </c>
      <c r="D2083" s="23" t="b">
        <f>IFERROR(__xludf.DUMMYFUNCTION("""COMPUTED_VALUE"""),TRUE)</f>
        <v>1</v>
      </c>
      <c r="E2083" s="23" t="str">
        <f>IFERROR(__xludf.DUMMYFUNCTION("""COMPUTED_VALUE"""),"Easy")</f>
        <v>Easy</v>
      </c>
      <c r="F2083" s="23">
        <f>IFERROR(__xludf.DUMMYFUNCTION("""COMPUTED_VALUE"""),14.0)</f>
        <v>14</v>
      </c>
      <c r="G2083" s="23">
        <f>IFERROR(__xludf.DUMMYFUNCTION("""COMPUTED_VALUE"""),11.0)</f>
        <v>11</v>
      </c>
      <c r="H2083" s="23" t="str">
        <f>IFERROR(__xludf.DUMMYFUNCTION("""COMPUTED_VALUE"""),"Database")</f>
        <v>Database</v>
      </c>
      <c r="I2083" s="23">
        <f>IFERROR(__xludf.DUMMYFUNCTION("""COMPUTED_VALUE"""),0.81)</f>
        <v>0.81</v>
      </c>
      <c r="J2083" s="23">
        <f>IFERROR(__xludf.DUMMYFUNCTION("""COMPUTED_VALUE"""),2082.0)</f>
        <v>2082</v>
      </c>
      <c r="K2083" s="23" t="b">
        <f>IFERROR(__xludf.DUMMYFUNCTION("""COMPUTED_VALUE"""),TRUE)</f>
        <v>1</v>
      </c>
      <c r="L2083" s="23" t="str">
        <f>IFERROR(__xludf.DUMMYFUNCTION("""COMPUTED_VALUE"""),"Database;")</f>
        <v>Database;</v>
      </c>
      <c r="M2083" s="23" t="b">
        <f>IFERROR(__xludf.DUMMYFUNCTION("""COMPUTED_VALUE"""),FALSE)</f>
        <v>0</v>
      </c>
      <c r="N2083" s="23" t="b">
        <f>IFERROR(__xludf.DUMMYFUNCTION("""COMPUTED_VALUE"""),FALSE)</f>
        <v>0</v>
      </c>
      <c r="O2083" s="23">
        <f>IFERROR(__xludf.DUMMYFUNCTION("""COMPUTED_VALUE"""),81.031991744066)</f>
        <v>81.03199174</v>
      </c>
      <c r="P2083" s="23">
        <f>IFERROR(__xludf.DUMMYFUNCTION("""COMPUTED_VALUE"""),3926.0)</f>
        <v>3926</v>
      </c>
      <c r="Q2083" s="23">
        <f>IFERROR(__xludf.DUMMYFUNCTION("""COMPUTED_VALUE"""),4845.0)</f>
        <v>4845</v>
      </c>
    </row>
    <row r="2084">
      <c r="A2084" s="23">
        <f>IFERROR(__xludf.DUMMYFUNCTION("""COMPUTED_VALUE"""),2225.0)</f>
        <v>2225</v>
      </c>
      <c r="B2084" s="23" t="str">
        <f>IFERROR(__xludf.DUMMYFUNCTION("""COMPUTED_VALUE"""),"Substrings That Begin and End With the Same Letter")</f>
        <v>Substrings That Begin and End With the Same Letter</v>
      </c>
      <c r="C2084" s="23" t="str">
        <f>IFERROR(__xludf.DUMMYFUNCTION("""COMPUTED_VALUE"""),"substrings-that-begin-and-end-with-the-same-letter")</f>
        <v>substrings-that-begin-and-end-with-the-same-letter</v>
      </c>
      <c r="D2084" s="23" t="b">
        <f>IFERROR(__xludf.DUMMYFUNCTION("""COMPUTED_VALUE"""),TRUE)</f>
        <v>1</v>
      </c>
      <c r="E2084" s="23" t="str">
        <f>IFERROR(__xludf.DUMMYFUNCTION("""COMPUTED_VALUE"""),"Medium")</f>
        <v>Medium</v>
      </c>
      <c r="F2084" s="23">
        <f>IFERROR(__xludf.DUMMYFUNCTION("""COMPUTED_VALUE"""),67.0)</f>
        <v>67</v>
      </c>
      <c r="G2084" s="23">
        <f>IFERROR(__xludf.DUMMYFUNCTION("""COMPUTED_VALUE"""),2.0)</f>
        <v>2</v>
      </c>
      <c r="H2084" s="23" t="str">
        <f>IFERROR(__xludf.DUMMYFUNCTION("""COMPUTED_VALUE"""),"Algorithms")</f>
        <v>Algorithms</v>
      </c>
      <c r="I2084" s="23">
        <f>IFERROR(__xludf.DUMMYFUNCTION("""COMPUTED_VALUE"""),0.685)</f>
        <v>0.685</v>
      </c>
      <c r="J2084" s="23">
        <f>IFERROR(__xludf.DUMMYFUNCTION("""COMPUTED_VALUE"""),2083.0)</f>
        <v>2083</v>
      </c>
      <c r="K2084" s="23" t="b">
        <f>IFERROR(__xludf.DUMMYFUNCTION("""COMPUTED_VALUE"""),TRUE)</f>
        <v>1</v>
      </c>
      <c r="L2084" s="23" t="str">
        <f>IFERROR(__xludf.DUMMYFUNCTION("""COMPUTED_VALUE"""),"Hash Table;Math;String;Counting;Prefix Sum;")</f>
        <v>Hash Table;Math;String;Counting;Prefix Sum;</v>
      </c>
      <c r="M2084" s="23" t="b">
        <f>IFERROR(__xludf.DUMMYFUNCTION("""COMPUTED_VALUE"""),FALSE)</f>
        <v>0</v>
      </c>
      <c r="N2084" s="23" t="b">
        <f>IFERROR(__xludf.DUMMYFUNCTION("""COMPUTED_VALUE"""),FALSE)</f>
        <v>0</v>
      </c>
      <c r="O2084" s="23">
        <f>IFERROR(__xludf.DUMMYFUNCTION("""COMPUTED_VALUE"""),68.4677253041864)</f>
        <v>68.4677253</v>
      </c>
      <c r="P2084" s="23">
        <f>IFERROR(__xludf.DUMMYFUNCTION("""COMPUTED_VALUE"""),3320.0)</f>
        <v>3320</v>
      </c>
      <c r="Q2084" s="23">
        <f>IFERROR(__xludf.DUMMYFUNCTION("""COMPUTED_VALUE"""),4849.0)</f>
        <v>4849</v>
      </c>
    </row>
    <row r="2085">
      <c r="A2085" s="23">
        <f>IFERROR(__xludf.DUMMYFUNCTION("""COMPUTED_VALUE"""),2224.0)</f>
        <v>2224</v>
      </c>
      <c r="B2085" s="23" t="str">
        <f>IFERROR(__xludf.DUMMYFUNCTION("""COMPUTED_VALUE"""),"Drop Type 1 Orders for Customers With Type 0 Orders")</f>
        <v>Drop Type 1 Orders for Customers With Type 0 Orders</v>
      </c>
      <c r="C2085" s="23" t="str">
        <f>IFERROR(__xludf.DUMMYFUNCTION("""COMPUTED_VALUE"""),"drop-type-1-orders-for-customers-with-type-0-orders")</f>
        <v>drop-type-1-orders-for-customers-with-type-0-orders</v>
      </c>
      <c r="D2085" s="23" t="b">
        <f>IFERROR(__xludf.DUMMYFUNCTION("""COMPUTED_VALUE"""),TRUE)</f>
        <v>1</v>
      </c>
      <c r="E2085" s="23" t="str">
        <f>IFERROR(__xludf.DUMMYFUNCTION("""COMPUTED_VALUE"""),"Medium")</f>
        <v>Medium</v>
      </c>
      <c r="F2085" s="23">
        <f>IFERROR(__xludf.DUMMYFUNCTION("""COMPUTED_VALUE"""),28.0)</f>
        <v>28</v>
      </c>
      <c r="G2085" s="23">
        <f>IFERROR(__xludf.DUMMYFUNCTION("""COMPUTED_VALUE"""),6.0)</f>
        <v>6</v>
      </c>
      <c r="H2085" s="23" t="str">
        <f>IFERROR(__xludf.DUMMYFUNCTION("""COMPUTED_VALUE"""),"Database")</f>
        <v>Database</v>
      </c>
      <c r="I2085" s="23">
        <f>IFERROR(__xludf.DUMMYFUNCTION("""COMPUTED_VALUE"""),0.909)</f>
        <v>0.909</v>
      </c>
      <c r="J2085" s="23">
        <f>IFERROR(__xludf.DUMMYFUNCTION("""COMPUTED_VALUE"""),2084.0)</f>
        <v>2084</v>
      </c>
      <c r="K2085" s="23" t="b">
        <f>IFERROR(__xludf.DUMMYFUNCTION("""COMPUTED_VALUE"""),TRUE)</f>
        <v>1</v>
      </c>
      <c r="L2085" s="23" t="str">
        <f>IFERROR(__xludf.DUMMYFUNCTION("""COMPUTED_VALUE"""),"Database;")</f>
        <v>Database;</v>
      </c>
      <c r="M2085" s="23" t="b">
        <f>IFERROR(__xludf.DUMMYFUNCTION("""COMPUTED_VALUE"""),FALSE)</f>
        <v>0</v>
      </c>
      <c r="N2085" s="23" t="b">
        <f>IFERROR(__xludf.DUMMYFUNCTION("""COMPUTED_VALUE"""),FALSE)</f>
        <v>0</v>
      </c>
      <c r="O2085" s="23">
        <f>IFERROR(__xludf.DUMMYFUNCTION("""COMPUTED_VALUE"""),90.8988128886376)</f>
        <v>90.89881289</v>
      </c>
      <c r="P2085" s="23">
        <f>IFERROR(__xludf.DUMMYFUNCTION("""COMPUTED_VALUE"""),3216.0)</f>
        <v>3216</v>
      </c>
      <c r="Q2085" s="23">
        <f>IFERROR(__xludf.DUMMYFUNCTION("""COMPUTED_VALUE"""),3538.0)</f>
        <v>3538</v>
      </c>
    </row>
    <row r="2086">
      <c r="A2086" s="23">
        <f>IFERROR(__xludf.DUMMYFUNCTION("""COMPUTED_VALUE"""),2190.0)</f>
        <v>2190</v>
      </c>
      <c r="B2086" s="23" t="str">
        <f>IFERROR(__xludf.DUMMYFUNCTION("""COMPUTED_VALUE"""),"Count Common Words With One Occurrence")</f>
        <v>Count Common Words With One Occurrence</v>
      </c>
      <c r="C2086" s="23" t="str">
        <f>IFERROR(__xludf.DUMMYFUNCTION("""COMPUTED_VALUE"""),"count-common-words-with-one-occurrence")</f>
        <v>count-common-words-with-one-occurrence</v>
      </c>
      <c r="D2086" s="23" t="b">
        <f>IFERROR(__xludf.DUMMYFUNCTION("""COMPUTED_VALUE"""),FALSE)</f>
        <v>0</v>
      </c>
      <c r="E2086" s="23" t="str">
        <f>IFERROR(__xludf.DUMMYFUNCTION("""COMPUTED_VALUE"""),"Easy")</f>
        <v>Easy</v>
      </c>
      <c r="F2086" s="23">
        <f>IFERROR(__xludf.DUMMYFUNCTION("""COMPUTED_VALUE"""),308.0)</f>
        <v>308</v>
      </c>
      <c r="G2086" s="23">
        <f>IFERROR(__xludf.DUMMYFUNCTION("""COMPUTED_VALUE"""),6.0)</f>
        <v>6</v>
      </c>
      <c r="H2086" s="23" t="str">
        <f>IFERROR(__xludf.DUMMYFUNCTION("""COMPUTED_VALUE"""),"Algorithms")</f>
        <v>Algorithms</v>
      </c>
      <c r="I2086" s="23">
        <f>IFERROR(__xludf.DUMMYFUNCTION("""COMPUTED_VALUE"""),0.702)</f>
        <v>0.702</v>
      </c>
      <c r="J2086" s="23">
        <f>IFERROR(__xludf.DUMMYFUNCTION("""COMPUTED_VALUE"""),2085.0)</f>
        <v>2085</v>
      </c>
      <c r="K2086" s="23" t="b">
        <f>IFERROR(__xludf.DUMMYFUNCTION("""COMPUTED_VALUE"""),FALSE)</f>
        <v>0</v>
      </c>
      <c r="L2086" s="23" t="str">
        <f>IFERROR(__xludf.DUMMYFUNCTION("""COMPUTED_VALUE"""),"Array;Hash Table;String;Counting;")</f>
        <v>Array;Hash Table;String;Counting;</v>
      </c>
      <c r="M2086" s="23" t="b">
        <f>IFERROR(__xludf.DUMMYFUNCTION("""COMPUTED_VALUE"""),FALSE)</f>
        <v>0</v>
      </c>
      <c r="N2086" s="23" t="b">
        <f>IFERROR(__xludf.DUMMYFUNCTION("""COMPUTED_VALUE"""),FALSE)</f>
        <v>0</v>
      </c>
      <c r="O2086" s="23">
        <f>IFERROR(__xludf.DUMMYFUNCTION("""COMPUTED_VALUE"""),70.1600893521965)</f>
        <v>70.16008935</v>
      </c>
      <c r="P2086" s="23">
        <f>IFERROR(__xludf.DUMMYFUNCTION("""COMPUTED_VALUE"""),22611.0)</f>
        <v>22611</v>
      </c>
      <c r="Q2086" s="23">
        <f>IFERROR(__xludf.DUMMYFUNCTION("""COMPUTED_VALUE"""),32226.0)</f>
        <v>32226</v>
      </c>
    </row>
    <row r="2087">
      <c r="A2087" s="23">
        <f>IFERROR(__xludf.DUMMYFUNCTION("""COMPUTED_VALUE"""),2191.0)</f>
        <v>2191</v>
      </c>
      <c r="B2087" s="23" t="str">
        <f>IFERROR(__xludf.DUMMYFUNCTION("""COMPUTED_VALUE"""),"Minimum Number of Buckets Required to Collect Rainwater from Houses")</f>
        <v>Minimum Number of Buckets Required to Collect Rainwater from Houses</v>
      </c>
      <c r="C2087" s="23" t="str">
        <f>IFERROR(__xludf.DUMMYFUNCTION("""COMPUTED_VALUE"""),"minimum-number-of-buckets-required-to-collect-rainwater-from-houses")</f>
        <v>minimum-number-of-buckets-required-to-collect-rainwater-from-houses</v>
      </c>
      <c r="D2087" s="23" t="b">
        <f>IFERROR(__xludf.DUMMYFUNCTION("""COMPUTED_VALUE"""),FALSE)</f>
        <v>0</v>
      </c>
      <c r="E2087" s="23" t="str">
        <f>IFERROR(__xludf.DUMMYFUNCTION("""COMPUTED_VALUE"""),"Medium")</f>
        <v>Medium</v>
      </c>
      <c r="F2087" s="23">
        <f>IFERROR(__xludf.DUMMYFUNCTION("""COMPUTED_VALUE"""),300.0)</f>
        <v>300</v>
      </c>
      <c r="G2087" s="23">
        <f>IFERROR(__xludf.DUMMYFUNCTION("""COMPUTED_VALUE"""),13.0)</f>
        <v>13</v>
      </c>
      <c r="H2087" s="23" t="str">
        <f>IFERROR(__xludf.DUMMYFUNCTION("""COMPUTED_VALUE"""),"Algorithms")</f>
        <v>Algorithms</v>
      </c>
      <c r="I2087" s="23">
        <f>IFERROR(__xludf.DUMMYFUNCTION("""COMPUTED_VALUE"""),0.452)</f>
        <v>0.452</v>
      </c>
      <c r="J2087" s="23">
        <f>IFERROR(__xludf.DUMMYFUNCTION("""COMPUTED_VALUE"""),2086.0)</f>
        <v>2086</v>
      </c>
      <c r="K2087" s="23" t="b">
        <f>IFERROR(__xludf.DUMMYFUNCTION("""COMPUTED_VALUE"""),FALSE)</f>
        <v>0</v>
      </c>
      <c r="L2087" s="23" t="str">
        <f>IFERROR(__xludf.DUMMYFUNCTION("""COMPUTED_VALUE"""),"String;Dynamic Programming;Greedy;")</f>
        <v>String;Dynamic Programming;Greedy;</v>
      </c>
      <c r="M2087" s="23" t="b">
        <f>IFERROR(__xludf.DUMMYFUNCTION("""COMPUTED_VALUE"""),FALSE)</f>
        <v>0</v>
      </c>
      <c r="N2087" s="23" t="b">
        <f>IFERROR(__xludf.DUMMYFUNCTION("""COMPUTED_VALUE"""),FALSE)</f>
        <v>0</v>
      </c>
      <c r="O2087" s="23">
        <f>IFERROR(__xludf.DUMMYFUNCTION("""COMPUTED_VALUE"""),45.1983737557829)</f>
        <v>45.19837376</v>
      </c>
      <c r="P2087" s="23">
        <f>IFERROR(__xludf.DUMMYFUNCTION("""COMPUTED_VALUE"""),9672.0)</f>
        <v>9672</v>
      </c>
      <c r="Q2087" s="23">
        <f>IFERROR(__xludf.DUMMYFUNCTION("""COMPUTED_VALUE"""),21399.0)</f>
        <v>21399</v>
      </c>
    </row>
    <row r="2088">
      <c r="A2088" s="23">
        <f>IFERROR(__xludf.DUMMYFUNCTION("""COMPUTED_VALUE"""),2192.0)</f>
        <v>2192</v>
      </c>
      <c r="B2088" s="23" t="str">
        <f>IFERROR(__xludf.DUMMYFUNCTION("""COMPUTED_VALUE"""),"Minimum Cost Homecoming of a Robot in a Grid")</f>
        <v>Minimum Cost Homecoming of a Robot in a Grid</v>
      </c>
      <c r="C2088" s="23" t="str">
        <f>IFERROR(__xludf.DUMMYFUNCTION("""COMPUTED_VALUE"""),"minimum-cost-homecoming-of-a-robot-in-a-grid")</f>
        <v>minimum-cost-homecoming-of-a-robot-in-a-grid</v>
      </c>
      <c r="D2088" s="23" t="b">
        <f>IFERROR(__xludf.DUMMYFUNCTION("""COMPUTED_VALUE"""),FALSE)</f>
        <v>0</v>
      </c>
      <c r="E2088" s="23" t="str">
        <f>IFERROR(__xludf.DUMMYFUNCTION("""COMPUTED_VALUE"""),"Medium")</f>
        <v>Medium</v>
      </c>
      <c r="F2088" s="23">
        <f>IFERROR(__xludf.DUMMYFUNCTION("""COMPUTED_VALUE"""),289.0)</f>
        <v>289</v>
      </c>
      <c r="G2088" s="23">
        <f>IFERROR(__xludf.DUMMYFUNCTION("""COMPUTED_VALUE"""),51.0)</f>
        <v>51</v>
      </c>
      <c r="H2088" s="23" t="str">
        <f>IFERROR(__xludf.DUMMYFUNCTION("""COMPUTED_VALUE"""),"Algorithms")</f>
        <v>Algorithms</v>
      </c>
      <c r="I2088" s="23">
        <f>IFERROR(__xludf.DUMMYFUNCTION("""COMPUTED_VALUE"""),0.501)</f>
        <v>0.501</v>
      </c>
      <c r="J2088" s="23">
        <f>IFERROR(__xludf.DUMMYFUNCTION("""COMPUTED_VALUE"""),2087.0)</f>
        <v>2087</v>
      </c>
      <c r="K2088" s="23" t="b">
        <f>IFERROR(__xludf.DUMMYFUNCTION("""COMPUTED_VALUE"""),FALSE)</f>
        <v>0</v>
      </c>
      <c r="L2088" s="23" t="str">
        <f>IFERROR(__xludf.DUMMYFUNCTION("""COMPUTED_VALUE"""),"Array;Greedy;Matrix;")</f>
        <v>Array;Greedy;Matrix;</v>
      </c>
      <c r="M2088" s="23" t="b">
        <f>IFERROR(__xludf.DUMMYFUNCTION("""COMPUTED_VALUE"""),FALSE)</f>
        <v>0</v>
      </c>
      <c r="N2088" s="23" t="b">
        <f>IFERROR(__xludf.DUMMYFUNCTION("""COMPUTED_VALUE"""),FALSE)</f>
        <v>0</v>
      </c>
      <c r="O2088" s="23">
        <f>IFERROR(__xludf.DUMMYFUNCTION("""COMPUTED_VALUE"""),50.097943192948)</f>
        <v>50.09794319</v>
      </c>
      <c r="P2088" s="23">
        <f>IFERROR(__xludf.DUMMYFUNCTION("""COMPUTED_VALUE"""),8184.0)</f>
        <v>8184</v>
      </c>
      <c r="Q2088" s="23">
        <f>IFERROR(__xludf.DUMMYFUNCTION("""COMPUTED_VALUE"""),16336.0)</f>
        <v>16336</v>
      </c>
    </row>
    <row r="2089">
      <c r="A2089" s="23">
        <f>IFERROR(__xludf.DUMMYFUNCTION("""COMPUTED_VALUE"""),2193.0)</f>
        <v>2193</v>
      </c>
      <c r="B2089" s="23" t="str">
        <f>IFERROR(__xludf.DUMMYFUNCTION("""COMPUTED_VALUE"""),"Count Fertile Pyramids in a Land")</f>
        <v>Count Fertile Pyramids in a Land</v>
      </c>
      <c r="C2089" s="23" t="str">
        <f>IFERROR(__xludf.DUMMYFUNCTION("""COMPUTED_VALUE"""),"count-fertile-pyramids-in-a-land")</f>
        <v>count-fertile-pyramids-in-a-land</v>
      </c>
      <c r="D2089" s="23" t="b">
        <f>IFERROR(__xludf.DUMMYFUNCTION("""COMPUTED_VALUE"""),FALSE)</f>
        <v>0</v>
      </c>
      <c r="E2089" s="23" t="str">
        <f>IFERROR(__xludf.DUMMYFUNCTION("""COMPUTED_VALUE"""),"Hard")</f>
        <v>Hard</v>
      </c>
      <c r="F2089" s="23">
        <f>IFERROR(__xludf.DUMMYFUNCTION("""COMPUTED_VALUE"""),173.0)</f>
        <v>173</v>
      </c>
      <c r="G2089" s="23">
        <f>IFERROR(__xludf.DUMMYFUNCTION("""COMPUTED_VALUE"""),7.0)</f>
        <v>7</v>
      </c>
      <c r="H2089" s="23" t="str">
        <f>IFERROR(__xludf.DUMMYFUNCTION("""COMPUTED_VALUE"""),"Algorithms")</f>
        <v>Algorithms</v>
      </c>
      <c r="I2089" s="23">
        <f>IFERROR(__xludf.DUMMYFUNCTION("""COMPUTED_VALUE"""),0.627)</f>
        <v>0.627</v>
      </c>
      <c r="J2089" s="23">
        <f>IFERROR(__xludf.DUMMYFUNCTION("""COMPUTED_VALUE"""),2088.0)</f>
        <v>2088</v>
      </c>
      <c r="K2089" s="23" t="b">
        <f>IFERROR(__xludf.DUMMYFUNCTION("""COMPUTED_VALUE"""),FALSE)</f>
        <v>0</v>
      </c>
      <c r="L2089" s="23" t="str">
        <f>IFERROR(__xludf.DUMMYFUNCTION("""COMPUTED_VALUE"""),"Array;Dynamic Programming;Matrix;")</f>
        <v>Array;Dynamic Programming;Matrix;</v>
      </c>
      <c r="M2089" s="23" t="b">
        <f>IFERROR(__xludf.DUMMYFUNCTION("""COMPUTED_VALUE"""),FALSE)</f>
        <v>0</v>
      </c>
      <c r="N2089" s="23" t="b">
        <f>IFERROR(__xludf.DUMMYFUNCTION("""COMPUTED_VALUE"""),FALSE)</f>
        <v>0</v>
      </c>
      <c r="O2089" s="23">
        <f>IFERROR(__xludf.DUMMYFUNCTION("""COMPUTED_VALUE"""),62.7275736511089)</f>
        <v>62.72757365</v>
      </c>
      <c r="P2089" s="23">
        <f>IFERROR(__xludf.DUMMYFUNCTION("""COMPUTED_VALUE"""),3790.0)</f>
        <v>3790</v>
      </c>
      <c r="Q2089" s="23">
        <f>IFERROR(__xludf.DUMMYFUNCTION("""COMPUTED_VALUE"""),6042.0)</f>
        <v>6042</v>
      </c>
    </row>
    <row r="2090">
      <c r="A2090" s="23">
        <f>IFERROR(__xludf.DUMMYFUNCTION("""COMPUTED_VALUE"""),2210.0)</f>
        <v>2210</v>
      </c>
      <c r="B2090" s="23" t="str">
        <f>IFERROR(__xludf.DUMMYFUNCTION("""COMPUTED_VALUE"""),"Find Target Indices After Sorting Array")</f>
        <v>Find Target Indices After Sorting Array</v>
      </c>
      <c r="C2090" s="23" t="str">
        <f>IFERROR(__xludf.DUMMYFUNCTION("""COMPUTED_VALUE"""),"find-target-indices-after-sorting-array")</f>
        <v>find-target-indices-after-sorting-array</v>
      </c>
      <c r="D2090" s="23" t="b">
        <f>IFERROR(__xludf.DUMMYFUNCTION("""COMPUTED_VALUE"""),FALSE)</f>
        <v>0</v>
      </c>
      <c r="E2090" s="23" t="str">
        <f>IFERROR(__xludf.DUMMYFUNCTION("""COMPUTED_VALUE"""),"Easy")</f>
        <v>Easy</v>
      </c>
      <c r="F2090" s="23">
        <f>IFERROR(__xludf.DUMMYFUNCTION("""COMPUTED_VALUE"""),590.0)</f>
        <v>590</v>
      </c>
      <c r="G2090" s="23">
        <f>IFERROR(__xludf.DUMMYFUNCTION("""COMPUTED_VALUE"""),31.0)</f>
        <v>31</v>
      </c>
      <c r="H2090" s="23" t="str">
        <f>IFERROR(__xludf.DUMMYFUNCTION("""COMPUTED_VALUE"""),"Algorithms")</f>
        <v>Algorithms</v>
      </c>
      <c r="I2090" s="23">
        <f>IFERROR(__xludf.DUMMYFUNCTION("""COMPUTED_VALUE"""),0.788)</f>
        <v>0.788</v>
      </c>
      <c r="J2090" s="23">
        <f>IFERROR(__xludf.DUMMYFUNCTION("""COMPUTED_VALUE"""),2089.0)</f>
        <v>2089</v>
      </c>
      <c r="K2090" s="23" t="b">
        <f>IFERROR(__xludf.DUMMYFUNCTION("""COMPUTED_VALUE"""),FALSE)</f>
        <v>0</v>
      </c>
      <c r="L2090" s="23" t="str">
        <f>IFERROR(__xludf.DUMMYFUNCTION("""COMPUTED_VALUE"""),"Array;Binary Search;Sorting;")</f>
        <v>Array;Binary Search;Sorting;</v>
      </c>
      <c r="M2090" s="23" t="b">
        <f>IFERROR(__xludf.DUMMYFUNCTION("""COMPUTED_VALUE"""),FALSE)</f>
        <v>0</v>
      </c>
      <c r="N2090" s="23" t="b">
        <f>IFERROR(__xludf.DUMMYFUNCTION("""COMPUTED_VALUE"""),FALSE)</f>
        <v>0</v>
      </c>
      <c r="O2090" s="23">
        <f>IFERROR(__xludf.DUMMYFUNCTION("""COMPUTED_VALUE"""),78.8347671492926)</f>
        <v>78.83476715</v>
      </c>
      <c r="P2090" s="23">
        <f>IFERROR(__xludf.DUMMYFUNCTION("""COMPUTED_VALUE"""),52322.0)</f>
        <v>52322</v>
      </c>
      <c r="Q2090" s="23">
        <f>IFERROR(__xludf.DUMMYFUNCTION("""COMPUTED_VALUE"""),66369.0)</f>
        <v>66369</v>
      </c>
    </row>
    <row r="2091">
      <c r="A2091" s="23">
        <f>IFERROR(__xludf.DUMMYFUNCTION("""COMPUTED_VALUE"""),2211.0)</f>
        <v>2211</v>
      </c>
      <c r="B2091" s="23" t="str">
        <f>IFERROR(__xludf.DUMMYFUNCTION("""COMPUTED_VALUE"""),"K Radius Subarray Averages")</f>
        <v>K Radius Subarray Averages</v>
      </c>
      <c r="C2091" s="23" t="str">
        <f>IFERROR(__xludf.DUMMYFUNCTION("""COMPUTED_VALUE"""),"k-radius-subarray-averages")</f>
        <v>k-radius-subarray-averages</v>
      </c>
      <c r="D2091" s="23" t="b">
        <f>IFERROR(__xludf.DUMMYFUNCTION("""COMPUTED_VALUE"""),FALSE)</f>
        <v>0</v>
      </c>
      <c r="E2091" s="23" t="str">
        <f>IFERROR(__xludf.DUMMYFUNCTION("""COMPUTED_VALUE"""),"Medium")</f>
        <v>Medium</v>
      </c>
      <c r="F2091" s="23">
        <f>IFERROR(__xludf.DUMMYFUNCTION("""COMPUTED_VALUE"""),270.0)</f>
        <v>270</v>
      </c>
      <c r="G2091" s="23">
        <f>IFERROR(__xludf.DUMMYFUNCTION("""COMPUTED_VALUE"""),10.0)</f>
        <v>10</v>
      </c>
      <c r="H2091" s="23" t="str">
        <f>IFERROR(__xludf.DUMMYFUNCTION("""COMPUTED_VALUE"""),"Algorithms")</f>
        <v>Algorithms</v>
      </c>
      <c r="I2091" s="23">
        <f>IFERROR(__xludf.DUMMYFUNCTION("""COMPUTED_VALUE"""),0.411)</f>
        <v>0.411</v>
      </c>
      <c r="J2091" s="23">
        <f>IFERROR(__xludf.DUMMYFUNCTION("""COMPUTED_VALUE"""),2090.0)</f>
        <v>2090</v>
      </c>
      <c r="K2091" s="23" t="b">
        <f>IFERROR(__xludf.DUMMYFUNCTION("""COMPUTED_VALUE"""),FALSE)</f>
        <v>0</v>
      </c>
      <c r="L2091" s="23" t="str">
        <f>IFERROR(__xludf.DUMMYFUNCTION("""COMPUTED_VALUE"""),"Array;Sliding Window;")</f>
        <v>Array;Sliding Window;</v>
      </c>
      <c r="M2091" s="23" t="b">
        <f>IFERROR(__xludf.DUMMYFUNCTION("""COMPUTED_VALUE"""),FALSE)</f>
        <v>0</v>
      </c>
      <c r="N2091" s="23" t="b">
        <f>IFERROR(__xludf.DUMMYFUNCTION("""COMPUTED_VALUE"""),FALSE)</f>
        <v>0</v>
      </c>
      <c r="O2091" s="23">
        <f>IFERROR(__xludf.DUMMYFUNCTION("""COMPUTED_VALUE"""),41.0558673397444)</f>
        <v>41.05586734</v>
      </c>
      <c r="P2091" s="23">
        <f>IFERROR(__xludf.DUMMYFUNCTION("""COMPUTED_VALUE"""),14558.0)</f>
        <v>14558</v>
      </c>
      <c r="Q2091" s="23">
        <f>IFERROR(__xludf.DUMMYFUNCTION("""COMPUTED_VALUE"""),35459.0)</f>
        <v>35459</v>
      </c>
    </row>
    <row r="2092">
      <c r="A2092" s="23">
        <f>IFERROR(__xludf.DUMMYFUNCTION("""COMPUTED_VALUE"""),2212.0)</f>
        <v>2212</v>
      </c>
      <c r="B2092" s="23" t="str">
        <f>IFERROR(__xludf.DUMMYFUNCTION("""COMPUTED_VALUE"""),"Removing Minimum and Maximum From Array")</f>
        <v>Removing Minimum and Maximum From Array</v>
      </c>
      <c r="C2092" s="23" t="str">
        <f>IFERROR(__xludf.DUMMYFUNCTION("""COMPUTED_VALUE"""),"removing-minimum-and-maximum-from-array")</f>
        <v>removing-minimum-and-maximum-from-array</v>
      </c>
      <c r="D2092" s="23" t="b">
        <f>IFERROR(__xludf.DUMMYFUNCTION("""COMPUTED_VALUE"""),FALSE)</f>
        <v>0</v>
      </c>
      <c r="E2092" s="23" t="str">
        <f>IFERROR(__xludf.DUMMYFUNCTION("""COMPUTED_VALUE"""),"Medium")</f>
        <v>Medium</v>
      </c>
      <c r="F2092" s="23">
        <f>IFERROR(__xludf.DUMMYFUNCTION("""COMPUTED_VALUE"""),329.0)</f>
        <v>329</v>
      </c>
      <c r="G2092" s="23">
        <f>IFERROR(__xludf.DUMMYFUNCTION("""COMPUTED_VALUE"""),16.0)</f>
        <v>16</v>
      </c>
      <c r="H2092" s="23" t="str">
        <f>IFERROR(__xludf.DUMMYFUNCTION("""COMPUTED_VALUE"""),"Algorithms")</f>
        <v>Algorithms</v>
      </c>
      <c r="I2092" s="23">
        <f>IFERROR(__xludf.DUMMYFUNCTION("""COMPUTED_VALUE"""),0.575)</f>
        <v>0.575</v>
      </c>
      <c r="J2092" s="23">
        <f>IFERROR(__xludf.DUMMYFUNCTION("""COMPUTED_VALUE"""),2091.0)</f>
        <v>2091</v>
      </c>
      <c r="K2092" s="23" t="b">
        <f>IFERROR(__xludf.DUMMYFUNCTION("""COMPUTED_VALUE"""),FALSE)</f>
        <v>0</v>
      </c>
      <c r="L2092" s="23" t="str">
        <f>IFERROR(__xludf.DUMMYFUNCTION("""COMPUTED_VALUE"""),"Array;Greedy;")</f>
        <v>Array;Greedy;</v>
      </c>
      <c r="M2092" s="23" t="b">
        <f>IFERROR(__xludf.DUMMYFUNCTION("""COMPUTED_VALUE"""),FALSE)</f>
        <v>0</v>
      </c>
      <c r="N2092" s="23" t="b">
        <f>IFERROR(__xludf.DUMMYFUNCTION("""COMPUTED_VALUE"""),FALSE)</f>
        <v>0</v>
      </c>
      <c r="O2092" s="23">
        <f>IFERROR(__xludf.DUMMYFUNCTION("""COMPUTED_VALUE"""),57.4631535038932)</f>
        <v>57.4631535</v>
      </c>
      <c r="P2092" s="23">
        <f>IFERROR(__xludf.DUMMYFUNCTION("""COMPUTED_VALUE"""),16531.0)</f>
        <v>16531</v>
      </c>
      <c r="Q2092" s="23">
        <f>IFERROR(__xludf.DUMMYFUNCTION("""COMPUTED_VALUE"""),28768.0)</f>
        <v>28768</v>
      </c>
    </row>
    <row r="2093">
      <c r="A2093" s="23">
        <f>IFERROR(__xludf.DUMMYFUNCTION("""COMPUTED_VALUE"""),2213.0)</f>
        <v>2213</v>
      </c>
      <c r="B2093" s="23" t="str">
        <f>IFERROR(__xludf.DUMMYFUNCTION("""COMPUTED_VALUE"""),"Find All People With Secret")</f>
        <v>Find All People With Secret</v>
      </c>
      <c r="C2093" s="23" t="str">
        <f>IFERROR(__xludf.DUMMYFUNCTION("""COMPUTED_VALUE"""),"find-all-people-with-secret")</f>
        <v>find-all-people-with-secret</v>
      </c>
      <c r="D2093" s="23" t="b">
        <f>IFERROR(__xludf.DUMMYFUNCTION("""COMPUTED_VALUE"""),FALSE)</f>
        <v>0</v>
      </c>
      <c r="E2093" s="23" t="str">
        <f>IFERROR(__xludf.DUMMYFUNCTION("""COMPUTED_VALUE"""),"Hard")</f>
        <v>Hard</v>
      </c>
      <c r="F2093" s="23">
        <f>IFERROR(__xludf.DUMMYFUNCTION("""COMPUTED_VALUE"""),442.0)</f>
        <v>442</v>
      </c>
      <c r="G2093" s="23">
        <f>IFERROR(__xludf.DUMMYFUNCTION("""COMPUTED_VALUE"""),20.0)</f>
        <v>20</v>
      </c>
      <c r="H2093" s="23" t="str">
        <f>IFERROR(__xludf.DUMMYFUNCTION("""COMPUTED_VALUE"""),"Algorithms")</f>
        <v>Algorithms</v>
      </c>
      <c r="I2093" s="23">
        <f>IFERROR(__xludf.DUMMYFUNCTION("""COMPUTED_VALUE"""),0.332)</f>
        <v>0.332</v>
      </c>
      <c r="J2093" s="23">
        <f>IFERROR(__xludf.DUMMYFUNCTION("""COMPUTED_VALUE"""),2092.0)</f>
        <v>2092</v>
      </c>
      <c r="K2093" s="23" t="b">
        <f>IFERROR(__xludf.DUMMYFUNCTION("""COMPUTED_VALUE"""),FALSE)</f>
        <v>0</v>
      </c>
      <c r="L2093" s="23" t="str">
        <f>IFERROR(__xludf.DUMMYFUNCTION("""COMPUTED_VALUE"""),"Depth-First Search;Breadth-First Search;Union Find;Graph;Sorting;")</f>
        <v>Depth-First Search;Breadth-First Search;Union Find;Graph;Sorting;</v>
      </c>
      <c r="M2093" s="23" t="b">
        <f>IFERROR(__xludf.DUMMYFUNCTION("""COMPUTED_VALUE"""),FALSE)</f>
        <v>0</v>
      </c>
      <c r="N2093" s="23" t="b">
        <f>IFERROR(__xludf.DUMMYFUNCTION("""COMPUTED_VALUE"""),FALSE)</f>
        <v>0</v>
      </c>
      <c r="O2093" s="23">
        <f>IFERROR(__xludf.DUMMYFUNCTION("""COMPUTED_VALUE"""),33.2326508380579)</f>
        <v>33.23265084</v>
      </c>
      <c r="P2093" s="23">
        <f>IFERROR(__xludf.DUMMYFUNCTION("""COMPUTED_VALUE"""),13422.0)</f>
        <v>13422</v>
      </c>
      <c r="Q2093" s="23">
        <f>IFERROR(__xludf.DUMMYFUNCTION("""COMPUTED_VALUE"""),40390.0)</f>
        <v>40390</v>
      </c>
    </row>
    <row r="2094">
      <c r="A2094" s="23">
        <f>IFERROR(__xludf.DUMMYFUNCTION("""COMPUTED_VALUE"""),2230.0)</f>
        <v>2230</v>
      </c>
      <c r="B2094" s="23" t="str">
        <f>IFERROR(__xludf.DUMMYFUNCTION("""COMPUTED_VALUE"""),"Minimum Cost to Reach City With Discounts")</f>
        <v>Minimum Cost to Reach City With Discounts</v>
      </c>
      <c r="C2094" s="23" t="str">
        <f>IFERROR(__xludf.DUMMYFUNCTION("""COMPUTED_VALUE"""),"minimum-cost-to-reach-city-with-discounts")</f>
        <v>minimum-cost-to-reach-city-with-discounts</v>
      </c>
      <c r="D2094" s="23" t="b">
        <f>IFERROR(__xludf.DUMMYFUNCTION("""COMPUTED_VALUE"""),TRUE)</f>
        <v>1</v>
      </c>
      <c r="E2094" s="23" t="str">
        <f>IFERROR(__xludf.DUMMYFUNCTION("""COMPUTED_VALUE"""),"Medium")</f>
        <v>Medium</v>
      </c>
      <c r="F2094" s="23">
        <f>IFERROR(__xludf.DUMMYFUNCTION("""COMPUTED_VALUE"""),86.0)</f>
        <v>86</v>
      </c>
      <c r="G2094" s="23">
        <f>IFERROR(__xludf.DUMMYFUNCTION("""COMPUTED_VALUE"""),6.0)</f>
        <v>6</v>
      </c>
      <c r="H2094" s="23" t="str">
        <f>IFERROR(__xludf.DUMMYFUNCTION("""COMPUTED_VALUE"""),"Algorithms")</f>
        <v>Algorithms</v>
      </c>
      <c r="I2094" s="23">
        <f>IFERROR(__xludf.DUMMYFUNCTION("""COMPUTED_VALUE"""),0.568)</f>
        <v>0.568</v>
      </c>
      <c r="J2094" s="23">
        <f>IFERROR(__xludf.DUMMYFUNCTION("""COMPUTED_VALUE"""),2093.0)</f>
        <v>2093</v>
      </c>
      <c r="K2094" s="23" t="b">
        <f>IFERROR(__xludf.DUMMYFUNCTION("""COMPUTED_VALUE"""),TRUE)</f>
        <v>1</v>
      </c>
      <c r="L2094" s="23" t="str">
        <f>IFERROR(__xludf.DUMMYFUNCTION("""COMPUTED_VALUE"""),"Graph;Shortest Path;")</f>
        <v>Graph;Shortest Path;</v>
      </c>
      <c r="M2094" s="23" t="b">
        <f>IFERROR(__xludf.DUMMYFUNCTION("""COMPUTED_VALUE"""),FALSE)</f>
        <v>0</v>
      </c>
      <c r="N2094" s="23" t="b">
        <f>IFERROR(__xludf.DUMMYFUNCTION("""COMPUTED_VALUE"""),FALSE)</f>
        <v>0</v>
      </c>
      <c r="O2094" s="23">
        <f>IFERROR(__xludf.DUMMYFUNCTION("""COMPUTED_VALUE"""),56.8169473112438)</f>
        <v>56.81694731</v>
      </c>
      <c r="P2094" s="23">
        <f>IFERROR(__xludf.DUMMYFUNCTION("""COMPUTED_VALUE"""),2092.0)</f>
        <v>2092</v>
      </c>
      <c r="Q2094" s="23">
        <f>IFERROR(__xludf.DUMMYFUNCTION("""COMPUTED_VALUE"""),3682.0)</f>
        <v>3682</v>
      </c>
    </row>
    <row r="2095">
      <c r="A2095" s="23">
        <f>IFERROR(__xludf.DUMMYFUNCTION("""COMPUTED_VALUE"""),2215.0)</f>
        <v>2215</v>
      </c>
      <c r="B2095" s="23" t="str">
        <f>IFERROR(__xludf.DUMMYFUNCTION("""COMPUTED_VALUE"""),"Finding 3-Digit Even Numbers")</f>
        <v>Finding 3-Digit Even Numbers</v>
      </c>
      <c r="C2095" s="23" t="str">
        <f>IFERROR(__xludf.DUMMYFUNCTION("""COMPUTED_VALUE"""),"finding-3-digit-even-numbers")</f>
        <v>finding-3-digit-even-numbers</v>
      </c>
      <c r="D2095" s="23" t="b">
        <f>IFERROR(__xludf.DUMMYFUNCTION("""COMPUTED_VALUE"""),FALSE)</f>
        <v>0</v>
      </c>
      <c r="E2095" s="23" t="str">
        <f>IFERROR(__xludf.DUMMYFUNCTION("""COMPUTED_VALUE"""),"Easy")</f>
        <v>Easy</v>
      </c>
      <c r="F2095" s="23">
        <f>IFERROR(__xludf.DUMMYFUNCTION("""COMPUTED_VALUE"""),216.0)</f>
        <v>216</v>
      </c>
      <c r="G2095" s="23">
        <f>IFERROR(__xludf.DUMMYFUNCTION("""COMPUTED_VALUE"""),171.0)</f>
        <v>171</v>
      </c>
      <c r="H2095" s="23" t="str">
        <f>IFERROR(__xludf.DUMMYFUNCTION("""COMPUTED_VALUE"""),"Algorithms")</f>
        <v>Algorithms</v>
      </c>
      <c r="I2095" s="23">
        <f>IFERROR(__xludf.DUMMYFUNCTION("""COMPUTED_VALUE"""),0.565)</f>
        <v>0.565</v>
      </c>
      <c r="J2095" s="23">
        <f>IFERROR(__xludf.DUMMYFUNCTION("""COMPUTED_VALUE"""),2094.0)</f>
        <v>2094</v>
      </c>
      <c r="K2095" s="23" t="b">
        <f>IFERROR(__xludf.DUMMYFUNCTION("""COMPUTED_VALUE"""),FALSE)</f>
        <v>0</v>
      </c>
      <c r="L2095" s="23" t="str">
        <f>IFERROR(__xludf.DUMMYFUNCTION("""COMPUTED_VALUE"""),"Array;Hash Table;Sorting;Enumeration;")</f>
        <v>Array;Hash Table;Sorting;Enumeration;</v>
      </c>
      <c r="M2095" s="23" t="b">
        <f>IFERROR(__xludf.DUMMYFUNCTION("""COMPUTED_VALUE"""),FALSE)</f>
        <v>0</v>
      </c>
      <c r="N2095" s="23" t="b">
        <f>IFERROR(__xludf.DUMMYFUNCTION("""COMPUTED_VALUE"""),FALSE)</f>
        <v>0</v>
      </c>
      <c r="O2095" s="23">
        <f>IFERROR(__xludf.DUMMYFUNCTION("""COMPUTED_VALUE"""),56.4829610910847)</f>
        <v>56.48296109</v>
      </c>
      <c r="P2095" s="23">
        <f>IFERROR(__xludf.DUMMYFUNCTION("""COMPUTED_VALUE"""),15199.0)</f>
        <v>15199</v>
      </c>
      <c r="Q2095" s="23">
        <f>IFERROR(__xludf.DUMMYFUNCTION("""COMPUTED_VALUE"""),26909.0)</f>
        <v>26909</v>
      </c>
    </row>
    <row r="2096">
      <c r="A2096" s="23">
        <f>IFERROR(__xludf.DUMMYFUNCTION("""COMPUTED_VALUE"""),2216.0)</f>
        <v>2216</v>
      </c>
      <c r="B2096" s="23" t="str">
        <f>IFERROR(__xludf.DUMMYFUNCTION("""COMPUTED_VALUE"""),"Delete the Middle Node of a Linked List")</f>
        <v>Delete the Middle Node of a Linked List</v>
      </c>
      <c r="C2096" s="23" t="str">
        <f>IFERROR(__xludf.DUMMYFUNCTION("""COMPUTED_VALUE"""),"delete-the-middle-node-of-a-linked-list")</f>
        <v>delete-the-middle-node-of-a-linked-list</v>
      </c>
      <c r="D2096" s="23" t="b">
        <f>IFERROR(__xludf.DUMMYFUNCTION("""COMPUTED_VALUE"""),FALSE)</f>
        <v>0</v>
      </c>
      <c r="E2096" s="23" t="str">
        <f>IFERROR(__xludf.DUMMYFUNCTION("""COMPUTED_VALUE"""),"Medium")</f>
        <v>Medium</v>
      </c>
      <c r="F2096" s="23">
        <f>IFERROR(__xludf.DUMMYFUNCTION("""COMPUTED_VALUE"""),724.0)</f>
        <v>724</v>
      </c>
      <c r="G2096" s="23">
        <f>IFERROR(__xludf.DUMMYFUNCTION("""COMPUTED_VALUE"""),24.0)</f>
        <v>24</v>
      </c>
      <c r="H2096" s="23" t="str">
        <f>IFERROR(__xludf.DUMMYFUNCTION("""COMPUTED_VALUE"""),"Algorithms")</f>
        <v>Algorithms</v>
      </c>
      <c r="I2096" s="23">
        <f>IFERROR(__xludf.DUMMYFUNCTION("""COMPUTED_VALUE"""),0.57)</f>
        <v>0.57</v>
      </c>
      <c r="J2096" s="23">
        <f>IFERROR(__xludf.DUMMYFUNCTION("""COMPUTED_VALUE"""),2095.0)</f>
        <v>2095</v>
      </c>
      <c r="K2096" s="23" t="b">
        <f>IFERROR(__xludf.DUMMYFUNCTION("""COMPUTED_VALUE"""),FALSE)</f>
        <v>0</v>
      </c>
      <c r="L2096" s="23" t="str">
        <f>IFERROR(__xludf.DUMMYFUNCTION("""COMPUTED_VALUE"""),"Linked List;Two Pointers;")</f>
        <v>Linked List;Two Pointers;</v>
      </c>
      <c r="M2096" s="23" t="b">
        <f>IFERROR(__xludf.DUMMYFUNCTION("""COMPUTED_VALUE"""),FALSE)</f>
        <v>0</v>
      </c>
      <c r="N2096" s="23" t="b">
        <f>IFERROR(__xludf.DUMMYFUNCTION("""COMPUTED_VALUE"""),FALSE)</f>
        <v>0</v>
      </c>
      <c r="O2096" s="23">
        <f>IFERROR(__xludf.DUMMYFUNCTION("""COMPUTED_VALUE"""),57.0485421571077)</f>
        <v>57.04854216</v>
      </c>
      <c r="P2096" s="23">
        <f>IFERROR(__xludf.DUMMYFUNCTION("""COMPUTED_VALUE"""),43377.0)</f>
        <v>43377</v>
      </c>
      <c r="Q2096" s="23">
        <f>IFERROR(__xludf.DUMMYFUNCTION("""COMPUTED_VALUE"""),76036.0)</f>
        <v>76036</v>
      </c>
    </row>
    <row r="2097">
      <c r="A2097" s="23">
        <f>IFERROR(__xludf.DUMMYFUNCTION("""COMPUTED_VALUE"""),2217.0)</f>
        <v>2217</v>
      </c>
      <c r="B2097" s="23" t="str">
        <f>IFERROR(__xludf.DUMMYFUNCTION("""COMPUTED_VALUE"""),"Step-By-Step Directions From a Binary Tree Node to Another")</f>
        <v>Step-By-Step Directions From a Binary Tree Node to Another</v>
      </c>
      <c r="C2097" s="23" t="str">
        <f>IFERROR(__xludf.DUMMYFUNCTION("""COMPUTED_VALUE"""),"step-by-step-directions-from-a-binary-tree-node-to-another")</f>
        <v>step-by-step-directions-from-a-binary-tree-node-to-another</v>
      </c>
      <c r="D2097" s="23" t="b">
        <f>IFERROR(__xludf.DUMMYFUNCTION("""COMPUTED_VALUE"""),FALSE)</f>
        <v>0</v>
      </c>
      <c r="E2097" s="23" t="str">
        <f>IFERROR(__xludf.DUMMYFUNCTION("""COMPUTED_VALUE"""),"Medium")</f>
        <v>Medium</v>
      </c>
      <c r="F2097" s="23">
        <f>IFERROR(__xludf.DUMMYFUNCTION("""COMPUTED_VALUE"""),840.0)</f>
        <v>840</v>
      </c>
      <c r="G2097" s="23">
        <f>IFERROR(__xludf.DUMMYFUNCTION("""COMPUTED_VALUE"""),58.0)</f>
        <v>58</v>
      </c>
      <c r="H2097" s="23" t="str">
        <f>IFERROR(__xludf.DUMMYFUNCTION("""COMPUTED_VALUE"""),"Algorithms")</f>
        <v>Algorithms</v>
      </c>
      <c r="I2097" s="23">
        <f>IFERROR(__xludf.DUMMYFUNCTION("""COMPUTED_VALUE"""),0.485)</f>
        <v>0.485</v>
      </c>
      <c r="J2097" s="23">
        <f>IFERROR(__xludf.DUMMYFUNCTION("""COMPUTED_VALUE"""),2096.0)</f>
        <v>2096</v>
      </c>
      <c r="K2097" s="23" t="b">
        <f>IFERROR(__xludf.DUMMYFUNCTION("""COMPUTED_VALUE"""),FALSE)</f>
        <v>0</v>
      </c>
      <c r="L2097" s="23" t="str">
        <f>IFERROR(__xludf.DUMMYFUNCTION("""COMPUTED_VALUE"""),"String;Tree;Depth-First Search;Binary Tree;")</f>
        <v>String;Tree;Depth-First Search;Binary Tree;</v>
      </c>
      <c r="M2097" s="23" t="b">
        <f>IFERROR(__xludf.DUMMYFUNCTION("""COMPUTED_VALUE"""),FALSE)</f>
        <v>0</v>
      </c>
      <c r="N2097" s="23" t="b">
        <f>IFERROR(__xludf.DUMMYFUNCTION("""COMPUTED_VALUE"""),FALSE)</f>
        <v>0</v>
      </c>
      <c r="O2097" s="23">
        <f>IFERROR(__xludf.DUMMYFUNCTION("""COMPUTED_VALUE"""),48.4902201415087)</f>
        <v>48.49022014</v>
      </c>
      <c r="P2097" s="23">
        <f>IFERROR(__xludf.DUMMYFUNCTION("""COMPUTED_VALUE"""),32004.0)</f>
        <v>32004</v>
      </c>
      <c r="Q2097" s="23">
        <f>IFERROR(__xludf.DUMMYFUNCTION("""COMPUTED_VALUE"""),65999.0)</f>
        <v>65999</v>
      </c>
    </row>
    <row r="2098">
      <c r="A2098" s="23">
        <f>IFERROR(__xludf.DUMMYFUNCTION("""COMPUTED_VALUE"""),2201.0)</f>
        <v>2201</v>
      </c>
      <c r="B2098" s="23" t="str">
        <f>IFERROR(__xludf.DUMMYFUNCTION("""COMPUTED_VALUE"""),"Valid Arrangement of Pairs")</f>
        <v>Valid Arrangement of Pairs</v>
      </c>
      <c r="C2098" s="23" t="str">
        <f>IFERROR(__xludf.DUMMYFUNCTION("""COMPUTED_VALUE"""),"valid-arrangement-of-pairs")</f>
        <v>valid-arrangement-of-pairs</v>
      </c>
      <c r="D2098" s="23" t="b">
        <f>IFERROR(__xludf.DUMMYFUNCTION("""COMPUTED_VALUE"""),FALSE)</f>
        <v>0</v>
      </c>
      <c r="E2098" s="23" t="str">
        <f>IFERROR(__xludf.DUMMYFUNCTION("""COMPUTED_VALUE"""),"Hard")</f>
        <v>Hard</v>
      </c>
      <c r="F2098" s="23">
        <f>IFERROR(__xludf.DUMMYFUNCTION("""COMPUTED_VALUE"""),243.0)</f>
        <v>243</v>
      </c>
      <c r="G2098" s="23">
        <f>IFERROR(__xludf.DUMMYFUNCTION("""COMPUTED_VALUE"""),10.0)</f>
        <v>10</v>
      </c>
      <c r="H2098" s="23" t="str">
        <f>IFERROR(__xludf.DUMMYFUNCTION("""COMPUTED_VALUE"""),"Algorithms")</f>
        <v>Algorithms</v>
      </c>
      <c r="I2098" s="23">
        <f>IFERROR(__xludf.DUMMYFUNCTION("""COMPUTED_VALUE"""),0.4)</f>
        <v>0.4</v>
      </c>
      <c r="J2098" s="23">
        <f>IFERROR(__xludf.DUMMYFUNCTION("""COMPUTED_VALUE"""),2097.0)</f>
        <v>2097</v>
      </c>
      <c r="K2098" s="23" t="b">
        <f>IFERROR(__xludf.DUMMYFUNCTION("""COMPUTED_VALUE"""),FALSE)</f>
        <v>0</v>
      </c>
      <c r="L2098" s="23" t="str">
        <f>IFERROR(__xludf.DUMMYFUNCTION("""COMPUTED_VALUE"""),"Depth-First Search;Graph;Eulerian Circuit;")</f>
        <v>Depth-First Search;Graph;Eulerian Circuit;</v>
      </c>
      <c r="M2098" s="23" t="b">
        <f>IFERROR(__xludf.DUMMYFUNCTION("""COMPUTED_VALUE"""),FALSE)</f>
        <v>0</v>
      </c>
      <c r="N2098" s="23" t="b">
        <f>IFERROR(__xludf.DUMMYFUNCTION("""COMPUTED_VALUE"""),FALSE)</f>
        <v>0</v>
      </c>
      <c r="O2098" s="23">
        <f>IFERROR(__xludf.DUMMYFUNCTION("""COMPUTED_VALUE"""),40.0071250445315)</f>
        <v>40.00712504</v>
      </c>
      <c r="P2098" s="23">
        <f>IFERROR(__xludf.DUMMYFUNCTION("""COMPUTED_VALUE"""),4492.0)</f>
        <v>4492</v>
      </c>
      <c r="Q2098" s="23">
        <f>IFERROR(__xludf.DUMMYFUNCTION("""COMPUTED_VALUE"""),11228.0)</f>
        <v>11228</v>
      </c>
    </row>
    <row r="2099">
      <c r="A2099" s="23">
        <f>IFERROR(__xludf.DUMMYFUNCTION("""COMPUTED_VALUE"""),2242.0)</f>
        <v>2242</v>
      </c>
      <c r="B2099" s="23" t="str">
        <f>IFERROR(__xludf.DUMMYFUNCTION("""COMPUTED_VALUE"""),"Subsequence of Size K With the Largest Even Sum")</f>
        <v>Subsequence of Size K With the Largest Even Sum</v>
      </c>
      <c r="C2099" s="23" t="str">
        <f>IFERROR(__xludf.DUMMYFUNCTION("""COMPUTED_VALUE"""),"subsequence-of-size-k-with-the-largest-even-sum")</f>
        <v>subsequence-of-size-k-with-the-largest-even-sum</v>
      </c>
      <c r="D2099" s="23" t="b">
        <f>IFERROR(__xludf.DUMMYFUNCTION("""COMPUTED_VALUE"""),TRUE)</f>
        <v>1</v>
      </c>
      <c r="E2099" s="23" t="str">
        <f>IFERROR(__xludf.DUMMYFUNCTION("""COMPUTED_VALUE"""),"Medium")</f>
        <v>Medium</v>
      </c>
      <c r="F2099" s="23">
        <f>IFERROR(__xludf.DUMMYFUNCTION("""COMPUTED_VALUE"""),30.0)</f>
        <v>30</v>
      </c>
      <c r="G2099" s="23">
        <f>IFERROR(__xludf.DUMMYFUNCTION("""COMPUTED_VALUE"""),1.0)</f>
        <v>1</v>
      </c>
      <c r="H2099" s="23" t="str">
        <f>IFERROR(__xludf.DUMMYFUNCTION("""COMPUTED_VALUE"""),"Algorithms")</f>
        <v>Algorithms</v>
      </c>
      <c r="I2099" s="23">
        <f>IFERROR(__xludf.DUMMYFUNCTION("""COMPUTED_VALUE"""),0.394)</f>
        <v>0.394</v>
      </c>
      <c r="J2099" s="23">
        <f>IFERROR(__xludf.DUMMYFUNCTION("""COMPUTED_VALUE"""),2098.0)</f>
        <v>2098</v>
      </c>
      <c r="K2099" s="23" t="b">
        <f>IFERROR(__xludf.DUMMYFUNCTION("""COMPUTED_VALUE"""),TRUE)</f>
        <v>1</v>
      </c>
      <c r="L2099" s="23" t="str">
        <f>IFERROR(__xludf.DUMMYFUNCTION("""COMPUTED_VALUE"""),"Array;Greedy;Sorting;")</f>
        <v>Array;Greedy;Sorting;</v>
      </c>
      <c r="M2099" s="23" t="b">
        <f>IFERROR(__xludf.DUMMYFUNCTION("""COMPUTED_VALUE"""),FALSE)</f>
        <v>0</v>
      </c>
      <c r="N2099" s="23" t="b">
        <f>IFERROR(__xludf.DUMMYFUNCTION("""COMPUTED_VALUE"""),FALSE)</f>
        <v>0</v>
      </c>
      <c r="O2099" s="23">
        <f>IFERROR(__xludf.DUMMYFUNCTION("""COMPUTED_VALUE"""),39.3674293405114)</f>
        <v>39.36742934</v>
      </c>
      <c r="P2099" s="23">
        <f>IFERROR(__xludf.DUMMYFUNCTION("""COMPUTED_VALUE"""),1170.0)</f>
        <v>1170</v>
      </c>
      <c r="Q2099" s="23">
        <f>IFERROR(__xludf.DUMMYFUNCTION("""COMPUTED_VALUE"""),2972.0)</f>
        <v>2972</v>
      </c>
    </row>
    <row r="2100">
      <c r="A2100" s="23">
        <f>IFERROR(__xludf.DUMMYFUNCTION("""COMPUTED_VALUE"""),2204.0)</f>
        <v>2204</v>
      </c>
      <c r="B2100" s="23" t="str">
        <f>IFERROR(__xludf.DUMMYFUNCTION("""COMPUTED_VALUE"""),"Find Subsequence of Length K With the Largest Sum")</f>
        <v>Find Subsequence of Length K With the Largest Sum</v>
      </c>
      <c r="C2100" s="23" t="str">
        <f>IFERROR(__xludf.DUMMYFUNCTION("""COMPUTED_VALUE"""),"find-subsequence-of-length-k-with-the-largest-sum")</f>
        <v>find-subsequence-of-length-k-with-the-largest-sum</v>
      </c>
      <c r="D2100" s="23" t="b">
        <f>IFERROR(__xludf.DUMMYFUNCTION("""COMPUTED_VALUE"""),FALSE)</f>
        <v>0</v>
      </c>
      <c r="E2100" s="23" t="str">
        <f>IFERROR(__xludf.DUMMYFUNCTION("""COMPUTED_VALUE"""),"Easy")</f>
        <v>Easy</v>
      </c>
      <c r="F2100" s="23">
        <f>IFERROR(__xludf.DUMMYFUNCTION("""COMPUTED_VALUE"""),427.0)</f>
        <v>427</v>
      </c>
      <c r="G2100" s="23">
        <f>IFERROR(__xludf.DUMMYFUNCTION("""COMPUTED_VALUE"""),39.0)</f>
        <v>39</v>
      </c>
      <c r="H2100" s="23" t="str">
        <f>IFERROR(__xludf.DUMMYFUNCTION("""COMPUTED_VALUE"""),"Algorithms")</f>
        <v>Algorithms</v>
      </c>
      <c r="I2100" s="23">
        <f>IFERROR(__xludf.DUMMYFUNCTION("""COMPUTED_VALUE"""),0.436)</f>
        <v>0.436</v>
      </c>
      <c r="J2100" s="23">
        <f>IFERROR(__xludf.DUMMYFUNCTION("""COMPUTED_VALUE"""),2099.0)</f>
        <v>2099</v>
      </c>
      <c r="K2100" s="23" t="b">
        <f>IFERROR(__xludf.DUMMYFUNCTION("""COMPUTED_VALUE"""),FALSE)</f>
        <v>0</v>
      </c>
      <c r="L2100" s="23" t="str">
        <f>IFERROR(__xludf.DUMMYFUNCTION("""COMPUTED_VALUE"""),"Array;Hash Table;Sorting;Heap (Priority Queue);")</f>
        <v>Array;Hash Table;Sorting;Heap (Priority Queue);</v>
      </c>
      <c r="M2100" s="23" t="b">
        <f>IFERROR(__xludf.DUMMYFUNCTION("""COMPUTED_VALUE"""),FALSE)</f>
        <v>0</v>
      </c>
      <c r="N2100" s="23" t="b">
        <f>IFERROR(__xludf.DUMMYFUNCTION("""COMPUTED_VALUE"""),FALSE)</f>
        <v>0</v>
      </c>
      <c r="O2100" s="23">
        <f>IFERROR(__xludf.DUMMYFUNCTION("""COMPUTED_VALUE"""),43.6379903262784)</f>
        <v>43.63799033</v>
      </c>
      <c r="P2100" s="23">
        <f>IFERROR(__xludf.DUMMYFUNCTION("""COMPUTED_VALUE"""),15607.0)</f>
        <v>15607</v>
      </c>
      <c r="Q2100" s="23">
        <f>IFERROR(__xludf.DUMMYFUNCTION("""COMPUTED_VALUE"""),35766.0)</f>
        <v>35766</v>
      </c>
    </row>
    <row r="2101">
      <c r="A2101" s="23">
        <f>IFERROR(__xludf.DUMMYFUNCTION("""COMPUTED_VALUE"""),2205.0)</f>
        <v>2205</v>
      </c>
      <c r="B2101" s="23" t="str">
        <f>IFERROR(__xludf.DUMMYFUNCTION("""COMPUTED_VALUE"""),"Find Good Days to Rob the Bank")</f>
        <v>Find Good Days to Rob the Bank</v>
      </c>
      <c r="C2101" s="23" t="str">
        <f>IFERROR(__xludf.DUMMYFUNCTION("""COMPUTED_VALUE"""),"find-good-days-to-rob-the-bank")</f>
        <v>find-good-days-to-rob-the-bank</v>
      </c>
      <c r="D2101" s="23" t="b">
        <f>IFERROR(__xludf.DUMMYFUNCTION("""COMPUTED_VALUE"""),FALSE)</f>
        <v>0</v>
      </c>
      <c r="E2101" s="23" t="str">
        <f>IFERROR(__xludf.DUMMYFUNCTION("""COMPUTED_VALUE"""),"Medium")</f>
        <v>Medium</v>
      </c>
      <c r="F2101" s="23">
        <f>IFERROR(__xludf.DUMMYFUNCTION("""COMPUTED_VALUE"""),322.0)</f>
        <v>322</v>
      </c>
      <c r="G2101" s="23">
        <f>IFERROR(__xludf.DUMMYFUNCTION("""COMPUTED_VALUE"""),15.0)</f>
        <v>15</v>
      </c>
      <c r="H2101" s="23" t="str">
        <f>IFERROR(__xludf.DUMMYFUNCTION("""COMPUTED_VALUE"""),"Algorithms")</f>
        <v>Algorithms</v>
      </c>
      <c r="I2101" s="23">
        <f>IFERROR(__xludf.DUMMYFUNCTION("""COMPUTED_VALUE"""),0.466)</f>
        <v>0.466</v>
      </c>
      <c r="J2101" s="23">
        <f>IFERROR(__xludf.DUMMYFUNCTION("""COMPUTED_VALUE"""),2100.0)</f>
        <v>2100</v>
      </c>
      <c r="K2101" s="23" t="b">
        <f>IFERROR(__xludf.DUMMYFUNCTION("""COMPUTED_VALUE"""),FALSE)</f>
        <v>0</v>
      </c>
      <c r="L2101" s="23" t="str">
        <f>IFERROR(__xludf.DUMMYFUNCTION("""COMPUTED_VALUE"""),"Array;Dynamic Programming;Prefix Sum;")</f>
        <v>Array;Dynamic Programming;Prefix Sum;</v>
      </c>
      <c r="M2101" s="23" t="b">
        <f>IFERROR(__xludf.DUMMYFUNCTION("""COMPUTED_VALUE"""),FALSE)</f>
        <v>0</v>
      </c>
      <c r="N2101" s="23" t="b">
        <f>IFERROR(__xludf.DUMMYFUNCTION("""COMPUTED_VALUE"""),FALSE)</f>
        <v>0</v>
      </c>
      <c r="O2101" s="23">
        <f>IFERROR(__xludf.DUMMYFUNCTION("""COMPUTED_VALUE"""),46.5908543343131)</f>
        <v>46.59085433</v>
      </c>
      <c r="P2101" s="23">
        <f>IFERROR(__xludf.DUMMYFUNCTION("""COMPUTED_VALUE"""),9668.0)</f>
        <v>9668</v>
      </c>
      <c r="Q2101" s="23">
        <f>IFERROR(__xludf.DUMMYFUNCTION("""COMPUTED_VALUE"""),20752.0)</f>
        <v>20752</v>
      </c>
    </row>
    <row r="2102">
      <c r="A2102" s="23">
        <f>IFERROR(__xludf.DUMMYFUNCTION("""COMPUTED_VALUE"""),2206.0)</f>
        <v>2206</v>
      </c>
      <c r="B2102" s="23" t="str">
        <f>IFERROR(__xludf.DUMMYFUNCTION("""COMPUTED_VALUE"""),"Detonate the Maximum Bombs")</f>
        <v>Detonate the Maximum Bombs</v>
      </c>
      <c r="C2102" s="23" t="str">
        <f>IFERROR(__xludf.DUMMYFUNCTION("""COMPUTED_VALUE"""),"detonate-the-maximum-bombs")</f>
        <v>detonate-the-maximum-bombs</v>
      </c>
      <c r="D2102" s="23" t="b">
        <f>IFERROR(__xludf.DUMMYFUNCTION("""COMPUTED_VALUE"""),FALSE)</f>
        <v>0</v>
      </c>
      <c r="E2102" s="23" t="str">
        <f>IFERROR(__xludf.DUMMYFUNCTION("""COMPUTED_VALUE"""),"Medium")</f>
        <v>Medium</v>
      </c>
      <c r="F2102" s="23">
        <f>IFERROR(__xludf.DUMMYFUNCTION("""COMPUTED_VALUE"""),386.0)</f>
        <v>386</v>
      </c>
      <c r="G2102" s="23">
        <f>IFERROR(__xludf.DUMMYFUNCTION("""COMPUTED_VALUE"""),41.0)</f>
        <v>41</v>
      </c>
      <c r="H2102" s="23" t="str">
        <f>IFERROR(__xludf.DUMMYFUNCTION("""COMPUTED_VALUE"""),"Algorithms")</f>
        <v>Algorithms</v>
      </c>
      <c r="I2102" s="23">
        <f>IFERROR(__xludf.DUMMYFUNCTION("""COMPUTED_VALUE"""),0.4)</f>
        <v>0.4</v>
      </c>
      <c r="J2102" s="23">
        <f>IFERROR(__xludf.DUMMYFUNCTION("""COMPUTED_VALUE"""),2101.0)</f>
        <v>2101</v>
      </c>
      <c r="K2102" s="23" t="b">
        <f>IFERROR(__xludf.DUMMYFUNCTION("""COMPUTED_VALUE"""),FALSE)</f>
        <v>0</v>
      </c>
      <c r="L2102" s="23" t="str">
        <f>IFERROR(__xludf.DUMMYFUNCTION("""COMPUTED_VALUE"""),"Array;Math;Depth-First Search;Breadth-First Search;Graph;Geometry;")</f>
        <v>Array;Math;Depth-First Search;Breadth-First Search;Graph;Geometry;</v>
      </c>
      <c r="M2102" s="23" t="b">
        <f>IFERROR(__xludf.DUMMYFUNCTION("""COMPUTED_VALUE"""),FALSE)</f>
        <v>0</v>
      </c>
      <c r="N2102" s="23" t="b">
        <f>IFERROR(__xludf.DUMMYFUNCTION("""COMPUTED_VALUE"""),FALSE)</f>
        <v>0</v>
      </c>
      <c r="O2102" s="23">
        <f>IFERROR(__xludf.DUMMYFUNCTION("""COMPUTED_VALUE"""),40.0199294803004)</f>
        <v>40.01992948</v>
      </c>
      <c r="P2102" s="23">
        <f>IFERROR(__xludf.DUMMYFUNCTION("""COMPUTED_VALUE"""),10442.0)</f>
        <v>10442</v>
      </c>
      <c r="Q2102" s="23">
        <f>IFERROR(__xludf.DUMMYFUNCTION("""COMPUTED_VALUE"""),26092.0)</f>
        <v>26092</v>
      </c>
    </row>
    <row r="2103">
      <c r="A2103" s="23">
        <f>IFERROR(__xludf.DUMMYFUNCTION("""COMPUTED_VALUE"""),2207.0)</f>
        <v>2207</v>
      </c>
      <c r="B2103" s="23" t="str">
        <f>IFERROR(__xludf.DUMMYFUNCTION("""COMPUTED_VALUE"""),"Sequentially Ordinal Rank Tracker")</f>
        <v>Sequentially Ordinal Rank Tracker</v>
      </c>
      <c r="C2103" s="23" t="str">
        <f>IFERROR(__xludf.DUMMYFUNCTION("""COMPUTED_VALUE"""),"sequentially-ordinal-rank-tracker")</f>
        <v>sequentially-ordinal-rank-tracker</v>
      </c>
      <c r="D2103" s="23" t="b">
        <f>IFERROR(__xludf.DUMMYFUNCTION("""COMPUTED_VALUE"""),FALSE)</f>
        <v>0</v>
      </c>
      <c r="E2103" s="23" t="str">
        <f>IFERROR(__xludf.DUMMYFUNCTION("""COMPUTED_VALUE"""),"Hard")</f>
        <v>Hard</v>
      </c>
      <c r="F2103" s="23">
        <f>IFERROR(__xludf.DUMMYFUNCTION("""COMPUTED_VALUE"""),134.0)</f>
        <v>134</v>
      </c>
      <c r="G2103" s="23">
        <f>IFERROR(__xludf.DUMMYFUNCTION("""COMPUTED_VALUE"""),26.0)</f>
        <v>26</v>
      </c>
      <c r="H2103" s="23" t="str">
        <f>IFERROR(__xludf.DUMMYFUNCTION("""COMPUTED_VALUE"""),"Algorithms")</f>
        <v>Algorithms</v>
      </c>
      <c r="I2103" s="23">
        <f>IFERROR(__xludf.DUMMYFUNCTION("""COMPUTED_VALUE"""),0.625)</f>
        <v>0.625</v>
      </c>
      <c r="J2103" s="23">
        <f>IFERROR(__xludf.DUMMYFUNCTION("""COMPUTED_VALUE"""),2102.0)</f>
        <v>2102</v>
      </c>
      <c r="K2103" s="23" t="b">
        <f>IFERROR(__xludf.DUMMYFUNCTION("""COMPUTED_VALUE"""),FALSE)</f>
        <v>0</v>
      </c>
      <c r="L2103" s="23" t="str">
        <f>IFERROR(__xludf.DUMMYFUNCTION("""COMPUTED_VALUE"""),"Design;Heap (Priority Queue);Data Stream;Ordered Set;")</f>
        <v>Design;Heap (Priority Queue);Data Stream;Ordered Set;</v>
      </c>
      <c r="M2103" s="23" t="b">
        <f>IFERROR(__xludf.DUMMYFUNCTION("""COMPUTED_VALUE"""),FALSE)</f>
        <v>0</v>
      </c>
      <c r="N2103" s="23" t="b">
        <f>IFERROR(__xludf.DUMMYFUNCTION("""COMPUTED_VALUE"""),FALSE)</f>
        <v>0</v>
      </c>
      <c r="O2103" s="23">
        <f>IFERROR(__xludf.DUMMYFUNCTION("""COMPUTED_VALUE"""),62.4566754471093)</f>
        <v>62.45667545</v>
      </c>
      <c r="P2103" s="23">
        <f>IFERROR(__xludf.DUMMYFUNCTION("""COMPUTED_VALUE"""),4505.0)</f>
        <v>4505</v>
      </c>
      <c r="Q2103" s="23">
        <f>IFERROR(__xludf.DUMMYFUNCTION("""COMPUTED_VALUE"""),7213.0)</f>
        <v>7213</v>
      </c>
    </row>
    <row r="2104">
      <c r="A2104" s="23">
        <f>IFERROR(__xludf.DUMMYFUNCTION("""COMPUTED_VALUE"""),2226.0)</f>
        <v>2226</v>
      </c>
      <c r="B2104" s="23" t="str">
        <f>IFERROR(__xludf.DUMMYFUNCTION("""COMPUTED_VALUE"""),"Rings and Rods")</f>
        <v>Rings and Rods</v>
      </c>
      <c r="C2104" s="23" t="str">
        <f>IFERROR(__xludf.DUMMYFUNCTION("""COMPUTED_VALUE"""),"rings-and-rods")</f>
        <v>rings-and-rods</v>
      </c>
      <c r="D2104" s="23" t="b">
        <f>IFERROR(__xludf.DUMMYFUNCTION("""COMPUTED_VALUE"""),FALSE)</f>
        <v>0</v>
      </c>
      <c r="E2104" s="23" t="str">
        <f>IFERROR(__xludf.DUMMYFUNCTION("""COMPUTED_VALUE"""),"Easy")</f>
        <v>Easy</v>
      </c>
      <c r="F2104" s="23">
        <f>IFERROR(__xludf.DUMMYFUNCTION("""COMPUTED_VALUE"""),369.0)</f>
        <v>369</v>
      </c>
      <c r="G2104" s="23">
        <f>IFERROR(__xludf.DUMMYFUNCTION("""COMPUTED_VALUE"""),10.0)</f>
        <v>10</v>
      </c>
      <c r="H2104" s="23" t="str">
        <f>IFERROR(__xludf.DUMMYFUNCTION("""COMPUTED_VALUE"""),"Algorithms")</f>
        <v>Algorithms</v>
      </c>
      <c r="I2104" s="23">
        <f>IFERROR(__xludf.DUMMYFUNCTION("""COMPUTED_VALUE"""),0.817)</f>
        <v>0.817</v>
      </c>
      <c r="J2104" s="23">
        <f>IFERROR(__xludf.DUMMYFUNCTION("""COMPUTED_VALUE"""),2103.0)</f>
        <v>2103</v>
      </c>
      <c r="K2104" s="23" t="b">
        <f>IFERROR(__xludf.DUMMYFUNCTION("""COMPUTED_VALUE"""),FALSE)</f>
        <v>0</v>
      </c>
      <c r="L2104" s="23" t="str">
        <f>IFERROR(__xludf.DUMMYFUNCTION("""COMPUTED_VALUE"""),"Hash Table;String;")</f>
        <v>Hash Table;String;</v>
      </c>
      <c r="M2104" s="23" t="b">
        <f>IFERROR(__xludf.DUMMYFUNCTION("""COMPUTED_VALUE"""),FALSE)</f>
        <v>0</v>
      </c>
      <c r="N2104" s="23" t="b">
        <f>IFERROR(__xludf.DUMMYFUNCTION("""COMPUTED_VALUE"""),FALSE)</f>
        <v>0</v>
      </c>
      <c r="O2104" s="23">
        <f>IFERROR(__xludf.DUMMYFUNCTION("""COMPUTED_VALUE"""),81.7443256372316)</f>
        <v>81.74432564</v>
      </c>
      <c r="P2104" s="23">
        <f>IFERROR(__xludf.DUMMYFUNCTION("""COMPUTED_VALUE"""),29279.0)</f>
        <v>29279</v>
      </c>
      <c r="Q2104" s="23">
        <f>IFERROR(__xludf.DUMMYFUNCTION("""COMPUTED_VALUE"""),35818.0)</f>
        <v>35818</v>
      </c>
    </row>
    <row r="2105">
      <c r="A2105" s="23">
        <f>IFERROR(__xludf.DUMMYFUNCTION("""COMPUTED_VALUE"""),2227.0)</f>
        <v>2227</v>
      </c>
      <c r="B2105" s="23" t="str">
        <f>IFERROR(__xludf.DUMMYFUNCTION("""COMPUTED_VALUE"""),"Sum of Subarray Ranges")</f>
        <v>Sum of Subarray Ranges</v>
      </c>
      <c r="C2105" s="23" t="str">
        <f>IFERROR(__xludf.DUMMYFUNCTION("""COMPUTED_VALUE"""),"sum-of-subarray-ranges")</f>
        <v>sum-of-subarray-ranges</v>
      </c>
      <c r="D2105" s="23" t="b">
        <f>IFERROR(__xludf.DUMMYFUNCTION("""COMPUTED_VALUE"""),FALSE)</f>
        <v>0</v>
      </c>
      <c r="E2105" s="23" t="str">
        <f>IFERROR(__xludf.DUMMYFUNCTION("""COMPUTED_VALUE"""),"Medium")</f>
        <v>Medium</v>
      </c>
      <c r="F2105" s="23">
        <f>IFERROR(__xludf.DUMMYFUNCTION("""COMPUTED_VALUE"""),663.0)</f>
        <v>663</v>
      </c>
      <c r="G2105" s="23">
        <f>IFERROR(__xludf.DUMMYFUNCTION("""COMPUTED_VALUE"""),31.0)</f>
        <v>31</v>
      </c>
      <c r="H2105" s="23" t="str">
        <f>IFERROR(__xludf.DUMMYFUNCTION("""COMPUTED_VALUE"""),"Algorithms")</f>
        <v>Algorithms</v>
      </c>
      <c r="I2105" s="23">
        <f>IFERROR(__xludf.DUMMYFUNCTION("""COMPUTED_VALUE"""),0.603)</f>
        <v>0.603</v>
      </c>
      <c r="J2105" s="23">
        <f>IFERROR(__xludf.DUMMYFUNCTION("""COMPUTED_VALUE"""),2104.0)</f>
        <v>2104</v>
      </c>
      <c r="K2105" s="23" t="b">
        <f>IFERROR(__xludf.DUMMYFUNCTION("""COMPUTED_VALUE"""),FALSE)</f>
        <v>0</v>
      </c>
      <c r="L2105" s="23" t="str">
        <f>IFERROR(__xludf.DUMMYFUNCTION("""COMPUTED_VALUE"""),"Array;Stack;Monotonic Stack;")</f>
        <v>Array;Stack;Monotonic Stack;</v>
      </c>
      <c r="M2105" s="23" t="b">
        <f>IFERROR(__xludf.DUMMYFUNCTION("""COMPUTED_VALUE"""),FALSE)</f>
        <v>0</v>
      </c>
      <c r="N2105" s="23" t="b">
        <f>IFERROR(__xludf.DUMMYFUNCTION("""COMPUTED_VALUE"""),FALSE)</f>
        <v>0</v>
      </c>
      <c r="O2105" s="23">
        <f>IFERROR(__xludf.DUMMYFUNCTION("""COMPUTED_VALUE"""),60.3138908409463)</f>
        <v>60.31389084</v>
      </c>
      <c r="P2105" s="23">
        <f>IFERROR(__xludf.DUMMYFUNCTION("""COMPUTED_VALUE"""),25747.0)</f>
        <v>25747</v>
      </c>
      <c r="Q2105" s="23">
        <f>IFERROR(__xludf.DUMMYFUNCTION("""COMPUTED_VALUE"""),42689.0)</f>
        <v>42689</v>
      </c>
    </row>
    <row r="2106">
      <c r="A2106" s="23">
        <f>IFERROR(__xludf.DUMMYFUNCTION("""COMPUTED_VALUE"""),2228.0)</f>
        <v>2228</v>
      </c>
      <c r="B2106" s="23" t="str">
        <f>IFERROR(__xludf.DUMMYFUNCTION("""COMPUTED_VALUE"""),"Watering Plants II")</f>
        <v>Watering Plants II</v>
      </c>
      <c r="C2106" s="23" t="str">
        <f>IFERROR(__xludf.DUMMYFUNCTION("""COMPUTED_VALUE"""),"watering-plants-ii")</f>
        <v>watering-plants-ii</v>
      </c>
      <c r="D2106" s="23" t="b">
        <f>IFERROR(__xludf.DUMMYFUNCTION("""COMPUTED_VALUE"""),FALSE)</f>
        <v>0</v>
      </c>
      <c r="E2106" s="23" t="str">
        <f>IFERROR(__xludf.DUMMYFUNCTION("""COMPUTED_VALUE"""),"Medium")</f>
        <v>Medium</v>
      </c>
      <c r="F2106" s="23">
        <f>IFERROR(__xludf.DUMMYFUNCTION("""COMPUTED_VALUE"""),117.0)</f>
        <v>117</v>
      </c>
      <c r="G2106" s="23">
        <f>IFERROR(__xludf.DUMMYFUNCTION("""COMPUTED_VALUE"""),120.0)</f>
        <v>120</v>
      </c>
      <c r="H2106" s="23" t="str">
        <f>IFERROR(__xludf.DUMMYFUNCTION("""COMPUTED_VALUE"""),"Algorithms")</f>
        <v>Algorithms</v>
      </c>
      <c r="I2106" s="23">
        <f>IFERROR(__xludf.DUMMYFUNCTION("""COMPUTED_VALUE"""),0.513)</f>
        <v>0.513</v>
      </c>
      <c r="J2106" s="23">
        <f>IFERROR(__xludf.DUMMYFUNCTION("""COMPUTED_VALUE"""),2105.0)</f>
        <v>2105</v>
      </c>
      <c r="K2106" s="23" t="b">
        <f>IFERROR(__xludf.DUMMYFUNCTION("""COMPUTED_VALUE"""),FALSE)</f>
        <v>0</v>
      </c>
      <c r="L2106" s="23" t="str">
        <f>IFERROR(__xludf.DUMMYFUNCTION("""COMPUTED_VALUE"""),"Array;Two Pointers;Simulation;")</f>
        <v>Array;Two Pointers;Simulation;</v>
      </c>
      <c r="M2106" s="23" t="b">
        <f>IFERROR(__xludf.DUMMYFUNCTION("""COMPUTED_VALUE"""),FALSE)</f>
        <v>0</v>
      </c>
      <c r="N2106" s="23" t="b">
        <f>IFERROR(__xludf.DUMMYFUNCTION("""COMPUTED_VALUE"""),FALSE)</f>
        <v>0</v>
      </c>
      <c r="O2106" s="23">
        <f>IFERROR(__xludf.DUMMYFUNCTION("""COMPUTED_VALUE"""),51.2771906544713)</f>
        <v>51.27719065</v>
      </c>
      <c r="P2106" s="23">
        <f>IFERROR(__xludf.DUMMYFUNCTION("""COMPUTED_VALUE"""),10820.0)</f>
        <v>10820</v>
      </c>
      <c r="Q2106" s="23">
        <f>IFERROR(__xludf.DUMMYFUNCTION("""COMPUTED_VALUE"""),21101.0)</f>
        <v>21101</v>
      </c>
    </row>
    <row r="2107">
      <c r="A2107" s="23">
        <f>IFERROR(__xludf.DUMMYFUNCTION("""COMPUTED_VALUE"""),2229.0)</f>
        <v>2229</v>
      </c>
      <c r="B2107" s="23" t="str">
        <f>IFERROR(__xludf.DUMMYFUNCTION("""COMPUTED_VALUE"""),"Maximum Fruits Harvested After at Most K Steps")</f>
        <v>Maximum Fruits Harvested After at Most K Steps</v>
      </c>
      <c r="C2107" s="23" t="str">
        <f>IFERROR(__xludf.DUMMYFUNCTION("""COMPUTED_VALUE"""),"maximum-fruits-harvested-after-at-most-k-steps")</f>
        <v>maximum-fruits-harvested-after-at-most-k-steps</v>
      </c>
      <c r="D2107" s="23" t="b">
        <f>IFERROR(__xludf.DUMMYFUNCTION("""COMPUTED_VALUE"""),FALSE)</f>
        <v>0</v>
      </c>
      <c r="E2107" s="23" t="str">
        <f>IFERROR(__xludf.DUMMYFUNCTION("""COMPUTED_VALUE"""),"Hard")</f>
        <v>Hard</v>
      </c>
      <c r="F2107" s="23">
        <f>IFERROR(__xludf.DUMMYFUNCTION("""COMPUTED_VALUE"""),255.0)</f>
        <v>255</v>
      </c>
      <c r="G2107" s="23">
        <f>IFERROR(__xludf.DUMMYFUNCTION("""COMPUTED_VALUE"""),15.0)</f>
        <v>15</v>
      </c>
      <c r="H2107" s="23" t="str">
        <f>IFERROR(__xludf.DUMMYFUNCTION("""COMPUTED_VALUE"""),"Algorithms")</f>
        <v>Algorithms</v>
      </c>
      <c r="I2107" s="23">
        <f>IFERROR(__xludf.DUMMYFUNCTION("""COMPUTED_VALUE"""),0.352)</f>
        <v>0.352</v>
      </c>
      <c r="J2107" s="23">
        <f>IFERROR(__xludf.DUMMYFUNCTION("""COMPUTED_VALUE"""),2106.0)</f>
        <v>2106</v>
      </c>
      <c r="K2107" s="23" t="b">
        <f>IFERROR(__xludf.DUMMYFUNCTION("""COMPUTED_VALUE"""),FALSE)</f>
        <v>0</v>
      </c>
      <c r="L2107" s="23" t="str">
        <f>IFERROR(__xludf.DUMMYFUNCTION("""COMPUTED_VALUE"""),"Array;Binary Search;Sliding Window;Prefix Sum;")</f>
        <v>Array;Binary Search;Sliding Window;Prefix Sum;</v>
      </c>
      <c r="M2107" s="23" t="b">
        <f>IFERROR(__xludf.DUMMYFUNCTION("""COMPUTED_VALUE"""),FALSE)</f>
        <v>0</v>
      </c>
      <c r="N2107" s="23" t="b">
        <f>IFERROR(__xludf.DUMMYFUNCTION("""COMPUTED_VALUE"""),FALSE)</f>
        <v>0</v>
      </c>
      <c r="O2107" s="23">
        <f>IFERROR(__xludf.DUMMYFUNCTION("""COMPUTED_VALUE"""),35.1870806323211)</f>
        <v>35.18708063</v>
      </c>
      <c r="P2107" s="23">
        <f>IFERROR(__xludf.DUMMYFUNCTION("""COMPUTED_VALUE"""),6188.0)</f>
        <v>6188</v>
      </c>
      <c r="Q2107" s="23">
        <f>IFERROR(__xludf.DUMMYFUNCTION("""COMPUTED_VALUE"""),17586.0)</f>
        <v>17586</v>
      </c>
    </row>
    <row r="2108">
      <c r="A2108" s="23">
        <f>IFERROR(__xludf.DUMMYFUNCTION("""COMPUTED_VALUE"""),2247.0)</f>
        <v>2247</v>
      </c>
      <c r="B2108" s="23" t="str">
        <f>IFERROR(__xludf.DUMMYFUNCTION("""COMPUTED_VALUE"""),"Number of Unique Flavors After Sharing K Candies")</f>
        <v>Number of Unique Flavors After Sharing K Candies</v>
      </c>
      <c r="C2108" s="23" t="str">
        <f>IFERROR(__xludf.DUMMYFUNCTION("""COMPUTED_VALUE"""),"number-of-unique-flavors-after-sharing-k-candies")</f>
        <v>number-of-unique-flavors-after-sharing-k-candies</v>
      </c>
      <c r="D2108" s="23" t="b">
        <f>IFERROR(__xludf.DUMMYFUNCTION("""COMPUTED_VALUE"""),TRUE)</f>
        <v>1</v>
      </c>
      <c r="E2108" s="23" t="str">
        <f>IFERROR(__xludf.DUMMYFUNCTION("""COMPUTED_VALUE"""),"Medium")</f>
        <v>Medium</v>
      </c>
      <c r="F2108" s="23">
        <f>IFERROR(__xludf.DUMMYFUNCTION("""COMPUTED_VALUE"""),43.0)</f>
        <v>43</v>
      </c>
      <c r="G2108" s="23">
        <f>IFERROR(__xludf.DUMMYFUNCTION("""COMPUTED_VALUE"""),1.0)</f>
        <v>1</v>
      </c>
      <c r="H2108" s="23" t="str">
        <f>IFERROR(__xludf.DUMMYFUNCTION("""COMPUTED_VALUE"""),"Algorithms")</f>
        <v>Algorithms</v>
      </c>
      <c r="I2108" s="23">
        <f>IFERROR(__xludf.DUMMYFUNCTION("""COMPUTED_VALUE"""),0.576)</f>
        <v>0.576</v>
      </c>
      <c r="J2108" s="23">
        <f>IFERROR(__xludf.DUMMYFUNCTION("""COMPUTED_VALUE"""),2107.0)</f>
        <v>2107</v>
      </c>
      <c r="K2108" s="23" t="b">
        <f>IFERROR(__xludf.DUMMYFUNCTION("""COMPUTED_VALUE"""),TRUE)</f>
        <v>1</v>
      </c>
      <c r="L2108" s="23" t="str">
        <f>IFERROR(__xludf.DUMMYFUNCTION("""COMPUTED_VALUE"""),"Array;Hash Table;Sliding Window;")</f>
        <v>Array;Hash Table;Sliding Window;</v>
      </c>
      <c r="M2108" s="23" t="b">
        <f>IFERROR(__xludf.DUMMYFUNCTION("""COMPUTED_VALUE"""),FALSE)</f>
        <v>0</v>
      </c>
      <c r="N2108" s="23" t="b">
        <f>IFERROR(__xludf.DUMMYFUNCTION("""COMPUTED_VALUE"""),FALSE)</f>
        <v>0</v>
      </c>
      <c r="O2108" s="23">
        <f>IFERROR(__xludf.DUMMYFUNCTION("""COMPUTED_VALUE"""),57.5611888111888)</f>
        <v>57.56118881</v>
      </c>
      <c r="P2108" s="23">
        <f>IFERROR(__xludf.DUMMYFUNCTION("""COMPUTED_VALUE"""),1317.0)</f>
        <v>1317</v>
      </c>
      <c r="Q2108" s="23">
        <f>IFERROR(__xludf.DUMMYFUNCTION("""COMPUTED_VALUE"""),2288.0)</f>
        <v>2288</v>
      </c>
    </row>
    <row r="2109">
      <c r="A2109" s="23">
        <f>IFERROR(__xludf.DUMMYFUNCTION("""COMPUTED_VALUE"""),2231.0)</f>
        <v>2231</v>
      </c>
      <c r="B2109" s="23" t="str">
        <f>IFERROR(__xludf.DUMMYFUNCTION("""COMPUTED_VALUE"""),"Find First Palindromic String in the Array")</f>
        <v>Find First Palindromic String in the Array</v>
      </c>
      <c r="C2109" s="23" t="str">
        <f>IFERROR(__xludf.DUMMYFUNCTION("""COMPUTED_VALUE"""),"find-first-palindromic-string-in-the-array")</f>
        <v>find-first-palindromic-string-in-the-array</v>
      </c>
      <c r="D2109" s="23" t="b">
        <f>IFERROR(__xludf.DUMMYFUNCTION("""COMPUTED_VALUE"""),FALSE)</f>
        <v>0</v>
      </c>
      <c r="E2109" s="23" t="str">
        <f>IFERROR(__xludf.DUMMYFUNCTION("""COMPUTED_VALUE"""),"Easy")</f>
        <v>Easy</v>
      </c>
      <c r="F2109" s="23">
        <f>IFERROR(__xludf.DUMMYFUNCTION("""COMPUTED_VALUE"""),367.0)</f>
        <v>367</v>
      </c>
      <c r="G2109" s="23">
        <f>IFERROR(__xludf.DUMMYFUNCTION("""COMPUTED_VALUE"""),12.0)</f>
        <v>12</v>
      </c>
      <c r="H2109" s="23" t="str">
        <f>IFERROR(__xludf.DUMMYFUNCTION("""COMPUTED_VALUE"""),"Algorithms")</f>
        <v>Algorithms</v>
      </c>
      <c r="I2109" s="23">
        <f>IFERROR(__xludf.DUMMYFUNCTION("""COMPUTED_VALUE"""),0.793)</f>
        <v>0.793</v>
      </c>
      <c r="J2109" s="23">
        <f>IFERROR(__xludf.DUMMYFUNCTION("""COMPUTED_VALUE"""),2108.0)</f>
        <v>2108</v>
      </c>
      <c r="K2109" s="23" t="b">
        <f>IFERROR(__xludf.DUMMYFUNCTION("""COMPUTED_VALUE"""),FALSE)</f>
        <v>0</v>
      </c>
      <c r="L2109" s="23" t="str">
        <f>IFERROR(__xludf.DUMMYFUNCTION("""COMPUTED_VALUE"""),"Array;Two Pointers;String;")</f>
        <v>Array;Two Pointers;String;</v>
      </c>
      <c r="M2109" s="23" t="b">
        <f>IFERROR(__xludf.DUMMYFUNCTION("""COMPUTED_VALUE"""),FALSE)</f>
        <v>0</v>
      </c>
      <c r="N2109" s="23" t="b">
        <f>IFERROR(__xludf.DUMMYFUNCTION("""COMPUTED_VALUE"""),FALSE)</f>
        <v>0</v>
      </c>
      <c r="O2109" s="23">
        <f>IFERROR(__xludf.DUMMYFUNCTION("""COMPUTED_VALUE"""),79.3329407965963)</f>
        <v>79.3329408</v>
      </c>
      <c r="P2109" s="23">
        <f>IFERROR(__xludf.DUMMYFUNCTION("""COMPUTED_VALUE"""),41768.0)</f>
        <v>41768</v>
      </c>
      <c r="Q2109" s="23">
        <f>IFERROR(__xludf.DUMMYFUNCTION("""COMPUTED_VALUE"""),52649.0)</f>
        <v>52649</v>
      </c>
    </row>
    <row r="2110">
      <c r="A2110" s="23">
        <f>IFERROR(__xludf.DUMMYFUNCTION("""COMPUTED_VALUE"""),2232.0)</f>
        <v>2232</v>
      </c>
      <c r="B2110" s="23" t="str">
        <f>IFERROR(__xludf.DUMMYFUNCTION("""COMPUTED_VALUE"""),"Adding Spaces to a String")</f>
        <v>Adding Spaces to a String</v>
      </c>
      <c r="C2110" s="23" t="str">
        <f>IFERROR(__xludf.DUMMYFUNCTION("""COMPUTED_VALUE"""),"adding-spaces-to-a-string")</f>
        <v>adding-spaces-to-a-string</v>
      </c>
      <c r="D2110" s="23" t="b">
        <f>IFERROR(__xludf.DUMMYFUNCTION("""COMPUTED_VALUE"""),FALSE)</f>
        <v>0</v>
      </c>
      <c r="E2110" s="23" t="str">
        <f>IFERROR(__xludf.DUMMYFUNCTION("""COMPUTED_VALUE"""),"Medium")</f>
        <v>Medium</v>
      </c>
      <c r="F2110" s="23">
        <f>IFERROR(__xludf.DUMMYFUNCTION("""COMPUTED_VALUE"""),254.0)</f>
        <v>254</v>
      </c>
      <c r="G2110" s="23">
        <f>IFERROR(__xludf.DUMMYFUNCTION("""COMPUTED_VALUE"""),26.0)</f>
        <v>26</v>
      </c>
      <c r="H2110" s="23" t="str">
        <f>IFERROR(__xludf.DUMMYFUNCTION("""COMPUTED_VALUE"""),"Algorithms")</f>
        <v>Algorithms</v>
      </c>
      <c r="I2110" s="23">
        <f>IFERROR(__xludf.DUMMYFUNCTION("""COMPUTED_VALUE"""),0.561)</f>
        <v>0.561</v>
      </c>
      <c r="J2110" s="23">
        <f>IFERROR(__xludf.DUMMYFUNCTION("""COMPUTED_VALUE"""),2109.0)</f>
        <v>2109</v>
      </c>
      <c r="K2110" s="23" t="b">
        <f>IFERROR(__xludf.DUMMYFUNCTION("""COMPUTED_VALUE"""),FALSE)</f>
        <v>0</v>
      </c>
      <c r="L2110" s="23" t="str">
        <f>IFERROR(__xludf.DUMMYFUNCTION("""COMPUTED_VALUE"""),"Array;String;Simulation;")</f>
        <v>Array;String;Simulation;</v>
      </c>
      <c r="M2110" s="23" t="b">
        <f>IFERROR(__xludf.DUMMYFUNCTION("""COMPUTED_VALUE"""),FALSE)</f>
        <v>0</v>
      </c>
      <c r="N2110" s="23" t="b">
        <f>IFERROR(__xludf.DUMMYFUNCTION("""COMPUTED_VALUE"""),FALSE)</f>
        <v>0</v>
      </c>
      <c r="O2110" s="23">
        <f>IFERROR(__xludf.DUMMYFUNCTION("""COMPUTED_VALUE"""),56.095859163245)</f>
        <v>56.09585916</v>
      </c>
      <c r="P2110" s="23">
        <f>IFERROR(__xludf.DUMMYFUNCTION("""COMPUTED_VALUE"""),20903.0)</f>
        <v>20903</v>
      </c>
      <c r="Q2110" s="23">
        <f>IFERROR(__xludf.DUMMYFUNCTION("""COMPUTED_VALUE"""),37263.0)</f>
        <v>37263</v>
      </c>
    </row>
    <row r="2111">
      <c r="A2111" s="23">
        <f>IFERROR(__xludf.DUMMYFUNCTION("""COMPUTED_VALUE"""),2233.0)</f>
        <v>2233</v>
      </c>
      <c r="B2111" s="23" t="str">
        <f>IFERROR(__xludf.DUMMYFUNCTION("""COMPUTED_VALUE"""),"Number of Smooth Descent Periods of a Stock")</f>
        <v>Number of Smooth Descent Periods of a Stock</v>
      </c>
      <c r="C2111" s="23" t="str">
        <f>IFERROR(__xludf.DUMMYFUNCTION("""COMPUTED_VALUE"""),"number-of-smooth-descent-periods-of-a-stock")</f>
        <v>number-of-smooth-descent-periods-of-a-stock</v>
      </c>
      <c r="D2111" s="23" t="b">
        <f>IFERROR(__xludf.DUMMYFUNCTION("""COMPUTED_VALUE"""),FALSE)</f>
        <v>0</v>
      </c>
      <c r="E2111" s="23" t="str">
        <f>IFERROR(__xludf.DUMMYFUNCTION("""COMPUTED_VALUE"""),"Medium")</f>
        <v>Medium</v>
      </c>
      <c r="F2111" s="23">
        <f>IFERROR(__xludf.DUMMYFUNCTION("""COMPUTED_VALUE"""),335.0)</f>
        <v>335</v>
      </c>
      <c r="G2111" s="23">
        <f>IFERROR(__xludf.DUMMYFUNCTION("""COMPUTED_VALUE"""),12.0)</f>
        <v>12</v>
      </c>
      <c r="H2111" s="23" t="str">
        <f>IFERROR(__xludf.DUMMYFUNCTION("""COMPUTED_VALUE"""),"Algorithms")</f>
        <v>Algorithms</v>
      </c>
      <c r="I2111" s="23">
        <f>IFERROR(__xludf.DUMMYFUNCTION("""COMPUTED_VALUE"""),0.554)</f>
        <v>0.554</v>
      </c>
      <c r="J2111" s="23">
        <f>IFERROR(__xludf.DUMMYFUNCTION("""COMPUTED_VALUE"""),2110.0)</f>
        <v>2110</v>
      </c>
      <c r="K2111" s="23" t="b">
        <f>IFERROR(__xludf.DUMMYFUNCTION("""COMPUTED_VALUE"""),FALSE)</f>
        <v>0</v>
      </c>
      <c r="L2111" s="23" t="str">
        <f>IFERROR(__xludf.DUMMYFUNCTION("""COMPUTED_VALUE"""),"Array;Math;Dynamic Programming;")</f>
        <v>Array;Math;Dynamic Programming;</v>
      </c>
      <c r="M2111" s="23" t="b">
        <f>IFERROR(__xludf.DUMMYFUNCTION("""COMPUTED_VALUE"""),FALSE)</f>
        <v>0</v>
      </c>
      <c r="N2111" s="23" t="b">
        <f>IFERROR(__xludf.DUMMYFUNCTION("""COMPUTED_VALUE"""),FALSE)</f>
        <v>0</v>
      </c>
      <c r="O2111" s="23">
        <f>IFERROR(__xludf.DUMMYFUNCTION("""COMPUTED_VALUE"""),55.3807521253744)</f>
        <v>55.38075213</v>
      </c>
      <c r="P2111" s="23">
        <f>IFERROR(__xludf.DUMMYFUNCTION("""COMPUTED_VALUE"""),18305.0)</f>
        <v>18305</v>
      </c>
      <c r="Q2111" s="23">
        <f>IFERROR(__xludf.DUMMYFUNCTION("""COMPUTED_VALUE"""),33053.0)</f>
        <v>33053</v>
      </c>
    </row>
    <row r="2112">
      <c r="A2112" s="23">
        <f>IFERROR(__xludf.DUMMYFUNCTION("""COMPUTED_VALUE"""),2234.0)</f>
        <v>2234</v>
      </c>
      <c r="B2112" s="23" t="str">
        <f>IFERROR(__xludf.DUMMYFUNCTION("""COMPUTED_VALUE"""),"Minimum Operations to Make the Array K-Increasing")</f>
        <v>Minimum Operations to Make the Array K-Increasing</v>
      </c>
      <c r="C2112" s="23" t="str">
        <f>IFERROR(__xludf.DUMMYFUNCTION("""COMPUTED_VALUE"""),"minimum-operations-to-make-the-array-k-increasing")</f>
        <v>minimum-operations-to-make-the-array-k-increasing</v>
      </c>
      <c r="D2112" s="23" t="b">
        <f>IFERROR(__xludf.DUMMYFUNCTION("""COMPUTED_VALUE"""),FALSE)</f>
        <v>0</v>
      </c>
      <c r="E2112" s="23" t="str">
        <f>IFERROR(__xludf.DUMMYFUNCTION("""COMPUTED_VALUE"""),"Hard")</f>
        <v>Hard</v>
      </c>
      <c r="F2112" s="23">
        <f>IFERROR(__xludf.DUMMYFUNCTION("""COMPUTED_VALUE"""),473.0)</f>
        <v>473</v>
      </c>
      <c r="G2112" s="23">
        <f>IFERROR(__xludf.DUMMYFUNCTION("""COMPUTED_VALUE"""),8.0)</f>
        <v>8</v>
      </c>
      <c r="H2112" s="23" t="str">
        <f>IFERROR(__xludf.DUMMYFUNCTION("""COMPUTED_VALUE"""),"Algorithms")</f>
        <v>Algorithms</v>
      </c>
      <c r="I2112" s="23">
        <f>IFERROR(__xludf.DUMMYFUNCTION("""COMPUTED_VALUE"""),0.364)</f>
        <v>0.364</v>
      </c>
      <c r="J2112" s="23">
        <f>IFERROR(__xludf.DUMMYFUNCTION("""COMPUTED_VALUE"""),2111.0)</f>
        <v>2111</v>
      </c>
      <c r="K2112" s="23" t="b">
        <f>IFERROR(__xludf.DUMMYFUNCTION("""COMPUTED_VALUE"""),FALSE)</f>
        <v>0</v>
      </c>
      <c r="L2112" s="23" t="str">
        <f>IFERROR(__xludf.DUMMYFUNCTION("""COMPUTED_VALUE"""),"Array;Binary Search;")</f>
        <v>Array;Binary Search;</v>
      </c>
      <c r="M2112" s="23" t="b">
        <f>IFERROR(__xludf.DUMMYFUNCTION("""COMPUTED_VALUE"""),FALSE)</f>
        <v>0</v>
      </c>
      <c r="N2112" s="23" t="b">
        <f>IFERROR(__xludf.DUMMYFUNCTION("""COMPUTED_VALUE"""),FALSE)</f>
        <v>0</v>
      </c>
      <c r="O2112" s="23">
        <f>IFERROR(__xludf.DUMMYFUNCTION("""COMPUTED_VALUE"""),36.3943541488451)</f>
        <v>36.39435415</v>
      </c>
      <c r="P2112" s="23">
        <f>IFERROR(__xludf.DUMMYFUNCTION("""COMPUTED_VALUE"""),8509.0)</f>
        <v>8509</v>
      </c>
      <c r="Q2112" s="23">
        <f>IFERROR(__xludf.DUMMYFUNCTION("""COMPUTED_VALUE"""),23380.0)</f>
        <v>23380</v>
      </c>
    </row>
    <row r="2113">
      <c r="A2113" s="23">
        <f>IFERROR(__xludf.DUMMYFUNCTION("""COMPUTED_VALUE"""),2252.0)</f>
        <v>2252</v>
      </c>
      <c r="B2113" s="23" t="str">
        <f>IFERROR(__xludf.DUMMYFUNCTION("""COMPUTED_VALUE"""),"The Airport With the Most Traffic")</f>
        <v>The Airport With the Most Traffic</v>
      </c>
      <c r="C2113" s="23" t="str">
        <f>IFERROR(__xludf.DUMMYFUNCTION("""COMPUTED_VALUE"""),"the-airport-with-the-most-traffic")</f>
        <v>the-airport-with-the-most-traffic</v>
      </c>
      <c r="D2113" s="23" t="b">
        <f>IFERROR(__xludf.DUMMYFUNCTION("""COMPUTED_VALUE"""),TRUE)</f>
        <v>1</v>
      </c>
      <c r="E2113" s="23" t="str">
        <f>IFERROR(__xludf.DUMMYFUNCTION("""COMPUTED_VALUE"""),"Medium")</f>
        <v>Medium</v>
      </c>
      <c r="F2113" s="23">
        <f>IFERROR(__xludf.DUMMYFUNCTION("""COMPUTED_VALUE"""),17.0)</f>
        <v>17</v>
      </c>
      <c r="G2113" s="23">
        <f>IFERROR(__xludf.DUMMYFUNCTION("""COMPUTED_VALUE"""),5.0)</f>
        <v>5</v>
      </c>
      <c r="H2113" s="23" t="str">
        <f>IFERROR(__xludf.DUMMYFUNCTION("""COMPUTED_VALUE"""),"Database")</f>
        <v>Database</v>
      </c>
      <c r="I2113" s="23">
        <f>IFERROR(__xludf.DUMMYFUNCTION("""COMPUTED_VALUE"""),0.698)</f>
        <v>0.698</v>
      </c>
      <c r="J2113" s="23">
        <f>IFERROR(__xludf.DUMMYFUNCTION("""COMPUTED_VALUE"""),2112.0)</f>
        <v>2112</v>
      </c>
      <c r="K2113" s="23" t="b">
        <f>IFERROR(__xludf.DUMMYFUNCTION("""COMPUTED_VALUE"""),TRUE)</f>
        <v>1</v>
      </c>
      <c r="L2113" s="23" t="str">
        <f>IFERROR(__xludf.DUMMYFUNCTION("""COMPUTED_VALUE"""),"Database;")</f>
        <v>Database;</v>
      </c>
      <c r="M2113" s="23" t="b">
        <f>IFERROR(__xludf.DUMMYFUNCTION("""COMPUTED_VALUE"""),FALSE)</f>
        <v>0</v>
      </c>
      <c r="N2113" s="23" t="b">
        <f>IFERROR(__xludf.DUMMYFUNCTION("""COMPUTED_VALUE"""),FALSE)</f>
        <v>0</v>
      </c>
      <c r="O2113" s="23">
        <f>IFERROR(__xludf.DUMMYFUNCTION("""COMPUTED_VALUE"""),69.841726618705)</f>
        <v>69.84172662</v>
      </c>
      <c r="P2113" s="23">
        <f>IFERROR(__xludf.DUMMYFUNCTION("""COMPUTED_VALUE"""),2427.0)</f>
        <v>2427</v>
      </c>
      <c r="Q2113" s="23">
        <f>IFERROR(__xludf.DUMMYFUNCTION("""COMPUTED_VALUE"""),3475.0)</f>
        <v>3475</v>
      </c>
    </row>
    <row r="2114">
      <c r="A2114" s="23">
        <f>IFERROR(__xludf.DUMMYFUNCTION("""COMPUTED_VALUE"""),2258.0)</f>
        <v>2258</v>
      </c>
      <c r="B2114" s="23" t="str">
        <f>IFERROR(__xludf.DUMMYFUNCTION("""COMPUTED_VALUE"""),"Elements in Array After Removing and Replacing Elements")</f>
        <v>Elements in Array After Removing and Replacing Elements</v>
      </c>
      <c r="C2114" s="23" t="str">
        <f>IFERROR(__xludf.DUMMYFUNCTION("""COMPUTED_VALUE"""),"elements-in-array-after-removing-and-replacing-elements")</f>
        <v>elements-in-array-after-removing-and-replacing-elements</v>
      </c>
      <c r="D2114" s="23" t="b">
        <f>IFERROR(__xludf.DUMMYFUNCTION("""COMPUTED_VALUE"""),TRUE)</f>
        <v>1</v>
      </c>
      <c r="E2114" s="23" t="str">
        <f>IFERROR(__xludf.DUMMYFUNCTION("""COMPUTED_VALUE"""),"Medium")</f>
        <v>Medium</v>
      </c>
      <c r="F2114" s="23">
        <f>IFERROR(__xludf.DUMMYFUNCTION("""COMPUTED_VALUE"""),36.0)</f>
        <v>36</v>
      </c>
      <c r="G2114" s="23">
        <f>IFERROR(__xludf.DUMMYFUNCTION("""COMPUTED_VALUE"""),5.0)</f>
        <v>5</v>
      </c>
      <c r="H2114" s="23" t="str">
        <f>IFERROR(__xludf.DUMMYFUNCTION("""COMPUTED_VALUE"""),"Algorithms")</f>
        <v>Algorithms</v>
      </c>
      <c r="I2114" s="23">
        <f>IFERROR(__xludf.DUMMYFUNCTION("""COMPUTED_VALUE"""),0.739)</f>
        <v>0.739</v>
      </c>
      <c r="J2114" s="23">
        <f>IFERROR(__xludf.DUMMYFUNCTION("""COMPUTED_VALUE"""),2113.0)</f>
        <v>2113</v>
      </c>
      <c r="K2114" s="23" t="b">
        <f>IFERROR(__xludf.DUMMYFUNCTION("""COMPUTED_VALUE"""),TRUE)</f>
        <v>1</v>
      </c>
      <c r="L2114" s="23" t="str">
        <f>IFERROR(__xludf.DUMMYFUNCTION("""COMPUTED_VALUE"""),"Array;")</f>
        <v>Array;</v>
      </c>
      <c r="M2114" s="23" t="b">
        <f>IFERROR(__xludf.DUMMYFUNCTION("""COMPUTED_VALUE"""),FALSE)</f>
        <v>0</v>
      </c>
      <c r="N2114" s="23" t="b">
        <f>IFERROR(__xludf.DUMMYFUNCTION("""COMPUTED_VALUE"""),FALSE)</f>
        <v>0</v>
      </c>
      <c r="O2114" s="23">
        <f>IFERROR(__xludf.DUMMYFUNCTION("""COMPUTED_VALUE"""),73.9305891848264)</f>
        <v>73.93058918</v>
      </c>
      <c r="P2114" s="23">
        <f>IFERROR(__xludf.DUMMYFUNCTION("""COMPUTED_VALUE"""),916.0)</f>
        <v>916</v>
      </c>
      <c r="Q2114" s="23">
        <f>IFERROR(__xludf.DUMMYFUNCTION("""COMPUTED_VALUE"""),1239.0)</f>
        <v>1239</v>
      </c>
    </row>
    <row r="2115">
      <c r="A2115" s="23">
        <f>IFERROR(__xludf.DUMMYFUNCTION("""COMPUTED_VALUE"""),2219.0)</f>
        <v>2219</v>
      </c>
      <c r="B2115" s="23" t="str">
        <f>IFERROR(__xludf.DUMMYFUNCTION("""COMPUTED_VALUE"""),"Maximum Number of Words Found in Sentences")</f>
        <v>Maximum Number of Words Found in Sentences</v>
      </c>
      <c r="C2115" s="23" t="str">
        <f>IFERROR(__xludf.DUMMYFUNCTION("""COMPUTED_VALUE"""),"maximum-number-of-words-found-in-sentences")</f>
        <v>maximum-number-of-words-found-in-sentences</v>
      </c>
      <c r="D2115" s="23" t="b">
        <f>IFERROR(__xludf.DUMMYFUNCTION("""COMPUTED_VALUE"""),FALSE)</f>
        <v>0</v>
      </c>
      <c r="E2115" s="23" t="str">
        <f>IFERROR(__xludf.DUMMYFUNCTION("""COMPUTED_VALUE"""),"Easy")</f>
        <v>Easy</v>
      </c>
      <c r="F2115" s="23">
        <f>IFERROR(__xludf.DUMMYFUNCTION("""COMPUTED_VALUE"""),508.0)</f>
        <v>508</v>
      </c>
      <c r="G2115" s="23">
        <f>IFERROR(__xludf.DUMMYFUNCTION("""COMPUTED_VALUE"""),19.0)</f>
        <v>19</v>
      </c>
      <c r="H2115" s="23" t="str">
        <f>IFERROR(__xludf.DUMMYFUNCTION("""COMPUTED_VALUE"""),"Algorithms")</f>
        <v>Algorithms</v>
      </c>
      <c r="I2115" s="23">
        <f>IFERROR(__xludf.DUMMYFUNCTION("""COMPUTED_VALUE"""),0.889)</f>
        <v>0.889</v>
      </c>
      <c r="J2115" s="23">
        <f>IFERROR(__xludf.DUMMYFUNCTION("""COMPUTED_VALUE"""),2114.0)</f>
        <v>2114</v>
      </c>
      <c r="K2115" s="23" t="b">
        <f>IFERROR(__xludf.DUMMYFUNCTION("""COMPUTED_VALUE"""),FALSE)</f>
        <v>0</v>
      </c>
      <c r="L2115" s="23" t="str">
        <f>IFERROR(__xludf.DUMMYFUNCTION("""COMPUTED_VALUE"""),"Array;String;")</f>
        <v>Array;String;</v>
      </c>
      <c r="M2115" s="23" t="b">
        <f>IFERROR(__xludf.DUMMYFUNCTION("""COMPUTED_VALUE"""),FALSE)</f>
        <v>0</v>
      </c>
      <c r="N2115" s="23" t="b">
        <f>IFERROR(__xludf.DUMMYFUNCTION("""COMPUTED_VALUE"""),FALSE)</f>
        <v>0</v>
      </c>
      <c r="O2115" s="23">
        <f>IFERROR(__xludf.DUMMYFUNCTION("""COMPUTED_VALUE"""),88.8651735225634)</f>
        <v>88.86517352</v>
      </c>
      <c r="P2115" s="23">
        <f>IFERROR(__xludf.DUMMYFUNCTION("""COMPUTED_VALUE"""),64117.0)</f>
        <v>64117</v>
      </c>
      <c r="Q2115" s="23">
        <f>IFERROR(__xludf.DUMMYFUNCTION("""COMPUTED_VALUE"""),72150.0)</f>
        <v>72150</v>
      </c>
    </row>
    <row r="2116">
      <c r="A2116" s="23">
        <f>IFERROR(__xludf.DUMMYFUNCTION("""COMPUTED_VALUE"""),2220.0)</f>
        <v>2220</v>
      </c>
      <c r="B2116" s="23" t="str">
        <f>IFERROR(__xludf.DUMMYFUNCTION("""COMPUTED_VALUE"""),"Find All Possible Recipes from Given Supplies")</f>
        <v>Find All Possible Recipes from Given Supplies</v>
      </c>
      <c r="C2116" s="23" t="str">
        <f>IFERROR(__xludf.DUMMYFUNCTION("""COMPUTED_VALUE"""),"find-all-possible-recipes-from-given-supplies")</f>
        <v>find-all-possible-recipes-from-given-supplies</v>
      </c>
      <c r="D2116" s="23" t="b">
        <f>IFERROR(__xludf.DUMMYFUNCTION("""COMPUTED_VALUE"""),FALSE)</f>
        <v>0</v>
      </c>
      <c r="E2116" s="23" t="str">
        <f>IFERROR(__xludf.DUMMYFUNCTION("""COMPUTED_VALUE"""),"Medium")</f>
        <v>Medium</v>
      </c>
      <c r="F2116" s="23">
        <f>IFERROR(__xludf.DUMMYFUNCTION("""COMPUTED_VALUE"""),632.0)</f>
        <v>632</v>
      </c>
      <c r="G2116" s="23">
        <f>IFERROR(__xludf.DUMMYFUNCTION("""COMPUTED_VALUE"""),49.0)</f>
        <v>49</v>
      </c>
      <c r="H2116" s="23" t="str">
        <f>IFERROR(__xludf.DUMMYFUNCTION("""COMPUTED_VALUE"""),"Algorithms")</f>
        <v>Algorithms</v>
      </c>
      <c r="I2116" s="23">
        <f>IFERROR(__xludf.DUMMYFUNCTION("""COMPUTED_VALUE"""),0.435)</f>
        <v>0.435</v>
      </c>
      <c r="J2116" s="23">
        <f>IFERROR(__xludf.DUMMYFUNCTION("""COMPUTED_VALUE"""),2115.0)</f>
        <v>2115</v>
      </c>
      <c r="K2116" s="23" t="b">
        <f>IFERROR(__xludf.DUMMYFUNCTION("""COMPUTED_VALUE"""),FALSE)</f>
        <v>0</v>
      </c>
      <c r="L2116" s="23" t="str">
        <f>IFERROR(__xludf.DUMMYFUNCTION("""COMPUTED_VALUE"""),"Array;Hash Table;String;Graph;Topological Sort;")</f>
        <v>Array;Hash Table;String;Graph;Topological Sort;</v>
      </c>
      <c r="M2116" s="23" t="b">
        <f>IFERROR(__xludf.DUMMYFUNCTION("""COMPUTED_VALUE"""),FALSE)</f>
        <v>0</v>
      </c>
      <c r="N2116" s="23" t="b">
        <f>IFERROR(__xludf.DUMMYFUNCTION("""COMPUTED_VALUE"""),FALSE)</f>
        <v>0</v>
      </c>
      <c r="O2116" s="23">
        <f>IFERROR(__xludf.DUMMYFUNCTION("""COMPUTED_VALUE"""),43.545154225901)</f>
        <v>43.54515423</v>
      </c>
      <c r="P2116" s="23">
        <f>IFERROR(__xludf.DUMMYFUNCTION("""COMPUTED_VALUE"""),23463.0)</f>
        <v>23463</v>
      </c>
      <c r="Q2116" s="23">
        <f>IFERROR(__xludf.DUMMYFUNCTION("""COMPUTED_VALUE"""),53881.0)</f>
        <v>53881</v>
      </c>
    </row>
    <row r="2117">
      <c r="A2117" s="23">
        <f>IFERROR(__xludf.DUMMYFUNCTION("""COMPUTED_VALUE"""),2221.0)</f>
        <v>2221</v>
      </c>
      <c r="B2117" s="23" t="str">
        <f>IFERROR(__xludf.DUMMYFUNCTION("""COMPUTED_VALUE"""),"Check if a Parentheses String Can Be Valid")</f>
        <v>Check if a Parentheses String Can Be Valid</v>
      </c>
      <c r="C2117" s="23" t="str">
        <f>IFERROR(__xludf.DUMMYFUNCTION("""COMPUTED_VALUE"""),"check-if-a-parentheses-string-can-be-valid")</f>
        <v>check-if-a-parentheses-string-can-be-valid</v>
      </c>
      <c r="D2117" s="23" t="b">
        <f>IFERROR(__xludf.DUMMYFUNCTION("""COMPUTED_VALUE"""),FALSE)</f>
        <v>0</v>
      </c>
      <c r="E2117" s="23" t="str">
        <f>IFERROR(__xludf.DUMMYFUNCTION("""COMPUTED_VALUE"""),"Medium")</f>
        <v>Medium</v>
      </c>
      <c r="F2117" s="23">
        <f>IFERROR(__xludf.DUMMYFUNCTION("""COMPUTED_VALUE"""),479.0)</f>
        <v>479</v>
      </c>
      <c r="G2117" s="23">
        <f>IFERROR(__xludf.DUMMYFUNCTION("""COMPUTED_VALUE"""),18.0)</f>
        <v>18</v>
      </c>
      <c r="H2117" s="23" t="str">
        <f>IFERROR(__xludf.DUMMYFUNCTION("""COMPUTED_VALUE"""),"Algorithms")</f>
        <v>Algorithms</v>
      </c>
      <c r="I2117" s="23">
        <f>IFERROR(__xludf.DUMMYFUNCTION("""COMPUTED_VALUE"""),0.314)</f>
        <v>0.314</v>
      </c>
      <c r="J2117" s="23">
        <f>IFERROR(__xludf.DUMMYFUNCTION("""COMPUTED_VALUE"""),2116.0)</f>
        <v>2116</v>
      </c>
      <c r="K2117" s="23" t="b">
        <f>IFERROR(__xludf.DUMMYFUNCTION("""COMPUTED_VALUE"""),FALSE)</f>
        <v>0</v>
      </c>
      <c r="L2117" s="23" t="str">
        <f>IFERROR(__xludf.DUMMYFUNCTION("""COMPUTED_VALUE"""),"String;Stack;Greedy;")</f>
        <v>String;Stack;Greedy;</v>
      </c>
      <c r="M2117" s="23" t="b">
        <f>IFERROR(__xludf.DUMMYFUNCTION("""COMPUTED_VALUE"""),FALSE)</f>
        <v>0</v>
      </c>
      <c r="N2117" s="23" t="b">
        <f>IFERROR(__xludf.DUMMYFUNCTION("""COMPUTED_VALUE"""),FALSE)</f>
        <v>0</v>
      </c>
      <c r="O2117" s="23">
        <f>IFERROR(__xludf.DUMMYFUNCTION("""COMPUTED_VALUE"""),31.3691571586308)</f>
        <v>31.36915716</v>
      </c>
      <c r="P2117" s="23">
        <f>IFERROR(__xludf.DUMMYFUNCTION("""COMPUTED_VALUE"""),8523.0)</f>
        <v>8523</v>
      </c>
      <c r="Q2117" s="23">
        <f>IFERROR(__xludf.DUMMYFUNCTION("""COMPUTED_VALUE"""),27170.0)</f>
        <v>27170</v>
      </c>
    </row>
    <row r="2118">
      <c r="A2118" s="23">
        <f>IFERROR(__xludf.DUMMYFUNCTION("""COMPUTED_VALUE"""),2222.0)</f>
        <v>2222</v>
      </c>
      <c r="B2118" s="23" t="str">
        <f>IFERROR(__xludf.DUMMYFUNCTION("""COMPUTED_VALUE"""),"Abbreviating the Product of a Range")</f>
        <v>Abbreviating the Product of a Range</v>
      </c>
      <c r="C2118" s="23" t="str">
        <f>IFERROR(__xludf.DUMMYFUNCTION("""COMPUTED_VALUE"""),"abbreviating-the-product-of-a-range")</f>
        <v>abbreviating-the-product-of-a-range</v>
      </c>
      <c r="D2118" s="23" t="b">
        <f>IFERROR(__xludf.DUMMYFUNCTION("""COMPUTED_VALUE"""),FALSE)</f>
        <v>0</v>
      </c>
      <c r="E2118" s="23" t="str">
        <f>IFERROR(__xludf.DUMMYFUNCTION("""COMPUTED_VALUE"""),"Hard")</f>
        <v>Hard</v>
      </c>
      <c r="F2118" s="23">
        <f>IFERROR(__xludf.DUMMYFUNCTION("""COMPUTED_VALUE"""),52.0)</f>
        <v>52</v>
      </c>
      <c r="G2118" s="23">
        <f>IFERROR(__xludf.DUMMYFUNCTION("""COMPUTED_VALUE"""),94.0)</f>
        <v>94</v>
      </c>
      <c r="H2118" s="23" t="str">
        <f>IFERROR(__xludf.DUMMYFUNCTION("""COMPUTED_VALUE"""),"Algorithms")</f>
        <v>Algorithms</v>
      </c>
      <c r="I2118" s="23">
        <f>IFERROR(__xludf.DUMMYFUNCTION("""COMPUTED_VALUE"""),0.283)</f>
        <v>0.283</v>
      </c>
      <c r="J2118" s="23">
        <f>IFERROR(__xludf.DUMMYFUNCTION("""COMPUTED_VALUE"""),2117.0)</f>
        <v>2117</v>
      </c>
      <c r="K2118" s="23" t="b">
        <f>IFERROR(__xludf.DUMMYFUNCTION("""COMPUTED_VALUE"""),FALSE)</f>
        <v>0</v>
      </c>
      <c r="L2118" s="23" t="str">
        <f>IFERROR(__xludf.DUMMYFUNCTION("""COMPUTED_VALUE"""),"Math;")</f>
        <v>Math;</v>
      </c>
      <c r="M2118" s="23" t="b">
        <f>IFERROR(__xludf.DUMMYFUNCTION("""COMPUTED_VALUE"""),FALSE)</f>
        <v>0</v>
      </c>
      <c r="N2118" s="23" t="b">
        <f>IFERROR(__xludf.DUMMYFUNCTION("""COMPUTED_VALUE"""),FALSE)</f>
        <v>0</v>
      </c>
      <c r="O2118" s="23">
        <f>IFERROR(__xludf.DUMMYFUNCTION("""COMPUTED_VALUE"""),28.2745215311004)</f>
        <v>28.27452153</v>
      </c>
      <c r="P2118" s="23">
        <f>IFERROR(__xludf.DUMMYFUNCTION("""COMPUTED_VALUE"""),1891.0)</f>
        <v>1891</v>
      </c>
      <c r="Q2118" s="23">
        <f>IFERROR(__xludf.DUMMYFUNCTION("""COMPUTED_VALUE"""),6688.0)</f>
        <v>6688</v>
      </c>
    </row>
    <row r="2119">
      <c r="A2119" s="23">
        <f>IFERROR(__xludf.DUMMYFUNCTION("""COMPUTED_VALUE"""),2253.0)</f>
        <v>2253</v>
      </c>
      <c r="B2119" s="23" t="str">
        <f>IFERROR(__xludf.DUMMYFUNCTION("""COMPUTED_VALUE"""),"Build the Equation")</f>
        <v>Build the Equation</v>
      </c>
      <c r="C2119" s="23" t="str">
        <f>IFERROR(__xludf.DUMMYFUNCTION("""COMPUTED_VALUE"""),"build-the-equation")</f>
        <v>build-the-equation</v>
      </c>
      <c r="D2119" s="23" t="b">
        <f>IFERROR(__xludf.DUMMYFUNCTION("""COMPUTED_VALUE"""),TRUE)</f>
        <v>1</v>
      </c>
      <c r="E2119" s="23" t="str">
        <f>IFERROR(__xludf.DUMMYFUNCTION("""COMPUTED_VALUE"""),"Hard")</f>
        <v>Hard</v>
      </c>
      <c r="F2119" s="23">
        <f>IFERROR(__xludf.DUMMYFUNCTION("""COMPUTED_VALUE"""),10.0)</f>
        <v>10</v>
      </c>
      <c r="G2119" s="23">
        <f>IFERROR(__xludf.DUMMYFUNCTION("""COMPUTED_VALUE"""),21.0)</f>
        <v>21</v>
      </c>
      <c r="H2119" s="23" t="str">
        <f>IFERROR(__xludf.DUMMYFUNCTION("""COMPUTED_VALUE"""),"Database")</f>
        <v>Database</v>
      </c>
      <c r="I2119" s="23">
        <f>IFERROR(__xludf.DUMMYFUNCTION("""COMPUTED_VALUE"""),0.584)</f>
        <v>0.584</v>
      </c>
      <c r="J2119" s="23">
        <f>IFERROR(__xludf.DUMMYFUNCTION("""COMPUTED_VALUE"""),2118.0)</f>
        <v>2118</v>
      </c>
      <c r="K2119" s="23" t="b">
        <f>IFERROR(__xludf.DUMMYFUNCTION("""COMPUTED_VALUE"""),TRUE)</f>
        <v>1</v>
      </c>
      <c r="L2119" s="23" t="str">
        <f>IFERROR(__xludf.DUMMYFUNCTION("""COMPUTED_VALUE"""),"Database;")</f>
        <v>Database;</v>
      </c>
      <c r="M2119" s="23" t="b">
        <f>IFERROR(__xludf.DUMMYFUNCTION("""COMPUTED_VALUE"""),FALSE)</f>
        <v>0</v>
      </c>
      <c r="N2119" s="23" t="b">
        <f>IFERROR(__xludf.DUMMYFUNCTION("""COMPUTED_VALUE"""),FALSE)</f>
        <v>0</v>
      </c>
      <c r="O2119" s="23">
        <f>IFERROR(__xludf.DUMMYFUNCTION("""COMPUTED_VALUE"""),58.3765112262521)</f>
        <v>58.37651123</v>
      </c>
      <c r="P2119" s="23">
        <f>IFERROR(__xludf.DUMMYFUNCTION("""COMPUTED_VALUE"""),676.0)</f>
        <v>676</v>
      </c>
      <c r="Q2119" s="23">
        <f>IFERROR(__xludf.DUMMYFUNCTION("""COMPUTED_VALUE"""),1158.0)</f>
        <v>1158</v>
      </c>
    </row>
    <row r="2120">
      <c r="A2120" s="23">
        <f>IFERROR(__xludf.DUMMYFUNCTION("""COMPUTED_VALUE"""),2238.0)</f>
        <v>2238</v>
      </c>
      <c r="B2120" s="23" t="str">
        <f>IFERROR(__xludf.DUMMYFUNCTION("""COMPUTED_VALUE"""),"A Number After a Double Reversal")</f>
        <v>A Number After a Double Reversal</v>
      </c>
      <c r="C2120" s="23" t="str">
        <f>IFERROR(__xludf.DUMMYFUNCTION("""COMPUTED_VALUE"""),"a-number-after-a-double-reversal")</f>
        <v>a-number-after-a-double-reversal</v>
      </c>
      <c r="D2120" s="23" t="b">
        <f>IFERROR(__xludf.DUMMYFUNCTION("""COMPUTED_VALUE"""),FALSE)</f>
        <v>0</v>
      </c>
      <c r="E2120" s="23" t="str">
        <f>IFERROR(__xludf.DUMMYFUNCTION("""COMPUTED_VALUE"""),"Easy")</f>
        <v>Easy</v>
      </c>
      <c r="F2120" s="23">
        <f>IFERROR(__xludf.DUMMYFUNCTION("""COMPUTED_VALUE"""),229.0)</f>
        <v>229</v>
      </c>
      <c r="G2120" s="23">
        <f>IFERROR(__xludf.DUMMYFUNCTION("""COMPUTED_VALUE"""),14.0)</f>
        <v>14</v>
      </c>
      <c r="H2120" s="23" t="str">
        <f>IFERROR(__xludf.DUMMYFUNCTION("""COMPUTED_VALUE"""),"Algorithms")</f>
        <v>Algorithms</v>
      </c>
      <c r="I2120" s="23">
        <f>IFERROR(__xludf.DUMMYFUNCTION("""COMPUTED_VALUE"""),0.768)</f>
        <v>0.768</v>
      </c>
      <c r="J2120" s="23">
        <f>IFERROR(__xludf.DUMMYFUNCTION("""COMPUTED_VALUE"""),2119.0)</f>
        <v>2119</v>
      </c>
      <c r="K2120" s="23" t="b">
        <f>IFERROR(__xludf.DUMMYFUNCTION("""COMPUTED_VALUE"""),FALSE)</f>
        <v>0</v>
      </c>
      <c r="L2120" s="23" t="str">
        <f>IFERROR(__xludf.DUMMYFUNCTION("""COMPUTED_VALUE"""),"Math;")</f>
        <v>Math;</v>
      </c>
      <c r="M2120" s="23" t="b">
        <f>IFERROR(__xludf.DUMMYFUNCTION("""COMPUTED_VALUE"""),FALSE)</f>
        <v>0</v>
      </c>
      <c r="N2120" s="23" t="b">
        <f>IFERROR(__xludf.DUMMYFUNCTION("""COMPUTED_VALUE"""),FALSE)</f>
        <v>0</v>
      </c>
      <c r="O2120" s="23">
        <f>IFERROR(__xludf.DUMMYFUNCTION("""COMPUTED_VALUE"""),76.7531673705267)</f>
        <v>76.75316737</v>
      </c>
      <c r="P2120" s="23">
        <f>IFERROR(__xludf.DUMMYFUNCTION("""COMPUTED_VALUE"""),27625.0)</f>
        <v>27625</v>
      </c>
      <c r="Q2120" s="23">
        <f>IFERROR(__xludf.DUMMYFUNCTION("""COMPUTED_VALUE"""),35992.0)</f>
        <v>35992</v>
      </c>
    </row>
    <row r="2121">
      <c r="A2121" s="23">
        <f>IFERROR(__xludf.DUMMYFUNCTION("""COMPUTED_VALUE"""),2239.0)</f>
        <v>2239</v>
      </c>
      <c r="B2121" s="23" t="str">
        <f>IFERROR(__xludf.DUMMYFUNCTION("""COMPUTED_VALUE"""),"Execution of All Suffix Instructions Staying in a Grid")</f>
        <v>Execution of All Suffix Instructions Staying in a Grid</v>
      </c>
      <c r="C2121" s="23" t="str">
        <f>IFERROR(__xludf.DUMMYFUNCTION("""COMPUTED_VALUE"""),"execution-of-all-suffix-instructions-staying-in-a-grid")</f>
        <v>execution-of-all-suffix-instructions-staying-in-a-grid</v>
      </c>
      <c r="D2121" s="23" t="b">
        <f>IFERROR(__xludf.DUMMYFUNCTION("""COMPUTED_VALUE"""),FALSE)</f>
        <v>0</v>
      </c>
      <c r="E2121" s="23" t="str">
        <f>IFERROR(__xludf.DUMMYFUNCTION("""COMPUTED_VALUE"""),"Medium")</f>
        <v>Medium</v>
      </c>
      <c r="F2121" s="23">
        <f>IFERROR(__xludf.DUMMYFUNCTION("""COMPUTED_VALUE"""),248.0)</f>
        <v>248</v>
      </c>
      <c r="G2121" s="23">
        <f>IFERROR(__xludf.DUMMYFUNCTION("""COMPUTED_VALUE"""),24.0)</f>
        <v>24</v>
      </c>
      <c r="H2121" s="23" t="str">
        <f>IFERROR(__xludf.DUMMYFUNCTION("""COMPUTED_VALUE"""),"Algorithms")</f>
        <v>Algorithms</v>
      </c>
      <c r="I2121" s="23">
        <f>IFERROR(__xludf.DUMMYFUNCTION("""COMPUTED_VALUE"""),0.833)</f>
        <v>0.833</v>
      </c>
      <c r="J2121" s="23">
        <f>IFERROR(__xludf.DUMMYFUNCTION("""COMPUTED_VALUE"""),2120.0)</f>
        <v>2120</v>
      </c>
      <c r="K2121" s="23" t="b">
        <f>IFERROR(__xludf.DUMMYFUNCTION("""COMPUTED_VALUE"""),FALSE)</f>
        <v>0</v>
      </c>
      <c r="L2121" s="23" t="str">
        <f>IFERROR(__xludf.DUMMYFUNCTION("""COMPUTED_VALUE"""),"String;Simulation;")</f>
        <v>String;Simulation;</v>
      </c>
      <c r="M2121" s="23" t="b">
        <f>IFERROR(__xludf.DUMMYFUNCTION("""COMPUTED_VALUE"""),FALSE)</f>
        <v>0</v>
      </c>
      <c r="N2121" s="23" t="b">
        <f>IFERROR(__xludf.DUMMYFUNCTION("""COMPUTED_VALUE"""),FALSE)</f>
        <v>0</v>
      </c>
      <c r="O2121" s="23">
        <f>IFERROR(__xludf.DUMMYFUNCTION("""COMPUTED_VALUE"""),83.2871913667438)</f>
        <v>83.28719137</v>
      </c>
      <c r="P2121" s="23">
        <f>IFERROR(__xludf.DUMMYFUNCTION("""COMPUTED_VALUE"""),14741.0)</f>
        <v>14741</v>
      </c>
      <c r="Q2121" s="23">
        <f>IFERROR(__xludf.DUMMYFUNCTION("""COMPUTED_VALUE"""),17699.0)</f>
        <v>17699</v>
      </c>
    </row>
    <row r="2122">
      <c r="A2122" s="23">
        <f>IFERROR(__xludf.DUMMYFUNCTION("""COMPUTED_VALUE"""),2240.0)</f>
        <v>2240</v>
      </c>
      <c r="B2122" s="23" t="str">
        <f>IFERROR(__xludf.DUMMYFUNCTION("""COMPUTED_VALUE"""),"Intervals Between Identical Elements")</f>
        <v>Intervals Between Identical Elements</v>
      </c>
      <c r="C2122" s="23" t="str">
        <f>IFERROR(__xludf.DUMMYFUNCTION("""COMPUTED_VALUE"""),"intervals-between-identical-elements")</f>
        <v>intervals-between-identical-elements</v>
      </c>
      <c r="D2122" s="23" t="b">
        <f>IFERROR(__xludf.DUMMYFUNCTION("""COMPUTED_VALUE"""),FALSE)</f>
        <v>0</v>
      </c>
      <c r="E2122" s="23" t="str">
        <f>IFERROR(__xludf.DUMMYFUNCTION("""COMPUTED_VALUE"""),"Medium")</f>
        <v>Medium</v>
      </c>
      <c r="F2122" s="23">
        <f>IFERROR(__xludf.DUMMYFUNCTION("""COMPUTED_VALUE"""),478.0)</f>
        <v>478</v>
      </c>
      <c r="G2122" s="23">
        <f>IFERROR(__xludf.DUMMYFUNCTION("""COMPUTED_VALUE"""),21.0)</f>
        <v>21</v>
      </c>
      <c r="H2122" s="23" t="str">
        <f>IFERROR(__xludf.DUMMYFUNCTION("""COMPUTED_VALUE"""),"Algorithms")</f>
        <v>Algorithms</v>
      </c>
      <c r="I2122" s="23">
        <f>IFERROR(__xludf.DUMMYFUNCTION("""COMPUTED_VALUE"""),0.422)</f>
        <v>0.422</v>
      </c>
      <c r="J2122" s="23">
        <f>IFERROR(__xludf.DUMMYFUNCTION("""COMPUTED_VALUE"""),2121.0)</f>
        <v>2121</v>
      </c>
      <c r="K2122" s="23" t="b">
        <f>IFERROR(__xludf.DUMMYFUNCTION("""COMPUTED_VALUE"""),FALSE)</f>
        <v>0</v>
      </c>
      <c r="L2122" s="23" t="str">
        <f>IFERROR(__xludf.DUMMYFUNCTION("""COMPUTED_VALUE"""),"Array;Hash Table;Prefix Sum;")</f>
        <v>Array;Hash Table;Prefix Sum;</v>
      </c>
      <c r="M2122" s="23" t="b">
        <f>IFERROR(__xludf.DUMMYFUNCTION("""COMPUTED_VALUE"""),FALSE)</f>
        <v>0</v>
      </c>
      <c r="N2122" s="23" t="b">
        <f>IFERROR(__xludf.DUMMYFUNCTION("""COMPUTED_VALUE"""),FALSE)</f>
        <v>0</v>
      </c>
      <c r="O2122" s="23">
        <f>IFERROR(__xludf.DUMMYFUNCTION("""COMPUTED_VALUE"""),42.1624101544578)</f>
        <v>42.16241015</v>
      </c>
      <c r="P2122" s="23">
        <f>IFERROR(__xludf.DUMMYFUNCTION("""COMPUTED_VALUE"""),11028.0)</f>
        <v>11028</v>
      </c>
      <c r="Q2122" s="23">
        <f>IFERROR(__xludf.DUMMYFUNCTION("""COMPUTED_VALUE"""),26156.0)</f>
        <v>26156</v>
      </c>
    </row>
    <row r="2123">
      <c r="A2123" s="23">
        <f>IFERROR(__xludf.DUMMYFUNCTION("""COMPUTED_VALUE"""),2241.0)</f>
        <v>2241</v>
      </c>
      <c r="B2123" s="23" t="str">
        <f>IFERROR(__xludf.DUMMYFUNCTION("""COMPUTED_VALUE"""),"Recover the Original Array")</f>
        <v>Recover the Original Array</v>
      </c>
      <c r="C2123" s="23" t="str">
        <f>IFERROR(__xludf.DUMMYFUNCTION("""COMPUTED_VALUE"""),"recover-the-original-array")</f>
        <v>recover-the-original-array</v>
      </c>
      <c r="D2123" s="23" t="b">
        <f>IFERROR(__xludf.DUMMYFUNCTION("""COMPUTED_VALUE"""),FALSE)</f>
        <v>0</v>
      </c>
      <c r="E2123" s="23" t="str">
        <f>IFERROR(__xludf.DUMMYFUNCTION("""COMPUTED_VALUE"""),"Hard")</f>
        <v>Hard</v>
      </c>
      <c r="F2123" s="23">
        <f>IFERROR(__xludf.DUMMYFUNCTION("""COMPUTED_VALUE"""),221.0)</f>
        <v>221</v>
      </c>
      <c r="G2123" s="23">
        <f>IFERROR(__xludf.DUMMYFUNCTION("""COMPUTED_VALUE"""),26.0)</f>
        <v>26</v>
      </c>
      <c r="H2123" s="23" t="str">
        <f>IFERROR(__xludf.DUMMYFUNCTION("""COMPUTED_VALUE"""),"Algorithms")</f>
        <v>Algorithms</v>
      </c>
      <c r="I2123" s="23">
        <f>IFERROR(__xludf.DUMMYFUNCTION("""COMPUTED_VALUE"""),0.375)</f>
        <v>0.375</v>
      </c>
      <c r="J2123" s="23">
        <f>IFERROR(__xludf.DUMMYFUNCTION("""COMPUTED_VALUE"""),2122.0)</f>
        <v>2122</v>
      </c>
      <c r="K2123" s="23" t="b">
        <f>IFERROR(__xludf.DUMMYFUNCTION("""COMPUTED_VALUE"""),FALSE)</f>
        <v>0</v>
      </c>
      <c r="L2123" s="23" t="str">
        <f>IFERROR(__xludf.DUMMYFUNCTION("""COMPUTED_VALUE"""),"Array;Hash Table;Sorting;Enumeration;")</f>
        <v>Array;Hash Table;Sorting;Enumeration;</v>
      </c>
      <c r="M2123" s="23" t="b">
        <f>IFERROR(__xludf.DUMMYFUNCTION("""COMPUTED_VALUE"""),FALSE)</f>
        <v>0</v>
      </c>
      <c r="N2123" s="23" t="b">
        <f>IFERROR(__xludf.DUMMYFUNCTION("""COMPUTED_VALUE"""),FALSE)</f>
        <v>0</v>
      </c>
      <c r="O2123" s="23">
        <f>IFERROR(__xludf.DUMMYFUNCTION("""COMPUTED_VALUE"""),37.4897552979744)</f>
        <v>37.4897553</v>
      </c>
      <c r="P2123" s="23">
        <f>IFERROR(__xludf.DUMMYFUNCTION("""COMPUTED_VALUE"""),6404.0)</f>
        <v>6404</v>
      </c>
      <c r="Q2123" s="23">
        <f>IFERROR(__xludf.DUMMYFUNCTION("""COMPUTED_VALUE"""),17082.0)</f>
        <v>17082</v>
      </c>
    </row>
    <row r="2124">
      <c r="A2124" s="23">
        <f>IFERROR(__xludf.DUMMYFUNCTION("""COMPUTED_VALUE"""),2259.0)</f>
        <v>2259</v>
      </c>
      <c r="B2124" s="23" t="str">
        <f>IFERROR(__xludf.DUMMYFUNCTION("""COMPUTED_VALUE"""),"Minimum Operations to Remove Adjacent Ones in Matrix")</f>
        <v>Minimum Operations to Remove Adjacent Ones in Matrix</v>
      </c>
      <c r="C2124" s="23" t="str">
        <f>IFERROR(__xludf.DUMMYFUNCTION("""COMPUTED_VALUE"""),"minimum-operations-to-remove-adjacent-ones-in-matrix")</f>
        <v>minimum-operations-to-remove-adjacent-ones-in-matrix</v>
      </c>
      <c r="D2124" s="23" t="b">
        <f>IFERROR(__xludf.DUMMYFUNCTION("""COMPUTED_VALUE"""),TRUE)</f>
        <v>1</v>
      </c>
      <c r="E2124" s="23" t="str">
        <f>IFERROR(__xludf.DUMMYFUNCTION("""COMPUTED_VALUE"""),"Hard")</f>
        <v>Hard</v>
      </c>
      <c r="F2124" s="23">
        <f>IFERROR(__xludf.DUMMYFUNCTION("""COMPUTED_VALUE"""),26.0)</f>
        <v>26</v>
      </c>
      <c r="G2124" s="23">
        <f>IFERROR(__xludf.DUMMYFUNCTION("""COMPUTED_VALUE"""),4.0)</f>
        <v>4</v>
      </c>
      <c r="H2124" s="23" t="str">
        <f>IFERROR(__xludf.DUMMYFUNCTION("""COMPUTED_VALUE"""),"Algorithms")</f>
        <v>Algorithms</v>
      </c>
      <c r="I2124" s="23">
        <f>IFERROR(__xludf.DUMMYFUNCTION("""COMPUTED_VALUE"""),0.411)</f>
        <v>0.411</v>
      </c>
      <c r="J2124" s="23">
        <f>IFERROR(__xludf.DUMMYFUNCTION("""COMPUTED_VALUE"""),2123.0)</f>
        <v>2123</v>
      </c>
      <c r="K2124" s="23" t="b">
        <f>IFERROR(__xludf.DUMMYFUNCTION("""COMPUTED_VALUE"""),TRUE)</f>
        <v>1</v>
      </c>
      <c r="L2124" s="23" t="str">
        <f>IFERROR(__xludf.DUMMYFUNCTION("""COMPUTED_VALUE"""),"Array;Graph;Matrix;")</f>
        <v>Array;Graph;Matrix;</v>
      </c>
      <c r="M2124" s="23" t="b">
        <f>IFERROR(__xludf.DUMMYFUNCTION("""COMPUTED_VALUE"""),FALSE)</f>
        <v>0</v>
      </c>
      <c r="N2124" s="23" t="b">
        <f>IFERROR(__xludf.DUMMYFUNCTION("""COMPUTED_VALUE"""),FALSE)</f>
        <v>0</v>
      </c>
      <c r="O2124" s="23">
        <f>IFERROR(__xludf.DUMMYFUNCTION("""COMPUTED_VALUE"""),41.1433926897844)</f>
        <v>41.14339269</v>
      </c>
      <c r="P2124" s="23">
        <f>IFERROR(__xludf.DUMMYFUNCTION("""COMPUTED_VALUE"""),439.0)</f>
        <v>439</v>
      </c>
      <c r="Q2124" s="23">
        <f>IFERROR(__xludf.DUMMYFUNCTION("""COMPUTED_VALUE"""),1067.0)</f>
        <v>1067</v>
      </c>
    </row>
    <row r="2125">
      <c r="A2125" s="23">
        <f>IFERROR(__xludf.DUMMYFUNCTION("""COMPUTED_VALUE"""),2243.0)</f>
        <v>2243</v>
      </c>
      <c r="B2125" s="23" t="str">
        <f>IFERROR(__xludf.DUMMYFUNCTION("""COMPUTED_VALUE"""),"Check if All A's Appears Before All B's")</f>
        <v>Check if All A's Appears Before All B's</v>
      </c>
      <c r="C2125" s="23" t="str">
        <f>IFERROR(__xludf.DUMMYFUNCTION("""COMPUTED_VALUE"""),"check-if-all-as-appears-before-all-bs")</f>
        <v>check-if-all-as-appears-before-all-bs</v>
      </c>
      <c r="D2125" s="23" t="b">
        <f>IFERROR(__xludf.DUMMYFUNCTION("""COMPUTED_VALUE"""),FALSE)</f>
        <v>0</v>
      </c>
      <c r="E2125" s="23" t="str">
        <f>IFERROR(__xludf.DUMMYFUNCTION("""COMPUTED_VALUE"""),"Easy")</f>
        <v>Easy</v>
      </c>
      <c r="F2125" s="23">
        <f>IFERROR(__xludf.DUMMYFUNCTION("""COMPUTED_VALUE"""),288.0)</f>
        <v>288</v>
      </c>
      <c r="G2125" s="23">
        <f>IFERROR(__xludf.DUMMYFUNCTION("""COMPUTED_VALUE"""),3.0)</f>
        <v>3</v>
      </c>
      <c r="H2125" s="23" t="str">
        <f>IFERROR(__xludf.DUMMYFUNCTION("""COMPUTED_VALUE"""),"Algorithms")</f>
        <v>Algorithms</v>
      </c>
      <c r="I2125" s="23">
        <f>IFERROR(__xludf.DUMMYFUNCTION("""COMPUTED_VALUE"""),0.725)</f>
        <v>0.725</v>
      </c>
      <c r="J2125" s="23">
        <f>IFERROR(__xludf.DUMMYFUNCTION("""COMPUTED_VALUE"""),2124.0)</f>
        <v>2124</v>
      </c>
      <c r="K2125" s="23" t="b">
        <f>IFERROR(__xludf.DUMMYFUNCTION("""COMPUTED_VALUE"""),FALSE)</f>
        <v>0</v>
      </c>
      <c r="L2125" s="23" t="str">
        <f>IFERROR(__xludf.DUMMYFUNCTION("""COMPUTED_VALUE"""),"String;")</f>
        <v>String;</v>
      </c>
      <c r="M2125" s="23" t="b">
        <f>IFERROR(__xludf.DUMMYFUNCTION("""COMPUTED_VALUE"""),FALSE)</f>
        <v>0</v>
      </c>
      <c r="N2125" s="23" t="b">
        <f>IFERROR(__xludf.DUMMYFUNCTION("""COMPUTED_VALUE"""),FALSE)</f>
        <v>0</v>
      </c>
      <c r="O2125" s="23">
        <f>IFERROR(__xludf.DUMMYFUNCTION("""COMPUTED_VALUE"""),72.4808261827017)</f>
        <v>72.48082618</v>
      </c>
      <c r="P2125" s="23">
        <f>IFERROR(__xludf.DUMMYFUNCTION("""COMPUTED_VALUE"""),28635.0)</f>
        <v>28635</v>
      </c>
      <c r="Q2125" s="23">
        <f>IFERROR(__xludf.DUMMYFUNCTION("""COMPUTED_VALUE"""),39507.0)</f>
        <v>39507</v>
      </c>
    </row>
    <row r="2126">
      <c r="A2126" s="23">
        <f>IFERROR(__xludf.DUMMYFUNCTION("""COMPUTED_VALUE"""),2244.0)</f>
        <v>2244</v>
      </c>
      <c r="B2126" s="23" t="str">
        <f>IFERROR(__xludf.DUMMYFUNCTION("""COMPUTED_VALUE"""),"Number of Laser Beams in a Bank")</f>
        <v>Number of Laser Beams in a Bank</v>
      </c>
      <c r="C2126" s="23" t="str">
        <f>IFERROR(__xludf.DUMMYFUNCTION("""COMPUTED_VALUE"""),"number-of-laser-beams-in-a-bank")</f>
        <v>number-of-laser-beams-in-a-bank</v>
      </c>
      <c r="D2126" s="23" t="b">
        <f>IFERROR(__xludf.DUMMYFUNCTION("""COMPUTED_VALUE"""),FALSE)</f>
        <v>0</v>
      </c>
      <c r="E2126" s="23" t="str">
        <f>IFERROR(__xludf.DUMMYFUNCTION("""COMPUTED_VALUE"""),"Medium")</f>
        <v>Medium</v>
      </c>
      <c r="F2126" s="23">
        <f>IFERROR(__xludf.DUMMYFUNCTION("""COMPUTED_VALUE"""),338.0)</f>
        <v>338</v>
      </c>
      <c r="G2126" s="23">
        <f>IFERROR(__xludf.DUMMYFUNCTION("""COMPUTED_VALUE"""),29.0)</f>
        <v>29</v>
      </c>
      <c r="H2126" s="23" t="str">
        <f>IFERROR(__xludf.DUMMYFUNCTION("""COMPUTED_VALUE"""),"Algorithms")</f>
        <v>Algorithms</v>
      </c>
      <c r="I2126" s="23">
        <f>IFERROR(__xludf.DUMMYFUNCTION("""COMPUTED_VALUE"""),0.833)</f>
        <v>0.833</v>
      </c>
      <c r="J2126" s="23">
        <f>IFERROR(__xludf.DUMMYFUNCTION("""COMPUTED_VALUE"""),2125.0)</f>
        <v>2125</v>
      </c>
      <c r="K2126" s="23" t="b">
        <f>IFERROR(__xludf.DUMMYFUNCTION("""COMPUTED_VALUE"""),FALSE)</f>
        <v>0</v>
      </c>
      <c r="L2126" s="23" t="str">
        <f>IFERROR(__xludf.DUMMYFUNCTION("""COMPUTED_VALUE"""),"Array;Math;String;Matrix;")</f>
        <v>Array;Math;String;Matrix;</v>
      </c>
      <c r="M2126" s="23" t="b">
        <f>IFERROR(__xludf.DUMMYFUNCTION("""COMPUTED_VALUE"""),FALSE)</f>
        <v>0</v>
      </c>
      <c r="N2126" s="23" t="b">
        <f>IFERROR(__xludf.DUMMYFUNCTION("""COMPUTED_VALUE"""),FALSE)</f>
        <v>0</v>
      </c>
      <c r="O2126" s="23">
        <f>IFERROR(__xludf.DUMMYFUNCTION("""COMPUTED_VALUE"""),83.3212113197566)</f>
        <v>83.32121132</v>
      </c>
      <c r="P2126" s="23">
        <f>IFERROR(__xludf.DUMMYFUNCTION("""COMPUTED_VALUE"""),25203.0)</f>
        <v>25203</v>
      </c>
      <c r="Q2126" s="23">
        <f>IFERROR(__xludf.DUMMYFUNCTION("""COMPUTED_VALUE"""),30248.0)</f>
        <v>30248</v>
      </c>
    </row>
    <row r="2127">
      <c r="A2127" s="23">
        <f>IFERROR(__xludf.DUMMYFUNCTION("""COMPUTED_VALUE"""),2245.0)</f>
        <v>2245</v>
      </c>
      <c r="B2127" s="23" t="str">
        <f>IFERROR(__xludf.DUMMYFUNCTION("""COMPUTED_VALUE"""),"Destroying Asteroids")</f>
        <v>Destroying Asteroids</v>
      </c>
      <c r="C2127" s="23" t="str">
        <f>IFERROR(__xludf.DUMMYFUNCTION("""COMPUTED_VALUE"""),"destroying-asteroids")</f>
        <v>destroying-asteroids</v>
      </c>
      <c r="D2127" s="23" t="b">
        <f>IFERROR(__xludf.DUMMYFUNCTION("""COMPUTED_VALUE"""),FALSE)</f>
        <v>0</v>
      </c>
      <c r="E2127" s="23" t="str">
        <f>IFERROR(__xludf.DUMMYFUNCTION("""COMPUTED_VALUE"""),"Medium")</f>
        <v>Medium</v>
      </c>
      <c r="F2127" s="23">
        <f>IFERROR(__xludf.DUMMYFUNCTION("""COMPUTED_VALUE"""),200.0)</f>
        <v>200</v>
      </c>
      <c r="G2127" s="23">
        <f>IFERROR(__xludf.DUMMYFUNCTION("""COMPUTED_VALUE"""),107.0)</f>
        <v>107</v>
      </c>
      <c r="H2127" s="23" t="str">
        <f>IFERROR(__xludf.DUMMYFUNCTION("""COMPUTED_VALUE"""),"Algorithms")</f>
        <v>Algorithms</v>
      </c>
      <c r="I2127" s="23">
        <f>IFERROR(__xludf.DUMMYFUNCTION("""COMPUTED_VALUE"""),0.484)</f>
        <v>0.484</v>
      </c>
      <c r="J2127" s="23">
        <f>IFERROR(__xludf.DUMMYFUNCTION("""COMPUTED_VALUE"""),2126.0)</f>
        <v>2126</v>
      </c>
      <c r="K2127" s="23" t="b">
        <f>IFERROR(__xludf.DUMMYFUNCTION("""COMPUTED_VALUE"""),FALSE)</f>
        <v>0</v>
      </c>
      <c r="L2127" s="23" t="str">
        <f>IFERROR(__xludf.DUMMYFUNCTION("""COMPUTED_VALUE"""),"Array;Greedy;Sorting;")</f>
        <v>Array;Greedy;Sorting;</v>
      </c>
      <c r="M2127" s="23" t="b">
        <f>IFERROR(__xludf.DUMMYFUNCTION("""COMPUTED_VALUE"""),FALSE)</f>
        <v>0</v>
      </c>
      <c r="N2127" s="23" t="b">
        <f>IFERROR(__xludf.DUMMYFUNCTION("""COMPUTED_VALUE"""),FALSE)</f>
        <v>0</v>
      </c>
      <c r="O2127" s="23">
        <f>IFERROR(__xludf.DUMMYFUNCTION("""COMPUTED_VALUE"""),48.3939481343577)</f>
        <v>48.39394813</v>
      </c>
      <c r="P2127" s="23">
        <f>IFERROR(__xludf.DUMMYFUNCTION("""COMPUTED_VALUE"""),18454.0)</f>
        <v>18454</v>
      </c>
      <c r="Q2127" s="23">
        <f>IFERROR(__xludf.DUMMYFUNCTION("""COMPUTED_VALUE"""),38133.0)</f>
        <v>38133</v>
      </c>
    </row>
    <row r="2128">
      <c r="A2128" s="23">
        <f>IFERROR(__xludf.DUMMYFUNCTION("""COMPUTED_VALUE"""),2246.0)</f>
        <v>2246</v>
      </c>
      <c r="B2128" s="23" t="str">
        <f>IFERROR(__xludf.DUMMYFUNCTION("""COMPUTED_VALUE"""),"Maximum Employees to Be Invited to a Meeting")</f>
        <v>Maximum Employees to Be Invited to a Meeting</v>
      </c>
      <c r="C2128" s="23" t="str">
        <f>IFERROR(__xludf.DUMMYFUNCTION("""COMPUTED_VALUE"""),"maximum-employees-to-be-invited-to-a-meeting")</f>
        <v>maximum-employees-to-be-invited-to-a-meeting</v>
      </c>
      <c r="D2128" s="23" t="b">
        <f>IFERROR(__xludf.DUMMYFUNCTION("""COMPUTED_VALUE"""),FALSE)</f>
        <v>0</v>
      </c>
      <c r="E2128" s="23" t="str">
        <f>IFERROR(__xludf.DUMMYFUNCTION("""COMPUTED_VALUE"""),"Hard")</f>
        <v>Hard</v>
      </c>
      <c r="F2128" s="23">
        <f>IFERROR(__xludf.DUMMYFUNCTION("""COMPUTED_VALUE"""),480.0)</f>
        <v>480</v>
      </c>
      <c r="G2128" s="23">
        <f>IFERROR(__xludf.DUMMYFUNCTION("""COMPUTED_VALUE"""),6.0)</f>
        <v>6</v>
      </c>
      <c r="H2128" s="23" t="str">
        <f>IFERROR(__xludf.DUMMYFUNCTION("""COMPUTED_VALUE"""),"Algorithms")</f>
        <v>Algorithms</v>
      </c>
      <c r="I2128" s="23">
        <f>IFERROR(__xludf.DUMMYFUNCTION("""COMPUTED_VALUE"""),0.301)</f>
        <v>0.301</v>
      </c>
      <c r="J2128" s="23">
        <f>IFERROR(__xludf.DUMMYFUNCTION("""COMPUTED_VALUE"""),2127.0)</f>
        <v>2127</v>
      </c>
      <c r="K2128" s="23" t="b">
        <f>IFERROR(__xludf.DUMMYFUNCTION("""COMPUTED_VALUE"""),FALSE)</f>
        <v>0</v>
      </c>
      <c r="L2128" s="23" t="str">
        <f>IFERROR(__xludf.DUMMYFUNCTION("""COMPUTED_VALUE"""),"Depth-First Search;Graph;Topological Sort;")</f>
        <v>Depth-First Search;Graph;Topological Sort;</v>
      </c>
      <c r="M2128" s="23" t="b">
        <f>IFERROR(__xludf.DUMMYFUNCTION("""COMPUTED_VALUE"""),FALSE)</f>
        <v>0</v>
      </c>
      <c r="N2128" s="23" t="b">
        <f>IFERROR(__xludf.DUMMYFUNCTION("""COMPUTED_VALUE"""),FALSE)</f>
        <v>0</v>
      </c>
      <c r="O2128" s="23">
        <f>IFERROR(__xludf.DUMMYFUNCTION("""COMPUTED_VALUE"""),30.0760529174921)</f>
        <v>30.07605292</v>
      </c>
      <c r="P2128" s="23">
        <f>IFERROR(__xludf.DUMMYFUNCTION("""COMPUTED_VALUE"""),4706.0)</f>
        <v>4706</v>
      </c>
      <c r="Q2128" s="23">
        <f>IFERROR(__xludf.DUMMYFUNCTION("""COMPUTED_VALUE"""),15647.0)</f>
        <v>15647</v>
      </c>
    </row>
    <row r="2129">
      <c r="A2129" s="23">
        <f>IFERROR(__xludf.DUMMYFUNCTION("""COMPUTED_VALUE"""),2268.0)</f>
        <v>2268</v>
      </c>
      <c r="B2129" s="23" t="str">
        <f>IFERROR(__xludf.DUMMYFUNCTION("""COMPUTED_VALUE"""),"Remove All Ones With Row and Column Flips")</f>
        <v>Remove All Ones With Row and Column Flips</v>
      </c>
      <c r="C2129" s="23" t="str">
        <f>IFERROR(__xludf.DUMMYFUNCTION("""COMPUTED_VALUE"""),"remove-all-ones-with-row-and-column-flips")</f>
        <v>remove-all-ones-with-row-and-column-flips</v>
      </c>
      <c r="D2129" s="23" t="b">
        <f>IFERROR(__xludf.DUMMYFUNCTION("""COMPUTED_VALUE"""),TRUE)</f>
        <v>1</v>
      </c>
      <c r="E2129" s="23" t="str">
        <f>IFERROR(__xludf.DUMMYFUNCTION("""COMPUTED_VALUE"""),"Medium")</f>
        <v>Medium</v>
      </c>
      <c r="F2129" s="23">
        <f>IFERROR(__xludf.DUMMYFUNCTION("""COMPUTED_VALUE"""),238.0)</f>
        <v>238</v>
      </c>
      <c r="G2129" s="23">
        <f>IFERROR(__xludf.DUMMYFUNCTION("""COMPUTED_VALUE"""),66.0)</f>
        <v>66</v>
      </c>
      <c r="H2129" s="23" t="str">
        <f>IFERROR(__xludf.DUMMYFUNCTION("""COMPUTED_VALUE"""),"Algorithms")</f>
        <v>Algorithms</v>
      </c>
      <c r="I2129" s="23">
        <f>IFERROR(__xludf.DUMMYFUNCTION("""COMPUTED_VALUE"""),0.767)</f>
        <v>0.767</v>
      </c>
      <c r="J2129" s="23">
        <f>IFERROR(__xludf.DUMMYFUNCTION("""COMPUTED_VALUE"""),2128.0)</f>
        <v>2128</v>
      </c>
      <c r="K2129" s="23" t="b">
        <f>IFERROR(__xludf.DUMMYFUNCTION("""COMPUTED_VALUE"""),TRUE)</f>
        <v>1</v>
      </c>
      <c r="L2129" s="23" t="str">
        <f>IFERROR(__xludf.DUMMYFUNCTION("""COMPUTED_VALUE"""),"Array;Math;Bit Manipulation;Matrix;")</f>
        <v>Array;Math;Bit Manipulation;Matrix;</v>
      </c>
      <c r="M2129" s="23" t="b">
        <f>IFERROR(__xludf.DUMMYFUNCTION("""COMPUTED_VALUE"""),FALSE)</f>
        <v>0</v>
      </c>
      <c r="N2129" s="23" t="b">
        <f>IFERROR(__xludf.DUMMYFUNCTION("""COMPUTED_VALUE"""),FALSE)</f>
        <v>0</v>
      </c>
      <c r="O2129" s="23">
        <f>IFERROR(__xludf.DUMMYFUNCTION("""COMPUTED_VALUE"""),76.737195051451)</f>
        <v>76.73719505</v>
      </c>
      <c r="P2129" s="23">
        <f>IFERROR(__xludf.DUMMYFUNCTION("""COMPUTED_VALUE"""),13274.0)</f>
        <v>13274</v>
      </c>
      <c r="Q2129" s="23">
        <f>IFERROR(__xludf.DUMMYFUNCTION("""COMPUTED_VALUE"""),17298.0)</f>
        <v>17298</v>
      </c>
    </row>
    <row r="2130">
      <c r="A2130" s="23">
        <f>IFERROR(__xludf.DUMMYFUNCTION("""COMPUTED_VALUE"""),2235.0)</f>
        <v>2235</v>
      </c>
      <c r="B2130" s="23" t="str">
        <f>IFERROR(__xludf.DUMMYFUNCTION("""COMPUTED_VALUE"""),"Capitalize the Title")</f>
        <v>Capitalize the Title</v>
      </c>
      <c r="C2130" s="23" t="str">
        <f>IFERROR(__xludf.DUMMYFUNCTION("""COMPUTED_VALUE"""),"capitalize-the-title")</f>
        <v>capitalize-the-title</v>
      </c>
      <c r="D2130" s="23" t="b">
        <f>IFERROR(__xludf.DUMMYFUNCTION("""COMPUTED_VALUE"""),FALSE)</f>
        <v>0</v>
      </c>
      <c r="E2130" s="23" t="str">
        <f>IFERROR(__xludf.DUMMYFUNCTION("""COMPUTED_VALUE"""),"Easy")</f>
        <v>Easy</v>
      </c>
      <c r="F2130" s="23">
        <f>IFERROR(__xludf.DUMMYFUNCTION("""COMPUTED_VALUE"""),260.0)</f>
        <v>260</v>
      </c>
      <c r="G2130" s="23">
        <f>IFERROR(__xludf.DUMMYFUNCTION("""COMPUTED_VALUE"""),26.0)</f>
        <v>26</v>
      </c>
      <c r="H2130" s="23" t="str">
        <f>IFERROR(__xludf.DUMMYFUNCTION("""COMPUTED_VALUE"""),"Algorithms")</f>
        <v>Algorithms</v>
      </c>
      <c r="I2130" s="23">
        <f>IFERROR(__xludf.DUMMYFUNCTION("""COMPUTED_VALUE"""),0.597)</f>
        <v>0.597</v>
      </c>
      <c r="J2130" s="23">
        <f>IFERROR(__xludf.DUMMYFUNCTION("""COMPUTED_VALUE"""),2129.0)</f>
        <v>2129</v>
      </c>
      <c r="K2130" s="23" t="b">
        <f>IFERROR(__xludf.DUMMYFUNCTION("""COMPUTED_VALUE"""),FALSE)</f>
        <v>0</v>
      </c>
      <c r="L2130" s="23" t="str">
        <f>IFERROR(__xludf.DUMMYFUNCTION("""COMPUTED_VALUE"""),"String;")</f>
        <v>String;</v>
      </c>
      <c r="M2130" s="23" t="b">
        <f>IFERROR(__xludf.DUMMYFUNCTION("""COMPUTED_VALUE"""),FALSE)</f>
        <v>0</v>
      </c>
      <c r="N2130" s="23" t="b">
        <f>IFERROR(__xludf.DUMMYFUNCTION("""COMPUTED_VALUE"""),FALSE)</f>
        <v>0</v>
      </c>
      <c r="O2130" s="23">
        <f>IFERROR(__xludf.DUMMYFUNCTION("""COMPUTED_VALUE"""),59.7039561258718)</f>
        <v>59.70395613</v>
      </c>
      <c r="P2130" s="23">
        <f>IFERROR(__xludf.DUMMYFUNCTION("""COMPUTED_VALUE"""),22426.0)</f>
        <v>22426</v>
      </c>
      <c r="Q2130" s="23">
        <f>IFERROR(__xludf.DUMMYFUNCTION("""COMPUTED_VALUE"""),37562.0)</f>
        <v>37562</v>
      </c>
    </row>
    <row r="2131">
      <c r="A2131" s="23">
        <f>IFERROR(__xludf.DUMMYFUNCTION("""COMPUTED_VALUE"""),2236.0)</f>
        <v>2236</v>
      </c>
      <c r="B2131" s="23" t="str">
        <f>IFERROR(__xludf.DUMMYFUNCTION("""COMPUTED_VALUE"""),"Maximum Twin Sum of a Linked List")</f>
        <v>Maximum Twin Sum of a Linked List</v>
      </c>
      <c r="C2131" s="23" t="str">
        <f>IFERROR(__xludf.DUMMYFUNCTION("""COMPUTED_VALUE"""),"maximum-twin-sum-of-a-linked-list")</f>
        <v>maximum-twin-sum-of-a-linked-list</v>
      </c>
      <c r="D2131" s="23" t="b">
        <f>IFERROR(__xludf.DUMMYFUNCTION("""COMPUTED_VALUE"""),FALSE)</f>
        <v>0</v>
      </c>
      <c r="E2131" s="23" t="str">
        <f>IFERROR(__xludf.DUMMYFUNCTION("""COMPUTED_VALUE"""),"Medium")</f>
        <v>Medium</v>
      </c>
      <c r="F2131" s="23">
        <f>IFERROR(__xludf.DUMMYFUNCTION("""COMPUTED_VALUE"""),518.0)</f>
        <v>518</v>
      </c>
      <c r="G2131" s="23">
        <f>IFERROR(__xludf.DUMMYFUNCTION("""COMPUTED_VALUE"""),21.0)</f>
        <v>21</v>
      </c>
      <c r="H2131" s="23" t="str">
        <f>IFERROR(__xludf.DUMMYFUNCTION("""COMPUTED_VALUE"""),"Algorithms")</f>
        <v>Algorithms</v>
      </c>
      <c r="I2131" s="23">
        <f>IFERROR(__xludf.DUMMYFUNCTION("""COMPUTED_VALUE"""),0.822)</f>
        <v>0.822</v>
      </c>
      <c r="J2131" s="23">
        <f>IFERROR(__xludf.DUMMYFUNCTION("""COMPUTED_VALUE"""),2130.0)</f>
        <v>2130</v>
      </c>
      <c r="K2131" s="23" t="b">
        <f>IFERROR(__xludf.DUMMYFUNCTION("""COMPUTED_VALUE"""),FALSE)</f>
        <v>0</v>
      </c>
      <c r="L2131" s="23" t="str">
        <f>IFERROR(__xludf.DUMMYFUNCTION("""COMPUTED_VALUE"""),"Linked List;Two Pointers;Stack;")</f>
        <v>Linked List;Two Pointers;Stack;</v>
      </c>
      <c r="M2131" s="23" t="b">
        <f>IFERROR(__xludf.DUMMYFUNCTION("""COMPUTED_VALUE"""),FALSE)</f>
        <v>0</v>
      </c>
      <c r="N2131" s="23" t="b">
        <f>IFERROR(__xludf.DUMMYFUNCTION("""COMPUTED_VALUE"""),FALSE)</f>
        <v>0</v>
      </c>
      <c r="O2131" s="23">
        <f>IFERROR(__xludf.DUMMYFUNCTION("""COMPUTED_VALUE"""),82.2343485390177)</f>
        <v>82.23434854</v>
      </c>
      <c r="P2131" s="23">
        <f>IFERROR(__xludf.DUMMYFUNCTION("""COMPUTED_VALUE"""),30591.0)</f>
        <v>30591</v>
      </c>
      <c r="Q2131" s="23">
        <f>IFERROR(__xludf.DUMMYFUNCTION("""COMPUTED_VALUE"""),37200.0)</f>
        <v>37200</v>
      </c>
    </row>
    <row r="2132">
      <c r="A2132" s="23">
        <f>IFERROR(__xludf.DUMMYFUNCTION("""COMPUTED_VALUE"""),2237.0)</f>
        <v>2237</v>
      </c>
      <c r="B2132" s="23" t="str">
        <f>IFERROR(__xludf.DUMMYFUNCTION("""COMPUTED_VALUE"""),"Longest Palindrome by Concatenating Two Letter Words")</f>
        <v>Longest Palindrome by Concatenating Two Letter Words</v>
      </c>
      <c r="C2132" s="23" t="str">
        <f>IFERROR(__xludf.DUMMYFUNCTION("""COMPUTED_VALUE"""),"longest-palindrome-by-concatenating-two-letter-words")</f>
        <v>longest-palindrome-by-concatenating-two-letter-words</v>
      </c>
      <c r="D2132" s="23" t="b">
        <f>IFERROR(__xludf.DUMMYFUNCTION("""COMPUTED_VALUE"""),FALSE)</f>
        <v>0</v>
      </c>
      <c r="E2132" s="23" t="str">
        <f>IFERROR(__xludf.DUMMYFUNCTION("""COMPUTED_VALUE"""),"Medium")</f>
        <v>Medium</v>
      </c>
      <c r="F2132" s="23">
        <f>IFERROR(__xludf.DUMMYFUNCTION("""COMPUTED_VALUE"""),388.0)</f>
        <v>388</v>
      </c>
      <c r="G2132" s="23">
        <f>IFERROR(__xludf.DUMMYFUNCTION("""COMPUTED_VALUE"""),8.0)</f>
        <v>8</v>
      </c>
      <c r="H2132" s="23" t="str">
        <f>IFERROR(__xludf.DUMMYFUNCTION("""COMPUTED_VALUE"""),"Algorithms")</f>
        <v>Algorithms</v>
      </c>
      <c r="I2132" s="23">
        <f>IFERROR(__xludf.DUMMYFUNCTION("""COMPUTED_VALUE"""),0.384)</f>
        <v>0.384</v>
      </c>
      <c r="J2132" s="23">
        <f>IFERROR(__xludf.DUMMYFUNCTION("""COMPUTED_VALUE"""),2131.0)</f>
        <v>2131</v>
      </c>
      <c r="K2132" s="23" t="b">
        <f>IFERROR(__xludf.DUMMYFUNCTION("""COMPUTED_VALUE"""),FALSE)</f>
        <v>0</v>
      </c>
      <c r="L2132" s="23" t="str">
        <f>IFERROR(__xludf.DUMMYFUNCTION("""COMPUTED_VALUE"""),"Array;Hash Table;String;Greedy;Counting;")</f>
        <v>Array;Hash Table;String;Greedy;Counting;</v>
      </c>
      <c r="M2132" s="23" t="b">
        <f>IFERROR(__xludf.DUMMYFUNCTION("""COMPUTED_VALUE"""),FALSE)</f>
        <v>0</v>
      </c>
      <c r="N2132" s="23" t="b">
        <f>IFERROR(__xludf.DUMMYFUNCTION("""COMPUTED_VALUE"""),FALSE)</f>
        <v>0</v>
      </c>
      <c r="O2132" s="23">
        <f>IFERROR(__xludf.DUMMYFUNCTION("""COMPUTED_VALUE"""),38.4051036682615)</f>
        <v>38.40510367</v>
      </c>
      <c r="P2132" s="23">
        <f>IFERROR(__xludf.DUMMYFUNCTION("""COMPUTED_VALUE"""),13244.0)</f>
        <v>13244</v>
      </c>
      <c r="Q2132" s="23">
        <f>IFERROR(__xludf.DUMMYFUNCTION("""COMPUTED_VALUE"""),34485.0)</f>
        <v>34485</v>
      </c>
    </row>
    <row r="2133">
      <c r="A2133" s="23">
        <f>IFERROR(__xludf.DUMMYFUNCTION("""COMPUTED_VALUE"""),2200.0)</f>
        <v>2200</v>
      </c>
      <c r="B2133" s="23" t="str">
        <f>IFERROR(__xludf.DUMMYFUNCTION("""COMPUTED_VALUE"""),"Stamping the Grid")</f>
        <v>Stamping the Grid</v>
      </c>
      <c r="C2133" s="23" t="str">
        <f>IFERROR(__xludf.DUMMYFUNCTION("""COMPUTED_VALUE"""),"stamping-the-grid")</f>
        <v>stamping-the-grid</v>
      </c>
      <c r="D2133" s="23" t="b">
        <f>IFERROR(__xludf.DUMMYFUNCTION("""COMPUTED_VALUE"""),FALSE)</f>
        <v>0</v>
      </c>
      <c r="E2133" s="23" t="str">
        <f>IFERROR(__xludf.DUMMYFUNCTION("""COMPUTED_VALUE"""),"Hard")</f>
        <v>Hard</v>
      </c>
      <c r="F2133" s="23">
        <f>IFERROR(__xludf.DUMMYFUNCTION("""COMPUTED_VALUE"""),222.0)</f>
        <v>222</v>
      </c>
      <c r="G2133" s="23">
        <f>IFERROR(__xludf.DUMMYFUNCTION("""COMPUTED_VALUE"""),21.0)</f>
        <v>21</v>
      </c>
      <c r="H2133" s="23" t="str">
        <f>IFERROR(__xludf.DUMMYFUNCTION("""COMPUTED_VALUE"""),"Algorithms")</f>
        <v>Algorithms</v>
      </c>
      <c r="I2133" s="23">
        <f>IFERROR(__xludf.DUMMYFUNCTION("""COMPUTED_VALUE"""),0.286)</f>
        <v>0.286</v>
      </c>
      <c r="J2133" s="23">
        <f>IFERROR(__xludf.DUMMYFUNCTION("""COMPUTED_VALUE"""),2132.0)</f>
        <v>2132</v>
      </c>
      <c r="K2133" s="23" t="b">
        <f>IFERROR(__xludf.DUMMYFUNCTION("""COMPUTED_VALUE"""),FALSE)</f>
        <v>0</v>
      </c>
      <c r="L2133" s="23" t="str">
        <f>IFERROR(__xludf.DUMMYFUNCTION("""COMPUTED_VALUE"""),"Array;Greedy;Matrix;Prefix Sum;")</f>
        <v>Array;Greedy;Matrix;Prefix Sum;</v>
      </c>
      <c r="M2133" s="23" t="b">
        <f>IFERROR(__xludf.DUMMYFUNCTION("""COMPUTED_VALUE"""),FALSE)</f>
        <v>0</v>
      </c>
      <c r="N2133" s="23" t="b">
        <f>IFERROR(__xludf.DUMMYFUNCTION("""COMPUTED_VALUE"""),FALSE)</f>
        <v>0</v>
      </c>
      <c r="O2133" s="23">
        <f>IFERROR(__xludf.DUMMYFUNCTION("""COMPUTED_VALUE"""),28.6128845037724)</f>
        <v>28.6128845</v>
      </c>
      <c r="P2133" s="23">
        <f>IFERROR(__xludf.DUMMYFUNCTION("""COMPUTED_VALUE"""),3451.0)</f>
        <v>3451</v>
      </c>
      <c r="Q2133" s="23">
        <f>IFERROR(__xludf.DUMMYFUNCTION("""COMPUTED_VALUE"""),12061.0)</f>
        <v>12061</v>
      </c>
    </row>
    <row r="2134">
      <c r="A2134" s="23">
        <f>IFERROR(__xludf.DUMMYFUNCTION("""COMPUTED_VALUE"""),2254.0)</f>
        <v>2254</v>
      </c>
      <c r="B2134" s="23" t="str">
        <f>IFERROR(__xludf.DUMMYFUNCTION("""COMPUTED_VALUE"""),"Check if Every Row and Column Contains All Numbers")</f>
        <v>Check if Every Row and Column Contains All Numbers</v>
      </c>
      <c r="C2134" s="23" t="str">
        <f>IFERROR(__xludf.DUMMYFUNCTION("""COMPUTED_VALUE"""),"check-if-every-row-and-column-contains-all-numbers")</f>
        <v>check-if-every-row-and-column-contains-all-numbers</v>
      </c>
      <c r="D2134" s="23" t="b">
        <f>IFERROR(__xludf.DUMMYFUNCTION("""COMPUTED_VALUE"""),FALSE)</f>
        <v>0</v>
      </c>
      <c r="E2134" s="23" t="str">
        <f>IFERROR(__xludf.DUMMYFUNCTION("""COMPUTED_VALUE"""),"Easy")</f>
        <v>Easy</v>
      </c>
      <c r="F2134" s="23">
        <f>IFERROR(__xludf.DUMMYFUNCTION("""COMPUTED_VALUE"""),325.0)</f>
        <v>325</v>
      </c>
      <c r="G2134" s="23">
        <f>IFERROR(__xludf.DUMMYFUNCTION("""COMPUTED_VALUE"""),20.0)</f>
        <v>20</v>
      </c>
      <c r="H2134" s="23" t="str">
        <f>IFERROR(__xludf.DUMMYFUNCTION("""COMPUTED_VALUE"""),"Algorithms")</f>
        <v>Algorithms</v>
      </c>
      <c r="I2134" s="23">
        <f>IFERROR(__xludf.DUMMYFUNCTION("""COMPUTED_VALUE"""),0.523)</f>
        <v>0.523</v>
      </c>
      <c r="J2134" s="23">
        <f>IFERROR(__xludf.DUMMYFUNCTION("""COMPUTED_VALUE"""),2133.0)</f>
        <v>2133</v>
      </c>
      <c r="K2134" s="23" t="b">
        <f>IFERROR(__xludf.DUMMYFUNCTION("""COMPUTED_VALUE"""),FALSE)</f>
        <v>0</v>
      </c>
      <c r="L2134" s="23" t="str">
        <f>IFERROR(__xludf.DUMMYFUNCTION("""COMPUTED_VALUE"""),"Array;Hash Table;Matrix;")</f>
        <v>Array;Hash Table;Matrix;</v>
      </c>
      <c r="M2134" s="23" t="b">
        <f>IFERROR(__xludf.DUMMYFUNCTION("""COMPUTED_VALUE"""),FALSE)</f>
        <v>0</v>
      </c>
      <c r="N2134" s="23" t="b">
        <f>IFERROR(__xludf.DUMMYFUNCTION("""COMPUTED_VALUE"""),FALSE)</f>
        <v>0</v>
      </c>
      <c r="O2134" s="23">
        <f>IFERROR(__xludf.DUMMYFUNCTION("""COMPUTED_VALUE"""),52.2608864696734)</f>
        <v>52.26088647</v>
      </c>
      <c r="P2134" s="23">
        <f>IFERROR(__xludf.DUMMYFUNCTION("""COMPUTED_VALUE"""),26883.0)</f>
        <v>26883</v>
      </c>
      <c r="Q2134" s="23">
        <f>IFERROR(__xludf.DUMMYFUNCTION("""COMPUTED_VALUE"""),51440.0)</f>
        <v>51440</v>
      </c>
    </row>
    <row r="2135">
      <c r="A2135" s="23">
        <f>IFERROR(__xludf.DUMMYFUNCTION("""COMPUTED_VALUE"""),2255.0)</f>
        <v>2255</v>
      </c>
      <c r="B2135" s="23" t="str">
        <f>IFERROR(__xludf.DUMMYFUNCTION("""COMPUTED_VALUE"""),"Minimum Swaps to Group All 1's Together II")</f>
        <v>Minimum Swaps to Group All 1's Together II</v>
      </c>
      <c r="C2135" s="23" t="str">
        <f>IFERROR(__xludf.DUMMYFUNCTION("""COMPUTED_VALUE"""),"minimum-swaps-to-group-all-1s-together-ii")</f>
        <v>minimum-swaps-to-group-all-1s-together-ii</v>
      </c>
      <c r="D2135" s="23" t="b">
        <f>IFERROR(__xludf.DUMMYFUNCTION("""COMPUTED_VALUE"""),FALSE)</f>
        <v>0</v>
      </c>
      <c r="E2135" s="23" t="str">
        <f>IFERROR(__xludf.DUMMYFUNCTION("""COMPUTED_VALUE"""),"Medium")</f>
        <v>Medium</v>
      </c>
      <c r="F2135" s="23">
        <f>IFERROR(__xludf.DUMMYFUNCTION("""COMPUTED_VALUE"""),553.0)</f>
        <v>553</v>
      </c>
      <c r="G2135" s="23">
        <f>IFERROR(__xludf.DUMMYFUNCTION("""COMPUTED_VALUE"""),6.0)</f>
        <v>6</v>
      </c>
      <c r="H2135" s="23" t="str">
        <f>IFERROR(__xludf.DUMMYFUNCTION("""COMPUTED_VALUE"""),"Algorithms")</f>
        <v>Algorithms</v>
      </c>
      <c r="I2135" s="23">
        <f>IFERROR(__xludf.DUMMYFUNCTION("""COMPUTED_VALUE"""),0.478)</f>
        <v>0.478</v>
      </c>
      <c r="J2135" s="23">
        <f>IFERROR(__xludf.DUMMYFUNCTION("""COMPUTED_VALUE"""),2134.0)</f>
        <v>2134</v>
      </c>
      <c r="K2135" s="23" t="b">
        <f>IFERROR(__xludf.DUMMYFUNCTION("""COMPUTED_VALUE"""),FALSE)</f>
        <v>0</v>
      </c>
      <c r="L2135" s="23" t="str">
        <f>IFERROR(__xludf.DUMMYFUNCTION("""COMPUTED_VALUE"""),"Array;Sliding Window;")</f>
        <v>Array;Sliding Window;</v>
      </c>
      <c r="M2135" s="23" t="b">
        <f>IFERROR(__xludf.DUMMYFUNCTION("""COMPUTED_VALUE"""),FALSE)</f>
        <v>0</v>
      </c>
      <c r="N2135" s="23" t="b">
        <f>IFERROR(__xludf.DUMMYFUNCTION("""COMPUTED_VALUE"""),FALSE)</f>
        <v>0</v>
      </c>
      <c r="O2135" s="23">
        <f>IFERROR(__xludf.DUMMYFUNCTION("""COMPUTED_VALUE"""),47.8215915573302)</f>
        <v>47.82159156</v>
      </c>
      <c r="P2135" s="23">
        <f>IFERROR(__xludf.DUMMYFUNCTION("""COMPUTED_VALUE"""),13413.0)</f>
        <v>13413</v>
      </c>
      <c r="Q2135" s="23">
        <f>IFERROR(__xludf.DUMMYFUNCTION("""COMPUTED_VALUE"""),28048.0)</f>
        <v>28048</v>
      </c>
    </row>
    <row r="2136">
      <c r="A2136" s="23">
        <f>IFERROR(__xludf.DUMMYFUNCTION("""COMPUTED_VALUE"""),2256.0)</f>
        <v>2256</v>
      </c>
      <c r="B2136" s="23" t="str">
        <f>IFERROR(__xludf.DUMMYFUNCTION("""COMPUTED_VALUE"""),"Count Words Obtained After Adding a Letter")</f>
        <v>Count Words Obtained After Adding a Letter</v>
      </c>
      <c r="C2136" s="23" t="str">
        <f>IFERROR(__xludf.DUMMYFUNCTION("""COMPUTED_VALUE"""),"count-words-obtained-after-adding-a-letter")</f>
        <v>count-words-obtained-after-adding-a-letter</v>
      </c>
      <c r="D2136" s="23" t="b">
        <f>IFERROR(__xludf.DUMMYFUNCTION("""COMPUTED_VALUE"""),FALSE)</f>
        <v>0</v>
      </c>
      <c r="E2136" s="23" t="str">
        <f>IFERROR(__xludf.DUMMYFUNCTION("""COMPUTED_VALUE"""),"Medium")</f>
        <v>Medium</v>
      </c>
      <c r="F2136" s="23">
        <f>IFERROR(__xludf.DUMMYFUNCTION("""COMPUTED_VALUE"""),352.0)</f>
        <v>352</v>
      </c>
      <c r="G2136" s="23">
        <f>IFERROR(__xludf.DUMMYFUNCTION("""COMPUTED_VALUE"""),74.0)</f>
        <v>74</v>
      </c>
      <c r="H2136" s="23" t="str">
        <f>IFERROR(__xludf.DUMMYFUNCTION("""COMPUTED_VALUE"""),"Algorithms")</f>
        <v>Algorithms</v>
      </c>
      <c r="I2136" s="23">
        <f>IFERROR(__xludf.DUMMYFUNCTION("""COMPUTED_VALUE"""),0.387)</f>
        <v>0.387</v>
      </c>
      <c r="J2136" s="23">
        <f>IFERROR(__xludf.DUMMYFUNCTION("""COMPUTED_VALUE"""),2135.0)</f>
        <v>2135</v>
      </c>
      <c r="K2136" s="23" t="b">
        <f>IFERROR(__xludf.DUMMYFUNCTION("""COMPUTED_VALUE"""),FALSE)</f>
        <v>0</v>
      </c>
      <c r="L2136" s="23" t="str">
        <f>IFERROR(__xludf.DUMMYFUNCTION("""COMPUTED_VALUE"""),"Array;Hash Table;String;Bit Manipulation;Sorting;")</f>
        <v>Array;Hash Table;String;Bit Manipulation;Sorting;</v>
      </c>
      <c r="M2136" s="23" t="b">
        <f>IFERROR(__xludf.DUMMYFUNCTION("""COMPUTED_VALUE"""),FALSE)</f>
        <v>0</v>
      </c>
      <c r="N2136" s="23" t="b">
        <f>IFERROR(__xludf.DUMMYFUNCTION("""COMPUTED_VALUE"""),FALSE)</f>
        <v>0</v>
      </c>
      <c r="O2136" s="23">
        <f>IFERROR(__xludf.DUMMYFUNCTION("""COMPUTED_VALUE"""),38.7259627581308)</f>
        <v>38.72596276</v>
      </c>
      <c r="P2136" s="23">
        <f>IFERROR(__xludf.DUMMYFUNCTION("""COMPUTED_VALUE"""),15264.0)</f>
        <v>15264</v>
      </c>
      <c r="Q2136" s="23">
        <f>IFERROR(__xludf.DUMMYFUNCTION("""COMPUTED_VALUE"""),39415.0)</f>
        <v>39415</v>
      </c>
    </row>
    <row r="2137">
      <c r="A2137" s="23">
        <f>IFERROR(__xludf.DUMMYFUNCTION("""COMPUTED_VALUE"""),2257.0)</f>
        <v>2257</v>
      </c>
      <c r="B2137" s="23" t="str">
        <f>IFERROR(__xludf.DUMMYFUNCTION("""COMPUTED_VALUE"""),"Earliest Possible Day of Full Bloom")</f>
        <v>Earliest Possible Day of Full Bloom</v>
      </c>
      <c r="C2137" s="23" t="str">
        <f>IFERROR(__xludf.DUMMYFUNCTION("""COMPUTED_VALUE"""),"earliest-possible-day-of-full-bloom")</f>
        <v>earliest-possible-day-of-full-bloom</v>
      </c>
      <c r="D2137" s="23" t="b">
        <f>IFERROR(__xludf.DUMMYFUNCTION("""COMPUTED_VALUE"""),FALSE)</f>
        <v>0</v>
      </c>
      <c r="E2137" s="23" t="str">
        <f>IFERROR(__xludf.DUMMYFUNCTION("""COMPUTED_VALUE"""),"Hard")</f>
        <v>Hard</v>
      </c>
      <c r="F2137" s="23">
        <f>IFERROR(__xludf.DUMMYFUNCTION("""COMPUTED_VALUE"""),250.0)</f>
        <v>250</v>
      </c>
      <c r="G2137" s="23">
        <f>IFERROR(__xludf.DUMMYFUNCTION("""COMPUTED_VALUE"""),12.0)</f>
        <v>12</v>
      </c>
      <c r="H2137" s="23" t="str">
        <f>IFERROR(__xludf.DUMMYFUNCTION("""COMPUTED_VALUE"""),"Algorithms")</f>
        <v>Algorithms</v>
      </c>
      <c r="I2137" s="23">
        <f>IFERROR(__xludf.DUMMYFUNCTION("""COMPUTED_VALUE"""),0.675)</f>
        <v>0.675</v>
      </c>
      <c r="J2137" s="23">
        <f>IFERROR(__xludf.DUMMYFUNCTION("""COMPUTED_VALUE"""),2136.0)</f>
        <v>2136</v>
      </c>
      <c r="K2137" s="23" t="b">
        <f>IFERROR(__xludf.DUMMYFUNCTION("""COMPUTED_VALUE"""),FALSE)</f>
        <v>0</v>
      </c>
      <c r="L2137" s="23" t="str">
        <f>IFERROR(__xludf.DUMMYFUNCTION("""COMPUTED_VALUE"""),"Array;Greedy;Sorting;")</f>
        <v>Array;Greedy;Sorting;</v>
      </c>
      <c r="M2137" s="23" t="b">
        <f>IFERROR(__xludf.DUMMYFUNCTION("""COMPUTED_VALUE"""),FALSE)</f>
        <v>0</v>
      </c>
      <c r="N2137" s="23" t="b">
        <f>IFERROR(__xludf.DUMMYFUNCTION("""COMPUTED_VALUE"""),FALSE)</f>
        <v>0</v>
      </c>
      <c r="O2137" s="23">
        <f>IFERROR(__xludf.DUMMYFUNCTION("""COMPUTED_VALUE"""),67.4764890282131)</f>
        <v>67.47648903</v>
      </c>
      <c r="P2137" s="23">
        <f>IFERROR(__xludf.DUMMYFUNCTION("""COMPUTED_VALUE"""),6888.0)</f>
        <v>6888</v>
      </c>
      <c r="Q2137" s="23">
        <f>IFERROR(__xludf.DUMMYFUNCTION("""COMPUTED_VALUE"""),10208.0)</f>
        <v>10208</v>
      </c>
    </row>
    <row r="2138">
      <c r="A2138" s="23">
        <f>IFERROR(__xludf.DUMMYFUNCTION("""COMPUTED_VALUE"""),2273.0)</f>
        <v>2273</v>
      </c>
      <c r="B2138" s="23" t="str">
        <f>IFERROR(__xludf.DUMMYFUNCTION("""COMPUTED_VALUE"""),"Pour Water Between Buckets to Make Water Levels Equal")</f>
        <v>Pour Water Between Buckets to Make Water Levels Equal</v>
      </c>
      <c r="C2138" s="23" t="str">
        <f>IFERROR(__xludf.DUMMYFUNCTION("""COMPUTED_VALUE"""),"pour-water-between-buckets-to-make-water-levels-equal")</f>
        <v>pour-water-between-buckets-to-make-water-levels-equal</v>
      </c>
      <c r="D2138" s="23" t="b">
        <f>IFERROR(__xludf.DUMMYFUNCTION("""COMPUTED_VALUE"""),TRUE)</f>
        <v>1</v>
      </c>
      <c r="E2138" s="23" t="str">
        <f>IFERROR(__xludf.DUMMYFUNCTION("""COMPUTED_VALUE"""),"Medium")</f>
        <v>Medium</v>
      </c>
      <c r="F2138" s="23">
        <f>IFERROR(__xludf.DUMMYFUNCTION("""COMPUTED_VALUE"""),46.0)</f>
        <v>46</v>
      </c>
      <c r="G2138" s="23">
        <f>IFERROR(__xludf.DUMMYFUNCTION("""COMPUTED_VALUE"""),4.0)</f>
        <v>4</v>
      </c>
      <c r="H2138" s="23" t="str">
        <f>IFERROR(__xludf.DUMMYFUNCTION("""COMPUTED_VALUE"""),"Algorithms")</f>
        <v>Algorithms</v>
      </c>
      <c r="I2138" s="23">
        <f>IFERROR(__xludf.DUMMYFUNCTION("""COMPUTED_VALUE"""),0.672)</f>
        <v>0.672</v>
      </c>
      <c r="J2138" s="23">
        <f>IFERROR(__xludf.DUMMYFUNCTION("""COMPUTED_VALUE"""),2137.0)</f>
        <v>2137</v>
      </c>
      <c r="K2138" s="23" t="b">
        <f>IFERROR(__xludf.DUMMYFUNCTION("""COMPUTED_VALUE"""),TRUE)</f>
        <v>1</v>
      </c>
      <c r="L2138" s="23" t="str">
        <f>IFERROR(__xludf.DUMMYFUNCTION("""COMPUTED_VALUE"""),"Array;Binary Search;")</f>
        <v>Array;Binary Search;</v>
      </c>
      <c r="M2138" s="23" t="b">
        <f>IFERROR(__xludf.DUMMYFUNCTION("""COMPUTED_VALUE"""),FALSE)</f>
        <v>0</v>
      </c>
      <c r="N2138" s="23" t="b">
        <f>IFERROR(__xludf.DUMMYFUNCTION("""COMPUTED_VALUE"""),FALSE)</f>
        <v>0</v>
      </c>
      <c r="O2138" s="23">
        <f>IFERROR(__xludf.DUMMYFUNCTION("""COMPUTED_VALUE"""),67.1840354767184)</f>
        <v>67.18403548</v>
      </c>
      <c r="P2138" s="23">
        <f>IFERROR(__xludf.DUMMYFUNCTION("""COMPUTED_VALUE"""),909.0)</f>
        <v>909</v>
      </c>
      <c r="Q2138" s="23">
        <f>IFERROR(__xludf.DUMMYFUNCTION("""COMPUTED_VALUE"""),1353.0)</f>
        <v>1353</v>
      </c>
    </row>
    <row r="2139">
      <c r="A2139" s="23">
        <f>IFERROR(__xludf.DUMMYFUNCTION("""COMPUTED_VALUE"""),2260.0)</f>
        <v>2260</v>
      </c>
      <c r="B2139" s="23" t="str">
        <f>IFERROR(__xludf.DUMMYFUNCTION("""COMPUTED_VALUE"""),"Divide a String Into Groups of Size k")</f>
        <v>Divide a String Into Groups of Size k</v>
      </c>
      <c r="C2139" s="23" t="str">
        <f>IFERROR(__xludf.DUMMYFUNCTION("""COMPUTED_VALUE"""),"divide-a-string-into-groups-of-size-k")</f>
        <v>divide-a-string-into-groups-of-size-k</v>
      </c>
      <c r="D2139" s="23" t="b">
        <f>IFERROR(__xludf.DUMMYFUNCTION("""COMPUTED_VALUE"""),FALSE)</f>
        <v>0</v>
      </c>
      <c r="E2139" s="23" t="str">
        <f>IFERROR(__xludf.DUMMYFUNCTION("""COMPUTED_VALUE"""),"Easy")</f>
        <v>Easy</v>
      </c>
      <c r="F2139" s="23">
        <f>IFERROR(__xludf.DUMMYFUNCTION("""COMPUTED_VALUE"""),241.0)</f>
        <v>241</v>
      </c>
      <c r="G2139" s="23">
        <f>IFERROR(__xludf.DUMMYFUNCTION("""COMPUTED_VALUE"""),10.0)</f>
        <v>10</v>
      </c>
      <c r="H2139" s="23" t="str">
        <f>IFERROR(__xludf.DUMMYFUNCTION("""COMPUTED_VALUE"""),"Algorithms")</f>
        <v>Algorithms</v>
      </c>
      <c r="I2139" s="23">
        <f>IFERROR(__xludf.DUMMYFUNCTION("""COMPUTED_VALUE"""),0.655)</f>
        <v>0.655</v>
      </c>
      <c r="J2139" s="23">
        <f>IFERROR(__xludf.DUMMYFUNCTION("""COMPUTED_VALUE"""),2138.0)</f>
        <v>2138</v>
      </c>
      <c r="K2139" s="23" t="b">
        <f>IFERROR(__xludf.DUMMYFUNCTION("""COMPUTED_VALUE"""),FALSE)</f>
        <v>0</v>
      </c>
      <c r="L2139" s="23" t="str">
        <f>IFERROR(__xludf.DUMMYFUNCTION("""COMPUTED_VALUE"""),"String;Simulation;")</f>
        <v>String;Simulation;</v>
      </c>
      <c r="M2139" s="23" t="b">
        <f>IFERROR(__xludf.DUMMYFUNCTION("""COMPUTED_VALUE"""),FALSE)</f>
        <v>0</v>
      </c>
      <c r="N2139" s="23" t="b">
        <f>IFERROR(__xludf.DUMMYFUNCTION("""COMPUTED_VALUE"""),FALSE)</f>
        <v>0</v>
      </c>
      <c r="O2139" s="23">
        <f>IFERROR(__xludf.DUMMYFUNCTION("""COMPUTED_VALUE"""),65.5065324480616)</f>
        <v>65.50653245</v>
      </c>
      <c r="P2139" s="23">
        <f>IFERROR(__xludf.DUMMYFUNCTION("""COMPUTED_VALUE"""),24468.0)</f>
        <v>24468</v>
      </c>
      <c r="Q2139" s="23">
        <f>IFERROR(__xludf.DUMMYFUNCTION("""COMPUTED_VALUE"""),37352.0)</f>
        <v>37352</v>
      </c>
    </row>
    <row r="2140">
      <c r="A2140" s="23">
        <f>IFERROR(__xludf.DUMMYFUNCTION("""COMPUTED_VALUE"""),1303.0)</f>
        <v>1303</v>
      </c>
      <c r="B2140" s="23" t="str">
        <f>IFERROR(__xludf.DUMMYFUNCTION("""COMPUTED_VALUE"""),"Minimum Moves to Reach Target Score")</f>
        <v>Minimum Moves to Reach Target Score</v>
      </c>
      <c r="C2140" s="23" t="str">
        <f>IFERROR(__xludf.DUMMYFUNCTION("""COMPUTED_VALUE"""),"minimum-moves-to-reach-target-score")</f>
        <v>minimum-moves-to-reach-target-score</v>
      </c>
      <c r="D2140" s="23" t="b">
        <f>IFERROR(__xludf.DUMMYFUNCTION("""COMPUTED_VALUE"""),FALSE)</f>
        <v>0</v>
      </c>
      <c r="E2140" s="23" t="str">
        <f>IFERROR(__xludf.DUMMYFUNCTION("""COMPUTED_VALUE"""),"Medium")</f>
        <v>Medium</v>
      </c>
      <c r="F2140" s="23">
        <f>IFERROR(__xludf.DUMMYFUNCTION("""COMPUTED_VALUE"""),425.0)</f>
        <v>425</v>
      </c>
      <c r="G2140" s="23">
        <f>IFERROR(__xludf.DUMMYFUNCTION("""COMPUTED_VALUE"""),8.0)</f>
        <v>8</v>
      </c>
      <c r="H2140" s="23" t="str">
        <f>IFERROR(__xludf.DUMMYFUNCTION("""COMPUTED_VALUE"""),"Algorithms")</f>
        <v>Algorithms</v>
      </c>
      <c r="I2140" s="23">
        <f>IFERROR(__xludf.DUMMYFUNCTION("""COMPUTED_VALUE"""),0.486)</f>
        <v>0.486</v>
      </c>
      <c r="J2140" s="23">
        <f>IFERROR(__xludf.DUMMYFUNCTION("""COMPUTED_VALUE"""),2139.0)</f>
        <v>2139</v>
      </c>
      <c r="K2140" s="23" t="b">
        <f>IFERROR(__xludf.DUMMYFUNCTION("""COMPUTED_VALUE"""),FALSE)</f>
        <v>0</v>
      </c>
      <c r="L2140" s="23" t="str">
        <f>IFERROR(__xludf.DUMMYFUNCTION("""COMPUTED_VALUE"""),"Math;Greedy;")</f>
        <v>Math;Greedy;</v>
      </c>
      <c r="M2140" s="23" t="b">
        <f>IFERROR(__xludf.DUMMYFUNCTION("""COMPUTED_VALUE"""),FALSE)</f>
        <v>0</v>
      </c>
      <c r="N2140" s="23" t="b">
        <f>IFERROR(__xludf.DUMMYFUNCTION("""COMPUTED_VALUE"""),FALSE)</f>
        <v>0</v>
      </c>
      <c r="O2140" s="23">
        <f>IFERROR(__xludf.DUMMYFUNCTION("""COMPUTED_VALUE"""),48.5844054041591)</f>
        <v>48.5844054</v>
      </c>
      <c r="P2140" s="23">
        <f>IFERROR(__xludf.DUMMYFUNCTION("""COMPUTED_VALUE"""),21073.0)</f>
        <v>21073</v>
      </c>
      <c r="Q2140" s="23">
        <f>IFERROR(__xludf.DUMMYFUNCTION("""COMPUTED_VALUE"""),43374.0)</f>
        <v>43374</v>
      </c>
    </row>
    <row r="2141">
      <c r="A2141" s="23">
        <f>IFERROR(__xludf.DUMMYFUNCTION("""COMPUTED_VALUE"""),2262.0)</f>
        <v>2262</v>
      </c>
      <c r="B2141" s="23" t="str">
        <f>IFERROR(__xludf.DUMMYFUNCTION("""COMPUTED_VALUE"""),"Solving Questions With Brainpower")</f>
        <v>Solving Questions With Brainpower</v>
      </c>
      <c r="C2141" s="23" t="str">
        <f>IFERROR(__xludf.DUMMYFUNCTION("""COMPUTED_VALUE"""),"solving-questions-with-brainpower")</f>
        <v>solving-questions-with-brainpower</v>
      </c>
      <c r="D2141" s="23" t="b">
        <f>IFERROR(__xludf.DUMMYFUNCTION("""COMPUTED_VALUE"""),FALSE)</f>
        <v>0</v>
      </c>
      <c r="E2141" s="23" t="str">
        <f>IFERROR(__xludf.DUMMYFUNCTION("""COMPUTED_VALUE"""),"Medium")</f>
        <v>Medium</v>
      </c>
      <c r="F2141" s="23">
        <f>IFERROR(__xludf.DUMMYFUNCTION("""COMPUTED_VALUE"""),541.0)</f>
        <v>541</v>
      </c>
      <c r="G2141" s="23">
        <f>IFERROR(__xludf.DUMMYFUNCTION("""COMPUTED_VALUE"""),7.0)</f>
        <v>7</v>
      </c>
      <c r="H2141" s="23" t="str">
        <f>IFERROR(__xludf.DUMMYFUNCTION("""COMPUTED_VALUE"""),"Algorithms")</f>
        <v>Algorithms</v>
      </c>
      <c r="I2141" s="23">
        <f>IFERROR(__xludf.DUMMYFUNCTION("""COMPUTED_VALUE"""),0.444)</f>
        <v>0.444</v>
      </c>
      <c r="J2141" s="23">
        <f>IFERROR(__xludf.DUMMYFUNCTION("""COMPUTED_VALUE"""),2140.0)</f>
        <v>2140</v>
      </c>
      <c r="K2141" s="23" t="b">
        <f>IFERROR(__xludf.DUMMYFUNCTION("""COMPUTED_VALUE"""),FALSE)</f>
        <v>0</v>
      </c>
      <c r="L2141" s="23" t="str">
        <f>IFERROR(__xludf.DUMMYFUNCTION("""COMPUTED_VALUE"""),"Array;Dynamic Programming;")</f>
        <v>Array;Dynamic Programming;</v>
      </c>
      <c r="M2141" s="23" t="b">
        <f>IFERROR(__xludf.DUMMYFUNCTION("""COMPUTED_VALUE"""),FALSE)</f>
        <v>0</v>
      </c>
      <c r="N2141" s="23" t="b">
        <f>IFERROR(__xludf.DUMMYFUNCTION("""COMPUTED_VALUE"""),FALSE)</f>
        <v>0</v>
      </c>
      <c r="O2141" s="23">
        <f>IFERROR(__xludf.DUMMYFUNCTION("""COMPUTED_VALUE"""),44.4227730594509)</f>
        <v>44.42277306</v>
      </c>
      <c r="P2141" s="23">
        <f>IFERROR(__xludf.DUMMYFUNCTION("""COMPUTED_VALUE"""),17993.0)</f>
        <v>17993</v>
      </c>
      <c r="Q2141" s="23">
        <f>IFERROR(__xludf.DUMMYFUNCTION("""COMPUTED_VALUE"""),40504.0)</f>
        <v>40504</v>
      </c>
    </row>
    <row r="2142">
      <c r="A2142" s="23">
        <f>IFERROR(__xludf.DUMMYFUNCTION("""COMPUTED_VALUE"""),2263.0)</f>
        <v>2263</v>
      </c>
      <c r="B2142" s="23" t="str">
        <f>IFERROR(__xludf.DUMMYFUNCTION("""COMPUTED_VALUE"""),"Maximum Running Time of N Computers")</f>
        <v>Maximum Running Time of N Computers</v>
      </c>
      <c r="C2142" s="23" t="str">
        <f>IFERROR(__xludf.DUMMYFUNCTION("""COMPUTED_VALUE"""),"maximum-running-time-of-n-computers")</f>
        <v>maximum-running-time-of-n-computers</v>
      </c>
      <c r="D2142" s="23" t="b">
        <f>IFERROR(__xludf.DUMMYFUNCTION("""COMPUTED_VALUE"""),FALSE)</f>
        <v>0</v>
      </c>
      <c r="E2142" s="23" t="str">
        <f>IFERROR(__xludf.DUMMYFUNCTION("""COMPUTED_VALUE"""),"Hard")</f>
        <v>Hard</v>
      </c>
      <c r="F2142" s="23">
        <f>IFERROR(__xludf.DUMMYFUNCTION("""COMPUTED_VALUE"""),444.0)</f>
        <v>444</v>
      </c>
      <c r="G2142" s="23">
        <f>IFERROR(__xludf.DUMMYFUNCTION("""COMPUTED_VALUE"""),10.0)</f>
        <v>10</v>
      </c>
      <c r="H2142" s="23" t="str">
        <f>IFERROR(__xludf.DUMMYFUNCTION("""COMPUTED_VALUE"""),"Algorithms")</f>
        <v>Algorithms</v>
      </c>
      <c r="I2142" s="23">
        <f>IFERROR(__xludf.DUMMYFUNCTION("""COMPUTED_VALUE"""),0.38)</f>
        <v>0.38</v>
      </c>
      <c r="J2142" s="23">
        <f>IFERROR(__xludf.DUMMYFUNCTION("""COMPUTED_VALUE"""),2141.0)</f>
        <v>2141</v>
      </c>
      <c r="K2142" s="23" t="b">
        <f>IFERROR(__xludf.DUMMYFUNCTION("""COMPUTED_VALUE"""),FALSE)</f>
        <v>0</v>
      </c>
      <c r="L2142" s="23" t="str">
        <f>IFERROR(__xludf.DUMMYFUNCTION("""COMPUTED_VALUE"""),"Array;Binary Search;Greedy;Sorting;")</f>
        <v>Array;Binary Search;Greedy;Sorting;</v>
      </c>
      <c r="M2142" s="23" t="b">
        <f>IFERROR(__xludf.DUMMYFUNCTION("""COMPUTED_VALUE"""),FALSE)</f>
        <v>0</v>
      </c>
      <c r="N2142" s="23" t="b">
        <f>IFERROR(__xludf.DUMMYFUNCTION("""COMPUTED_VALUE"""),FALSE)</f>
        <v>0</v>
      </c>
      <c r="O2142" s="23">
        <f>IFERROR(__xludf.DUMMYFUNCTION("""COMPUTED_VALUE"""),37.957656420215)</f>
        <v>37.95765642</v>
      </c>
      <c r="P2142" s="23">
        <f>IFERROR(__xludf.DUMMYFUNCTION("""COMPUTED_VALUE"""),8012.0)</f>
        <v>8012</v>
      </c>
      <c r="Q2142" s="23">
        <f>IFERROR(__xludf.DUMMYFUNCTION("""COMPUTED_VALUE"""),21110.0)</f>
        <v>21110</v>
      </c>
    </row>
    <row r="2143">
      <c r="A2143" s="23">
        <f>IFERROR(__xludf.DUMMYFUNCTION("""COMPUTED_VALUE"""),2281.0)</f>
        <v>2281</v>
      </c>
      <c r="B2143" s="23" t="str">
        <f>IFERROR(__xludf.DUMMYFUNCTION("""COMPUTED_VALUE"""),"The Number of Passengers in Each Bus I")</f>
        <v>The Number of Passengers in Each Bus I</v>
      </c>
      <c r="C2143" s="23" t="str">
        <f>IFERROR(__xludf.DUMMYFUNCTION("""COMPUTED_VALUE"""),"the-number-of-passengers-in-each-bus-i")</f>
        <v>the-number-of-passengers-in-each-bus-i</v>
      </c>
      <c r="D2143" s="23" t="b">
        <f>IFERROR(__xludf.DUMMYFUNCTION("""COMPUTED_VALUE"""),TRUE)</f>
        <v>1</v>
      </c>
      <c r="E2143" s="23" t="str">
        <f>IFERROR(__xludf.DUMMYFUNCTION("""COMPUTED_VALUE"""),"Medium")</f>
        <v>Medium</v>
      </c>
      <c r="F2143" s="23">
        <f>IFERROR(__xludf.DUMMYFUNCTION("""COMPUTED_VALUE"""),32.0)</f>
        <v>32</v>
      </c>
      <c r="G2143" s="23">
        <f>IFERROR(__xludf.DUMMYFUNCTION("""COMPUTED_VALUE"""),5.0)</f>
        <v>5</v>
      </c>
      <c r="H2143" s="23" t="str">
        <f>IFERROR(__xludf.DUMMYFUNCTION("""COMPUTED_VALUE"""),"Database")</f>
        <v>Database</v>
      </c>
      <c r="I2143" s="23">
        <f>IFERROR(__xludf.DUMMYFUNCTION("""COMPUTED_VALUE"""),0.505)</f>
        <v>0.505</v>
      </c>
      <c r="J2143" s="23">
        <f>IFERROR(__xludf.DUMMYFUNCTION("""COMPUTED_VALUE"""),2142.0)</f>
        <v>2142</v>
      </c>
      <c r="K2143" s="23" t="b">
        <f>IFERROR(__xludf.DUMMYFUNCTION("""COMPUTED_VALUE"""),TRUE)</f>
        <v>1</v>
      </c>
      <c r="L2143" s="23" t="str">
        <f>IFERROR(__xludf.DUMMYFUNCTION("""COMPUTED_VALUE"""),"Database;")</f>
        <v>Database;</v>
      </c>
      <c r="M2143" s="23" t="b">
        <f>IFERROR(__xludf.DUMMYFUNCTION("""COMPUTED_VALUE"""),FALSE)</f>
        <v>0</v>
      </c>
      <c r="N2143" s="23" t="b">
        <f>IFERROR(__xludf.DUMMYFUNCTION("""COMPUTED_VALUE"""),FALSE)</f>
        <v>0</v>
      </c>
      <c r="O2143" s="23">
        <f>IFERROR(__xludf.DUMMYFUNCTION("""COMPUTED_VALUE"""),50.5083064716092)</f>
        <v>50.50830647</v>
      </c>
      <c r="P2143" s="23">
        <f>IFERROR(__xludf.DUMMYFUNCTION("""COMPUTED_VALUE"""),2037.0)</f>
        <v>2037</v>
      </c>
      <c r="Q2143" s="23">
        <f>IFERROR(__xludf.DUMMYFUNCTION("""COMPUTED_VALUE"""),4033.0)</f>
        <v>4033</v>
      </c>
    </row>
    <row r="2144">
      <c r="A2144" s="23">
        <f>IFERROR(__xludf.DUMMYFUNCTION("""COMPUTED_VALUE"""),2282.0)</f>
        <v>2282</v>
      </c>
      <c r="B2144" s="23" t="str">
        <f>IFERROR(__xludf.DUMMYFUNCTION("""COMPUTED_VALUE"""),"Choose Numbers From Two Arrays in Range")</f>
        <v>Choose Numbers From Two Arrays in Range</v>
      </c>
      <c r="C2144" s="23" t="str">
        <f>IFERROR(__xludf.DUMMYFUNCTION("""COMPUTED_VALUE"""),"choose-numbers-from-two-arrays-in-range")</f>
        <v>choose-numbers-from-two-arrays-in-range</v>
      </c>
      <c r="D2144" s="23" t="b">
        <f>IFERROR(__xludf.DUMMYFUNCTION("""COMPUTED_VALUE"""),TRUE)</f>
        <v>1</v>
      </c>
      <c r="E2144" s="23" t="str">
        <f>IFERROR(__xludf.DUMMYFUNCTION("""COMPUTED_VALUE"""),"Hard")</f>
        <v>Hard</v>
      </c>
      <c r="F2144" s="23">
        <f>IFERROR(__xludf.DUMMYFUNCTION("""COMPUTED_VALUE"""),15.0)</f>
        <v>15</v>
      </c>
      <c r="G2144" s="23">
        <f>IFERROR(__xludf.DUMMYFUNCTION("""COMPUTED_VALUE"""),4.0)</f>
        <v>4</v>
      </c>
      <c r="H2144" s="23" t="str">
        <f>IFERROR(__xludf.DUMMYFUNCTION("""COMPUTED_VALUE"""),"Algorithms")</f>
        <v>Algorithms</v>
      </c>
      <c r="I2144" s="23">
        <f>IFERROR(__xludf.DUMMYFUNCTION("""COMPUTED_VALUE"""),0.54)</f>
        <v>0.54</v>
      </c>
      <c r="J2144" s="23">
        <f>IFERROR(__xludf.DUMMYFUNCTION("""COMPUTED_VALUE"""),2143.0)</f>
        <v>2143</v>
      </c>
      <c r="K2144" s="23" t="b">
        <f>IFERROR(__xludf.DUMMYFUNCTION("""COMPUTED_VALUE"""),TRUE)</f>
        <v>1</v>
      </c>
      <c r="L2144" s="23" t="str">
        <f>IFERROR(__xludf.DUMMYFUNCTION("""COMPUTED_VALUE"""),"Array;Dynamic Programming;")</f>
        <v>Array;Dynamic Programming;</v>
      </c>
      <c r="M2144" s="23" t="b">
        <f>IFERROR(__xludf.DUMMYFUNCTION("""COMPUTED_VALUE"""),FALSE)</f>
        <v>0</v>
      </c>
      <c r="N2144" s="23" t="b">
        <f>IFERROR(__xludf.DUMMYFUNCTION("""COMPUTED_VALUE"""),FALSE)</f>
        <v>0</v>
      </c>
      <c r="O2144" s="23">
        <f>IFERROR(__xludf.DUMMYFUNCTION("""COMPUTED_VALUE"""),54.0410132689987)</f>
        <v>54.04101327</v>
      </c>
      <c r="P2144" s="23">
        <f>IFERROR(__xludf.DUMMYFUNCTION("""COMPUTED_VALUE"""),448.0)</f>
        <v>448</v>
      </c>
      <c r="Q2144" s="23">
        <f>IFERROR(__xludf.DUMMYFUNCTION("""COMPUTED_VALUE"""),829.0)</f>
        <v>829</v>
      </c>
    </row>
    <row r="2145">
      <c r="A2145" s="23">
        <f>IFERROR(__xludf.DUMMYFUNCTION("""COMPUTED_VALUE"""),2248.0)</f>
        <v>2248</v>
      </c>
      <c r="B2145" s="23" t="str">
        <f>IFERROR(__xludf.DUMMYFUNCTION("""COMPUTED_VALUE"""),"Minimum Cost of Buying Candies With Discount")</f>
        <v>Minimum Cost of Buying Candies With Discount</v>
      </c>
      <c r="C2145" s="23" t="str">
        <f>IFERROR(__xludf.DUMMYFUNCTION("""COMPUTED_VALUE"""),"minimum-cost-of-buying-candies-with-discount")</f>
        <v>minimum-cost-of-buying-candies-with-discount</v>
      </c>
      <c r="D2145" s="23" t="b">
        <f>IFERROR(__xludf.DUMMYFUNCTION("""COMPUTED_VALUE"""),FALSE)</f>
        <v>0</v>
      </c>
      <c r="E2145" s="23" t="str">
        <f>IFERROR(__xludf.DUMMYFUNCTION("""COMPUTED_VALUE"""),"Easy")</f>
        <v>Easy</v>
      </c>
      <c r="F2145" s="23">
        <f>IFERROR(__xludf.DUMMYFUNCTION("""COMPUTED_VALUE"""),230.0)</f>
        <v>230</v>
      </c>
      <c r="G2145" s="23">
        <f>IFERROR(__xludf.DUMMYFUNCTION("""COMPUTED_VALUE"""),8.0)</f>
        <v>8</v>
      </c>
      <c r="H2145" s="23" t="str">
        <f>IFERROR(__xludf.DUMMYFUNCTION("""COMPUTED_VALUE"""),"Algorithms")</f>
        <v>Algorithms</v>
      </c>
      <c r="I2145" s="23">
        <f>IFERROR(__xludf.DUMMYFUNCTION("""COMPUTED_VALUE"""),0.606)</f>
        <v>0.606</v>
      </c>
      <c r="J2145" s="23">
        <f>IFERROR(__xludf.DUMMYFUNCTION("""COMPUTED_VALUE"""),2144.0)</f>
        <v>2144</v>
      </c>
      <c r="K2145" s="23" t="b">
        <f>IFERROR(__xludf.DUMMYFUNCTION("""COMPUTED_VALUE"""),FALSE)</f>
        <v>0</v>
      </c>
      <c r="L2145" s="23" t="str">
        <f>IFERROR(__xludf.DUMMYFUNCTION("""COMPUTED_VALUE"""),"Array;Greedy;Sorting;")</f>
        <v>Array;Greedy;Sorting;</v>
      </c>
      <c r="M2145" s="23" t="b">
        <f>IFERROR(__xludf.DUMMYFUNCTION("""COMPUTED_VALUE"""),FALSE)</f>
        <v>0</v>
      </c>
      <c r="N2145" s="23" t="b">
        <f>IFERROR(__xludf.DUMMYFUNCTION("""COMPUTED_VALUE"""),FALSE)</f>
        <v>0</v>
      </c>
      <c r="O2145" s="23">
        <f>IFERROR(__xludf.DUMMYFUNCTION("""COMPUTED_VALUE"""),60.624126422683)</f>
        <v>60.62412642</v>
      </c>
      <c r="P2145" s="23">
        <f>IFERROR(__xludf.DUMMYFUNCTION("""COMPUTED_VALUE"""),21253.0)</f>
        <v>21253</v>
      </c>
      <c r="Q2145" s="23">
        <f>IFERROR(__xludf.DUMMYFUNCTION("""COMPUTED_VALUE"""),35057.0)</f>
        <v>35057</v>
      </c>
    </row>
    <row r="2146">
      <c r="A2146" s="23">
        <f>IFERROR(__xludf.DUMMYFUNCTION("""COMPUTED_VALUE"""),2249.0)</f>
        <v>2249</v>
      </c>
      <c r="B2146" s="23" t="str">
        <f>IFERROR(__xludf.DUMMYFUNCTION("""COMPUTED_VALUE"""),"Count the Hidden Sequences")</f>
        <v>Count the Hidden Sequences</v>
      </c>
      <c r="C2146" s="23" t="str">
        <f>IFERROR(__xludf.DUMMYFUNCTION("""COMPUTED_VALUE"""),"count-the-hidden-sequences")</f>
        <v>count-the-hidden-sequences</v>
      </c>
      <c r="D2146" s="23" t="b">
        <f>IFERROR(__xludf.DUMMYFUNCTION("""COMPUTED_VALUE"""),FALSE)</f>
        <v>0</v>
      </c>
      <c r="E2146" s="23" t="str">
        <f>IFERROR(__xludf.DUMMYFUNCTION("""COMPUTED_VALUE"""),"Medium")</f>
        <v>Medium</v>
      </c>
      <c r="F2146" s="23">
        <f>IFERROR(__xludf.DUMMYFUNCTION("""COMPUTED_VALUE"""),359.0)</f>
        <v>359</v>
      </c>
      <c r="G2146" s="23">
        <f>IFERROR(__xludf.DUMMYFUNCTION("""COMPUTED_VALUE"""),37.0)</f>
        <v>37</v>
      </c>
      <c r="H2146" s="23" t="str">
        <f>IFERROR(__xludf.DUMMYFUNCTION("""COMPUTED_VALUE"""),"Algorithms")</f>
        <v>Algorithms</v>
      </c>
      <c r="I2146" s="23">
        <f>IFERROR(__xludf.DUMMYFUNCTION("""COMPUTED_VALUE"""),0.352)</f>
        <v>0.352</v>
      </c>
      <c r="J2146" s="23">
        <f>IFERROR(__xludf.DUMMYFUNCTION("""COMPUTED_VALUE"""),2145.0)</f>
        <v>2145</v>
      </c>
      <c r="K2146" s="23" t="b">
        <f>IFERROR(__xludf.DUMMYFUNCTION("""COMPUTED_VALUE"""),FALSE)</f>
        <v>0</v>
      </c>
      <c r="L2146" s="23" t="str">
        <f>IFERROR(__xludf.DUMMYFUNCTION("""COMPUTED_VALUE"""),"Array;Prefix Sum;")</f>
        <v>Array;Prefix Sum;</v>
      </c>
      <c r="M2146" s="23" t="b">
        <f>IFERROR(__xludf.DUMMYFUNCTION("""COMPUTED_VALUE"""),FALSE)</f>
        <v>0</v>
      </c>
      <c r="N2146" s="23" t="b">
        <f>IFERROR(__xludf.DUMMYFUNCTION("""COMPUTED_VALUE"""),FALSE)</f>
        <v>0</v>
      </c>
      <c r="O2146" s="23">
        <f>IFERROR(__xludf.DUMMYFUNCTION("""COMPUTED_VALUE"""),35.1955821445006)</f>
        <v>35.19558214</v>
      </c>
      <c r="P2146" s="23">
        <f>IFERROR(__xludf.DUMMYFUNCTION("""COMPUTED_VALUE"""),11472.0)</f>
        <v>11472</v>
      </c>
      <c r="Q2146" s="23">
        <f>IFERROR(__xludf.DUMMYFUNCTION("""COMPUTED_VALUE"""),32593.0)</f>
        <v>32593</v>
      </c>
    </row>
    <row r="2147">
      <c r="A2147" s="23">
        <f>IFERROR(__xludf.DUMMYFUNCTION("""COMPUTED_VALUE"""),2250.0)</f>
        <v>2250</v>
      </c>
      <c r="B2147" s="23" t="str">
        <f>IFERROR(__xludf.DUMMYFUNCTION("""COMPUTED_VALUE"""),"K Highest Ranked Items Within a Price Range")</f>
        <v>K Highest Ranked Items Within a Price Range</v>
      </c>
      <c r="C2147" s="23" t="str">
        <f>IFERROR(__xludf.DUMMYFUNCTION("""COMPUTED_VALUE"""),"k-highest-ranked-items-within-a-price-range")</f>
        <v>k-highest-ranked-items-within-a-price-range</v>
      </c>
      <c r="D2147" s="23" t="b">
        <f>IFERROR(__xludf.DUMMYFUNCTION("""COMPUTED_VALUE"""),FALSE)</f>
        <v>0</v>
      </c>
      <c r="E2147" s="23" t="str">
        <f>IFERROR(__xludf.DUMMYFUNCTION("""COMPUTED_VALUE"""),"Medium")</f>
        <v>Medium</v>
      </c>
      <c r="F2147" s="23">
        <f>IFERROR(__xludf.DUMMYFUNCTION("""COMPUTED_VALUE"""),252.0)</f>
        <v>252</v>
      </c>
      <c r="G2147" s="23">
        <f>IFERROR(__xludf.DUMMYFUNCTION("""COMPUTED_VALUE"""),113.0)</f>
        <v>113</v>
      </c>
      <c r="H2147" s="23" t="str">
        <f>IFERROR(__xludf.DUMMYFUNCTION("""COMPUTED_VALUE"""),"Algorithms")</f>
        <v>Algorithms</v>
      </c>
      <c r="I2147" s="23">
        <f>IFERROR(__xludf.DUMMYFUNCTION("""COMPUTED_VALUE"""),0.405)</f>
        <v>0.405</v>
      </c>
      <c r="J2147" s="23">
        <f>IFERROR(__xludf.DUMMYFUNCTION("""COMPUTED_VALUE"""),2146.0)</f>
        <v>2146</v>
      </c>
      <c r="K2147" s="23" t="b">
        <f>IFERROR(__xludf.DUMMYFUNCTION("""COMPUTED_VALUE"""),FALSE)</f>
        <v>0</v>
      </c>
      <c r="L2147" s="23" t="str">
        <f>IFERROR(__xludf.DUMMYFUNCTION("""COMPUTED_VALUE"""),"Array;Breadth-First Search;Sorting;Heap (Priority Queue);Matrix;")</f>
        <v>Array;Breadth-First Search;Sorting;Heap (Priority Queue);Matrix;</v>
      </c>
      <c r="M2147" s="23" t="b">
        <f>IFERROR(__xludf.DUMMYFUNCTION("""COMPUTED_VALUE"""),FALSE)</f>
        <v>0</v>
      </c>
      <c r="N2147" s="23" t="b">
        <f>IFERROR(__xludf.DUMMYFUNCTION("""COMPUTED_VALUE"""),FALSE)</f>
        <v>0</v>
      </c>
      <c r="O2147" s="23">
        <f>IFERROR(__xludf.DUMMYFUNCTION("""COMPUTED_VALUE"""),40.4807416610914)</f>
        <v>40.48074166</v>
      </c>
      <c r="P2147" s="23">
        <f>IFERROR(__xludf.DUMMYFUNCTION("""COMPUTED_VALUE"""),8471.0)</f>
        <v>8471</v>
      </c>
      <c r="Q2147" s="23">
        <f>IFERROR(__xludf.DUMMYFUNCTION("""COMPUTED_VALUE"""),20926.0)</f>
        <v>20926</v>
      </c>
    </row>
    <row r="2148">
      <c r="A2148" s="23">
        <f>IFERROR(__xludf.DUMMYFUNCTION("""COMPUTED_VALUE"""),2251.0)</f>
        <v>2251</v>
      </c>
      <c r="B2148" s="23" t="str">
        <f>IFERROR(__xludf.DUMMYFUNCTION("""COMPUTED_VALUE"""),"Number of Ways to Divide a Long Corridor")</f>
        <v>Number of Ways to Divide a Long Corridor</v>
      </c>
      <c r="C2148" s="23" t="str">
        <f>IFERROR(__xludf.DUMMYFUNCTION("""COMPUTED_VALUE"""),"number-of-ways-to-divide-a-long-corridor")</f>
        <v>number-of-ways-to-divide-a-long-corridor</v>
      </c>
      <c r="D2148" s="23" t="b">
        <f>IFERROR(__xludf.DUMMYFUNCTION("""COMPUTED_VALUE"""),FALSE)</f>
        <v>0</v>
      </c>
      <c r="E2148" s="23" t="str">
        <f>IFERROR(__xludf.DUMMYFUNCTION("""COMPUTED_VALUE"""),"Hard")</f>
        <v>Hard</v>
      </c>
      <c r="F2148" s="23">
        <f>IFERROR(__xludf.DUMMYFUNCTION("""COMPUTED_VALUE"""),184.0)</f>
        <v>184</v>
      </c>
      <c r="G2148" s="23">
        <f>IFERROR(__xludf.DUMMYFUNCTION("""COMPUTED_VALUE"""),17.0)</f>
        <v>17</v>
      </c>
      <c r="H2148" s="23" t="str">
        <f>IFERROR(__xludf.DUMMYFUNCTION("""COMPUTED_VALUE"""),"Algorithms")</f>
        <v>Algorithms</v>
      </c>
      <c r="I2148" s="23">
        <f>IFERROR(__xludf.DUMMYFUNCTION("""COMPUTED_VALUE"""),0.4)</f>
        <v>0.4</v>
      </c>
      <c r="J2148" s="23">
        <f>IFERROR(__xludf.DUMMYFUNCTION("""COMPUTED_VALUE"""),2147.0)</f>
        <v>2147</v>
      </c>
      <c r="K2148" s="23" t="b">
        <f>IFERROR(__xludf.DUMMYFUNCTION("""COMPUTED_VALUE"""),FALSE)</f>
        <v>0</v>
      </c>
      <c r="L2148" s="23" t="str">
        <f>IFERROR(__xludf.DUMMYFUNCTION("""COMPUTED_VALUE"""),"Math;String;Dynamic Programming;")</f>
        <v>Math;String;Dynamic Programming;</v>
      </c>
      <c r="M2148" s="23" t="b">
        <f>IFERROR(__xludf.DUMMYFUNCTION("""COMPUTED_VALUE"""),FALSE)</f>
        <v>0</v>
      </c>
      <c r="N2148" s="23" t="b">
        <f>IFERROR(__xludf.DUMMYFUNCTION("""COMPUTED_VALUE"""),FALSE)</f>
        <v>0</v>
      </c>
      <c r="O2148" s="23">
        <f>IFERROR(__xludf.DUMMYFUNCTION("""COMPUTED_VALUE"""),40.0205885914981)</f>
        <v>40.02058859</v>
      </c>
      <c r="P2148" s="23">
        <f>IFERROR(__xludf.DUMMYFUNCTION("""COMPUTED_VALUE"""),6609.0)</f>
        <v>6609</v>
      </c>
      <c r="Q2148" s="23">
        <f>IFERROR(__xludf.DUMMYFUNCTION("""COMPUTED_VALUE"""),16514.0)</f>
        <v>16514</v>
      </c>
    </row>
    <row r="2149">
      <c r="A2149" s="23">
        <f>IFERROR(__xludf.DUMMYFUNCTION("""COMPUTED_VALUE"""),2269.0)</f>
        <v>2269</v>
      </c>
      <c r="B2149" s="23" t="str">
        <f>IFERROR(__xludf.DUMMYFUNCTION("""COMPUTED_VALUE"""),"Count Elements With Strictly Smaller and Greater Elements ")</f>
        <v>Count Elements With Strictly Smaller and Greater Elements </v>
      </c>
      <c r="C2149" s="23" t="str">
        <f>IFERROR(__xludf.DUMMYFUNCTION("""COMPUTED_VALUE"""),"count-elements-with-strictly-smaller-and-greater-elements")</f>
        <v>count-elements-with-strictly-smaller-and-greater-elements</v>
      </c>
      <c r="D2149" s="23" t="b">
        <f>IFERROR(__xludf.DUMMYFUNCTION("""COMPUTED_VALUE"""),FALSE)</f>
        <v>0</v>
      </c>
      <c r="E2149" s="23" t="str">
        <f>IFERROR(__xludf.DUMMYFUNCTION("""COMPUTED_VALUE"""),"Easy")</f>
        <v>Easy</v>
      </c>
      <c r="F2149" s="23">
        <f>IFERROR(__xludf.DUMMYFUNCTION("""COMPUTED_VALUE"""),251.0)</f>
        <v>251</v>
      </c>
      <c r="G2149" s="23">
        <f>IFERROR(__xludf.DUMMYFUNCTION("""COMPUTED_VALUE"""),7.0)</f>
        <v>7</v>
      </c>
      <c r="H2149" s="23" t="str">
        <f>IFERROR(__xludf.DUMMYFUNCTION("""COMPUTED_VALUE"""),"Algorithms")</f>
        <v>Algorithms</v>
      </c>
      <c r="I2149" s="23">
        <f>IFERROR(__xludf.DUMMYFUNCTION("""COMPUTED_VALUE"""),0.606)</f>
        <v>0.606</v>
      </c>
      <c r="J2149" s="23">
        <f>IFERROR(__xludf.DUMMYFUNCTION("""COMPUTED_VALUE"""),2148.0)</f>
        <v>2148</v>
      </c>
      <c r="K2149" s="23" t="b">
        <f>IFERROR(__xludf.DUMMYFUNCTION("""COMPUTED_VALUE"""),FALSE)</f>
        <v>0</v>
      </c>
      <c r="L2149" s="23" t="str">
        <f>IFERROR(__xludf.DUMMYFUNCTION("""COMPUTED_VALUE"""),"Array;Sorting;")</f>
        <v>Array;Sorting;</v>
      </c>
      <c r="M2149" s="23" t="b">
        <f>IFERROR(__xludf.DUMMYFUNCTION("""COMPUTED_VALUE"""),FALSE)</f>
        <v>0</v>
      </c>
      <c r="N2149" s="23" t="b">
        <f>IFERROR(__xludf.DUMMYFUNCTION("""COMPUTED_VALUE"""),FALSE)</f>
        <v>0</v>
      </c>
      <c r="O2149" s="23">
        <f>IFERROR(__xludf.DUMMYFUNCTION("""COMPUTED_VALUE"""),60.5781713649851)</f>
        <v>60.57817136</v>
      </c>
      <c r="P2149" s="23">
        <f>IFERROR(__xludf.DUMMYFUNCTION("""COMPUTED_VALUE"""),26131.0)</f>
        <v>26131</v>
      </c>
      <c r="Q2149" s="23">
        <f>IFERROR(__xludf.DUMMYFUNCTION("""COMPUTED_VALUE"""),43136.0)</f>
        <v>43136</v>
      </c>
    </row>
    <row r="2150">
      <c r="A2150" s="23">
        <f>IFERROR(__xludf.DUMMYFUNCTION("""COMPUTED_VALUE"""),2271.0)</f>
        <v>2271</v>
      </c>
      <c r="B2150" s="23" t="str">
        <f>IFERROR(__xludf.DUMMYFUNCTION("""COMPUTED_VALUE"""),"Rearrange Array Elements by Sign")</f>
        <v>Rearrange Array Elements by Sign</v>
      </c>
      <c r="C2150" s="23" t="str">
        <f>IFERROR(__xludf.DUMMYFUNCTION("""COMPUTED_VALUE"""),"rearrange-array-elements-by-sign")</f>
        <v>rearrange-array-elements-by-sign</v>
      </c>
      <c r="D2150" s="23" t="b">
        <f>IFERROR(__xludf.DUMMYFUNCTION("""COMPUTED_VALUE"""),FALSE)</f>
        <v>0</v>
      </c>
      <c r="E2150" s="23" t="str">
        <f>IFERROR(__xludf.DUMMYFUNCTION("""COMPUTED_VALUE"""),"Medium")</f>
        <v>Medium</v>
      </c>
      <c r="F2150" s="23">
        <f>IFERROR(__xludf.DUMMYFUNCTION("""COMPUTED_VALUE"""),380.0)</f>
        <v>380</v>
      </c>
      <c r="G2150" s="23">
        <f>IFERROR(__xludf.DUMMYFUNCTION("""COMPUTED_VALUE"""),23.0)</f>
        <v>23</v>
      </c>
      <c r="H2150" s="23" t="str">
        <f>IFERROR(__xludf.DUMMYFUNCTION("""COMPUTED_VALUE"""),"Algorithms")</f>
        <v>Algorithms</v>
      </c>
      <c r="I2150" s="23">
        <f>IFERROR(__xludf.DUMMYFUNCTION("""COMPUTED_VALUE"""),0.821)</f>
        <v>0.821</v>
      </c>
      <c r="J2150" s="23">
        <f>IFERROR(__xludf.DUMMYFUNCTION("""COMPUTED_VALUE"""),2149.0)</f>
        <v>2149</v>
      </c>
      <c r="K2150" s="23" t="b">
        <f>IFERROR(__xludf.DUMMYFUNCTION("""COMPUTED_VALUE"""),FALSE)</f>
        <v>0</v>
      </c>
      <c r="L2150" s="23" t="str">
        <f>IFERROR(__xludf.DUMMYFUNCTION("""COMPUTED_VALUE"""),"Array;Two Pointers;Simulation;")</f>
        <v>Array;Two Pointers;Simulation;</v>
      </c>
      <c r="M2150" s="23" t="b">
        <f>IFERROR(__xludf.DUMMYFUNCTION("""COMPUTED_VALUE"""),FALSE)</f>
        <v>0</v>
      </c>
      <c r="N2150" s="23" t="b">
        <f>IFERROR(__xludf.DUMMYFUNCTION("""COMPUTED_VALUE"""),FALSE)</f>
        <v>0</v>
      </c>
      <c r="O2150" s="23">
        <f>IFERROR(__xludf.DUMMYFUNCTION("""COMPUTED_VALUE"""),82.143482575448)</f>
        <v>82.14348258</v>
      </c>
      <c r="P2150" s="23">
        <f>IFERROR(__xludf.DUMMYFUNCTION("""COMPUTED_VALUE"""),28143.0)</f>
        <v>28143</v>
      </c>
      <c r="Q2150" s="23">
        <f>IFERROR(__xludf.DUMMYFUNCTION("""COMPUTED_VALUE"""),34261.0)</f>
        <v>34261</v>
      </c>
    </row>
    <row r="2151">
      <c r="A2151" s="23">
        <f>IFERROR(__xludf.DUMMYFUNCTION("""COMPUTED_VALUE"""),2270.0)</f>
        <v>2270</v>
      </c>
      <c r="B2151" s="23" t="str">
        <f>IFERROR(__xludf.DUMMYFUNCTION("""COMPUTED_VALUE"""),"Find All Lonely Numbers in the Array")</f>
        <v>Find All Lonely Numbers in the Array</v>
      </c>
      <c r="C2151" s="23" t="str">
        <f>IFERROR(__xludf.DUMMYFUNCTION("""COMPUTED_VALUE"""),"find-all-lonely-numbers-in-the-array")</f>
        <v>find-all-lonely-numbers-in-the-array</v>
      </c>
      <c r="D2151" s="23" t="b">
        <f>IFERROR(__xludf.DUMMYFUNCTION("""COMPUTED_VALUE"""),FALSE)</f>
        <v>0</v>
      </c>
      <c r="E2151" s="23" t="str">
        <f>IFERROR(__xludf.DUMMYFUNCTION("""COMPUTED_VALUE"""),"Medium")</f>
        <v>Medium</v>
      </c>
      <c r="F2151" s="23">
        <f>IFERROR(__xludf.DUMMYFUNCTION("""COMPUTED_VALUE"""),225.0)</f>
        <v>225</v>
      </c>
      <c r="G2151" s="23">
        <f>IFERROR(__xludf.DUMMYFUNCTION("""COMPUTED_VALUE"""),31.0)</f>
        <v>31</v>
      </c>
      <c r="H2151" s="23" t="str">
        <f>IFERROR(__xludf.DUMMYFUNCTION("""COMPUTED_VALUE"""),"Algorithms")</f>
        <v>Algorithms</v>
      </c>
      <c r="I2151" s="23">
        <f>IFERROR(__xludf.DUMMYFUNCTION("""COMPUTED_VALUE"""),0.606)</f>
        <v>0.606</v>
      </c>
      <c r="J2151" s="23">
        <f>IFERROR(__xludf.DUMMYFUNCTION("""COMPUTED_VALUE"""),2150.0)</f>
        <v>2150</v>
      </c>
      <c r="K2151" s="23" t="b">
        <f>IFERROR(__xludf.DUMMYFUNCTION("""COMPUTED_VALUE"""),FALSE)</f>
        <v>0</v>
      </c>
      <c r="L2151" s="23" t="str">
        <f>IFERROR(__xludf.DUMMYFUNCTION("""COMPUTED_VALUE"""),"Array;Hash Table;Counting;")</f>
        <v>Array;Hash Table;Counting;</v>
      </c>
      <c r="M2151" s="23" t="b">
        <f>IFERROR(__xludf.DUMMYFUNCTION("""COMPUTED_VALUE"""),FALSE)</f>
        <v>0</v>
      </c>
      <c r="N2151" s="23" t="b">
        <f>IFERROR(__xludf.DUMMYFUNCTION("""COMPUTED_VALUE"""),FALSE)</f>
        <v>0</v>
      </c>
      <c r="O2151" s="23">
        <f>IFERROR(__xludf.DUMMYFUNCTION("""COMPUTED_VALUE"""),60.6185890726397)</f>
        <v>60.61858907</v>
      </c>
      <c r="P2151" s="23">
        <f>IFERROR(__xludf.DUMMYFUNCTION("""COMPUTED_VALUE"""),23166.0)</f>
        <v>23166</v>
      </c>
      <c r="Q2151" s="23">
        <f>IFERROR(__xludf.DUMMYFUNCTION("""COMPUTED_VALUE"""),38216.0)</f>
        <v>38216</v>
      </c>
    </row>
    <row r="2152">
      <c r="A2152" s="23">
        <f>IFERROR(__xludf.DUMMYFUNCTION("""COMPUTED_VALUE"""),2272.0)</f>
        <v>2272</v>
      </c>
      <c r="B2152" s="23" t="str">
        <f>IFERROR(__xludf.DUMMYFUNCTION("""COMPUTED_VALUE"""),"Maximum Good People Based on Statements")</f>
        <v>Maximum Good People Based on Statements</v>
      </c>
      <c r="C2152" s="23" t="str">
        <f>IFERROR(__xludf.DUMMYFUNCTION("""COMPUTED_VALUE"""),"maximum-good-people-based-on-statements")</f>
        <v>maximum-good-people-based-on-statements</v>
      </c>
      <c r="D2152" s="23" t="b">
        <f>IFERROR(__xludf.DUMMYFUNCTION("""COMPUTED_VALUE"""),FALSE)</f>
        <v>0</v>
      </c>
      <c r="E2152" s="23" t="str">
        <f>IFERROR(__xludf.DUMMYFUNCTION("""COMPUTED_VALUE"""),"Hard")</f>
        <v>Hard</v>
      </c>
      <c r="F2152" s="23">
        <f>IFERROR(__xludf.DUMMYFUNCTION("""COMPUTED_VALUE"""),312.0)</f>
        <v>312</v>
      </c>
      <c r="G2152" s="23">
        <f>IFERROR(__xludf.DUMMYFUNCTION("""COMPUTED_VALUE"""),67.0)</f>
        <v>67</v>
      </c>
      <c r="H2152" s="23" t="str">
        <f>IFERROR(__xludf.DUMMYFUNCTION("""COMPUTED_VALUE"""),"Algorithms")</f>
        <v>Algorithms</v>
      </c>
      <c r="I2152" s="23">
        <f>IFERROR(__xludf.DUMMYFUNCTION("""COMPUTED_VALUE"""),0.462)</f>
        <v>0.462</v>
      </c>
      <c r="J2152" s="23">
        <f>IFERROR(__xludf.DUMMYFUNCTION("""COMPUTED_VALUE"""),2151.0)</f>
        <v>2151</v>
      </c>
      <c r="K2152" s="23" t="b">
        <f>IFERROR(__xludf.DUMMYFUNCTION("""COMPUTED_VALUE"""),FALSE)</f>
        <v>0</v>
      </c>
      <c r="L2152" s="23" t="str">
        <f>IFERROR(__xludf.DUMMYFUNCTION("""COMPUTED_VALUE"""),"Array;Backtracking;Bit Manipulation;Enumeration;")</f>
        <v>Array;Backtracking;Bit Manipulation;Enumeration;</v>
      </c>
      <c r="M2152" s="23" t="b">
        <f>IFERROR(__xludf.DUMMYFUNCTION("""COMPUTED_VALUE"""),FALSE)</f>
        <v>0</v>
      </c>
      <c r="N2152" s="23" t="b">
        <f>IFERROR(__xludf.DUMMYFUNCTION("""COMPUTED_VALUE"""),FALSE)</f>
        <v>0</v>
      </c>
      <c r="O2152" s="23">
        <f>IFERROR(__xludf.DUMMYFUNCTION("""COMPUTED_VALUE"""),46.2272042830851)</f>
        <v>46.22720428</v>
      </c>
      <c r="P2152" s="23">
        <f>IFERROR(__xludf.DUMMYFUNCTION("""COMPUTED_VALUE"""),8289.0)</f>
        <v>8289</v>
      </c>
      <c r="Q2152" s="23">
        <f>IFERROR(__xludf.DUMMYFUNCTION("""COMPUTED_VALUE"""),17931.0)</f>
        <v>17931</v>
      </c>
    </row>
    <row r="2153">
      <c r="A2153" s="23">
        <f>IFERROR(__xludf.DUMMYFUNCTION("""COMPUTED_VALUE"""),2287.0)</f>
        <v>2287</v>
      </c>
      <c r="B2153" s="23" t="str">
        <f>IFERROR(__xludf.DUMMYFUNCTION("""COMPUTED_VALUE"""),"Minimum Number of Lines to Cover Points")</f>
        <v>Minimum Number of Lines to Cover Points</v>
      </c>
      <c r="C2153" s="23" t="str">
        <f>IFERROR(__xludf.DUMMYFUNCTION("""COMPUTED_VALUE"""),"minimum-number-of-lines-to-cover-points")</f>
        <v>minimum-number-of-lines-to-cover-points</v>
      </c>
      <c r="D2153" s="23" t="b">
        <f>IFERROR(__xludf.DUMMYFUNCTION("""COMPUTED_VALUE"""),TRUE)</f>
        <v>1</v>
      </c>
      <c r="E2153" s="23" t="str">
        <f>IFERROR(__xludf.DUMMYFUNCTION("""COMPUTED_VALUE"""),"Medium")</f>
        <v>Medium</v>
      </c>
      <c r="F2153" s="23">
        <f>IFERROR(__xludf.DUMMYFUNCTION("""COMPUTED_VALUE"""),27.0)</f>
        <v>27</v>
      </c>
      <c r="G2153" s="23">
        <f>IFERROR(__xludf.DUMMYFUNCTION("""COMPUTED_VALUE"""),6.0)</f>
        <v>6</v>
      </c>
      <c r="H2153" s="23" t="str">
        <f>IFERROR(__xludf.DUMMYFUNCTION("""COMPUTED_VALUE"""),"Algorithms")</f>
        <v>Algorithms</v>
      </c>
      <c r="I2153" s="23">
        <f>IFERROR(__xludf.DUMMYFUNCTION("""COMPUTED_VALUE"""),0.464)</f>
        <v>0.464</v>
      </c>
      <c r="J2153" s="23">
        <f>IFERROR(__xludf.DUMMYFUNCTION("""COMPUTED_VALUE"""),2152.0)</f>
        <v>2152</v>
      </c>
      <c r="K2153" s="23" t="b">
        <f>IFERROR(__xludf.DUMMYFUNCTION("""COMPUTED_VALUE"""),TRUE)</f>
        <v>1</v>
      </c>
      <c r="L2153" s="23" t="str">
        <f>IFERROR(__xludf.DUMMYFUNCTION("""COMPUTED_VALUE"""),"Array;Hash Table;Math;Dynamic Programming;Backtracking;Bit Manipulation;Geometry;Bitmask;")</f>
        <v>Array;Hash Table;Math;Dynamic Programming;Backtracking;Bit Manipulation;Geometry;Bitmask;</v>
      </c>
      <c r="M2153" s="23" t="b">
        <f>IFERROR(__xludf.DUMMYFUNCTION("""COMPUTED_VALUE"""),FALSE)</f>
        <v>0</v>
      </c>
      <c r="N2153" s="23" t="b">
        <f>IFERROR(__xludf.DUMMYFUNCTION("""COMPUTED_VALUE"""),FALSE)</f>
        <v>0</v>
      </c>
      <c r="O2153" s="23">
        <f>IFERROR(__xludf.DUMMYFUNCTION("""COMPUTED_VALUE"""),46.3777089783281)</f>
        <v>46.37770898</v>
      </c>
      <c r="P2153" s="23">
        <f>IFERROR(__xludf.DUMMYFUNCTION("""COMPUTED_VALUE"""),749.0)</f>
        <v>749</v>
      </c>
      <c r="Q2153" s="23">
        <f>IFERROR(__xludf.DUMMYFUNCTION("""COMPUTED_VALUE"""),1615.0)</f>
        <v>1615</v>
      </c>
    </row>
    <row r="2154">
      <c r="A2154" s="23">
        <f>IFERROR(__xludf.DUMMYFUNCTION("""COMPUTED_VALUE"""),2296.0)</f>
        <v>2296</v>
      </c>
      <c r="B2154" s="23" t="str">
        <f>IFERROR(__xludf.DUMMYFUNCTION("""COMPUTED_VALUE"""),"The Number of Passengers in Each Bus II")</f>
        <v>The Number of Passengers in Each Bus II</v>
      </c>
      <c r="C2154" s="23" t="str">
        <f>IFERROR(__xludf.DUMMYFUNCTION("""COMPUTED_VALUE"""),"the-number-of-passengers-in-each-bus-ii")</f>
        <v>the-number-of-passengers-in-each-bus-ii</v>
      </c>
      <c r="D2154" s="23" t="b">
        <f>IFERROR(__xludf.DUMMYFUNCTION("""COMPUTED_VALUE"""),TRUE)</f>
        <v>1</v>
      </c>
      <c r="E2154" s="23" t="str">
        <f>IFERROR(__xludf.DUMMYFUNCTION("""COMPUTED_VALUE"""),"Hard")</f>
        <v>Hard</v>
      </c>
      <c r="F2154" s="23">
        <f>IFERROR(__xludf.DUMMYFUNCTION("""COMPUTED_VALUE"""),18.0)</f>
        <v>18</v>
      </c>
      <c r="G2154" s="23">
        <f>IFERROR(__xludf.DUMMYFUNCTION("""COMPUTED_VALUE"""),7.0)</f>
        <v>7</v>
      </c>
      <c r="H2154" s="23" t="str">
        <f>IFERROR(__xludf.DUMMYFUNCTION("""COMPUTED_VALUE"""),"Database")</f>
        <v>Database</v>
      </c>
      <c r="I2154" s="23">
        <f>IFERROR(__xludf.DUMMYFUNCTION("""COMPUTED_VALUE"""),0.511)</f>
        <v>0.511</v>
      </c>
      <c r="J2154" s="23">
        <f>IFERROR(__xludf.DUMMYFUNCTION("""COMPUTED_VALUE"""),2153.0)</f>
        <v>2153</v>
      </c>
      <c r="K2154" s="23" t="b">
        <f>IFERROR(__xludf.DUMMYFUNCTION("""COMPUTED_VALUE"""),TRUE)</f>
        <v>1</v>
      </c>
      <c r="L2154" s="23" t="str">
        <f>IFERROR(__xludf.DUMMYFUNCTION("""COMPUTED_VALUE"""),"Database;")</f>
        <v>Database;</v>
      </c>
      <c r="M2154" s="23" t="b">
        <f>IFERROR(__xludf.DUMMYFUNCTION("""COMPUTED_VALUE"""),FALSE)</f>
        <v>0</v>
      </c>
      <c r="N2154" s="23" t="b">
        <f>IFERROR(__xludf.DUMMYFUNCTION("""COMPUTED_VALUE"""),FALSE)</f>
        <v>0</v>
      </c>
      <c r="O2154" s="23">
        <f>IFERROR(__xludf.DUMMYFUNCTION("""COMPUTED_VALUE"""),51.0845986984815)</f>
        <v>51.0845987</v>
      </c>
      <c r="P2154" s="23">
        <f>IFERROR(__xludf.DUMMYFUNCTION("""COMPUTED_VALUE"""),471.0)</f>
        <v>471</v>
      </c>
      <c r="Q2154" s="23">
        <f>IFERROR(__xludf.DUMMYFUNCTION("""COMPUTED_VALUE"""),922.0)</f>
        <v>922</v>
      </c>
    </row>
    <row r="2155">
      <c r="A2155" s="23">
        <f>IFERROR(__xludf.DUMMYFUNCTION("""COMPUTED_VALUE"""),2274.0)</f>
        <v>2274</v>
      </c>
      <c r="B2155" s="23" t="str">
        <f>IFERROR(__xludf.DUMMYFUNCTION("""COMPUTED_VALUE"""),"Keep Multiplying Found Values by Two")</f>
        <v>Keep Multiplying Found Values by Two</v>
      </c>
      <c r="C2155" s="23" t="str">
        <f>IFERROR(__xludf.DUMMYFUNCTION("""COMPUTED_VALUE"""),"keep-multiplying-found-values-by-two")</f>
        <v>keep-multiplying-found-values-by-two</v>
      </c>
      <c r="D2155" s="23" t="b">
        <f>IFERROR(__xludf.DUMMYFUNCTION("""COMPUTED_VALUE"""),FALSE)</f>
        <v>0</v>
      </c>
      <c r="E2155" s="23" t="str">
        <f>IFERROR(__xludf.DUMMYFUNCTION("""COMPUTED_VALUE"""),"Easy")</f>
        <v>Easy</v>
      </c>
      <c r="F2155" s="23">
        <f>IFERROR(__xludf.DUMMYFUNCTION("""COMPUTED_VALUE"""),260.0)</f>
        <v>260</v>
      </c>
      <c r="G2155" s="23">
        <f>IFERROR(__xludf.DUMMYFUNCTION("""COMPUTED_VALUE"""),11.0)</f>
        <v>11</v>
      </c>
      <c r="H2155" s="23" t="str">
        <f>IFERROR(__xludf.DUMMYFUNCTION("""COMPUTED_VALUE"""),"Algorithms")</f>
        <v>Algorithms</v>
      </c>
      <c r="I2155" s="23">
        <f>IFERROR(__xludf.DUMMYFUNCTION("""COMPUTED_VALUE"""),0.737)</f>
        <v>0.737</v>
      </c>
      <c r="J2155" s="23">
        <f>IFERROR(__xludf.DUMMYFUNCTION("""COMPUTED_VALUE"""),2154.0)</f>
        <v>2154</v>
      </c>
      <c r="K2155" s="23" t="b">
        <f>IFERROR(__xludf.DUMMYFUNCTION("""COMPUTED_VALUE"""),FALSE)</f>
        <v>0</v>
      </c>
      <c r="L2155" s="23" t="str">
        <f>IFERROR(__xludf.DUMMYFUNCTION("""COMPUTED_VALUE"""),"Array;Hash Table;Sorting;Simulation;")</f>
        <v>Array;Hash Table;Sorting;Simulation;</v>
      </c>
      <c r="M2155" s="23" t="b">
        <f>IFERROR(__xludf.DUMMYFUNCTION("""COMPUTED_VALUE"""),FALSE)</f>
        <v>0</v>
      </c>
      <c r="N2155" s="23" t="b">
        <f>IFERROR(__xludf.DUMMYFUNCTION("""COMPUTED_VALUE"""),FALSE)</f>
        <v>0</v>
      </c>
      <c r="O2155" s="23">
        <f>IFERROR(__xludf.DUMMYFUNCTION("""COMPUTED_VALUE"""),73.6829558998808)</f>
        <v>73.6829559</v>
      </c>
      <c r="P2155" s="23">
        <f>IFERROR(__xludf.DUMMYFUNCTION("""COMPUTED_VALUE"""),34001.0)</f>
        <v>34001</v>
      </c>
      <c r="Q2155" s="23">
        <f>IFERROR(__xludf.DUMMYFUNCTION("""COMPUTED_VALUE"""),46145.0)</f>
        <v>46145</v>
      </c>
    </row>
    <row r="2156">
      <c r="A2156" s="23">
        <f>IFERROR(__xludf.DUMMYFUNCTION("""COMPUTED_VALUE"""),2261.0)</f>
        <v>2261</v>
      </c>
      <c r="B2156" s="23" t="str">
        <f>IFERROR(__xludf.DUMMYFUNCTION("""COMPUTED_VALUE"""),"All Divisions With the Highest Score of a Binary Array")</f>
        <v>All Divisions With the Highest Score of a Binary Array</v>
      </c>
      <c r="C2156" s="23" t="str">
        <f>IFERROR(__xludf.DUMMYFUNCTION("""COMPUTED_VALUE"""),"all-divisions-with-the-highest-score-of-a-binary-array")</f>
        <v>all-divisions-with-the-highest-score-of-a-binary-array</v>
      </c>
      <c r="D2156" s="23" t="b">
        <f>IFERROR(__xludf.DUMMYFUNCTION("""COMPUTED_VALUE"""),FALSE)</f>
        <v>0</v>
      </c>
      <c r="E2156" s="23" t="str">
        <f>IFERROR(__xludf.DUMMYFUNCTION("""COMPUTED_VALUE"""),"Medium")</f>
        <v>Medium</v>
      </c>
      <c r="F2156" s="23">
        <f>IFERROR(__xludf.DUMMYFUNCTION("""COMPUTED_VALUE"""),306.0)</f>
        <v>306</v>
      </c>
      <c r="G2156" s="23">
        <f>IFERROR(__xludf.DUMMYFUNCTION("""COMPUTED_VALUE"""),8.0)</f>
        <v>8</v>
      </c>
      <c r="H2156" s="23" t="str">
        <f>IFERROR(__xludf.DUMMYFUNCTION("""COMPUTED_VALUE"""),"Algorithms")</f>
        <v>Algorithms</v>
      </c>
      <c r="I2156" s="23">
        <f>IFERROR(__xludf.DUMMYFUNCTION("""COMPUTED_VALUE"""),0.62)</f>
        <v>0.62</v>
      </c>
      <c r="J2156" s="23">
        <f>IFERROR(__xludf.DUMMYFUNCTION("""COMPUTED_VALUE"""),2155.0)</f>
        <v>2155</v>
      </c>
      <c r="K2156" s="23" t="b">
        <f>IFERROR(__xludf.DUMMYFUNCTION("""COMPUTED_VALUE"""),FALSE)</f>
        <v>0</v>
      </c>
      <c r="L2156" s="23" t="str">
        <f>IFERROR(__xludf.DUMMYFUNCTION("""COMPUTED_VALUE"""),"Array;")</f>
        <v>Array;</v>
      </c>
      <c r="M2156" s="23" t="b">
        <f>IFERROR(__xludf.DUMMYFUNCTION("""COMPUTED_VALUE"""),FALSE)</f>
        <v>0</v>
      </c>
      <c r="N2156" s="23" t="b">
        <f>IFERROR(__xludf.DUMMYFUNCTION("""COMPUTED_VALUE"""),FALSE)</f>
        <v>0</v>
      </c>
      <c r="O2156" s="23">
        <f>IFERROR(__xludf.DUMMYFUNCTION("""COMPUTED_VALUE"""),62.0285668432033)</f>
        <v>62.02856684</v>
      </c>
      <c r="P2156" s="23">
        <f>IFERROR(__xludf.DUMMYFUNCTION("""COMPUTED_VALUE"""),19325.0)</f>
        <v>19325</v>
      </c>
      <c r="Q2156" s="23">
        <f>IFERROR(__xludf.DUMMYFUNCTION("""COMPUTED_VALUE"""),31155.0)</f>
        <v>31155</v>
      </c>
    </row>
    <row r="2157">
      <c r="A2157" s="23">
        <f>IFERROR(__xludf.DUMMYFUNCTION("""COMPUTED_VALUE"""),2275.0)</f>
        <v>2275</v>
      </c>
      <c r="B2157" s="23" t="str">
        <f>IFERROR(__xludf.DUMMYFUNCTION("""COMPUTED_VALUE"""),"Find Substring With Given Hash Value")</f>
        <v>Find Substring With Given Hash Value</v>
      </c>
      <c r="C2157" s="23" t="str">
        <f>IFERROR(__xludf.DUMMYFUNCTION("""COMPUTED_VALUE"""),"find-substring-with-given-hash-value")</f>
        <v>find-substring-with-given-hash-value</v>
      </c>
      <c r="D2157" s="23" t="b">
        <f>IFERROR(__xludf.DUMMYFUNCTION("""COMPUTED_VALUE"""),FALSE)</f>
        <v>0</v>
      </c>
      <c r="E2157" s="23" t="str">
        <f>IFERROR(__xludf.DUMMYFUNCTION("""COMPUTED_VALUE"""),"Hard")</f>
        <v>Hard</v>
      </c>
      <c r="F2157" s="23">
        <f>IFERROR(__xludf.DUMMYFUNCTION("""COMPUTED_VALUE"""),297.0)</f>
        <v>297</v>
      </c>
      <c r="G2157" s="23">
        <f>IFERROR(__xludf.DUMMYFUNCTION("""COMPUTED_VALUE"""),338.0)</f>
        <v>338</v>
      </c>
      <c r="H2157" s="23" t="str">
        <f>IFERROR(__xludf.DUMMYFUNCTION("""COMPUTED_VALUE"""),"Algorithms")</f>
        <v>Algorithms</v>
      </c>
      <c r="I2157" s="23">
        <f>IFERROR(__xludf.DUMMYFUNCTION("""COMPUTED_VALUE"""),0.21)</f>
        <v>0.21</v>
      </c>
      <c r="J2157" s="23">
        <f>IFERROR(__xludf.DUMMYFUNCTION("""COMPUTED_VALUE"""),2156.0)</f>
        <v>2156</v>
      </c>
      <c r="K2157" s="23" t="b">
        <f>IFERROR(__xludf.DUMMYFUNCTION("""COMPUTED_VALUE"""),FALSE)</f>
        <v>0</v>
      </c>
      <c r="L2157" s="23" t="str">
        <f>IFERROR(__xludf.DUMMYFUNCTION("""COMPUTED_VALUE"""),"String;Sliding Window;Rolling Hash;Hash Function;")</f>
        <v>String;Sliding Window;Rolling Hash;Hash Function;</v>
      </c>
      <c r="M2157" s="23" t="b">
        <f>IFERROR(__xludf.DUMMYFUNCTION("""COMPUTED_VALUE"""),FALSE)</f>
        <v>0</v>
      </c>
      <c r="N2157" s="23" t="b">
        <f>IFERROR(__xludf.DUMMYFUNCTION("""COMPUTED_VALUE"""),FALSE)</f>
        <v>0</v>
      </c>
      <c r="O2157" s="23">
        <f>IFERROR(__xludf.DUMMYFUNCTION("""COMPUTED_VALUE"""),20.9713846655335)</f>
        <v>20.97138467</v>
      </c>
      <c r="P2157" s="23">
        <f>IFERROR(__xludf.DUMMYFUNCTION("""COMPUTED_VALUE"""),9007.0)</f>
        <v>9007</v>
      </c>
      <c r="Q2157" s="23">
        <f>IFERROR(__xludf.DUMMYFUNCTION("""COMPUTED_VALUE"""),42949.0)</f>
        <v>42949</v>
      </c>
    </row>
    <row r="2158">
      <c r="A2158" s="23">
        <f>IFERROR(__xludf.DUMMYFUNCTION("""COMPUTED_VALUE"""),2276.0)</f>
        <v>2276</v>
      </c>
      <c r="B2158" s="23" t="str">
        <f>IFERROR(__xludf.DUMMYFUNCTION("""COMPUTED_VALUE"""),"Groups of Strings")</f>
        <v>Groups of Strings</v>
      </c>
      <c r="C2158" s="23" t="str">
        <f>IFERROR(__xludf.DUMMYFUNCTION("""COMPUTED_VALUE"""),"groups-of-strings")</f>
        <v>groups-of-strings</v>
      </c>
      <c r="D2158" s="23" t="b">
        <f>IFERROR(__xludf.DUMMYFUNCTION("""COMPUTED_VALUE"""),FALSE)</f>
        <v>0</v>
      </c>
      <c r="E2158" s="23" t="str">
        <f>IFERROR(__xludf.DUMMYFUNCTION("""COMPUTED_VALUE"""),"Hard")</f>
        <v>Hard</v>
      </c>
      <c r="F2158" s="23">
        <f>IFERROR(__xludf.DUMMYFUNCTION("""COMPUTED_VALUE"""),243.0)</f>
        <v>243</v>
      </c>
      <c r="G2158" s="23">
        <f>IFERROR(__xludf.DUMMYFUNCTION("""COMPUTED_VALUE"""),37.0)</f>
        <v>37</v>
      </c>
      <c r="H2158" s="23" t="str">
        <f>IFERROR(__xludf.DUMMYFUNCTION("""COMPUTED_VALUE"""),"Algorithms")</f>
        <v>Algorithms</v>
      </c>
      <c r="I2158" s="23">
        <f>IFERROR(__xludf.DUMMYFUNCTION("""COMPUTED_VALUE"""),0.246)</f>
        <v>0.246</v>
      </c>
      <c r="J2158" s="23">
        <f>IFERROR(__xludf.DUMMYFUNCTION("""COMPUTED_VALUE"""),2157.0)</f>
        <v>2157</v>
      </c>
      <c r="K2158" s="23" t="b">
        <f>IFERROR(__xludf.DUMMYFUNCTION("""COMPUTED_VALUE"""),FALSE)</f>
        <v>0</v>
      </c>
      <c r="L2158" s="23" t="str">
        <f>IFERROR(__xludf.DUMMYFUNCTION("""COMPUTED_VALUE"""),"String;Bit Manipulation;Union Find;")</f>
        <v>String;Bit Manipulation;Union Find;</v>
      </c>
      <c r="M2158" s="23" t="b">
        <f>IFERROR(__xludf.DUMMYFUNCTION("""COMPUTED_VALUE"""),FALSE)</f>
        <v>0</v>
      </c>
      <c r="N2158" s="23" t="b">
        <f>IFERROR(__xludf.DUMMYFUNCTION("""COMPUTED_VALUE"""),FALSE)</f>
        <v>0</v>
      </c>
      <c r="O2158" s="23">
        <f>IFERROR(__xludf.DUMMYFUNCTION("""COMPUTED_VALUE"""),24.5627479264334)</f>
        <v>24.56274793</v>
      </c>
      <c r="P2158" s="23">
        <f>IFERROR(__xludf.DUMMYFUNCTION("""COMPUTED_VALUE"""),5449.0)</f>
        <v>5449</v>
      </c>
      <c r="Q2158" s="23">
        <f>IFERROR(__xludf.DUMMYFUNCTION("""COMPUTED_VALUE"""),22184.0)</f>
        <v>22184</v>
      </c>
    </row>
    <row r="2159">
      <c r="A2159" s="23">
        <f>IFERROR(__xludf.DUMMYFUNCTION("""COMPUTED_VALUE"""),2297.0)</f>
        <v>2297</v>
      </c>
      <c r="B2159" s="23" t="str">
        <f>IFERROR(__xludf.DUMMYFUNCTION("""COMPUTED_VALUE"""),"Amount of New Area Painted Each Day")</f>
        <v>Amount of New Area Painted Each Day</v>
      </c>
      <c r="C2159" s="23" t="str">
        <f>IFERROR(__xludf.DUMMYFUNCTION("""COMPUTED_VALUE"""),"amount-of-new-area-painted-each-day")</f>
        <v>amount-of-new-area-painted-each-day</v>
      </c>
      <c r="D2159" s="23" t="b">
        <f>IFERROR(__xludf.DUMMYFUNCTION("""COMPUTED_VALUE"""),TRUE)</f>
        <v>1</v>
      </c>
      <c r="E2159" s="23" t="str">
        <f>IFERROR(__xludf.DUMMYFUNCTION("""COMPUTED_VALUE"""),"Hard")</f>
        <v>Hard</v>
      </c>
      <c r="F2159" s="23">
        <f>IFERROR(__xludf.DUMMYFUNCTION("""COMPUTED_VALUE"""),80.0)</f>
        <v>80</v>
      </c>
      <c r="G2159" s="23">
        <f>IFERROR(__xludf.DUMMYFUNCTION("""COMPUTED_VALUE"""),11.0)</f>
        <v>11</v>
      </c>
      <c r="H2159" s="23" t="str">
        <f>IFERROR(__xludf.DUMMYFUNCTION("""COMPUTED_VALUE"""),"Algorithms")</f>
        <v>Algorithms</v>
      </c>
      <c r="I2159" s="23">
        <f>IFERROR(__xludf.DUMMYFUNCTION("""COMPUTED_VALUE"""),0.606)</f>
        <v>0.606</v>
      </c>
      <c r="J2159" s="23">
        <f>IFERROR(__xludf.DUMMYFUNCTION("""COMPUTED_VALUE"""),2158.0)</f>
        <v>2158</v>
      </c>
      <c r="K2159" s="23" t="b">
        <f>IFERROR(__xludf.DUMMYFUNCTION("""COMPUTED_VALUE"""),TRUE)</f>
        <v>1</v>
      </c>
      <c r="L2159" s="23" t="str">
        <f>IFERROR(__xludf.DUMMYFUNCTION("""COMPUTED_VALUE"""),"Array;Segment Tree;Ordered Set;")</f>
        <v>Array;Segment Tree;Ordered Set;</v>
      </c>
      <c r="M2159" s="23" t="b">
        <f>IFERROR(__xludf.DUMMYFUNCTION("""COMPUTED_VALUE"""),FALSE)</f>
        <v>0</v>
      </c>
      <c r="N2159" s="23" t="b">
        <f>IFERROR(__xludf.DUMMYFUNCTION("""COMPUTED_VALUE"""),FALSE)</f>
        <v>0</v>
      </c>
      <c r="O2159" s="23">
        <f>IFERROR(__xludf.DUMMYFUNCTION("""COMPUTED_VALUE"""),60.6395520188623)</f>
        <v>60.63955202</v>
      </c>
      <c r="P2159" s="23">
        <f>IFERROR(__xludf.DUMMYFUNCTION("""COMPUTED_VALUE"""),4115.0)</f>
        <v>4115</v>
      </c>
      <c r="Q2159" s="23">
        <f>IFERROR(__xludf.DUMMYFUNCTION("""COMPUTED_VALUE"""),6786.0)</f>
        <v>6786</v>
      </c>
    </row>
    <row r="2160">
      <c r="A2160" s="23">
        <f>IFERROR(__xludf.DUMMYFUNCTION("""COMPUTED_VALUE"""),2302.0)</f>
        <v>2302</v>
      </c>
      <c r="B2160" s="23" t="str">
        <f>IFERROR(__xludf.DUMMYFUNCTION("""COMPUTED_VALUE"""),"Order Two Columns Independently")</f>
        <v>Order Two Columns Independently</v>
      </c>
      <c r="C2160" s="23" t="str">
        <f>IFERROR(__xludf.DUMMYFUNCTION("""COMPUTED_VALUE"""),"order-two-columns-independently")</f>
        <v>order-two-columns-independently</v>
      </c>
      <c r="D2160" s="23" t="b">
        <f>IFERROR(__xludf.DUMMYFUNCTION("""COMPUTED_VALUE"""),TRUE)</f>
        <v>1</v>
      </c>
      <c r="E2160" s="23" t="str">
        <f>IFERROR(__xludf.DUMMYFUNCTION("""COMPUTED_VALUE"""),"Medium")</f>
        <v>Medium</v>
      </c>
      <c r="F2160" s="23">
        <f>IFERROR(__xludf.DUMMYFUNCTION("""COMPUTED_VALUE"""),12.0)</f>
        <v>12</v>
      </c>
      <c r="G2160" s="23">
        <f>IFERROR(__xludf.DUMMYFUNCTION("""COMPUTED_VALUE"""),9.0)</f>
        <v>9</v>
      </c>
      <c r="H2160" s="23" t="str">
        <f>IFERROR(__xludf.DUMMYFUNCTION("""COMPUTED_VALUE"""),"Database")</f>
        <v>Database</v>
      </c>
      <c r="I2160" s="23">
        <f>IFERROR(__xludf.DUMMYFUNCTION("""COMPUTED_VALUE"""),0.634)</f>
        <v>0.634</v>
      </c>
      <c r="J2160" s="23">
        <f>IFERROR(__xludf.DUMMYFUNCTION("""COMPUTED_VALUE"""),2159.0)</f>
        <v>2159</v>
      </c>
      <c r="K2160" s="23" t="b">
        <f>IFERROR(__xludf.DUMMYFUNCTION("""COMPUTED_VALUE"""),TRUE)</f>
        <v>1</v>
      </c>
      <c r="L2160" s="23" t="str">
        <f>IFERROR(__xludf.DUMMYFUNCTION("""COMPUTED_VALUE"""),"Database;")</f>
        <v>Database;</v>
      </c>
      <c r="M2160" s="23" t="b">
        <f>IFERROR(__xludf.DUMMYFUNCTION("""COMPUTED_VALUE"""),FALSE)</f>
        <v>0</v>
      </c>
      <c r="N2160" s="23" t="b">
        <f>IFERROR(__xludf.DUMMYFUNCTION("""COMPUTED_VALUE"""),FALSE)</f>
        <v>0</v>
      </c>
      <c r="O2160" s="23">
        <f>IFERROR(__xludf.DUMMYFUNCTION("""COMPUTED_VALUE"""),63.3636363636363)</f>
        <v>63.36363636</v>
      </c>
      <c r="P2160" s="23">
        <f>IFERROR(__xludf.DUMMYFUNCTION("""COMPUTED_VALUE"""),1394.0)</f>
        <v>1394</v>
      </c>
      <c r="Q2160" s="23">
        <f>IFERROR(__xludf.DUMMYFUNCTION("""COMPUTED_VALUE"""),2200.0)</f>
        <v>2200</v>
      </c>
    </row>
    <row r="2161">
      <c r="A2161" s="23">
        <f>IFERROR(__xludf.DUMMYFUNCTION("""COMPUTED_VALUE"""),2264.0)</f>
        <v>2264</v>
      </c>
      <c r="B2161" s="23" t="str">
        <f>IFERROR(__xludf.DUMMYFUNCTION("""COMPUTED_VALUE"""),"Minimum Sum of Four Digit Number After Splitting Digits")</f>
        <v>Minimum Sum of Four Digit Number After Splitting Digits</v>
      </c>
      <c r="C2161" s="23" t="str">
        <f>IFERROR(__xludf.DUMMYFUNCTION("""COMPUTED_VALUE"""),"minimum-sum-of-four-digit-number-after-splitting-digits")</f>
        <v>minimum-sum-of-four-digit-number-after-splitting-digits</v>
      </c>
      <c r="D2161" s="23" t="b">
        <f>IFERROR(__xludf.DUMMYFUNCTION("""COMPUTED_VALUE"""),FALSE)</f>
        <v>0</v>
      </c>
      <c r="E2161" s="23" t="str">
        <f>IFERROR(__xludf.DUMMYFUNCTION("""COMPUTED_VALUE"""),"Easy")</f>
        <v>Easy</v>
      </c>
      <c r="F2161" s="23">
        <f>IFERROR(__xludf.DUMMYFUNCTION("""COMPUTED_VALUE"""),310.0)</f>
        <v>310</v>
      </c>
      <c r="G2161" s="23">
        <f>IFERROR(__xludf.DUMMYFUNCTION("""COMPUTED_VALUE"""),39.0)</f>
        <v>39</v>
      </c>
      <c r="H2161" s="23" t="str">
        <f>IFERROR(__xludf.DUMMYFUNCTION("""COMPUTED_VALUE"""),"Algorithms")</f>
        <v>Algorithms</v>
      </c>
      <c r="I2161" s="23">
        <f>IFERROR(__xludf.DUMMYFUNCTION("""COMPUTED_VALUE"""),0.88)</f>
        <v>0.88</v>
      </c>
      <c r="J2161" s="23">
        <f>IFERROR(__xludf.DUMMYFUNCTION("""COMPUTED_VALUE"""),2160.0)</f>
        <v>2160</v>
      </c>
      <c r="K2161" s="23" t="b">
        <f>IFERROR(__xludf.DUMMYFUNCTION("""COMPUTED_VALUE"""),FALSE)</f>
        <v>0</v>
      </c>
      <c r="L2161" s="23" t="str">
        <f>IFERROR(__xludf.DUMMYFUNCTION("""COMPUTED_VALUE"""),"Math;Greedy;Sorting;")</f>
        <v>Math;Greedy;Sorting;</v>
      </c>
      <c r="M2161" s="23" t="b">
        <f>IFERROR(__xludf.DUMMYFUNCTION("""COMPUTED_VALUE"""),FALSE)</f>
        <v>0</v>
      </c>
      <c r="N2161" s="23" t="b">
        <f>IFERROR(__xludf.DUMMYFUNCTION("""COMPUTED_VALUE"""),FALSE)</f>
        <v>0</v>
      </c>
      <c r="O2161" s="23">
        <f>IFERROR(__xludf.DUMMYFUNCTION("""COMPUTED_VALUE"""),87.9930268032251)</f>
        <v>87.9930268</v>
      </c>
      <c r="P2161" s="23">
        <f>IFERROR(__xludf.DUMMYFUNCTION("""COMPUTED_VALUE"""),28266.0)</f>
        <v>28266</v>
      </c>
      <c r="Q2161" s="23">
        <f>IFERROR(__xludf.DUMMYFUNCTION("""COMPUTED_VALUE"""),32123.0)</f>
        <v>32123</v>
      </c>
    </row>
    <row r="2162">
      <c r="A2162" s="23">
        <f>IFERROR(__xludf.DUMMYFUNCTION("""COMPUTED_VALUE"""),2265.0)</f>
        <v>2265</v>
      </c>
      <c r="B2162" s="23" t="str">
        <f>IFERROR(__xludf.DUMMYFUNCTION("""COMPUTED_VALUE"""),"Partition Array According to Given Pivot")</f>
        <v>Partition Array According to Given Pivot</v>
      </c>
      <c r="C2162" s="23" t="str">
        <f>IFERROR(__xludf.DUMMYFUNCTION("""COMPUTED_VALUE"""),"partition-array-according-to-given-pivot")</f>
        <v>partition-array-according-to-given-pivot</v>
      </c>
      <c r="D2162" s="23" t="b">
        <f>IFERROR(__xludf.DUMMYFUNCTION("""COMPUTED_VALUE"""),FALSE)</f>
        <v>0</v>
      </c>
      <c r="E2162" s="23" t="str">
        <f>IFERROR(__xludf.DUMMYFUNCTION("""COMPUTED_VALUE"""),"Medium")</f>
        <v>Medium</v>
      </c>
      <c r="F2162" s="23">
        <f>IFERROR(__xludf.DUMMYFUNCTION("""COMPUTED_VALUE"""),249.0)</f>
        <v>249</v>
      </c>
      <c r="G2162" s="23">
        <f>IFERROR(__xludf.DUMMYFUNCTION("""COMPUTED_VALUE"""),22.0)</f>
        <v>22</v>
      </c>
      <c r="H2162" s="23" t="str">
        <f>IFERROR(__xludf.DUMMYFUNCTION("""COMPUTED_VALUE"""),"Algorithms")</f>
        <v>Algorithms</v>
      </c>
      <c r="I2162" s="23">
        <f>IFERROR(__xludf.DUMMYFUNCTION("""COMPUTED_VALUE"""),0.825)</f>
        <v>0.825</v>
      </c>
      <c r="J2162" s="23">
        <f>IFERROR(__xludf.DUMMYFUNCTION("""COMPUTED_VALUE"""),2161.0)</f>
        <v>2161</v>
      </c>
      <c r="K2162" s="23" t="b">
        <f>IFERROR(__xludf.DUMMYFUNCTION("""COMPUTED_VALUE"""),FALSE)</f>
        <v>0</v>
      </c>
      <c r="L2162" s="23" t="str">
        <f>IFERROR(__xludf.DUMMYFUNCTION("""COMPUTED_VALUE"""),"Array;Two Pointers;Simulation;")</f>
        <v>Array;Two Pointers;Simulation;</v>
      </c>
      <c r="M2162" s="23" t="b">
        <f>IFERROR(__xludf.DUMMYFUNCTION("""COMPUTED_VALUE"""),FALSE)</f>
        <v>0</v>
      </c>
      <c r="N2162" s="23" t="b">
        <f>IFERROR(__xludf.DUMMYFUNCTION("""COMPUTED_VALUE"""),FALSE)</f>
        <v>0</v>
      </c>
      <c r="O2162" s="23">
        <f>IFERROR(__xludf.DUMMYFUNCTION("""COMPUTED_VALUE"""),82.490700033818)</f>
        <v>82.49070003</v>
      </c>
      <c r="P2162" s="23">
        <f>IFERROR(__xludf.DUMMYFUNCTION("""COMPUTED_VALUE"""),19513.0)</f>
        <v>19513</v>
      </c>
      <c r="Q2162" s="23">
        <f>IFERROR(__xludf.DUMMYFUNCTION("""COMPUTED_VALUE"""),23655.0)</f>
        <v>23655</v>
      </c>
    </row>
    <row r="2163">
      <c r="A2163" s="23">
        <f>IFERROR(__xludf.DUMMYFUNCTION("""COMPUTED_VALUE"""),2266.0)</f>
        <v>2266</v>
      </c>
      <c r="B2163" s="23" t="str">
        <f>IFERROR(__xludf.DUMMYFUNCTION("""COMPUTED_VALUE"""),"Minimum Cost to Set Cooking Time")</f>
        <v>Minimum Cost to Set Cooking Time</v>
      </c>
      <c r="C2163" s="23" t="str">
        <f>IFERROR(__xludf.DUMMYFUNCTION("""COMPUTED_VALUE"""),"minimum-cost-to-set-cooking-time")</f>
        <v>minimum-cost-to-set-cooking-time</v>
      </c>
      <c r="D2163" s="23" t="b">
        <f>IFERROR(__xludf.DUMMYFUNCTION("""COMPUTED_VALUE"""),FALSE)</f>
        <v>0</v>
      </c>
      <c r="E2163" s="23" t="str">
        <f>IFERROR(__xludf.DUMMYFUNCTION("""COMPUTED_VALUE"""),"Medium")</f>
        <v>Medium</v>
      </c>
      <c r="F2163" s="23">
        <f>IFERROR(__xludf.DUMMYFUNCTION("""COMPUTED_VALUE"""),129.0)</f>
        <v>129</v>
      </c>
      <c r="G2163" s="23">
        <f>IFERROR(__xludf.DUMMYFUNCTION("""COMPUTED_VALUE"""),402.0)</f>
        <v>402</v>
      </c>
      <c r="H2163" s="23" t="str">
        <f>IFERROR(__xludf.DUMMYFUNCTION("""COMPUTED_VALUE"""),"Algorithms")</f>
        <v>Algorithms</v>
      </c>
      <c r="I2163" s="23">
        <f>IFERROR(__xludf.DUMMYFUNCTION("""COMPUTED_VALUE"""),0.338)</f>
        <v>0.338</v>
      </c>
      <c r="J2163" s="23">
        <f>IFERROR(__xludf.DUMMYFUNCTION("""COMPUTED_VALUE"""),2162.0)</f>
        <v>2162</v>
      </c>
      <c r="K2163" s="23" t="b">
        <f>IFERROR(__xludf.DUMMYFUNCTION("""COMPUTED_VALUE"""),FALSE)</f>
        <v>0</v>
      </c>
      <c r="L2163" s="23" t="str">
        <f>IFERROR(__xludf.DUMMYFUNCTION("""COMPUTED_VALUE"""),"Math;Enumeration;")</f>
        <v>Math;Enumeration;</v>
      </c>
      <c r="M2163" s="23" t="b">
        <f>IFERROR(__xludf.DUMMYFUNCTION("""COMPUTED_VALUE"""),FALSE)</f>
        <v>0</v>
      </c>
      <c r="N2163" s="23" t="b">
        <f>IFERROR(__xludf.DUMMYFUNCTION("""COMPUTED_VALUE"""),FALSE)</f>
        <v>0</v>
      </c>
      <c r="O2163" s="23">
        <f>IFERROR(__xludf.DUMMYFUNCTION("""COMPUTED_VALUE"""),33.8209393346379)</f>
        <v>33.82093933</v>
      </c>
      <c r="P2163" s="23">
        <f>IFERROR(__xludf.DUMMYFUNCTION("""COMPUTED_VALUE"""),6913.0)</f>
        <v>6913</v>
      </c>
      <c r="Q2163" s="23">
        <f>IFERROR(__xludf.DUMMYFUNCTION("""COMPUTED_VALUE"""),20440.0)</f>
        <v>20440</v>
      </c>
    </row>
    <row r="2164">
      <c r="A2164" s="23">
        <f>IFERROR(__xludf.DUMMYFUNCTION("""COMPUTED_VALUE"""),2267.0)</f>
        <v>2267</v>
      </c>
      <c r="B2164" s="23" t="str">
        <f>IFERROR(__xludf.DUMMYFUNCTION("""COMPUTED_VALUE"""),"Minimum Difference in Sums After Removal of Elements")</f>
        <v>Minimum Difference in Sums After Removal of Elements</v>
      </c>
      <c r="C2164" s="23" t="str">
        <f>IFERROR(__xludf.DUMMYFUNCTION("""COMPUTED_VALUE"""),"minimum-difference-in-sums-after-removal-of-elements")</f>
        <v>minimum-difference-in-sums-after-removal-of-elements</v>
      </c>
      <c r="D2164" s="23" t="b">
        <f>IFERROR(__xludf.DUMMYFUNCTION("""COMPUTED_VALUE"""),FALSE)</f>
        <v>0</v>
      </c>
      <c r="E2164" s="23" t="str">
        <f>IFERROR(__xludf.DUMMYFUNCTION("""COMPUTED_VALUE"""),"Hard")</f>
        <v>Hard</v>
      </c>
      <c r="F2164" s="23">
        <f>IFERROR(__xludf.DUMMYFUNCTION("""COMPUTED_VALUE"""),331.0)</f>
        <v>331</v>
      </c>
      <c r="G2164" s="23">
        <f>IFERROR(__xludf.DUMMYFUNCTION("""COMPUTED_VALUE"""),5.0)</f>
        <v>5</v>
      </c>
      <c r="H2164" s="23" t="str">
        <f>IFERROR(__xludf.DUMMYFUNCTION("""COMPUTED_VALUE"""),"Algorithms")</f>
        <v>Algorithms</v>
      </c>
      <c r="I2164" s="23">
        <f>IFERROR(__xludf.DUMMYFUNCTION("""COMPUTED_VALUE"""),0.456)</f>
        <v>0.456</v>
      </c>
      <c r="J2164" s="23">
        <f>IFERROR(__xludf.DUMMYFUNCTION("""COMPUTED_VALUE"""),2163.0)</f>
        <v>2163</v>
      </c>
      <c r="K2164" s="23" t="b">
        <f>IFERROR(__xludf.DUMMYFUNCTION("""COMPUTED_VALUE"""),FALSE)</f>
        <v>0</v>
      </c>
      <c r="L2164" s="23" t="str">
        <f>IFERROR(__xludf.DUMMYFUNCTION("""COMPUTED_VALUE"""),"Array;Dynamic Programming;Heap (Priority Queue);")</f>
        <v>Array;Dynamic Programming;Heap (Priority Queue);</v>
      </c>
      <c r="M2164" s="23" t="b">
        <f>IFERROR(__xludf.DUMMYFUNCTION("""COMPUTED_VALUE"""),FALSE)</f>
        <v>0</v>
      </c>
      <c r="N2164" s="23" t="b">
        <f>IFERROR(__xludf.DUMMYFUNCTION("""COMPUTED_VALUE"""),FALSE)</f>
        <v>0</v>
      </c>
      <c r="O2164" s="23">
        <f>IFERROR(__xludf.DUMMYFUNCTION("""COMPUTED_VALUE"""),45.5780318577152)</f>
        <v>45.57803186</v>
      </c>
      <c r="P2164" s="23">
        <f>IFERROR(__xludf.DUMMYFUNCTION("""COMPUTED_VALUE"""),4664.0)</f>
        <v>4664</v>
      </c>
      <c r="Q2164" s="23">
        <f>IFERROR(__xludf.DUMMYFUNCTION("""COMPUTED_VALUE"""),10233.0)</f>
        <v>10233</v>
      </c>
    </row>
    <row r="2165">
      <c r="A2165" s="23">
        <f>IFERROR(__xludf.DUMMYFUNCTION("""COMPUTED_VALUE"""),2283.0)</f>
        <v>2283</v>
      </c>
      <c r="B2165" s="23" t="str">
        <f>IFERROR(__xludf.DUMMYFUNCTION("""COMPUTED_VALUE"""),"Sort Even and Odd Indices Independently")</f>
        <v>Sort Even and Odd Indices Independently</v>
      </c>
      <c r="C2165" s="23" t="str">
        <f>IFERROR(__xludf.DUMMYFUNCTION("""COMPUTED_VALUE"""),"sort-even-and-odd-indices-independently")</f>
        <v>sort-even-and-odd-indices-independently</v>
      </c>
      <c r="D2165" s="23" t="b">
        <f>IFERROR(__xludf.DUMMYFUNCTION("""COMPUTED_VALUE"""),FALSE)</f>
        <v>0</v>
      </c>
      <c r="E2165" s="23" t="str">
        <f>IFERROR(__xludf.DUMMYFUNCTION("""COMPUTED_VALUE"""),"Easy")</f>
        <v>Easy</v>
      </c>
      <c r="F2165" s="23">
        <f>IFERROR(__xludf.DUMMYFUNCTION("""COMPUTED_VALUE"""),263.0)</f>
        <v>263</v>
      </c>
      <c r="G2165" s="23">
        <f>IFERROR(__xludf.DUMMYFUNCTION("""COMPUTED_VALUE"""),14.0)</f>
        <v>14</v>
      </c>
      <c r="H2165" s="23" t="str">
        <f>IFERROR(__xludf.DUMMYFUNCTION("""COMPUTED_VALUE"""),"Algorithms")</f>
        <v>Algorithms</v>
      </c>
      <c r="I2165" s="23">
        <f>IFERROR(__xludf.DUMMYFUNCTION("""COMPUTED_VALUE"""),0.674)</f>
        <v>0.674</v>
      </c>
      <c r="J2165" s="23">
        <f>IFERROR(__xludf.DUMMYFUNCTION("""COMPUTED_VALUE"""),2164.0)</f>
        <v>2164</v>
      </c>
      <c r="K2165" s="23" t="b">
        <f>IFERROR(__xludf.DUMMYFUNCTION("""COMPUTED_VALUE"""),FALSE)</f>
        <v>0</v>
      </c>
      <c r="L2165" s="23" t="str">
        <f>IFERROR(__xludf.DUMMYFUNCTION("""COMPUTED_VALUE"""),"Array;Sorting;")</f>
        <v>Array;Sorting;</v>
      </c>
      <c r="M2165" s="23" t="b">
        <f>IFERROR(__xludf.DUMMYFUNCTION("""COMPUTED_VALUE"""),FALSE)</f>
        <v>0</v>
      </c>
      <c r="N2165" s="23" t="b">
        <f>IFERROR(__xludf.DUMMYFUNCTION("""COMPUTED_VALUE"""),FALSE)</f>
        <v>0</v>
      </c>
      <c r="O2165" s="23">
        <f>IFERROR(__xludf.DUMMYFUNCTION("""COMPUTED_VALUE"""),67.4428656329353)</f>
        <v>67.44286563</v>
      </c>
      <c r="P2165" s="23">
        <f>IFERROR(__xludf.DUMMYFUNCTION("""COMPUTED_VALUE"""),24966.0)</f>
        <v>24966</v>
      </c>
      <c r="Q2165" s="23">
        <f>IFERROR(__xludf.DUMMYFUNCTION("""COMPUTED_VALUE"""),37018.0)</f>
        <v>37018</v>
      </c>
    </row>
    <row r="2166">
      <c r="A2166" s="23">
        <f>IFERROR(__xludf.DUMMYFUNCTION("""COMPUTED_VALUE"""),2284.0)</f>
        <v>2284</v>
      </c>
      <c r="B2166" s="23" t="str">
        <f>IFERROR(__xludf.DUMMYFUNCTION("""COMPUTED_VALUE"""),"Smallest Value of the Rearranged Number")</f>
        <v>Smallest Value of the Rearranged Number</v>
      </c>
      <c r="C2166" s="23" t="str">
        <f>IFERROR(__xludf.DUMMYFUNCTION("""COMPUTED_VALUE"""),"smallest-value-of-the-rearranged-number")</f>
        <v>smallest-value-of-the-rearranged-number</v>
      </c>
      <c r="D2166" s="23" t="b">
        <f>IFERROR(__xludf.DUMMYFUNCTION("""COMPUTED_VALUE"""),FALSE)</f>
        <v>0</v>
      </c>
      <c r="E2166" s="23" t="str">
        <f>IFERROR(__xludf.DUMMYFUNCTION("""COMPUTED_VALUE"""),"Medium")</f>
        <v>Medium</v>
      </c>
      <c r="F2166" s="23">
        <f>IFERROR(__xludf.DUMMYFUNCTION("""COMPUTED_VALUE"""),295.0)</f>
        <v>295</v>
      </c>
      <c r="G2166" s="23">
        <f>IFERROR(__xludf.DUMMYFUNCTION("""COMPUTED_VALUE"""),9.0)</f>
        <v>9</v>
      </c>
      <c r="H2166" s="23" t="str">
        <f>IFERROR(__xludf.DUMMYFUNCTION("""COMPUTED_VALUE"""),"Algorithms")</f>
        <v>Algorithms</v>
      </c>
      <c r="I2166" s="23">
        <f>IFERROR(__xludf.DUMMYFUNCTION("""COMPUTED_VALUE"""),0.507)</f>
        <v>0.507</v>
      </c>
      <c r="J2166" s="23">
        <f>IFERROR(__xludf.DUMMYFUNCTION("""COMPUTED_VALUE"""),2165.0)</f>
        <v>2165</v>
      </c>
      <c r="K2166" s="23" t="b">
        <f>IFERROR(__xludf.DUMMYFUNCTION("""COMPUTED_VALUE"""),FALSE)</f>
        <v>0</v>
      </c>
      <c r="L2166" s="23" t="str">
        <f>IFERROR(__xludf.DUMMYFUNCTION("""COMPUTED_VALUE"""),"Math;Sorting;")</f>
        <v>Math;Sorting;</v>
      </c>
      <c r="M2166" s="23" t="b">
        <f>IFERROR(__xludf.DUMMYFUNCTION("""COMPUTED_VALUE"""),FALSE)</f>
        <v>0</v>
      </c>
      <c r="N2166" s="23" t="b">
        <f>IFERROR(__xludf.DUMMYFUNCTION("""COMPUTED_VALUE"""),FALSE)</f>
        <v>0</v>
      </c>
      <c r="O2166" s="23">
        <f>IFERROR(__xludf.DUMMYFUNCTION("""COMPUTED_VALUE"""),50.6891963142433)</f>
        <v>50.68919631</v>
      </c>
      <c r="P2166" s="23">
        <f>IFERROR(__xludf.DUMMYFUNCTION("""COMPUTED_VALUE"""),20189.0)</f>
        <v>20189</v>
      </c>
      <c r="Q2166" s="23">
        <f>IFERROR(__xludf.DUMMYFUNCTION("""COMPUTED_VALUE"""),39829.0)</f>
        <v>39829</v>
      </c>
    </row>
    <row r="2167">
      <c r="A2167" s="23">
        <f>IFERROR(__xludf.DUMMYFUNCTION("""COMPUTED_VALUE"""),2285.0)</f>
        <v>2285</v>
      </c>
      <c r="B2167" s="23" t="str">
        <f>IFERROR(__xludf.DUMMYFUNCTION("""COMPUTED_VALUE"""),"Design Bitset")</f>
        <v>Design Bitset</v>
      </c>
      <c r="C2167" s="23" t="str">
        <f>IFERROR(__xludf.DUMMYFUNCTION("""COMPUTED_VALUE"""),"design-bitset")</f>
        <v>design-bitset</v>
      </c>
      <c r="D2167" s="23" t="b">
        <f>IFERROR(__xludf.DUMMYFUNCTION("""COMPUTED_VALUE"""),FALSE)</f>
        <v>0</v>
      </c>
      <c r="E2167" s="23" t="str">
        <f>IFERROR(__xludf.DUMMYFUNCTION("""COMPUTED_VALUE"""),"Medium")</f>
        <v>Medium</v>
      </c>
      <c r="F2167" s="23">
        <f>IFERROR(__xludf.DUMMYFUNCTION("""COMPUTED_VALUE"""),368.0)</f>
        <v>368</v>
      </c>
      <c r="G2167" s="23">
        <f>IFERROR(__xludf.DUMMYFUNCTION("""COMPUTED_VALUE"""),35.0)</f>
        <v>35</v>
      </c>
      <c r="H2167" s="23" t="str">
        <f>IFERROR(__xludf.DUMMYFUNCTION("""COMPUTED_VALUE"""),"Algorithms")</f>
        <v>Algorithms</v>
      </c>
      <c r="I2167" s="23">
        <f>IFERROR(__xludf.DUMMYFUNCTION("""COMPUTED_VALUE"""),0.297)</f>
        <v>0.297</v>
      </c>
      <c r="J2167" s="23">
        <f>IFERROR(__xludf.DUMMYFUNCTION("""COMPUTED_VALUE"""),2166.0)</f>
        <v>2166</v>
      </c>
      <c r="K2167" s="23" t="b">
        <f>IFERROR(__xludf.DUMMYFUNCTION("""COMPUTED_VALUE"""),FALSE)</f>
        <v>0</v>
      </c>
      <c r="L2167" s="23" t="str">
        <f>IFERROR(__xludf.DUMMYFUNCTION("""COMPUTED_VALUE"""),"Array;Hash Table;Design;")</f>
        <v>Array;Hash Table;Design;</v>
      </c>
      <c r="M2167" s="23" t="b">
        <f>IFERROR(__xludf.DUMMYFUNCTION("""COMPUTED_VALUE"""),FALSE)</f>
        <v>0</v>
      </c>
      <c r="N2167" s="23" t="b">
        <f>IFERROR(__xludf.DUMMYFUNCTION("""COMPUTED_VALUE"""),FALSE)</f>
        <v>0</v>
      </c>
      <c r="O2167" s="23">
        <f>IFERROR(__xludf.DUMMYFUNCTION("""COMPUTED_VALUE"""),29.6909324227331)</f>
        <v>29.69093242</v>
      </c>
      <c r="P2167" s="23">
        <f>IFERROR(__xludf.DUMMYFUNCTION("""COMPUTED_VALUE"""),13651.0)</f>
        <v>13651</v>
      </c>
      <c r="Q2167" s="23">
        <f>IFERROR(__xludf.DUMMYFUNCTION("""COMPUTED_VALUE"""),45977.0)</f>
        <v>45977</v>
      </c>
    </row>
    <row r="2168">
      <c r="A2168" s="23">
        <f>IFERROR(__xludf.DUMMYFUNCTION("""COMPUTED_VALUE"""),2286.0)</f>
        <v>2286</v>
      </c>
      <c r="B2168" s="23" t="str">
        <f>IFERROR(__xludf.DUMMYFUNCTION("""COMPUTED_VALUE"""),"Minimum Time to Remove All Cars Containing Illegal Goods")</f>
        <v>Minimum Time to Remove All Cars Containing Illegal Goods</v>
      </c>
      <c r="C2168" s="23" t="str">
        <f>IFERROR(__xludf.DUMMYFUNCTION("""COMPUTED_VALUE"""),"minimum-time-to-remove-all-cars-containing-illegal-goods")</f>
        <v>minimum-time-to-remove-all-cars-containing-illegal-goods</v>
      </c>
      <c r="D2168" s="23" t="b">
        <f>IFERROR(__xludf.DUMMYFUNCTION("""COMPUTED_VALUE"""),FALSE)</f>
        <v>0</v>
      </c>
      <c r="E2168" s="23" t="str">
        <f>IFERROR(__xludf.DUMMYFUNCTION("""COMPUTED_VALUE"""),"Hard")</f>
        <v>Hard</v>
      </c>
      <c r="F2168" s="23">
        <f>IFERROR(__xludf.DUMMYFUNCTION("""COMPUTED_VALUE"""),472.0)</f>
        <v>472</v>
      </c>
      <c r="G2168" s="23">
        <f>IFERROR(__xludf.DUMMYFUNCTION("""COMPUTED_VALUE"""),8.0)</f>
        <v>8</v>
      </c>
      <c r="H2168" s="23" t="str">
        <f>IFERROR(__xludf.DUMMYFUNCTION("""COMPUTED_VALUE"""),"Algorithms")</f>
        <v>Algorithms</v>
      </c>
      <c r="I2168" s="23">
        <f>IFERROR(__xludf.DUMMYFUNCTION("""COMPUTED_VALUE"""),0.39)</f>
        <v>0.39</v>
      </c>
      <c r="J2168" s="23">
        <f>IFERROR(__xludf.DUMMYFUNCTION("""COMPUTED_VALUE"""),2167.0)</f>
        <v>2167</v>
      </c>
      <c r="K2168" s="23" t="b">
        <f>IFERROR(__xludf.DUMMYFUNCTION("""COMPUTED_VALUE"""),FALSE)</f>
        <v>0</v>
      </c>
      <c r="L2168" s="23" t="str">
        <f>IFERROR(__xludf.DUMMYFUNCTION("""COMPUTED_VALUE"""),"String;Dynamic Programming;")</f>
        <v>String;Dynamic Programming;</v>
      </c>
      <c r="M2168" s="23" t="b">
        <f>IFERROR(__xludf.DUMMYFUNCTION("""COMPUTED_VALUE"""),FALSE)</f>
        <v>0</v>
      </c>
      <c r="N2168" s="23" t="b">
        <f>IFERROR(__xludf.DUMMYFUNCTION("""COMPUTED_VALUE"""),FALSE)</f>
        <v>0</v>
      </c>
      <c r="O2168" s="23">
        <f>IFERROR(__xludf.DUMMYFUNCTION("""COMPUTED_VALUE"""),39.0201355661881)</f>
        <v>39.02013557</v>
      </c>
      <c r="P2168" s="23">
        <f>IFERROR(__xludf.DUMMYFUNCTION("""COMPUTED_VALUE"""),7829.0)</f>
        <v>7829</v>
      </c>
      <c r="Q2168" s="23">
        <f>IFERROR(__xludf.DUMMYFUNCTION("""COMPUTED_VALUE"""),20064.0)</f>
        <v>20064</v>
      </c>
    </row>
    <row r="2169">
      <c r="A2169" s="23">
        <f>IFERROR(__xludf.DUMMYFUNCTION("""COMPUTED_VALUE"""),2303.0)</f>
        <v>2303</v>
      </c>
      <c r="B2169" s="23" t="str">
        <f>IFERROR(__xludf.DUMMYFUNCTION("""COMPUTED_VALUE"""),"Unique Substrings With Equal Digit Frequency")</f>
        <v>Unique Substrings With Equal Digit Frequency</v>
      </c>
      <c r="C2169" s="23" t="str">
        <f>IFERROR(__xludf.DUMMYFUNCTION("""COMPUTED_VALUE"""),"unique-substrings-with-equal-digit-frequency")</f>
        <v>unique-substrings-with-equal-digit-frequency</v>
      </c>
      <c r="D2169" s="23" t="b">
        <f>IFERROR(__xludf.DUMMYFUNCTION("""COMPUTED_VALUE"""),TRUE)</f>
        <v>1</v>
      </c>
      <c r="E2169" s="23" t="str">
        <f>IFERROR(__xludf.DUMMYFUNCTION("""COMPUTED_VALUE"""),"Medium")</f>
        <v>Medium</v>
      </c>
      <c r="F2169" s="23">
        <f>IFERROR(__xludf.DUMMYFUNCTION("""COMPUTED_VALUE"""),30.0)</f>
        <v>30</v>
      </c>
      <c r="G2169" s="23">
        <f>IFERROR(__xludf.DUMMYFUNCTION("""COMPUTED_VALUE"""),3.0)</f>
        <v>3</v>
      </c>
      <c r="H2169" s="23" t="str">
        <f>IFERROR(__xludf.DUMMYFUNCTION("""COMPUTED_VALUE"""),"Algorithms")</f>
        <v>Algorithms</v>
      </c>
      <c r="I2169" s="23">
        <f>IFERROR(__xludf.DUMMYFUNCTION("""COMPUTED_VALUE"""),0.606)</f>
        <v>0.606</v>
      </c>
      <c r="J2169" s="23">
        <f>IFERROR(__xludf.DUMMYFUNCTION("""COMPUTED_VALUE"""),2168.0)</f>
        <v>2168</v>
      </c>
      <c r="K2169" s="23" t="b">
        <f>IFERROR(__xludf.DUMMYFUNCTION("""COMPUTED_VALUE"""),TRUE)</f>
        <v>1</v>
      </c>
      <c r="L2169" s="23" t="str">
        <f>IFERROR(__xludf.DUMMYFUNCTION("""COMPUTED_VALUE"""),"Hash Table;String;Rolling Hash;Counting;Hash Function;")</f>
        <v>Hash Table;String;Rolling Hash;Counting;Hash Function;</v>
      </c>
      <c r="M2169" s="23" t="b">
        <f>IFERROR(__xludf.DUMMYFUNCTION("""COMPUTED_VALUE"""),FALSE)</f>
        <v>0</v>
      </c>
      <c r="N2169" s="23" t="b">
        <f>IFERROR(__xludf.DUMMYFUNCTION("""COMPUTED_VALUE"""),FALSE)</f>
        <v>0</v>
      </c>
      <c r="O2169" s="23">
        <f>IFERROR(__xludf.DUMMYFUNCTION("""COMPUTED_VALUE"""),60.5834464043419)</f>
        <v>60.5834464</v>
      </c>
      <c r="P2169" s="23">
        <f>IFERROR(__xludf.DUMMYFUNCTION("""COMPUTED_VALUE"""),893.0)</f>
        <v>893</v>
      </c>
      <c r="Q2169" s="23">
        <f>IFERROR(__xludf.DUMMYFUNCTION("""COMPUTED_VALUE"""),1474.0)</f>
        <v>1474</v>
      </c>
    </row>
    <row r="2170">
      <c r="A2170" s="23">
        <f>IFERROR(__xludf.DUMMYFUNCTION("""COMPUTED_VALUE"""),2288.0)</f>
        <v>2288</v>
      </c>
      <c r="B2170" s="23" t="str">
        <f>IFERROR(__xludf.DUMMYFUNCTION("""COMPUTED_VALUE"""),"Count Operations to Obtain Zero")</f>
        <v>Count Operations to Obtain Zero</v>
      </c>
      <c r="C2170" s="23" t="str">
        <f>IFERROR(__xludf.DUMMYFUNCTION("""COMPUTED_VALUE"""),"count-operations-to-obtain-zero")</f>
        <v>count-operations-to-obtain-zero</v>
      </c>
      <c r="D2170" s="23" t="b">
        <f>IFERROR(__xludf.DUMMYFUNCTION("""COMPUTED_VALUE"""),FALSE)</f>
        <v>0</v>
      </c>
      <c r="E2170" s="23" t="str">
        <f>IFERROR(__xludf.DUMMYFUNCTION("""COMPUTED_VALUE"""),"Easy")</f>
        <v>Easy</v>
      </c>
      <c r="F2170" s="23">
        <f>IFERROR(__xludf.DUMMYFUNCTION("""COMPUTED_VALUE"""),208.0)</f>
        <v>208</v>
      </c>
      <c r="G2170" s="23">
        <f>IFERROR(__xludf.DUMMYFUNCTION("""COMPUTED_VALUE"""),6.0)</f>
        <v>6</v>
      </c>
      <c r="H2170" s="23" t="str">
        <f>IFERROR(__xludf.DUMMYFUNCTION("""COMPUTED_VALUE"""),"Algorithms")</f>
        <v>Algorithms</v>
      </c>
      <c r="I2170" s="23">
        <f>IFERROR(__xludf.DUMMYFUNCTION("""COMPUTED_VALUE"""),0.754)</f>
        <v>0.754</v>
      </c>
      <c r="J2170" s="23">
        <f>IFERROR(__xludf.DUMMYFUNCTION("""COMPUTED_VALUE"""),2169.0)</f>
        <v>2169</v>
      </c>
      <c r="K2170" s="23" t="b">
        <f>IFERROR(__xludf.DUMMYFUNCTION("""COMPUTED_VALUE"""),FALSE)</f>
        <v>0</v>
      </c>
      <c r="L2170" s="23" t="str">
        <f>IFERROR(__xludf.DUMMYFUNCTION("""COMPUTED_VALUE"""),"Math;Simulation;")</f>
        <v>Math;Simulation;</v>
      </c>
      <c r="M2170" s="23" t="b">
        <f>IFERROR(__xludf.DUMMYFUNCTION("""COMPUTED_VALUE"""),FALSE)</f>
        <v>0</v>
      </c>
      <c r="N2170" s="23" t="b">
        <f>IFERROR(__xludf.DUMMYFUNCTION("""COMPUTED_VALUE"""),FALSE)</f>
        <v>0</v>
      </c>
      <c r="O2170" s="23">
        <f>IFERROR(__xludf.DUMMYFUNCTION("""COMPUTED_VALUE"""),75.3555644837284)</f>
        <v>75.35556448</v>
      </c>
      <c r="P2170" s="23">
        <f>IFERROR(__xludf.DUMMYFUNCTION("""COMPUTED_VALUE"""),28134.0)</f>
        <v>28134</v>
      </c>
      <c r="Q2170" s="23">
        <f>IFERROR(__xludf.DUMMYFUNCTION("""COMPUTED_VALUE"""),37335.0)</f>
        <v>37335</v>
      </c>
    </row>
    <row r="2171">
      <c r="A2171" s="23">
        <f>IFERROR(__xludf.DUMMYFUNCTION("""COMPUTED_VALUE"""),2289.0)</f>
        <v>2289</v>
      </c>
      <c r="B2171" s="23" t="str">
        <f>IFERROR(__xludf.DUMMYFUNCTION("""COMPUTED_VALUE"""),"Minimum Operations to Make the Array Alternating")</f>
        <v>Minimum Operations to Make the Array Alternating</v>
      </c>
      <c r="C2171" s="23" t="str">
        <f>IFERROR(__xludf.DUMMYFUNCTION("""COMPUTED_VALUE"""),"minimum-operations-to-make-the-array-alternating")</f>
        <v>minimum-operations-to-make-the-array-alternating</v>
      </c>
      <c r="D2171" s="23" t="b">
        <f>IFERROR(__xludf.DUMMYFUNCTION("""COMPUTED_VALUE"""),FALSE)</f>
        <v>0</v>
      </c>
      <c r="E2171" s="23" t="str">
        <f>IFERROR(__xludf.DUMMYFUNCTION("""COMPUTED_VALUE"""),"Medium")</f>
        <v>Medium</v>
      </c>
      <c r="F2171" s="23">
        <f>IFERROR(__xludf.DUMMYFUNCTION("""COMPUTED_VALUE"""),352.0)</f>
        <v>352</v>
      </c>
      <c r="G2171" s="23">
        <f>IFERROR(__xludf.DUMMYFUNCTION("""COMPUTED_VALUE"""),258.0)</f>
        <v>258</v>
      </c>
      <c r="H2171" s="23" t="str">
        <f>IFERROR(__xludf.DUMMYFUNCTION("""COMPUTED_VALUE"""),"Algorithms")</f>
        <v>Algorithms</v>
      </c>
      <c r="I2171" s="23">
        <f>IFERROR(__xludf.DUMMYFUNCTION("""COMPUTED_VALUE"""),0.328)</f>
        <v>0.328</v>
      </c>
      <c r="J2171" s="23">
        <f>IFERROR(__xludf.DUMMYFUNCTION("""COMPUTED_VALUE"""),2170.0)</f>
        <v>2170</v>
      </c>
      <c r="K2171" s="23" t="b">
        <f>IFERROR(__xludf.DUMMYFUNCTION("""COMPUTED_VALUE"""),FALSE)</f>
        <v>0</v>
      </c>
      <c r="L2171" s="23" t="str">
        <f>IFERROR(__xludf.DUMMYFUNCTION("""COMPUTED_VALUE"""),"Array;Hash Table;Greedy;Counting;")</f>
        <v>Array;Hash Table;Greedy;Counting;</v>
      </c>
      <c r="M2171" s="23" t="b">
        <f>IFERROR(__xludf.DUMMYFUNCTION("""COMPUTED_VALUE"""),FALSE)</f>
        <v>0</v>
      </c>
      <c r="N2171" s="23" t="b">
        <f>IFERROR(__xludf.DUMMYFUNCTION("""COMPUTED_VALUE"""),FALSE)</f>
        <v>0</v>
      </c>
      <c r="O2171" s="23">
        <f>IFERROR(__xludf.DUMMYFUNCTION("""COMPUTED_VALUE"""),32.8305424176573)</f>
        <v>32.83054242</v>
      </c>
      <c r="P2171" s="23">
        <f>IFERROR(__xludf.DUMMYFUNCTION("""COMPUTED_VALUE"""),15410.0)</f>
        <v>15410</v>
      </c>
      <c r="Q2171" s="23">
        <f>IFERROR(__xludf.DUMMYFUNCTION("""COMPUTED_VALUE"""),46938.0)</f>
        <v>46938</v>
      </c>
    </row>
    <row r="2172">
      <c r="A2172" s="23">
        <f>IFERROR(__xludf.DUMMYFUNCTION("""COMPUTED_VALUE"""),2290.0)</f>
        <v>2290</v>
      </c>
      <c r="B2172" s="23" t="str">
        <f>IFERROR(__xludf.DUMMYFUNCTION("""COMPUTED_VALUE"""),"Removing Minimum Number of Magic Beans")</f>
        <v>Removing Minimum Number of Magic Beans</v>
      </c>
      <c r="C2172" s="23" t="str">
        <f>IFERROR(__xludf.DUMMYFUNCTION("""COMPUTED_VALUE"""),"removing-minimum-number-of-magic-beans")</f>
        <v>removing-minimum-number-of-magic-beans</v>
      </c>
      <c r="D2172" s="23" t="b">
        <f>IFERROR(__xludf.DUMMYFUNCTION("""COMPUTED_VALUE"""),FALSE)</f>
        <v>0</v>
      </c>
      <c r="E2172" s="23" t="str">
        <f>IFERROR(__xludf.DUMMYFUNCTION("""COMPUTED_VALUE"""),"Medium")</f>
        <v>Medium</v>
      </c>
      <c r="F2172" s="23">
        <f>IFERROR(__xludf.DUMMYFUNCTION("""COMPUTED_VALUE"""),465.0)</f>
        <v>465</v>
      </c>
      <c r="G2172" s="23">
        <f>IFERROR(__xludf.DUMMYFUNCTION("""COMPUTED_VALUE"""),27.0)</f>
        <v>27</v>
      </c>
      <c r="H2172" s="23" t="str">
        <f>IFERROR(__xludf.DUMMYFUNCTION("""COMPUTED_VALUE"""),"Algorithms")</f>
        <v>Algorithms</v>
      </c>
      <c r="I2172" s="23">
        <f>IFERROR(__xludf.DUMMYFUNCTION("""COMPUTED_VALUE"""),0.411)</f>
        <v>0.411</v>
      </c>
      <c r="J2172" s="23">
        <f>IFERROR(__xludf.DUMMYFUNCTION("""COMPUTED_VALUE"""),2171.0)</f>
        <v>2171</v>
      </c>
      <c r="K2172" s="23" t="b">
        <f>IFERROR(__xludf.DUMMYFUNCTION("""COMPUTED_VALUE"""),FALSE)</f>
        <v>0</v>
      </c>
      <c r="L2172" s="23" t="str">
        <f>IFERROR(__xludf.DUMMYFUNCTION("""COMPUTED_VALUE"""),"Array;Sorting;Prefix Sum;")</f>
        <v>Array;Sorting;Prefix Sum;</v>
      </c>
      <c r="M2172" s="23" t="b">
        <f>IFERROR(__xludf.DUMMYFUNCTION("""COMPUTED_VALUE"""),FALSE)</f>
        <v>0</v>
      </c>
      <c r="N2172" s="23" t="b">
        <f>IFERROR(__xludf.DUMMYFUNCTION("""COMPUTED_VALUE"""),FALSE)</f>
        <v>0</v>
      </c>
      <c r="O2172" s="23">
        <f>IFERROR(__xludf.DUMMYFUNCTION("""COMPUTED_VALUE"""),41.0620429616087)</f>
        <v>41.06204296</v>
      </c>
      <c r="P2172" s="23">
        <f>IFERROR(__xludf.DUMMYFUNCTION("""COMPUTED_VALUE"""),14375.0)</f>
        <v>14375</v>
      </c>
      <c r="Q2172" s="23">
        <f>IFERROR(__xludf.DUMMYFUNCTION("""COMPUTED_VALUE"""),35008.0)</f>
        <v>35008</v>
      </c>
    </row>
    <row r="2173">
      <c r="A2173" s="23">
        <f>IFERROR(__xludf.DUMMYFUNCTION("""COMPUTED_VALUE"""),2291.0)</f>
        <v>2291</v>
      </c>
      <c r="B2173" s="23" t="str">
        <f>IFERROR(__xludf.DUMMYFUNCTION("""COMPUTED_VALUE"""),"Maximum AND Sum of Array")</f>
        <v>Maximum AND Sum of Array</v>
      </c>
      <c r="C2173" s="23" t="str">
        <f>IFERROR(__xludf.DUMMYFUNCTION("""COMPUTED_VALUE"""),"maximum-and-sum-of-array")</f>
        <v>maximum-and-sum-of-array</v>
      </c>
      <c r="D2173" s="23" t="b">
        <f>IFERROR(__xludf.DUMMYFUNCTION("""COMPUTED_VALUE"""),FALSE)</f>
        <v>0</v>
      </c>
      <c r="E2173" s="23" t="str">
        <f>IFERROR(__xludf.DUMMYFUNCTION("""COMPUTED_VALUE"""),"Hard")</f>
        <v>Hard</v>
      </c>
      <c r="F2173" s="23">
        <f>IFERROR(__xludf.DUMMYFUNCTION("""COMPUTED_VALUE"""),223.0)</f>
        <v>223</v>
      </c>
      <c r="G2173" s="23">
        <f>IFERROR(__xludf.DUMMYFUNCTION("""COMPUTED_VALUE"""),11.0)</f>
        <v>11</v>
      </c>
      <c r="H2173" s="23" t="str">
        <f>IFERROR(__xludf.DUMMYFUNCTION("""COMPUTED_VALUE"""),"Algorithms")</f>
        <v>Algorithms</v>
      </c>
      <c r="I2173" s="23">
        <f>IFERROR(__xludf.DUMMYFUNCTION("""COMPUTED_VALUE"""),0.432)</f>
        <v>0.432</v>
      </c>
      <c r="J2173" s="23">
        <f>IFERROR(__xludf.DUMMYFUNCTION("""COMPUTED_VALUE"""),2172.0)</f>
        <v>2172</v>
      </c>
      <c r="K2173" s="23" t="b">
        <f>IFERROR(__xludf.DUMMYFUNCTION("""COMPUTED_VALUE"""),FALSE)</f>
        <v>0</v>
      </c>
      <c r="L2173" s="23" t="str">
        <f>IFERROR(__xludf.DUMMYFUNCTION("""COMPUTED_VALUE"""),"Array;Dynamic Programming;Bit Manipulation;Bitmask;")</f>
        <v>Array;Dynamic Programming;Bit Manipulation;Bitmask;</v>
      </c>
      <c r="M2173" s="23" t="b">
        <f>IFERROR(__xludf.DUMMYFUNCTION("""COMPUTED_VALUE"""),FALSE)</f>
        <v>0</v>
      </c>
      <c r="N2173" s="23" t="b">
        <f>IFERROR(__xludf.DUMMYFUNCTION("""COMPUTED_VALUE"""),FALSE)</f>
        <v>0</v>
      </c>
      <c r="O2173" s="23">
        <f>IFERROR(__xludf.DUMMYFUNCTION("""COMPUTED_VALUE"""),43.2137919817841)</f>
        <v>43.21379198</v>
      </c>
      <c r="P2173" s="23">
        <f>IFERROR(__xludf.DUMMYFUNCTION("""COMPUTED_VALUE"""),5314.0)</f>
        <v>5314</v>
      </c>
      <c r="Q2173" s="23">
        <f>IFERROR(__xludf.DUMMYFUNCTION("""COMPUTED_VALUE"""),12297.0)</f>
        <v>12297</v>
      </c>
    </row>
    <row r="2174">
      <c r="A2174" s="23">
        <f>IFERROR(__xludf.DUMMYFUNCTION("""COMPUTED_VALUE"""),2313.0)</f>
        <v>2313</v>
      </c>
      <c r="B2174" s="23" t="str">
        <f>IFERROR(__xludf.DUMMYFUNCTION("""COMPUTED_VALUE"""),"Longest Winning Streak")</f>
        <v>Longest Winning Streak</v>
      </c>
      <c r="C2174" s="23" t="str">
        <f>IFERROR(__xludf.DUMMYFUNCTION("""COMPUTED_VALUE"""),"longest-winning-streak")</f>
        <v>longest-winning-streak</v>
      </c>
      <c r="D2174" s="23" t="b">
        <f>IFERROR(__xludf.DUMMYFUNCTION("""COMPUTED_VALUE"""),TRUE)</f>
        <v>1</v>
      </c>
      <c r="E2174" s="23" t="str">
        <f>IFERROR(__xludf.DUMMYFUNCTION("""COMPUTED_VALUE"""),"Hard")</f>
        <v>Hard</v>
      </c>
      <c r="F2174" s="23">
        <f>IFERROR(__xludf.DUMMYFUNCTION("""COMPUTED_VALUE"""),25.0)</f>
        <v>25</v>
      </c>
      <c r="G2174" s="23">
        <f>IFERROR(__xludf.DUMMYFUNCTION("""COMPUTED_VALUE"""),1.0)</f>
        <v>1</v>
      </c>
      <c r="H2174" s="23" t="str">
        <f>IFERROR(__xludf.DUMMYFUNCTION("""COMPUTED_VALUE"""),"Database")</f>
        <v>Database</v>
      </c>
      <c r="I2174" s="23">
        <f>IFERROR(__xludf.DUMMYFUNCTION("""COMPUTED_VALUE"""),0.516)</f>
        <v>0.516</v>
      </c>
      <c r="J2174" s="23">
        <f>IFERROR(__xludf.DUMMYFUNCTION("""COMPUTED_VALUE"""),2173.0)</f>
        <v>2173</v>
      </c>
      <c r="K2174" s="23" t="b">
        <f>IFERROR(__xludf.DUMMYFUNCTION("""COMPUTED_VALUE"""),TRUE)</f>
        <v>1</v>
      </c>
      <c r="L2174" s="23" t="str">
        <f>IFERROR(__xludf.DUMMYFUNCTION("""COMPUTED_VALUE"""),"Database;")</f>
        <v>Database;</v>
      </c>
      <c r="M2174" s="23" t="b">
        <f>IFERROR(__xludf.DUMMYFUNCTION("""COMPUTED_VALUE"""),FALSE)</f>
        <v>0</v>
      </c>
      <c r="N2174" s="23" t="b">
        <f>IFERROR(__xludf.DUMMYFUNCTION("""COMPUTED_VALUE"""),FALSE)</f>
        <v>0</v>
      </c>
      <c r="O2174" s="23">
        <f>IFERROR(__xludf.DUMMYFUNCTION("""COMPUTED_VALUE"""),51.5669515669515)</f>
        <v>51.56695157</v>
      </c>
      <c r="P2174" s="23">
        <f>IFERROR(__xludf.DUMMYFUNCTION("""COMPUTED_VALUE"""),724.0)</f>
        <v>724</v>
      </c>
      <c r="Q2174" s="23">
        <f>IFERROR(__xludf.DUMMYFUNCTION("""COMPUTED_VALUE"""),1404.0)</f>
        <v>1404</v>
      </c>
    </row>
    <row r="2175">
      <c r="A2175" s="23">
        <f>IFERROR(__xludf.DUMMYFUNCTION("""COMPUTED_VALUE"""),2314.0)</f>
        <v>2314</v>
      </c>
      <c r="B2175" s="23" t="str">
        <f>IFERROR(__xludf.DUMMYFUNCTION("""COMPUTED_VALUE"""),"Remove All Ones With Row and Column Flips II")</f>
        <v>Remove All Ones With Row and Column Flips II</v>
      </c>
      <c r="C2175" s="23" t="str">
        <f>IFERROR(__xludf.DUMMYFUNCTION("""COMPUTED_VALUE"""),"remove-all-ones-with-row-and-column-flips-ii")</f>
        <v>remove-all-ones-with-row-and-column-flips-ii</v>
      </c>
      <c r="D2175" s="23" t="b">
        <f>IFERROR(__xludf.DUMMYFUNCTION("""COMPUTED_VALUE"""),TRUE)</f>
        <v>1</v>
      </c>
      <c r="E2175" s="23" t="str">
        <f>IFERROR(__xludf.DUMMYFUNCTION("""COMPUTED_VALUE"""),"Medium")</f>
        <v>Medium</v>
      </c>
      <c r="F2175" s="23">
        <f>IFERROR(__xludf.DUMMYFUNCTION("""COMPUTED_VALUE"""),36.0)</f>
        <v>36</v>
      </c>
      <c r="G2175" s="23">
        <f>IFERROR(__xludf.DUMMYFUNCTION("""COMPUTED_VALUE"""),2.0)</f>
        <v>2</v>
      </c>
      <c r="H2175" s="23" t="str">
        <f>IFERROR(__xludf.DUMMYFUNCTION("""COMPUTED_VALUE"""),"Algorithms")</f>
        <v>Algorithms</v>
      </c>
      <c r="I2175" s="23">
        <f>IFERROR(__xludf.DUMMYFUNCTION("""COMPUTED_VALUE"""),0.696)</f>
        <v>0.696</v>
      </c>
      <c r="J2175" s="23">
        <f>IFERROR(__xludf.DUMMYFUNCTION("""COMPUTED_VALUE"""),2174.0)</f>
        <v>2174</v>
      </c>
      <c r="K2175" s="23" t="b">
        <f>IFERROR(__xludf.DUMMYFUNCTION("""COMPUTED_VALUE"""),TRUE)</f>
        <v>1</v>
      </c>
      <c r="L2175" s="23" t="str">
        <f>IFERROR(__xludf.DUMMYFUNCTION("""COMPUTED_VALUE"""),"Array;Bit Manipulation;Breadth-First Search;Matrix;")</f>
        <v>Array;Bit Manipulation;Breadth-First Search;Matrix;</v>
      </c>
      <c r="M2175" s="23" t="b">
        <f>IFERROR(__xludf.DUMMYFUNCTION("""COMPUTED_VALUE"""),FALSE)</f>
        <v>0</v>
      </c>
      <c r="N2175" s="23" t="b">
        <f>IFERROR(__xludf.DUMMYFUNCTION("""COMPUTED_VALUE"""),FALSE)</f>
        <v>0</v>
      </c>
      <c r="O2175" s="23">
        <f>IFERROR(__xludf.DUMMYFUNCTION("""COMPUTED_VALUE"""),69.6217494089834)</f>
        <v>69.62174941</v>
      </c>
      <c r="P2175" s="23">
        <f>IFERROR(__xludf.DUMMYFUNCTION("""COMPUTED_VALUE"""),1177.0)</f>
        <v>1177</v>
      </c>
      <c r="Q2175" s="23">
        <f>IFERROR(__xludf.DUMMYFUNCTION("""COMPUTED_VALUE"""),1691.0)</f>
        <v>1691</v>
      </c>
    </row>
    <row r="2176">
      <c r="A2176" s="23">
        <f>IFERROR(__xludf.DUMMYFUNCTION("""COMPUTED_VALUE"""),2315.0)</f>
        <v>2315</v>
      </c>
      <c r="B2176" s="23" t="str">
        <f>IFERROR(__xludf.DUMMYFUNCTION("""COMPUTED_VALUE"""),"The Change in Global Rankings")</f>
        <v>The Change in Global Rankings</v>
      </c>
      <c r="C2176" s="23" t="str">
        <f>IFERROR(__xludf.DUMMYFUNCTION("""COMPUTED_VALUE"""),"the-change-in-global-rankings")</f>
        <v>the-change-in-global-rankings</v>
      </c>
      <c r="D2176" s="23" t="b">
        <f>IFERROR(__xludf.DUMMYFUNCTION("""COMPUTED_VALUE"""),TRUE)</f>
        <v>1</v>
      </c>
      <c r="E2176" s="23" t="str">
        <f>IFERROR(__xludf.DUMMYFUNCTION("""COMPUTED_VALUE"""),"Medium")</f>
        <v>Medium</v>
      </c>
      <c r="F2176" s="23">
        <f>IFERROR(__xludf.DUMMYFUNCTION("""COMPUTED_VALUE"""),9.0)</f>
        <v>9</v>
      </c>
      <c r="G2176" s="23">
        <f>IFERROR(__xludf.DUMMYFUNCTION("""COMPUTED_VALUE"""),5.0)</f>
        <v>5</v>
      </c>
      <c r="H2176" s="23" t="str">
        <f>IFERROR(__xludf.DUMMYFUNCTION("""COMPUTED_VALUE"""),"Database")</f>
        <v>Database</v>
      </c>
      <c r="I2176" s="23">
        <f>IFERROR(__xludf.DUMMYFUNCTION("""COMPUTED_VALUE"""),0.658)</f>
        <v>0.658</v>
      </c>
      <c r="J2176" s="23">
        <f>IFERROR(__xludf.DUMMYFUNCTION("""COMPUTED_VALUE"""),2175.0)</f>
        <v>2175</v>
      </c>
      <c r="K2176" s="23" t="b">
        <f>IFERROR(__xludf.DUMMYFUNCTION("""COMPUTED_VALUE"""),TRUE)</f>
        <v>1</v>
      </c>
      <c r="L2176" s="23" t="str">
        <f>IFERROR(__xludf.DUMMYFUNCTION("""COMPUTED_VALUE"""),"Database;")</f>
        <v>Database;</v>
      </c>
      <c r="M2176" s="23" t="b">
        <f>IFERROR(__xludf.DUMMYFUNCTION("""COMPUTED_VALUE"""),FALSE)</f>
        <v>0</v>
      </c>
      <c r="N2176" s="23" t="b">
        <f>IFERROR(__xludf.DUMMYFUNCTION("""COMPUTED_VALUE"""),FALSE)</f>
        <v>0</v>
      </c>
      <c r="O2176" s="23">
        <f>IFERROR(__xludf.DUMMYFUNCTION("""COMPUTED_VALUE"""),65.841850457235)</f>
        <v>65.84185046</v>
      </c>
      <c r="P2176" s="23">
        <f>IFERROR(__xludf.DUMMYFUNCTION("""COMPUTED_VALUE"""),1224.0)</f>
        <v>1224</v>
      </c>
      <c r="Q2176" s="23">
        <f>IFERROR(__xludf.DUMMYFUNCTION("""COMPUTED_VALUE"""),1859.0)</f>
        <v>1859</v>
      </c>
    </row>
    <row r="2177">
      <c r="A2177" s="23">
        <f>IFERROR(__xludf.DUMMYFUNCTION("""COMPUTED_VALUE"""),2277.0)</f>
        <v>2277</v>
      </c>
      <c r="B2177" s="23" t="str">
        <f>IFERROR(__xludf.DUMMYFUNCTION("""COMPUTED_VALUE"""),"Count Equal and Divisible Pairs in an Array")</f>
        <v>Count Equal and Divisible Pairs in an Array</v>
      </c>
      <c r="C2177" s="23" t="str">
        <f>IFERROR(__xludf.DUMMYFUNCTION("""COMPUTED_VALUE"""),"count-equal-and-divisible-pairs-in-an-array")</f>
        <v>count-equal-and-divisible-pairs-in-an-array</v>
      </c>
      <c r="D2177" s="23" t="b">
        <f>IFERROR(__xludf.DUMMYFUNCTION("""COMPUTED_VALUE"""),FALSE)</f>
        <v>0</v>
      </c>
      <c r="E2177" s="23" t="str">
        <f>IFERROR(__xludf.DUMMYFUNCTION("""COMPUTED_VALUE"""),"Easy")</f>
        <v>Easy</v>
      </c>
      <c r="F2177" s="23">
        <f>IFERROR(__xludf.DUMMYFUNCTION("""COMPUTED_VALUE"""),182.0)</f>
        <v>182</v>
      </c>
      <c r="G2177" s="23">
        <f>IFERROR(__xludf.DUMMYFUNCTION("""COMPUTED_VALUE"""),7.0)</f>
        <v>7</v>
      </c>
      <c r="H2177" s="23" t="str">
        <f>IFERROR(__xludf.DUMMYFUNCTION("""COMPUTED_VALUE"""),"Algorithms")</f>
        <v>Algorithms</v>
      </c>
      <c r="I2177" s="23">
        <f>IFERROR(__xludf.DUMMYFUNCTION("""COMPUTED_VALUE"""),0.803)</f>
        <v>0.803</v>
      </c>
      <c r="J2177" s="23">
        <f>IFERROR(__xludf.DUMMYFUNCTION("""COMPUTED_VALUE"""),2176.0)</f>
        <v>2176</v>
      </c>
      <c r="K2177" s="23" t="b">
        <f>IFERROR(__xludf.DUMMYFUNCTION("""COMPUTED_VALUE"""),FALSE)</f>
        <v>0</v>
      </c>
      <c r="L2177" s="23" t="str">
        <f>IFERROR(__xludf.DUMMYFUNCTION("""COMPUTED_VALUE"""),"Array;")</f>
        <v>Array;</v>
      </c>
      <c r="M2177" s="23" t="b">
        <f>IFERROR(__xludf.DUMMYFUNCTION("""COMPUTED_VALUE"""),FALSE)</f>
        <v>0</v>
      </c>
      <c r="N2177" s="23" t="b">
        <f>IFERROR(__xludf.DUMMYFUNCTION("""COMPUTED_VALUE"""),FALSE)</f>
        <v>0</v>
      </c>
      <c r="O2177" s="23">
        <f>IFERROR(__xludf.DUMMYFUNCTION("""COMPUTED_VALUE"""),80.2806166637796)</f>
        <v>80.28061666</v>
      </c>
      <c r="P2177" s="23">
        <f>IFERROR(__xludf.DUMMYFUNCTION("""COMPUTED_VALUE"""),23173.0)</f>
        <v>23173</v>
      </c>
      <c r="Q2177" s="23">
        <f>IFERROR(__xludf.DUMMYFUNCTION("""COMPUTED_VALUE"""),28865.0)</f>
        <v>28865</v>
      </c>
    </row>
    <row r="2178">
      <c r="A2178" s="23">
        <f>IFERROR(__xludf.DUMMYFUNCTION("""COMPUTED_VALUE"""),2278.0)</f>
        <v>2278</v>
      </c>
      <c r="B2178" s="23" t="str">
        <f>IFERROR(__xludf.DUMMYFUNCTION("""COMPUTED_VALUE"""),"Find Three Consecutive Integers That Sum to a Given Number")</f>
        <v>Find Three Consecutive Integers That Sum to a Given Number</v>
      </c>
      <c r="C2178" s="23" t="str">
        <f>IFERROR(__xludf.DUMMYFUNCTION("""COMPUTED_VALUE"""),"find-three-consecutive-integers-that-sum-to-a-given-number")</f>
        <v>find-three-consecutive-integers-that-sum-to-a-given-number</v>
      </c>
      <c r="D2178" s="23" t="b">
        <f>IFERROR(__xludf.DUMMYFUNCTION("""COMPUTED_VALUE"""),FALSE)</f>
        <v>0</v>
      </c>
      <c r="E2178" s="23" t="str">
        <f>IFERROR(__xludf.DUMMYFUNCTION("""COMPUTED_VALUE"""),"Medium")</f>
        <v>Medium</v>
      </c>
      <c r="F2178" s="23">
        <f>IFERROR(__xludf.DUMMYFUNCTION("""COMPUTED_VALUE"""),244.0)</f>
        <v>244</v>
      </c>
      <c r="G2178" s="23">
        <f>IFERROR(__xludf.DUMMYFUNCTION("""COMPUTED_VALUE"""),62.0)</f>
        <v>62</v>
      </c>
      <c r="H2178" s="23" t="str">
        <f>IFERROR(__xludf.DUMMYFUNCTION("""COMPUTED_VALUE"""),"Algorithms")</f>
        <v>Algorithms</v>
      </c>
      <c r="I2178" s="23">
        <f>IFERROR(__xludf.DUMMYFUNCTION("""COMPUTED_VALUE"""),0.606)</f>
        <v>0.606</v>
      </c>
      <c r="J2178" s="23">
        <f>IFERROR(__xludf.DUMMYFUNCTION("""COMPUTED_VALUE"""),2177.0)</f>
        <v>2177</v>
      </c>
      <c r="K2178" s="23" t="b">
        <f>IFERROR(__xludf.DUMMYFUNCTION("""COMPUTED_VALUE"""),FALSE)</f>
        <v>0</v>
      </c>
      <c r="L2178" s="23" t="str">
        <f>IFERROR(__xludf.DUMMYFUNCTION("""COMPUTED_VALUE"""),"Math;Simulation;")</f>
        <v>Math;Simulation;</v>
      </c>
      <c r="M2178" s="23" t="b">
        <f>IFERROR(__xludf.DUMMYFUNCTION("""COMPUTED_VALUE"""),FALSE)</f>
        <v>0</v>
      </c>
      <c r="N2178" s="23" t="b">
        <f>IFERROR(__xludf.DUMMYFUNCTION("""COMPUTED_VALUE"""),FALSE)</f>
        <v>0</v>
      </c>
      <c r="O2178" s="23">
        <f>IFERROR(__xludf.DUMMYFUNCTION("""COMPUTED_VALUE"""),60.616776577782)</f>
        <v>60.61677658</v>
      </c>
      <c r="P2178" s="23">
        <f>IFERROR(__xludf.DUMMYFUNCTION("""COMPUTED_VALUE"""),19027.0)</f>
        <v>19027</v>
      </c>
      <c r="Q2178" s="23">
        <f>IFERROR(__xludf.DUMMYFUNCTION("""COMPUTED_VALUE"""),31389.0)</f>
        <v>31389</v>
      </c>
    </row>
    <row r="2179">
      <c r="A2179" s="23">
        <f>IFERROR(__xludf.DUMMYFUNCTION("""COMPUTED_VALUE"""),2279.0)</f>
        <v>2279</v>
      </c>
      <c r="B2179" s="23" t="str">
        <f>IFERROR(__xludf.DUMMYFUNCTION("""COMPUTED_VALUE"""),"Maximum Split of Positive Even Integers")</f>
        <v>Maximum Split of Positive Even Integers</v>
      </c>
      <c r="C2179" s="23" t="str">
        <f>IFERROR(__xludf.DUMMYFUNCTION("""COMPUTED_VALUE"""),"maximum-split-of-positive-even-integers")</f>
        <v>maximum-split-of-positive-even-integers</v>
      </c>
      <c r="D2179" s="23" t="b">
        <f>IFERROR(__xludf.DUMMYFUNCTION("""COMPUTED_VALUE"""),FALSE)</f>
        <v>0</v>
      </c>
      <c r="E2179" s="23" t="str">
        <f>IFERROR(__xludf.DUMMYFUNCTION("""COMPUTED_VALUE"""),"Medium")</f>
        <v>Medium</v>
      </c>
      <c r="F2179" s="23">
        <f>IFERROR(__xludf.DUMMYFUNCTION("""COMPUTED_VALUE"""),354.0)</f>
        <v>354</v>
      </c>
      <c r="G2179" s="23">
        <f>IFERROR(__xludf.DUMMYFUNCTION("""COMPUTED_VALUE"""),40.0)</f>
        <v>40</v>
      </c>
      <c r="H2179" s="23" t="str">
        <f>IFERROR(__xludf.DUMMYFUNCTION("""COMPUTED_VALUE"""),"Algorithms")</f>
        <v>Algorithms</v>
      </c>
      <c r="I2179" s="23">
        <f>IFERROR(__xludf.DUMMYFUNCTION("""COMPUTED_VALUE"""),0.556)</f>
        <v>0.556</v>
      </c>
      <c r="J2179" s="23">
        <f>IFERROR(__xludf.DUMMYFUNCTION("""COMPUTED_VALUE"""),2178.0)</f>
        <v>2178</v>
      </c>
      <c r="K2179" s="23" t="b">
        <f>IFERROR(__xludf.DUMMYFUNCTION("""COMPUTED_VALUE"""),FALSE)</f>
        <v>0</v>
      </c>
      <c r="L2179" s="23" t="str">
        <f>IFERROR(__xludf.DUMMYFUNCTION("""COMPUTED_VALUE"""),"Math;Greedy;")</f>
        <v>Math;Greedy;</v>
      </c>
      <c r="M2179" s="23" t="b">
        <f>IFERROR(__xludf.DUMMYFUNCTION("""COMPUTED_VALUE"""),FALSE)</f>
        <v>0</v>
      </c>
      <c r="N2179" s="23" t="b">
        <f>IFERROR(__xludf.DUMMYFUNCTION("""COMPUTED_VALUE"""),FALSE)</f>
        <v>0</v>
      </c>
      <c r="O2179" s="23">
        <f>IFERROR(__xludf.DUMMYFUNCTION("""COMPUTED_VALUE"""),55.6036454484675)</f>
        <v>55.60364545</v>
      </c>
      <c r="P2179" s="23">
        <f>IFERROR(__xludf.DUMMYFUNCTION("""COMPUTED_VALUE"""),15801.0)</f>
        <v>15801</v>
      </c>
      <c r="Q2179" s="23">
        <f>IFERROR(__xludf.DUMMYFUNCTION("""COMPUTED_VALUE"""),28417.0)</f>
        <v>28417</v>
      </c>
    </row>
    <row r="2180">
      <c r="A2180" s="23">
        <f>IFERROR(__xludf.DUMMYFUNCTION("""COMPUTED_VALUE"""),2280.0)</f>
        <v>2280</v>
      </c>
      <c r="B2180" s="23" t="str">
        <f>IFERROR(__xludf.DUMMYFUNCTION("""COMPUTED_VALUE"""),"Count Good Triplets in an Array")</f>
        <v>Count Good Triplets in an Array</v>
      </c>
      <c r="C2180" s="23" t="str">
        <f>IFERROR(__xludf.DUMMYFUNCTION("""COMPUTED_VALUE"""),"count-good-triplets-in-an-array")</f>
        <v>count-good-triplets-in-an-array</v>
      </c>
      <c r="D2180" s="23" t="b">
        <f>IFERROR(__xludf.DUMMYFUNCTION("""COMPUTED_VALUE"""),FALSE)</f>
        <v>0</v>
      </c>
      <c r="E2180" s="23" t="str">
        <f>IFERROR(__xludf.DUMMYFUNCTION("""COMPUTED_VALUE"""),"Hard")</f>
        <v>Hard</v>
      </c>
      <c r="F2180" s="23">
        <f>IFERROR(__xludf.DUMMYFUNCTION("""COMPUTED_VALUE"""),263.0)</f>
        <v>263</v>
      </c>
      <c r="G2180" s="23">
        <f>IFERROR(__xludf.DUMMYFUNCTION("""COMPUTED_VALUE"""),10.0)</f>
        <v>10</v>
      </c>
      <c r="H2180" s="23" t="str">
        <f>IFERROR(__xludf.DUMMYFUNCTION("""COMPUTED_VALUE"""),"Algorithms")</f>
        <v>Algorithms</v>
      </c>
      <c r="I2180" s="23">
        <f>IFERROR(__xludf.DUMMYFUNCTION("""COMPUTED_VALUE"""),0.342)</f>
        <v>0.342</v>
      </c>
      <c r="J2180" s="23">
        <f>IFERROR(__xludf.DUMMYFUNCTION("""COMPUTED_VALUE"""),2179.0)</f>
        <v>2179</v>
      </c>
      <c r="K2180" s="23" t="b">
        <f>IFERROR(__xludf.DUMMYFUNCTION("""COMPUTED_VALUE"""),FALSE)</f>
        <v>0</v>
      </c>
      <c r="L2180" s="23" t="str">
        <f>IFERROR(__xludf.DUMMYFUNCTION("""COMPUTED_VALUE"""),"Array;Binary Search;Divide and Conquer;Binary Indexed Tree;Segment Tree;Merge Sort;Ordered Set;")</f>
        <v>Array;Binary Search;Divide and Conquer;Binary Indexed Tree;Segment Tree;Merge Sort;Ordered Set;</v>
      </c>
      <c r="M2180" s="23" t="b">
        <f>IFERROR(__xludf.DUMMYFUNCTION("""COMPUTED_VALUE"""),FALSE)</f>
        <v>0</v>
      </c>
      <c r="N2180" s="23" t="b">
        <f>IFERROR(__xludf.DUMMYFUNCTION("""COMPUTED_VALUE"""),FALSE)</f>
        <v>0</v>
      </c>
      <c r="O2180" s="23">
        <f>IFERROR(__xludf.DUMMYFUNCTION("""COMPUTED_VALUE"""),34.2054075082668)</f>
        <v>34.20540751</v>
      </c>
      <c r="P2180" s="23">
        <f>IFERROR(__xludf.DUMMYFUNCTION("""COMPUTED_VALUE"""),3517.0)</f>
        <v>3517</v>
      </c>
      <c r="Q2180" s="23">
        <f>IFERROR(__xludf.DUMMYFUNCTION("""COMPUTED_VALUE"""),10282.0)</f>
        <v>10282</v>
      </c>
    </row>
    <row r="2181">
      <c r="A2181" s="23">
        <f>IFERROR(__xludf.DUMMYFUNCTION("""COMPUTED_VALUE"""),2298.0)</f>
        <v>2298</v>
      </c>
      <c r="B2181" s="23" t="str">
        <f>IFERROR(__xludf.DUMMYFUNCTION("""COMPUTED_VALUE"""),"Count Integers With Even Digit Sum")</f>
        <v>Count Integers With Even Digit Sum</v>
      </c>
      <c r="C2181" s="23" t="str">
        <f>IFERROR(__xludf.DUMMYFUNCTION("""COMPUTED_VALUE"""),"count-integers-with-even-digit-sum")</f>
        <v>count-integers-with-even-digit-sum</v>
      </c>
      <c r="D2181" s="23" t="b">
        <f>IFERROR(__xludf.DUMMYFUNCTION("""COMPUTED_VALUE"""),FALSE)</f>
        <v>0</v>
      </c>
      <c r="E2181" s="23" t="str">
        <f>IFERROR(__xludf.DUMMYFUNCTION("""COMPUTED_VALUE"""),"Easy")</f>
        <v>Easy</v>
      </c>
      <c r="F2181" s="23">
        <f>IFERROR(__xludf.DUMMYFUNCTION("""COMPUTED_VALUE"""),227.0)</f>
        <v>227</v>
      </c>
      <c r="G2181" s="23">
        <f>IFERROR(__xludf.DUMMYFUNCTION("""COMPUTED_VALUE"""),14.0)</f>
        <v>14</v>
      </c>
      <c r="H2181" s="23" t="str">
        <f>IFERROR(__xludf.DUMMYFUNCTION("""COMPUTED_VALUE"""),"Algorithms")</f>
        <v>Algorithms</v>
      </c>
      <c r="I2181" s="23">
        <f>IFERROR(__xludf.DUMMYFUNCTION("""COMPUTED_VALUE"""),0.646)</f>
        <v>0.646</v>
      </c>
      <c r="J2181" s="23">
        <f>IFERROR(__xludf.DUMMYFUNCTION("""COMPUTED_VALUE"""),2180.0)</f>
        <v>2180</v>
      </c>
      <c r="K2181" s="23" t="b">
        <f>IFERROR(__xludf.DUMMYFUNCTION("""COMPUTED_VALUE"""),FALSE)</f>
        <v>0</v>
      </c>
      <c r="L2181" s="23" t="str">
        <f>IFERROR(__xludf.DUMMYFUNCTION("""COMPUTED_VALUE"""),"Math;Simulation;")</f>
        <v>Math;Simulation;</v>
      </c>
      <c r="M2181" s="23" t="b">
        <f>IFERROR(__xludf.DUMMYFUNCTION("""COMPUTED_VALUE"""),FALSE)</f>
        <v>0</v>
      </c>
      <c r="N2181" s="23" t="b">
        <f>IFERROR(__xludf.DUMMYFUNCTION("""COMPUTED_VALUE"""),FALSE)</f>
        <v>0</v>
      </c>
      <c r="O2181" s="23">
        <f>IFERROR(__xludf.DUMMYFUNCTION("""COMPUTED_VALUE"""),64.5959083382297)</f>
        <v>64.59590834</v>
      </c>
      <c r="P2181" s="23">
        <f>IFERROR(__xludf.DUMMYFUNCTION("""COMPUTED_VALUE"""),24185.0)</f>
        <v>24185</v>
      </c>
      <c r="Q2181" s="23">
        <f>IFERROR(__xludf.DUMMYFUNCTION("""COMPUTED_VALUE"""),37441.0)</f>
        <v>37441</v>
      </c>
    </row>
    <row r="2182">
      <c r="A2182" s="23">
        <f>IFERROR(__xludf.DUMMYFUNCTION("""COMPUTED_VALUE"""),2299.0)</f>
        <v>2299</v>
      </c>
      <c r="B2182" s="23" t="str">
        <f>IFERROR(__xludf.DUMMYFUNCTION("""COMPUTED_VALUE"""),"Merge Nodes in Between Zeros")</f>
        <v>Merge Nodes in Between Zeros</v>
      </c>
      <c r="C2182" s="23" t="str">
        <f>IFERROR(__xludf.DUMMYFUNCTION("""COMPUTED_VALUE"""),"merge-nodes-in-between-zeros")</f>
        <v>merge-nodes-in-between-zeros</v>
      </c>
      <c r="D2182" s="23" t="b">
        <f>IFERROR(__xludf.DUMMYFUNCTION("""COMPUTED_VALUE"""),FALSE)</f>
        <v>0</v>
      </c>
      <c r="E2182" s="23" t="str">
        <f>IFERROR(__xludf.DUMMYFUNCTION("""COMPUTED_VALUE"""),"Medium")</f>
        <v>Medium</v>
      </c>
      <c r="F2182" s="23">
        <f>IFERROR(__xludf.DUMMYFUNCTION("""COMPUTED_VALUE"""),409.0)</f>
        <v>409</v>
      </c>
      <c r="G2182" s="23">
        <f>IFERROR(__xludf.DUMMYFUNCTION("""COMPUTED_VALUE"""),11.0)</f>
        <v>11</v>
      </c>
      <c r="H2182" s="23" t="str">
        <f>IFERROR(__xludf.DUMMYFUNCTION("""COMPUTED_VALUE"""),"Algorithms")</f>
        <v>Algorithms</v>
      </c>
      <c r="I2182" s="23">
        <f>IFERROR(__xludf.DUMMYFUNCTION("""COMPUTED_VALUE"""),0.871)</f>
        <v>0.871</v>
      </c>
      <c r="J2182" s="23">
        <f>IFERROR(__xludf.DUMMYFUNCTION("""COMPUTED_VALUE"""),2181.0)</f>
        <v>2181</v>
      </c>
      <c r="K2182" s="23" t="b">
        <f>IFERROR(__xludf.DUMMYFUNCTION("""COMPUTED_VALUE"""),FALSE)</f>
        <v>0</v>
      </c>
      <c r="L2182" s="23" t="str">
        <f>IFERROR(__xludf.DUMMYFUNCTION("""COMPUTED_VALUE"""),"Linked List;Simulation;")</f>
        <v>Linked List;Simulation;</v>
      </c>
      <c r="M2182" s="23" t="b">
        <f>IFERROR(__xludf.DUMMYFUNCTION("""COMPUTED_VALUE"""),FALSE)</f>
        <v>0</v>
      </c>
      <c r="N2182" s="23" t="b">
        <f>IFERROR(__xludf.DUMMYFUNCTION("""COMPUTED_VALUE"""),FALSE)</f>
        <v>0</v>
      </c>
      <c r="O2182" s="23">
        <f>IFERROR(__xludf.DUMMYFUNCTION("""COMPUTED_VALUE"""),87.0636612854097)</f>
        <v>87.06366129</v>
      </c>
      <c r="P2182" s="23">
        <f>IFERROR(__xludf.DUMMYFUNCTION("""COMPUTED_VALUE"""),28583.0)</f>
        <v>28583</v>
      </c>
      <c r="Q2182" s="23">
        <f>IFERROR(__xludf.DUMMYFUNCTION("""COMPUTED_VALUE"""),32830.0)</f>
        <v>32830</v>
      </c>
    </row>
    <row r="2183">
      <c r="A2183" s="23">
        <f>IFERROR(__xludf.DUMMYFUNCTION("""COMPUTED_VALUE"""),2300.0)</f>
        <v>2300</v>
      </c>
      <c r="B2183" s="23" t="str">
        <f>IFERROR(__xludf.DUMMYFUNCTION("""COMPUTED_VALUE"""),"Construct String With Repeat Limit")</f>
        <v>Construct String With Repeat Limit</v>
      </c>
      <c r="C2183" s="23" t="str">
        <f>IFERROR(__xludf.DUMMYFUNCTION("""COMPUTED_VALUE"""),"construct-string-with-repeat-limit")</f>
        <v>construct-string-with-repeat-limit</v>
      </c>
      <c r="D2183" s="23" t="b">
        <f>IFERROR(__xludf.DUMMYFUNCTION("""COMPUTED_VALUE"""),FALSE)</f>
        <v>0</v>
      </c>
      <c r="E2183" s="23" t="str">
        <f>IFERROR(__xludf.DUMMYFUNCTION("""COMPUTED_VALUE"""),"Medium")</f>
        <v>Medium</v>
      </c>
      <c r="F2183" s="23">
        <f>IFERROR(__xludf.DUMMYFUNCTION("""COMPUTED_VALUE"""),371.0)</f>
        <v>371</v>
      </c>
      <c r="G2183" s="23">
        <f>IFERROR(__xludf.DUMMYFUNCTION("""COMPUTED_VALUE"""),21.0)</f>
        <v>21</v>
      </c>
      <c r="H2183" s="23" t="str">
        <f>IFERROR(__xludf.DUMMYFUNCTION("""COMPUTED_VALUE"""),"Algorithms")</f>
        <v>Algorithms</v>
      </c>
      <c r="I2183" s="23">
        <f>IFERROR(__xludf.DUMMYFUNCTION("""COMPUTED_VALUE"""),0.51)</f>
        <v>0.51</v>
      </c>
      <c r="J2183" s="23">
        <f>IFERROR(__xludf.DUMMYFUNCTION("""COMPUTED_VALUE"""),2182.0)</f>
        <v>2182</v>
      </c>
      <c r="K2183" s="23" t="b">
        <f>IFERROR(__xludf.DUMMYFUNCTION("""COMPUTED_VALUE"""),FALSE)</f>
        <v>0</v>
      </c>
      <c r="L2183" s="23" t="str">
        <f>IFERROR(__xludf.DUMMYFUNCTION("""COMPUTED_VALUE"""),"String;Greedy;Heap (Priority Queue);Counting;")</f>
        <v>String;Greedy;Heap (Priority Queue);Counting;</v>
      </c>
      <c r="M2183" s="23" t="b">
        <f>IFERROR(__xludf.DUMMYFUNCTION("""COMPUTED_VALUE"""),FALSE)</f>
        <v>0</v>
      </c>
      <c r="N2183" s="23" t="b">
        <f>IFERROR(__xludf.DUMMYFUNCTION("""COMPUTED_VALUE"""),FALSE)</f>
        <v>0</v>
      </c>
      <c r="O2183" s="23">
        <f>IFERROR(__xludf.DUMMYFUNCTION("""COMPUTED_VALUE"""),50.9631391200951)</f>
        <v>50.96313912</v>
      </c>
      <c r="P2183" s="23">
        <f>IFERROR(__xludf.DUMMYFUNCTION("""COMPUTED_VALUE"""),12858.0)</f>
        <v>12858</v>
      </c>
      <c r="Q2183" s="23">
        <f>IFERROR(__xludf.DUMMYFUNCTION("""COMPUTED_VALUE"""),25230.0)</f>
        <v>25230</v>
      </c>
    </row>
    <row r="2184">
      <c r="A2184" s="23">
        <f>IFERROR(__xludf.DUMMYFUNCTION("""COMPUTED_VALUE"""),2301.0)</f>
        <v>2301</v>
      </c>
      <c r="B2184" s="23" t="str">
        <f>IFERROR(__xludf.DUMMYFUNCTION("""COMPUTED_VALUE"""),"Count Array Pairs Divisible by K")</f>
        <v>Count Array Pairs Divisible by K</v>
      </c>
      <c r="C2184" s="23" t="str">
        <f>IFERROR(__xludf.DUMMYFUNCTION("""COMPUTED_VALUE"""),"count-array-pairs-divisible-by-k")</f>
        <v>count-array-pairs-divisible-by-k</v>
      </c>
      <c r="D2184" s="23" t="b">
        <f>IFERROR(__xludf.DUMMYFUNCTION("""COMPUTED_VALUE"""),FALSE)</f>
        <v>0</v>
      </c>
      <c r="E2184" s="23" t="str">
        <f>IFERROR(__xludf.DUMMYFUNCTION("""COMPUTED_VALUE"""),"Hard")</f>
        <v>Hard</v>
      </c>
      <c r="F2184" s="23">
        <f>IFERROR(__xludf.DUMMYFUNCTION("""COMPUTED_VALUE"""),397.0)</f>
        <v>397</v>
      </c>
      <c r="G2184" s="23">
        <f>IFERROR(__xludf.DUMMYFUNCTION("""COMPUTED_VALUE"""),21.0)</f>
        <v>21</v>
      </c>
      <c r="H2184" s="23" t="str">
        <f>IFERROR(__xludf.DUMMYFUNCTION("""COMPUTED_VALUE"""),"Algorithms")</f>
        <v>Algorithms</v>
      </c>
      <c r="I2184" s="23">
        <f>IFERROR(__xludf.DUMMYFUNCTION("""COMPUTED_VALUE"""),0.266)</f>
        <v>0.266</v>
      </c>
      <c r="J2184" s="23">
        <f>IFERROR(__xludf.DUMMYFUNCTION("""COMPUTED_VALUE"""),2183.0)</f>
        <v>2183</v>
      </c>
      <c r="K2184" s="23" t="b">
        <f>IFERROR(__xludf.DUMMYFUNCTION("""COMPUTED_VALUE"""),FALSE)</f>
        <v>0</v>
      </c>
      <c r="L2184" s="23" t="str">
        <f>IFERROR(__xludf.DUMMYFUNCTION("""COMPUTED_VALUE"""),"Array;Math;Number Theory;")</f>
        <v>Array;Math;Number Theory;</v>
      </c>
      <c r="M2184" s="23" t="b">
        <f>IFERROR(__xludf.DUMMYFUNCTION("""COMPUTED_VALUE"""),FALSE)</f>
        <v>0</v>
      </c>
      <c r="N2184" s="23" t="b">
        <f>IFERROR(__xludf.DUMMYFUNCTION("""COMPUTED_VALUE"""),FALSE)</f>
        <v>0</v>
      </c>
      <c r="O2184" s="23">
        <f>IFERROR(__xludf.DUMMYFUNCTION("""COMPUTED_VALUE"""),26.6366232068526)</f>
        <v>26.63662321</v>
      </c>
      <c r="P2184" s="23">
        <f>IFERROR(__xludf.DUMMYFUNCTION("""COMPUTED_VALUE"""),7743.0)</f>
        <v>7743</v>
      </c>
      <c r="Q2184" s="23">
        <f>IFERROR(__xludf.DUMMYFUNCTION("""COMPUTED_VALUE"""),29069.0)</f>
        <v>29069</v>
      </c>
    </row>
    <row r="2185">
      <c r="A2185" s="23">
        <f>IFERROR(__xludf.DUMMYFUNCTION("""COMPUTED_VALUE"""),2322.0)</f>
        <v>2322</v>
      </c>
      <c r="B2185" s="23" t="str">
        <f>IFERROR(__xludf.DUMMYFUNCTION("""COMPUTED_VALUE"""),"Number of Ways to Build Sturdy Brick Wall")</f>
        <v>Number of Ways to Build Sturdy Brick Wall</v>
      </c>
      <c r="C2185" s="23" t="str">
        <f>IFERROR(__xludf.DUMMYFUNCTION("""COMPUTED_VALUE"""),"number-of-ways-to-build-sturdy-brick-wall")</f>
        <v>number-of-ways-to-build-sturdy-brick-wall</v>
      </c>
      <c r="D2185" s="23" t="b">
        <f>IFERROR(__xludf.DUMMYFUNCTION("""COMPUTED_VALUE"""),TRUE)</f>
        <v>1</v>
      </c>
      <c r="E2185" s="23" t="str">
        <f>IFERROR(__xludf.DUMMYFUNCTION("""COMPUTED_VALUE"""),"Medium")</f>
        <v>Medium</v>
      </c>
      <c r="F2185" s="23">
        <f>IFERROR(__xludf.DUMMYFUNCTION("""COMPUTED_VALUE"""),43.0)</f>
        <v>43</v>
      </c>
      <c r="G2185" s="23">
        <f>IFERROR(__xludf.DUMMYFUNCTION("""COMPUTED_VALUE"""),16.0)</f>
        <v>16</v>
      </c>
      <c r="H2185" s="23" t="str">
        <f>IFERROR(__xludf.DUMMYFUNCTION("""COMPUTED_VALUE"""),"Algorithms")</f>
        <v>Algorithms</v>
      </c>
      <c r="I2185" s="23">
        <f>IFERROR(__xludf.DUMMYFUNCTION("""COMPUTED_VALUE"""),0.569)</f>
        <v>0.569</v>
      </c>
      <c r="J2185" s="23">
        <f>IFERROR(__xludf.DUMMYFUNCTION("""COMPUTED_VALUE"""),2184.0)</f>
        <v>2184</v>
      </c>
      <c r="K2185" s="23" t="b">
        <f>IFERROR(__xludf.DUMMYFUNCTION("""COMPUTED_VALUE"""),TRUE)</f>
        <v>1</v>
      </c>
      <c r="L2185" s="23" t="str">
        <f>IFERROR(__xludf.DUMMYFUNCTION("""COMPUTED_VALUE"""),"Array;Dynamic Programming;Bit Manipulation;Bitmask;")</f>
        <v>Array;Dynamic Programming;Bit Manipulation;Bitmask;</v>
      </c>
      <c r="M2185" s="23" t="b">
        <f>IFERROR(__xludf.DUMMYFUNCTION("""COMPUTED_VALUE"""),FALSE)</f>
        <v>0</v>
      </c>
      <c r="N2185" s="23" t="b">
        <f>IFERROR(__xludf.DUMMYFUNCTION("""COMPUTED_VALUE"""),FALSE)</f>
        <v>0</v>
      </c>
      <c r="O2185" s="23">
        <f>IFERROR(__xludf.DUMMYFUNCTION("""COMPUTED_VALUE"""),56.8896512292738)</f>
        <v>56.88965123</v>
      </c>
      <c r="P2185" s="23">
        <f>IFERROR(__xludf.DUMMYFUNCTION("""COMPUTED_VALUE"""),995.0)</f>
        <v>995</v>
      </c>
      <c r="Q2185" s="23">
        <f>IFERROR(__xludf.DUMMYFUNCTION("""COMPUTED_VALUE"""),1749.0)</f>
        <v>1749</v>
      </c>
    </row>
    <row r="2186">
      <c r="A2186" s="23">
        <f>IFERROR(__xludf.DUMMYFUNCTION("""COMPUTED_VALUE"""),2292.0)</f>
        <v>2292</v>
      </c>
      <c r="B2186" s="23" t="str">
        <f>IFERROR(__xludf.DUMMYFUNCTION("""COMPUTED_VALUE"""),"Counting Words With a Given Prefix")</f>
        <v>Counting Words With a Given Prefix</v>
      </c>
      <c r="C2186" s="23" t="str">
        <f>IFERROR(__xludf.DUMMYFUNCTION("""COMPUTED_VALUE"""),"counting-words-with-a-given-prefix")</f>
        <v>counting-words-with-a-given-prefix</v>
      </c>
      <c r="D2186" s="23" t="b">
        <f>IFERROR(__xludf.DUMMYFUNCTION("""COMPUTED_VALUE"""),FALSE)</f>
        <v>0</v>
      </c>
      <c r="E2186" s="23" t="str">
        <f>IFERROR(__xludf.DUMMYFUNCTION("""COMPUTED_VALUE"""),"Easy")</f>
        <v>Easy</v>
      </c>
      <c r="F2186" s="23">
        <f>IFERROR(__xludf.DUMMYFUNCTION("""COMPUTED_VALUE"""),198.0)</f>
        <v>198</v>
      </c>
      <c r="G2186" s="23">
        <f>IFERROR(__xludf.DUMMYFUNCTION("""COMPUTED_VALUE"""),6.0)</f>
        <v>6</v>
      </c>
      <c r="H2186" s="23" t="str">
        <f>IFERROR(__xludf.DUMMYFUNCTION("""COMPUTED_VALUE"""),"Algorithms")</f>
        <v>Algorithms</v>
      </c>
      <c r="I2186" s="23">
        <f>IFERROR(__xludf.DUMMYFUNCTION("""COMPUTED_VALUE"""),0.776)</f>
        <v>0.776</v>
      </c>
      <c r="J2186" s="23">
        <f>IFERROR(__xludf.DUMMYFUNCTION("""COMPUTED_VALUE"""),2185.0)</f>
        <v>2185</v>
      </c>
      <c r="K2186" s="23" t="b">
        <f>IFERROR(__xludf.DUMMYFUNCTION("""COMPUTED_VALUE"""),FALSE)</f>
        <v>0</v>
      </c>
      <c r="L2186" s="23" t="str">
        <f>IFERROR(__xludf.DUMMYFUNCTION("""COMPUTED_VALUE"""),"Array;String;")</f>
        <v>Array;String;</v>
      </c>
      <c r="M2186" s="23" t="b">
        <f>IFERROR(__xludf.DUMMYFUNCTION("""COMPUTED_VALUE"""),FALSE)</f>
        <v>0</v>
      </c>
      <c r="N2186" s="23" t="b">
        <f>IFERROR(__xludf.DUMMYFUNCTION("""COMPUTED_VALUE"""),FALSE)</f>
        <v>0</v>
      </c>
      <c r="O2186" s="23">
        <f>IFERROR(__xludf.DUMMYFUNCTION("""COMPUTED_VALUE"""),77.639031231458)</f>
        <v>77.63903123</v>
      </c>
      <c r="P2186" s="23">
        <f>IFERROR(__xludf.DUMMYFUNCTION("""COMPUTED_VALUE"""),28785.0)</f>
        <v>28785</v>
      </c>
      <c r="Q2186" s="23">
        <f>IFERROR(__xludf.DUMMYFUNCTION("""COMPUTED_VALUE"""),37075.0)</f>
        <v>37075</v>
      </c>
    </row>
    <row r="2187">
      <c r="A2187" s="23">
        <f>IFERROR(__xludf.DUMMYFUNCTION("""COMPUTED_VALUE"""),2293.0)</f>
        <v>2293</v>
      </c>
      <c r="B2187" s="23" t="str">
        <f>IFERROR(__xludf.DUMMYFUNCTION("""COMPUTED_VALUE"""),"Minimum Number of Steps to Make Two Strings Anagram II")</f>
        <v>Minimum Number of Steps to Make Two Strings Anagram II</v>
      </c>
      <c r="C2187" s="23" t="str">
        <f>IFERROR(__xludf.DUMMYFUNCTION("""COMPUTED_VALUE"""),"minimum-number-of-steps-to-make-two-strings-anagram-ii")</f>
        <v>minimum-number-of-steps-to-make-two-strings-anagram-ii</v>
      </c>
      <c r="D2187" s="23" t="b">
        <f>IFERROR(__xludf.DUMMYFUNCTION("""COMPUTED_VALUE"""),FALSE)</f>
        <v>0</v>
      </c>
      <c r="E2187" s="23" t="str">
        <f>IFERROR(__xludf.DUMMYFUNCTION("""COMPUTED_VALUE"""),"Medium")</f>
        <v>Medium</v>
      </c>
      <c r="F2187" s="23">
        <f>IFERROR(__xludf.DUMMYFUNCTION("""COMPUTED_VALUE"""),227.0)</f>
        <v>227</v>
      </c>
      <c r="G2187" s="23">
        <f>IFERROR(__xludf.DUMMYFUNCTION("""COMPUTED_VALUE"""),4.0)</f>
        <v>4</v>
      </c>
      <c r="H2187" s="23" t="str">
        <f>IFERROR(__xludf.DUMMYFUNCTION("""COMPUTED_VALUE"""),"Algorithms")</f>
        <v>Algorithms</v>
      </c>
      <c r="I2187" s="23">
        <f>IFERROR(__xludf.DUMMYFUNCTION("""COMPUTED_VALUE"""),0.706)</f>
        <v>0.706</v>
      </c>
      <c r="J2187" s="23">
        <f>IFERROR(__xludf.DUMMYFUNCTION("""COMPUTED_VALUE"""),2186.0)</f>
        <v>2186</v>
      </c>
      <c r="K2187" s="23" t="b">
        <f>IFERROR(__xludf.DUMMYFUNCTION("""COMPUTED_VALUE"""),FALSE)</f>
        <v>0</v>
      </c>
      <c r="L2187" s="23" t="str">
        <f>IFERROR(__xludf.DUMMYFUNCTION("""COMPUTED_VALUE"""),"Hash Table;String;Counting;")</f>
        <v>Hash Table;String;Counting;</v>
      </c>
      <c r="M2187" s="23" t="b">
        <f>IFERROR(__xludf.DUMMYFUNCTION("""COMPUTED_VALUE"""),FALSE)</f>
        <v>0</v>
      </c>
      <c r="N2187" s="23" t="b">
        <f>IFERROR(__xludf.DUMMYFUNCTION("""COMPUTED_VALUE"""),FALSE)</f>
        <v>0</v>
      </c>
      <c r="O2187" s="23">
        <f>IFERROR(__xludf.DUMMYFUNCTION("""COMPUTED_VALUE"""),70.597147656533)</f>
        <v>70.59714766</v>
      </c>
      <c r="P2187" s="23">
        <f>IFERROR(__xludf.DUMMYFUNCTION("""COMPUTED_VALUE"""),21434.0)</f>
        <v>21434</v>
      </c>
      <c r="Q2187" s="23">
        <f>IFERROR(__xludf.DUMMYFUNCTION("""COMPUTED_VALUE"""),30361.0)</f>
        <v>30361</v>
      </c>
    </row>
    <row r="2188">
      <c r="A2188" s="23">
        <f>IFERROR(__xludf.DUMMYFUNCTION("""COMPUTED_VALUE"""),2294.0)</f>
        <v>2294</v>
      </c>
      <c r="B2188" s="23" t="str">
        <f>IFERROR(__xludf.DUMMYFUNCTION("""COMPUTED_VALUE"""),"Minimum Time to Complete Trips")</f>
        <v>Minimum Time to Complete Trips</v>
      </c>
      <c r="C2188" s="23" t="str">
        <f>IFERROR(__xludf.DUMMYFUNCTION("""COMPUTED_VALUE"""),"minimum-time-to-complete-trips")</f>
        <v>minimum-time-to-complete-trips</v>
      </c>
      <c r="D2188" s="23" t="b">
        <f>IFERROR(__xludf.DUMMYFUNCTION("""COMPUTED_VALUE"""),FALSE)</f>
        <v>0</v>
      </c>
      <c r="E2188" s="23" t="str">
        <f>IFERROR(__xludf.DUMMYFUNCTION("""COMPUTED_VALUE"""),"Medium")</f>
        <v>Medium</v>
      </c>
      <c r="F2188" s="23">
        <f>IFERROR(__xludf.DUMMYFUNCTION("""COMPUTED_VALUE"""),532.0)</f>
        <v>532</v>
      </c>
      <c r="G2188" s="23">
        <f>IFERROR(__xludf.DUMMYFUNCTION("""COMPUTED_VALUE"""),24.0)</f>
        <v>24</v>
      </c>
      <c r="H2188" s="23" t="str">
        <f>IFERROR(__xludf.DUMMYFUNCTION("""COMPUTED_VALUE"""),"Algorithms")</f>
        <v>Algorithms</v>
      </c>
      <c r="I2188" s="23">
        <f>IFERROR(__xludf.DUMMYFUNCTION("""COMPUTED_VALUE"""),0.298)</f>
        <v>0.298</v>
      </c>
      <c r="J2188" s="23">
        <f>IFERROR(__xludf.DUMMYFUNCTION("""COMPUTED_VALUE"""),2187.0)</f>
        <v>2187</v>
      </c>
      <c r="K2188" s="23" t="b">
        <f>IFERROR(__xludf.DUMMYFUNCTION("""COMPUTED_VALUE"""),FALSE)</f>
        <v>0</v>
      </c>
      <c r="L2188" s="23" t="str">
        <f>IFERROR(__xludf.DUMMYFUNCTION("""COMPUTED_VALUE"""),"Array;Binary Search;")</f>
        <v>Array;Binary Search;</v>
      </c>
      <c r="M2188" s="23" t="b">
        <f>IFERROR(__xludf.DUMMYFUNCTION("""COMPUTED_VALUE"""),FALSE)</f>
        <v>0</v>
      </c>
      <c r="N2188" s="23" t="b">
        <f>IFERROR(__xludf.DUMMYFUNCTION("""COMPUTED_VALUE"""),FALSE)</f>
        <v>0</v>
      </c>
      <c r="O2188" s="23">
        <f>IFERROR(__xludf.DUMMYFUNCTION("""COMPUTED_VALUE"""),29.7937310105806)</f>
        <v>29.79373101</v>
      </c>
      <c r="P2188" s="23">
        <f>IFERROR(__xludf.DUMMYFUNCTION("""COMPUTED_VALUE"""),19514.0)</f>
        <v>19514</v>
      </c>
      <c r="Q2188" s="23">
        <f>IFERROR(__xludf.DUMMYFUNCTION("""COMPUTED_VALUE"""),65497.0)</f>
        <v>65497</v>
      </c>
    </row>
    <row r="2189">
      <c r="A2189" s="23">
        <f>IFERROR(__xludf.DUMMYFUNCTION("""COMPUTED_VALUE"""),2295.0)</f>
        <v>2295</v>
      </c>
      <c r="B2189" s="23" t="str">
        <f>IFERROR(__xludf.DUMMYFUNCTION("""COMPUTED_VALUE"""),"Minimum Time to Finish the Race")</f>
        <v>Minimum Time to Finish the Race</v>
      </c>
      <c r="C2189" s="23" t="str">
        <f>IFERROR(__xludf.DUMMYFUNCTION("""COMPUTED_VALUE"""),"minimum-time-to-finish-the-race")</f>
        <v>minimum-time-to-finish-the-race</v>
      </c>
      <c r="D2189" s="23" t="b">
        <f>IFERROR(__xludf.DUMMYFUNCTION("""COMPUTED_VALUE"""),FALSE)</f>
        <v>0</v>
      </c>
      <c r="E2189" s="23" t="str">
        <f>IFERROR(__xludf.DUMMYFUNCTION("""COMPUTED_VALUE"""),"Hard")</f>
        <v>Hard</v>
      </c>
      <c r="F2189" s="23">
        <f>IFERROR(__xludf.DUMMYFUNCTION("""COMPUTED_VALUE"""),321.0)</f>
        <v>321</v>
      </c>
      <c r="G2189" s="23">
        <f>IFERROR(__xludf.DUMMYFUNCTION("""COMPUTED_VALUE"""),12.0)</f>
        <v>12</v>
      </c>
      <c r="H2189" s="23" t="str">
        <f>IFERROR(__xludf.DUMMYFUNCTION("""COMPUTED_VALUE"""),"Algorithms")</f>
        <v>Algorithms</v>
      </c>
      <c r="I2189" s="23">
        <f>IFERROR(__xludf.DUMMYFUNCTION("""COMPUTED_VALUE"""),0.405)</f>
        <v>0.405</v>
      </c>
      <c r="J2189" s="23">
        <f>IFERROR(__xludf.DUMMYFUNCTION("""COMPUTED_VALUE"""),2188.0)</f>
        <v>2188</v>
      </c>
      <c r="K2189" s="23" t="b">
        <f>IFERROR(__xludf.DUMMYFUNCTION("""COMPUTED_VALUE"""),FALSE)</f>
        <v>0</v>
      </c>
      <c r="L2189" s="23" t="str">
        <f>IFERROR(__xludf.DUMMYFUNCTION("""COMPUTED_VALUE"""),"Array;Dynamic Programming;")</f>
        <v>Array;Dynamic Programming;</v>
      </c>
      <c r="M2189" s="23" t="b">
        <f>IFERROR(__xludf.DUMMYFUNCTION("""COMPUTED_VALUE"""),FALSE)</f>
        <v>0</v>
      </c>
      <c r="N2189" s="23" t="b">
        <f>IFERROR(__xludf.DUMMYFUNCTION("""COMPUTED_VALUE"""),FALSE)</f>
        <v>0</v>
      </c>
      <c r="O2189" s="23">
        <f>IFERROR(__xludf.DUMMYFUNCTION("""COMPUTED_VALUE"""),40.4615490914115)</f>
        <v>40.46154909</v>
      </c>
      <c r="P2189" s="23">
        <f>IFERROR(__xludf.DUMMYFUNCTION("""COMPUTED_VALUE"""),5856.0)</f>
        <v>5856</v>
      </c>
      <c r="Q2189" s="23">
        <f>IFERROR(__xludf.DUMMYFUNCTION("""COMPUTED_VALUE"""),14473.0)</f>
        <v>14473</v>
      </c>
    </row>
    <row r="2190">
      <c r="A2190" s="23">
        <f>IFERROR(__xludf.DUMMYFUNCTION("""COMPUTED_VALUE"""),1385.0)</f>
        <v>1385</v>
      </c>
      <c r="B2190" s="23" t="str">
        <f>IFERROR(__xludf.DUMMYFUNCTION("""COMPUTED_VALUE"""),"Number of Ways to Build House of Cards")</f>
        <v>Number of Ways to Build House of Cards</v>
      </c>
      <c r="C2190" s="23" t="str">
        <f>IFERROR(__xludf.DUMMYFUNCTION("""COMPUTED_VALUE"""),"number-of-ways-to-build-house-of-cards")</f>
        <v>number-of-ways-to-build-house-of-cards</v>
      </c>
      <c r="D2190" s="23" t="b">
        <f>IFERROR(__xludf.DUMMYFUNCTION("""COMPUTED_VALUE"""),TRUE)</f>
        <v>1</v>
      </c>
      <c r="E2190" s="23" t="str">
        <f>IFERROR(__xludf.DUMMYFUNCTION("""COMPUTED_VALUE"""),"Medium")</f>
        <v>Medium</v>
      </c>
      <c r="F2190" s="23">
        <f>IFERROR(__xludf.DUMMYFUNCTION("""COMPUTED_VALUE"""),31.0)</f>
        <v>31</v>
      </c>
      <c r="G2190" s="23">
        <f>IFERROR(__xludf.DUMMYFUNCTION("""COMPUTED_VALUE"""),3.0)</f>
        <v>3</v>
      </c>
      <c r="H2190" s="23" t="str">
        <f>IFERROR(__xludf.DUMMYFUNCTION("""COMPUTED_VALUE"""),"Algorithms")</f>
        <v>Algorithms</v>
      </c>
      <c r="I2190" s="23">
        <f>IFERROR(__xludf.DUMMYFUNCTION("""COMPUTED_VALUE"""),0.66)</f>
        <v>0.66</v>
      </c>
      <c r="J2190" s="23">
        <f>IFERROR(__xludf.DUMMYFUNCTION("""COMPUTED_VALUE"""),2189.0)</f>
        <v>2189</v>
      </c>
      <c r="K2190" s="23" t="b">
        <f>IFERROR(__xludf.DUMMYFUNCTION("""COMPUTED_VALUE"""),TRUE)</f>
        <v>1</v>
      </c>
      <c r="L2190" s="23" t="str">
        <f>IFERROR(__xludf.DUMMYFUNCTION("""COMPUTED_VALUE"""),"Math;Dynamic Programming;")</f>
        <v>Math;Dynamic Programming;</v>
      </c>
      <c r="M2190" s="23" t="b">
        <f>IFERROR(__xludf.DUMMYFUNCTION("""COMPUTED_VALUE"""),FALSE)</f>
        <v>0</v>
      </c>
      <c r="N2190" s="23" t="b">
        <f>IFERROR(__xludf.DUMMYFUNCTION("""COMPUTED_VALUE"""),FALSE)</f>
        <v>0</v>
      </c>
      <c r="O2190" s="23">
        <f>IFERROR(__xludf.DUMMYFUNCTION("""COMPUTED_VALUE"""),66.0068846815834)</f>
        <v>66.00688468</v>
      </c>
      <c r="P2190" s="23">
        <f>IFERROR(__xludf.DUMMYFUNCTION("""COMPUTED_VALUE"""),767.0)</f>
        <v>767</v>
      </c>
      <c r="Q2190" s="23">
        <f>IFERROR(__xludf.DUMMYFUNCTION("""COMPUTED_VALUE"""),1162.0)</f>
        <v>1162</v>
      </c>
    </row>
    <row r="2191">
      <c r="A2191" s="23">
        <f>IFERROR(__xludf.DUMMYFUNCTION("""COMPUTED_VALUE"""),2312.0)</f>
        <v>2312</v>
      </c>
      <c r="B2191" s="23" t="str">
        <f>IFERROR(__xludf.DUMMYFUNCTION("""COMPUTED_VALUE"""),"Most Frequent Number Following Key In an Array")</f>
        <v>Most Frequent Number Following Key In an Array</v>
      </c>
      <c r="C2191" s="23" t="str">
        <f>IFERROR(__xludf.DUMMYFUNCTION("""COMPUTED_VALUE"""),"most-frequent-number-following-key-in-an-array")</f>
        <v>most-frequent-number-following-key-in-an-array</v>
      </c>
      <c r="D2191" s="23" t="b">
        <f>IFERROR(__xludf.DUMMYFUNCTION("""COMPUTED_VALUE"""),FALSE)</f>
        <v>0</v>
      </c>
      <c r="E2191" s="23" t="str">
        <f>IFERROR(__xludf.DUMMYFUNCTION("""COMPUTED_VALUE"""),"Easy")</f>
        <v>Easy</v>
      </c>
      <c r="F2191" s="23">
        <f>IFERROR(__xludf.DUMMYFUNCTION("""COMPUTED_VALUE"""),137.0)</f>
        <v>137</v>
      </c>
      <c r="G2191" s="23">
        <f>IFERROR(__xludf.DUMMYFUNCTION("""COMPUTED_VALUE"""),69.0)</f>
        <v>69</v>
      </c>
      <c r="H2191" s="23" t="str">
        <f>IFERROR(__xludf.DUMMYFUNCTION("""COMPUTED_VALUE"""),"Algorithms")</f>
        <v>Algorithms</v>
      </c>
      <c r="I2191" s="23">
        <f>IFERROR(__xludf.DUMMYFUNCTION("""COMPUTED_VALUE"""),0.607)</f>
        <v>0.607</v>
      </c>
      <c r="J2191" s="23">
        <f>IFERROR(__xludf.DUMMYFUNCTION("""COMPUTED_VALUE"""),2190.0)</f>
        <v>2190</v>
      </c>
      <c r="K2191" s="23" t="b">
        <f>IFERROR(__xludf.DUMMYFUNCTION("""COMPUTED_VALUE"""),FALSE)</f>
        <v>0</v>
      </c>
      <c r="L2191" s="23" t="str">
        <f>IFERROR(__xludf.DUMMYFUNCTION("""COMPUTED_VALUE"""),"Array;Hash Table;Counting;")</f>
        <v>Array;Hash Table;Counting;</v>
      </c>
      <c r="M2191" s="23" t="b">
        <f>IFERROR(__xludf.DUMMYFUNCTION("""COMPUTED_VALUE"""),FALSE)</f>
        <v>0</v>
      </c>
      <c r="N2191" s="23" t="b">
        <f>IFERROR(__xludf.DUMMYFUNCTION("""COMPUTED_VALUE"""),FALSE)</f>
        <v>0</v>
      </c>
      <c r="O2191" s="23">
        <f>IFERROR(__xludf.DUMMYFUNCTION("""COMPUTED_VALUE"""),60.7013647598237)</f>
        <v>60.70136476</v>
      </c>
      <c r="P2191" s="23">
        <f>IFERROR(__xludf.DUMMYFUNCTION("""COMPUTED_VALUE"""),16946.0)</f>
        <v>16946</v>
      </c>
      <c r="Q2191" s="23">
        <f>IFERROR(__xludf.DUMMYFUNCTION("""COMPUTED_VALUE"""),27917.0)</f>
        <v>27917</v>
      </c>
    </row>
    <row r="2192">
      <c r="A2192" s="23">
        <f>IFERROR(__xludf.DUMMYFUNCTION("""COMPUTED_VALUE"""),1333.0)</f>
        <v>1333</v>
      </c>
      <c r="B2192" s="23" t="str">
        <f>IFERROR(__xludf.DUMMYFUNCTION("""COMPUTED_VALUE"""),"Sort the Jumbled Numbers")</f>
        <v>Sort the Jumbled Numbers</v>
      </c>
      <c r="C2192" s="23" t="str">
        <f>IFERROR(__xludf.DUMMYFUNCTION("""COMPUTED_VALUE"""),"sort-the-jumbled-numbers")</f>
        <v>sort-the-jumbled-numbers</v>
      </c>
      <c r="D2192" s="23" t="b">
        <f>IFERROR(__xludf.DUMMYFUNCTION("""COMPUTED_VALUE"""),FALSE)</f>
        <v>0</v>
      </c>
      <c r="E2192" s="23" t="str">
        <f>IFERROR(__xludf.DUMMYFUNCTION("""COMPUTED_VALUE"""),"Medium")</f>
        <v>Medium</v>
      </c>
      <c r="F2192" s="23">
        <f>IFERROR(__xludf.DUMMYFUNCTION("""COMPUTED_VALUE"""),213.0)</f>
        <v>213</v>
      </c>
      <c r="G2192" s="23">
        <f>IFERROR(__xludf.DUMMYFUNCTION("""COMPUTED_VALUE"""),25.0)</f>
        <v>25</v>
      </c>
      <c r="H2192" s="23" t="str">
        <f>IFERROR(__xludf.DUMMYFUNCTION("""COMPUTED_VALUE"""),"Algorithms")</f>
        <v>Algorithms</v>
      </c>
      <c r="I2192" s="23">
        <f>IFERROR(__xludf.DUMMYFUNCTION("""COMPUTED_VALUE"""),0.435)</f>
        <v>0.435</v>
      </c>
      <c r="J2192" s="23">
        <f>IFERROR(__xludf.DUMMYFUNCTION("""COMPUTED_VALUE"""),2191.0)</f>
        <v>2191</v>
      </c>
      <c r="K2192" s="23" t="b">
        <f>IFERROR(__xludf.DUMMYFUNCTION("""COMPUTED_VALUE"""),FALSE)</f>
        <v>0</v>
      </c>
      <c r="L2192" s="23" t="str">
        <f>IFERROR(__xludf.DUMMYFUNCTION("""COMPUTED_VALUE"""),"Array;Sorting;")</f>
        <v>Array;Sorting;</v>
      </c>
      <c r="M2192" s="23" t="b">
        <f>IFERROR(__xludf.DUMMYFUNCTION("""COMPUTED_VALUE"""),FALSE)</f>
        <v>0</v>
      </c>
      <c r="N2192" s="23" t="b">
        <f>IFERROR(__xludf.DUMMYFUNCTION("""COMPUTED_VALUE"""),FALSE)</f>
        <v>0</v>
      </c>
      <c r="O2192" s="23">
        <f>IFERROR(__xludf.DUMMYFUNCTION("""COMPUTED_VALUE"""),43.4651870413459)</f>
        <v>43.46518704</v>
      </c>
      <c r="P2192" s="23">
        <f>IFERROR(__xludf.DUMMYFUNCTION("""COMPUTED_VALUE"""),12142.0)</f>
        <v>12142</v>
      </c>
      <c r="Q2192" s="23">
        <f>IFERROR(__xludf.DUMMYFUNCTION("""COMPUTED_VALUE"""),27935.0)</f>
        <v>27935</v>
      </c>
    </row>
    <row r="2193">
      <c r="A2193" s="23">
        <f>IFERROR(__xludf.DUMMYFUNCTION("""COMPUTED_VALUE"""),1431.0)</f>
        <v>1431</v>
      </c>
      <c r="B2193" s="23" t="str">
        <f>IFERROR(__xludf.DUMMYFUNCTION("""COMPUTED_VALUE"""),"All Ancestors of a Node in a Directed Acyclic Graph")</f>
        <v>All Ancestors of a Node in a Directed Acyclic Graph</v>
      </c>
      <c r="C2193" s="23" t="str">
        <f>IFERROR(__xludf.DUMMYFUNCTION("""COMPUTED_VALUE"""),"all-ancestors-of-a-node-in-a-directed-acyclic-graph")</f>
        <v>all-ancestors-of-a-node-in-a-directed-acyclic-graph</v>
      </c>
      <c r="D2193" s="23" t="b">
        <f>IFERROR(__xludf.DUMMYFUNCTION("""COMPUTED_VALUE"""),FALSE)</f>
        <v>0</v>
      </c>
      <c r="E2193" s="23" t="str">
        <f>IFERROR(__xludf.DUMMYFUNCTION("""COMPUTED_VALUE"""),"Medium")</f>
        <v>Medium</v>
      </c>
      <c r="F2193" s="23">
        <f>IFERROR(__xludf.DUMMYFUNCTION("""COMPUTED_VALUE"""),361.0)</f>
        <v>361</v>
      </c>
      <c r="G2193" s="23">
        <f>IFERROR(__xludf.DUMMYFUNCTION("""COMPUTED_VALUE"""),4.0)</f>
        <v>4</v>
      </c>
      <c r="H2193" s="23" t="str">
        <f>IFERROR(__xludf.DUMMYFUNCTION("""COMPUTED_VALUE"""),"Algorithms")</f>
        <v>Algorithms</v>
      </c>
      <c r="I2193" s="23">
        <f>IFERROR(__xludf.DUMMYFUNCTION("""COMPUTED_VALUE"""),0.465)</f>
        <v>0.465</v>
      </c>
      <c r="J2193" s="23">
        <f>IFERROR(__xludf.DUMMYFUNCTION("""COMPUTED_VALUE"""),2192.0)</f>
        <v>2192</v>
      </c>
      <c r="K2193" s="23" t="b">
        <f>IFERROR(__xludf.DUMMYFUNCTION("""COMPUTED_VALUE"""),FALSE)</f>
        <v>0</v>
      </c>
      <c r="L2193" s="23" t="str">
        <f>IFERROR(__xludf.DUMMYFUNCTION("""COMPUTED_VALUE"""),"Depth-First Search;Breadth-First Search;Graph;Topological Sort;")</f>
        <v>Depth-First Search;Breadth-First Search;Graph;Topological Sort;</v>
      </c>
      <c r="M2193" s="23" t="b">
        <f>IFERROR(__xludf.DUMMYFUNCTION("""COMPUTED_VALUE"""),FALSE)</f>
        <v>0</v>
      </c>
      <c r="N2193" s="23" t="b">
        <f>IFERROR(__xludf.DUMMYFUNCTION("""COMPUTED_VALUE"""),FALSE)</f>
        <v>0</v>
      </c>
      <c r="O2193" s="23">
        <f>IFERROR(__xludf.DUMMYFUNCTION("""COMPUTED_VALUE"""),46.5286923800564)</f>
        <v>46.52869238</v>
      </c>
      <c r="P2193" s="23">
        <f>IFERROR(__xludf.DUMMYFUNCTION("""COMPUTED_VALUE"""),9892.0)</f>
        <v>9892</v>
      </c>
      <c r="Q2193" s="23">
        <f>IFERROR(__xludf.DUMMYFUNCTION("""COMPUTED_VALUE"""),21260.0)</f>
        <v>21260</v>
      </c>
    </row>
    <row r="2194">
      <c r="A2194" s="23">
        <f>IFERROR(__xludf.DUMMYFUNCTION("""COMPUTED_VALUE"""),1356.0)</f>
        <v>1356</v>
      </c>
      <c r="B2194" s="23" t="str">
        <f>IFERROR(__xludf.DUMMYFUNCTION("""COMPUTED_VALUE"""),"Minimum Number of Moves to Make Palindrome")</f>
        <v>Minimum Number of Moves to Make Palindrome</v>
      </c>
      <c r="C2194" s="23" t="str">
        <f>IFERROR(__xludf.DUMMYFUNCTION("""COMPUTED_VALUE"""),"minimum-number-of-moves-to-make-palindrome")</f>
        <v>minimum-number-of-moves-to-make-palindrome</v>
      </c>
      <c r="D2194" s="23" t="b">
        <f>IFERROR(__xludf.DUMMYFUNCTION("""COMPUTED_VALUE"""),FALSE)</f>
        <v>0</v>
      </c>
      <c r="E2194" s="23" t="str">
        <f>IFERROR(__xludf.DUMMYFUNCTION("""COMPUTED_VALUE"""),"Hard")</f>
        <v>Hard</v>
      </c>
      <c r="F2194" s="23">
        <f>IFERROR(__xludf.DUMMYFUNCTION("""COMPUTED_VALUE"""),198.0)</f>
        <v>198</v>
      </c>
      <c r="G2194" s="23">
        <f>IFERROR(__xludf.DUMMYFUNCTION("""COMPUTED_VALUE"""),51.0)</f>
        <v>51</v>
      </c>
      <c r="H2194" s="23" t="str">
        <f>IFERROR(__xludf.DUMMYFUNCTION("""COMPUTED_VALUE"""),"Algorithms")</f>
        <v>Algorithms</v>
      </c>
      <c r="I2194" s="23">
        <f>IFERROR(__xludf.DUMMYFUNCTION("""COMPUTED_VALUE"""),0.418)</f>
        <v>0.418</v>
      </c>
      <c r="J2194" s="23">
        <f>IFERROR(__xludf.DUMMYFUNCTION("""COMPUTED_VALUE"""),2193.0)</f>
        <v>2193</v>
      </c>
      <c r="K2194" s="23" t="b">
        <f>IFERROR(__xludf.DUMMYFUNCTION("""COMPUTED_VALUE"""),FALSE)</f>
        <v>0</v>
      </c>
      <c r="L2194" s="23" t="str">
        <f>IFERROR(__xludf.DUMMYFUNCTION("""COMPUTED_VALUE"""),"Two Pointers;String;Greedy;Binary Indexed Tree;")</f>
        <v>Two Pointers;String;Greedy;Binary Indexed Tree;</v>
      </c>
      <c r="M2194" s="23" t="b">
        <f>IFERROR(__xludf.DUMMYFUNCTION("""COMPUTED_VALUE"""),FALSE)</f>
        <v>0</v>
      </c>
      <c r="N2194" s="23" t="b">
        <f>IFERROR(__xludf.DUMMYFUNCTION("""COMPUTED_VALUE"""),FALSE)</f>
        <v>0</v>
      </c>
      <c r="O2194" s="23">
        <f>IFERROR(__xludf.DUMMYFUNCTION("""COMPUTED_VALUE"""),41.7820747321661)</f>
        <v>41.78207473</v>
      </c>
      <c r="P2194" s="23">
        <f>IFERROR(__xludf.DUMMYFUNCTION("""COMPUTED_VALUE"""),4797.0)</f>
        <v>4797</v>
      </c>
      <c r="Q2194" s="23">
        <f>IFERROR(__xludf.DUMMYFUNCTION("""COMPUTED_VALUE"""),11481.0)</f>
        <v>11481</v>
      </c>
    </row>
    <row r="2195">
      <c r="A2195" s="23">
        <f>IFERROR(__xludf.DUMMYFUNCTION("""COMPUTED_VALUE"""),2304.0)</f>
        <v>2304</v>
      </c>
      <c r="B2195" s="23" t="str">
        <f>IFERROR(__xludf.DUMMYFUNCTION("""COMPUTED_VALUE"""),"Cells in a Range on an Excel Sheet")</f>
        <v>Cells in a Range on an Excel Sheet</v>
      </c>
      <c r="C2195" s="23" t="str">
        <f>IFERROR(__xludf.DUMMYFUNCTION("""COMPUTED_VALUE"""),"cells-in-a-range-on-an-excel-sheet")</f>
        <v>cells-in-a-range-on-an-excel-sheet</v>
      </c>
      <c r="D2195" s="23" t="b">
        <f>IFERROR(__xludf.DUMMYFUNCTION("""COMPUTED_VALUE"""),FALSE)</f>
        <v>0</v>
      </c>
      <c r="E2195" s="23" t="str">
        <f>IFERROR(__xludf.DUMMYFUNCTION("""COMPUTED_VALUE"""),"Easy")</f>
        <v>Easy</v>
      </c>
      <c r="F2195" s="23">
        <f>IFERROR(__xludf.DUMMYFUNCTION("""COMPUTED_VALUE"""),149.0)</f>
        <v>149</v>
      </c>
      <c r="G2195" s="23">
        <f>IFERROR(__xludf.DUMMYFUNCTION("""COMPUTED_VALUE"""),30.0)</f>
        <v>30</v>
      </c>
      <c r="H2195" s="23" t="str">
        <f>IFERROR(__xludf.DUMMYFUNCTION("""COMPUTED_VALUE"""),"Algorithms")</f>
        <v>Algorithms</v>
      </c>
      <c r="I2195" s="23">
        <f>IFERROR(__xludf.DUMMYFUNCTION("""COMPUTED_VALUE"""),0.856)</f>
        <v>0.856</v>
      </c>
      <c r="J2195" s="23">
        <f>IFERROR(__xludf.DUMMYFUNCTION("""COMPUTED_VALUE"""),2194.0)</f>
        <v>2194</v>
      </c>
      <c r="K2195" s="23" t="b">
        <f>IFERROR(__xludf.DUMMYFUNCTION("""COMPUTED_VALUE"""),FALSE)</f>
        <v>0</v>
      </c>
      <c r="L2195" s="23" t="str">
        <f>IFERROR(__xludf.DUMMYFUNCTION("""COMPUTED_VALUE"""),"String;")</f>
        <v>String;</v>
      </c>
      <c r="M2195" s="23" t="b">
        <f>IFERROR(__xludf.DUMMYFUNCTION("""COMPUTED_VALUE"""),FALSE)</f>
        <v>0</v>
      </c>
      <c r="N2195" s="23" t="b">
        <f>IFERROR(__xludf.DUMMYFUNCTION("""COMPUTED_VALUE"""),FALSE)</f>
        <v>0</v>
      </c>
      <c r="O2195" s="23">
        <f>IFERROR(__xludf.DUMMYFUNCTION("""COMPUTED_VALUE"""),85.6432125088841)</f>
        <v>85.64321251</v>
      </c>
      <c r="P2195" s="23">
        <f>IFERROR(__xludf.DUMMYFUNCTION("""COMPUTED_VALUE"""),21690.0)</f>
        <v>21690</v>
      </c>
      <c r="Q2195" s="23">
        <f>IFERROR(__xludf.DUMMYFUNCTION("""COMPUTED_VALUE"""),25326.0)</f>
        <v>25326</v>
      </c>
    </row>
    <row r="2196">
      <c r="A2196" s="23">
        <f>IFERROR(__xludf.DUMMYFUNCTION("""COMPUTED_VALUE"""),2305.0)</f>
        <v>2305</v>
      </c>
      <c r="B2196" s="23" t="str">
        <f>IFERROR(__xludf.DUMMYFUNCTION("""COMPUTED_VALUE"""),"Append K Integers With Minimal Sum")</f>
        <v>Append K Integers With Minimal Sum</v>
      </c>
      <c r="C2196" s="23" t="str">
        <f>IFERROR(__xludf.DUMMYFUNCTION("""COMPUTED_VALUE"""),"append-k-integers-with-minimal-sum")</f>
        <v>append-k-integers-with-minimal-sum</v>
      </c>
      <c r="D2196" s="23" t="b">
        <f>IFERROR(__xludf.DUMMYFUNCTION("""COMPUTED_VALUE"""),FALSE)</f>
        <v>0</v>
      </c>
      <c r="E2196" s="23" t="str">
        <f>IFERROR(__xludf.DUMMYFUNCTION("""COMPUTED_VALUE"""),"Medium")</f>
        <v>Medium</v>
      </c>
      <c r="F2196" s="23">
        <f>IFERROR(__xludf.DUMMYFUNCTION("""COMPUTED_VALUE"""),324.0)</f>
        <v>324</v>
      </c>
      <c r="G2196" s="23">
        <f>IFERROR(__xludf.DUMMYFUNCTION("""COMPUTED_VALUE"""),224.0)</f>
        <v>224</v>
      </c>
      <c r="H2196" s="23" t="str">
        <f>IFERROR(__xludf.DUMMYFUNCTION("""COMPUTED_VALUE"""),"Algorithms")</f>
        <v>Algorithms</v>
      </c>
      <c r="I2196" s="23">
        <f>IFERROR(__xludf.DUMMYFUNCTION("""COMPUTED_VALUE"""),0.229)</f>
        <v>0.229</v>
      </c>
      <c r="J2196" s="23">
        <f>IFERROR(__xludf.DUMMYFUNCTION("""COMPUTED_VALUE"""),2195.0)</f>
        <v>2195</v>
      </c>
      <c r="K2196" s="23" t="b">
        <f>IFERROR(__xludf.DUMMYFUNCTION("""COMPUTED_VALUE"""),FALSE)</f>
        <v>0</v>
      </c>
      <c r="L2196" s="23" t="str">
        <f>IFERROR(__xludf.DUMMYFUNCTION("""COMPUTED_VALUE"""),"Array;Math;Greedy;Sorting;")</f>
        <v>Array;Math;Greedy;Sorting;</v>
      </c>
      <c r="M2196" s="23" t="b">
        <f>IFERROR(__xludf.DUMMYFUNCTION("""COMPUTED_VALUE"""),FALSE)</f>
        <v>0</v>
      </c>
      <c r="N2196" s="23" t="b">
        <f>IFERROR(__xludf.DUMMYFUNCTION("""COMPUTED_VALUE"""),FALSE)</f>
        <v>0</v>
      </c>
      <c r="O2196" s="23">
        <f>IFERROR(__xludf.DUMMYFUNCTION("""COMPUTED_VALUE"""),22.9079805038463)</f>
        <v>22.9079805</v>
      </c>
      <c r="P2196" s="23">
        <f>IFERROR(__xludf.DUMMYFUNCTION("""COMPUTED_VALUE"""),15604.0)</f>
        <v>15604</v>
      </c>
      <c r="Q2196" s="23">
        <f>IFERROR(__xludf.DUMMYFUNCTION("""COMPUTED_VALUE"""),68115.0)</f>
        <v>68115</v>
      </c>
    </row>
    <row r="2197">
      <c r="A2197" s="23">
        <f>IFERROR(__xludf.DUMMYFUNCTION("""COMPUTED_VALUE"""),2306.0)</f>
        <v>2306</v>
      </c>
      <c r="B2197" s="23" t="str">
        <f>IFERROR(__xludf.DUMMYFUNCTION("""COMPUTED_VALUE"""),"Create Binary Tree From Descriptions")</f>
        <v>Create Binary Tree From Descriptions</v>
      </c>
      <c r="C2197" s="23" t="str">
        <f>IFERROR(__xludf.DUMMYFUNCTION("""COMPUTED_VALUE"""),"create-binary-tree-from-descriptions")</f>
        <v>create-binary-tree-from-descriptions</v>
      </c>
      <c r="D2197" s="23" t="b">
        <f>IFERROR(__xludf.DUMMYFUNCTION("""COMPUTED_VALUE"""),FALSE)</f>
        <v>0</v>
      </c>
      <c r="E2197" s="23" t="str">
        <f>IFERROR(__xludf.DUMMYFUNCTION("""COMPUTED_VALUE"""),"Medium")</f>
        <v>Medium</v>
      </c>
      <c r="F2197" s="23">
        <f>IFERROR(__xludf.DUMMYFUNCTION("""COMPUTED_VALUE"""),354.0)</f>
        <v>354</v>
      </c>
      <c r="G2197" s="23">
        <f>IFERROR(__xludf.DUMMYFUNCTION("""COMPUTED_VALUE"""),8.0)</f>
        <v>8</v>
      </c>
      <c r="H2197" s="23" t="str">
        <f>IFERROR(__xludf.DUMMYFUNCTION("""COMPUTED_VALUE"""),"Algorithms")</f>
        <v>Algorithms</v>
      </c>
      <c r="I2197" s="23">
        <f>IFERROR(__xludf.DUMMYFUNCTION("""COMPUTED_VALUE"""),0.704)</f>
        <v>0.704</v>
      </c>
      <c r="J2197" s="23">
        <f>IFERROR(__xludf.DUMMYFUNCTION("""COMPUTED_VALUE"""),2196.0)</f>
        <v>2196</v>
      </c>
      <c r="K2197" s="23" t="b">
        <f>IFERROR(__xludf.DUMMYFUNCTION("""COMPUTED_VALUE"""),FALSE)</f>
        <v>0</v>
      </c>
      <c r="L2197" s="23" t="str">
        <f>IFERROR(__xludf.DUMMYFUNCTION("""COMPUTED_VALUE"""),"Array;Hash Table;Tree;Depth-First Search;Breadth-First Search;Binary Tree;")</f>
        <v>Array;Hash Table;Tree;Depth-First Search;Breadth-First Search;Binary Tree;</v>
      </c>
      <c r="M2197" s="23" t="b">
        <f>IFERROR(__xludf.DUMMYFUNCTION("""COMPUTED_VALUE"""),FALSE)</f>
        <v>0</v>
      </c>
      <c r="N2197" s="23" t="b">
        <f>IFERROR(__xludf.DUMMYFUNCTION("""COMPUTED_VALUE"""),FALSE)</f>
        <v>0</v>
      </c>
      <c r="O2197" s="23">
        <f>IFERROR(__xludf.DUMMYFUNCTION("""COMPUTED_VALUE"""),70.3504695517475)</f>
        <v>70.35046955</v>
      </c>
      <c r="P2197" s="23">
        <f>IFERROR(__xludf.DUMMYFUNCTION("""COMPUTED_VALUE"""),14533.0)</f>
        <v>14533</v>
      </c>
      <c r="Q2197" s="23">
        <f>IFERROR(__xludf.DUMMYFUNCTION("""COMPUTED_VALUE"""),20658.0)</f>
        <v>20658</v>
      </c>
    </row>
    <row r="2198">
      <c r="A2198" s="23">
        <f>IFERROR(__xludf.DUMMYFUNCTION("""COMPUTED_VALUE"""),2307.0)</f>
        <v>2307</v>
      </c>
      <c r="B2198" s="23" t="str">
        <f>IFERROR(__xludf.DUMMYFUNCTION("""COMPUTED_VALUE"""),"Replace Non-Coprime Numbers in Array")</f>
        <v>Replace Non-Coprime Numbers in Array</v>
      </c>
      <c r="C2198" s="23" t="str">
        <f>IFERROR(__xludf.DUMMYFUNCTION("""COMPUTED_VALUE"""),"replace-non-coprime-numbers-in-array")</f>
        <v>replace-non-coprime-numbers-in-array</v>
      </c>
      <c r="D2198" s="23" t="b">
        <f>IFERROR(__xludf.DUMMYFUNCTION("""COMPUTED_VALUE"""),FALSE)</f>
        <v>0</v>
      </c>
      <c r="E2198" s="23" t="str">
        <f>IFERROR(__xludf.DUMMYFUNCTION("""COMPUTED_VALUE"""),"Hard")</f>
        <v>Hard</v>
      </c>
      <c r="F2198" s="23">
        <f>IFERROR(__xludf.DUMMYFUNCTION("""COMPUTED_VALUE"""),225.0)</f>
        <v>225</v>
      </c>
      <c r="G2198" s="23">
        <f>IFERROR(__xludf.DUMMYFUNCTION("""COMPUTED_VALUE"""),6.0)</f>
        <v>6</v>
      </c>
      <c r="H2198" s="23" t="str">
        <f>IFERROR(__xludf.DUMMYFUNCTION("""COMPUTED_VALUE"""),"Algorithms")</f>
        <v>Algorithms</v>
      </c>
      <c r="I2198" s="23">
        <f>IFERROR(__xludf.DUMMYFUNCTION("""COMPUTED_VALUE"""),0.35)</f>
        <v>0.35</v>
      </c>
      <c r="J2198" s="23">
        <f>IFERROR(__xludf.DUMMYFUNCTION("""COMPUTED_VALUE"""),2197.0)</f>
        <v>2197</v>
      </c>
      <c r="K2198" s="23" t="b">
        <f>IFERROR(__xludf.DUMMYFUNCTION("""COMPUTED_VALUE"""),FALSE)</f>
        <v>0</v>
      </c>
      <c r="L2198" s="23" t="str">
        <f>IFERROR(__xludf.DUMMYFUNCTION("""COMPUTED_VALUE"""),"Array;Math;Stack;Number Theory;")</f>
        <v>Array;Math;Stack;Number Theory;</v>
      </c>
      <c r="M2198" s="23" t="b">
        <f>IFERROR(__xludf.DUMMYFUNCTION("""COMPUTED_VALUE"""),FALSE)</f>
        <v>0</v>
      </c>
      <c r="N2198" s="23" t="b">
        <f>IFERROR(__xludf.DUMMYFUNCTION("""COMPUTED_VALUE"""),FALSE)</f>
        <v>0</v>
      </c>
      <c r="O2198" s="23">
        <f>IFERROR(__xludf.DUMMYFUNCTION("""COMPUTED_VALUE"""),35.0073493385595)</f>
        <v>35.00734934</v>
      </c>
      <c r="P2198" s="23">
        <f>IFERROR(__xludf.DUMMYFUNCTION("""COMPUTED_VALUE"""),7145.0)</f>
        <v>7145</v>
      </c>
      <c r="Q2198" s="23">
        <f>IFERROR(__xludf.DUMMYFUNCTION("""COMPUTED_VALUE"""),20410.0)</f>
        <v>20410</v>
      </c>
    </row>
    <row r="2199">
      <c r="A2199" s="23">
        <f>IFERROR(__xludf.DUMMYFUNCTION("""COMPUTED_VALUE"""),1383.0)</f>
        <v>1383</v>
      </c>
      <c r="B2199" s="23" t="str">
        <f>IFERROR(__xludf.DUMMYFUNCTION("""COMPUTED_VALUE"""),"Number of Single Divisor Triplets")</f>
        <v>Number of Single Divisor Triplets</v>
      </c>
      <c r="C2199" s="23" t="str">
        <f>IFERROR(__xludf.DUMMYFUNCTION("""COMPUTED_VALUE"""),"number-of-single-divisor-triplets")</f>
        <v>number-of-single-divisor-triplets</v>
      </c>
      <c r="D2199" s="23" t="b">
        <f>IFERROR(__xludf.DUMMYFUNCTION("""COMPUTED_VALUE"""),TRUE)</f>
        <v>1</v>
      </c>
      <c r="E2199" s="23" t="str">
        <f>IFERROR(__xludf.DUMMYFUNCTION("""COMPUTED_VALUE"""),"Medium")</f>
        <v>Medium</v>
      </c>
      <c r="F2199" s="23">
        <f>IFERROR(__xludf.DUMMYFUNCTION("""COMPUTED_VALUE"""),14.0)</f>
        <v>14</v>
      </c>
      <c r="G2199" s="23">
        <f>IFERROR(__xludf.DUMMYFUNCTION("""COMPUTED_VALUE"""),4.0)</f>
        <v>4</v>
      </c>
      <c r="H2199" s="23" t="str">
        <f>IFERROR(__xludf.DUMMYFUNCTION("""COMPUTED_VALUE"""),"Algorithms")</f>
        <v>Algorithms</v>
      </c>
      <c r="I2199" s="23">
        <f>IFERROR(__xludf.DUMMYFUNCTION("""COMPUTED_VALUE"""),0.573)</f>
        <v>0.573</v>
      </c>
      <c r="J2199" s="23">
        <f>IFERROR(__xludf.DUMMYFUNCTION("""COMPUTED_VALUE"""),2198.0)</f>
        <v>2198</v>
      </c>
      <c r="K2199" s="23" t="b">
        <f>IFERROR(__xludf.DUMMYFUNCTION("""COMPUTED_VALUE"""),TRUE)</f>
        <v>1</v>
      </c>
      <c r="L2199" s="23" t="str">
        <f>IFERROR(__xludf.DUMMYFUNCTION("""COMPUTED_VALUE"""),"Math;")</f>
        <v>Math;</v>
      </c>
      <c r="M2199" s="23" t="b">
        <f>IFERROR(__xludf.DUMMYFUNCTION("""COMPUTED_VALUE"""),FALSE)</f>
        <v>0</v>
      </c>
      <c r="N2199" s="23" t="b">
        <f>IFERROR(__xludf.DUMMYFUNCTION("""COMPUTED_VALUE"""),FALSE)</f>
        <v>0</v>
      </c>
      <c r="O2199" s="23">
        <f>IFERROR(__xludf.DUMMYFUNCTION("""COMPUTED_VALUE"""),57.3400250941028)</f>
        <v>57.34002509</v>
      </c>
      <c r="P2199" s="23">
        <f>IFERROR(__xludf.DUMMYFUNCTION("""COMPUTED_VALUE"""),457.0)</f>
        <v>457</v>
      </c>
      <c r="Q2199" s="23">
        <f>IFERROR(__xludf.DUMMYFUNCTION("""COMPUTED_VALUE"""),797.0)</f>
        <v>797</v>
      </c>
    </row>
    <row r="2200">
      <c r="A2200" s="23">
        <f>IFERROR(__xludf.DUMMYFUNCTION("""COMPUTED_VALUE"""),2335.0)</f>
        <v>2335</v>
      </c>
      <c r="B2200" s="23" t="str">
        <f>IFERROR(__xludf.DUMMYFUNCTION("""COMPUTED_VALUE"""),"Finding the Topic of Each Post")</f>
        <v>Finding the Topic of Each Post</v>
      </c>
      <c r="C2200" s="23" t="str">
        <f>IFERROR(__xludf.DUMMYFUNCTION("""COMPUTED_VALUE"""),"finding-the-topic-of-each-post")</f>
        <v>finding-the-topic-of-each-post</v>
      </c>
      <c r="D2200" s="23" t="b">
        <f>IFERROR(__xludf.DUMMYFUNCTION("""COMPUTED_VALUE"""),TRUE)</f>
        <v>1</v>
      </c>
      <c r="E2200" s="23" t="str">
        <f>IFERROR(__xludf.DUMMYFUNCTION("""COMPUTED_VALUE"""),"Hard")</f>
        <v>Hard</v>
      </c>
      <c r="F2200" s="23">
        <f>IFERROR(__xludf.DUMMYFUNCTION("""COMPUTED_VALUE"""),10.0)</f>
        <v>10</v>
      </c>
      <c r="G2200" s="23">
        <f>IFERROR(__xludf.DUMMYFUNCTION("""COMPUTED_VALUE"""),6.0)</f>
        <v>6</v>
      </c>
      <c r="H2200" s="23" t="str">
        <f>IFERROR(__xludf.DUMMYFUNCTION("""COMPUTED_VALUE"""),"Database")</f>
        <v>Database</v>
      </c>
      <c r="I2200" s="23">
        <f>IFERROR(__xludf.DUMMYFUNCTION("""COMPUTED_VALUE"""),0.432)</f>
        <v>0.432</v>
      </c>
      <c r="J2200" s="23">
        <f>IFERROR(__xludf.DUMMYFUNCTION("""COMPUTED_VALUE"""),2199.0)</f>
        <v>2199</v>
      </c>
      <c r="K2200" s="23" t="b">
        <f>IFERROR(__xludf.DUMMYFUNCTION("""COMPUTED_VALUE"""),TRUE)</f>
        <v>1</v>
      </c>
      <c r="L2200" s="23" t="str">
        <f>IFERROR(__xludf.DUMMYFUNCTION("""COMPUTED_VALUE"""),"Database;")</f>
        <v>Database;</v>
      </c>
      <c r="M2200" s="23" t="b">
        <f>IFERROR(__xludf.DUMMYFUNCTION("""COMPUTED_VALUE"""),FALSE)</f>
        <v>0</v>
      </c>
      <c r="N2200" s="23" t="b">
        <f>IFERROR(__xludf.DUMMYFUNCTION("""COMPUTED_VALUE"""),FALSE)</f>
        <v>0</v>
      </c>
      <c r="O2200" s="23">
        <f>IFERROR(__xludf.DUMMYFUNCTION("""COMPUTED_VALUE"""),43.1539187913125)</f>
        <v>43.15391879</v>
      </c>
      <c r="P2200" s="23">
        <f>IFERROR(__xludf.DUMMYFUNCTION("""COMPUTED_VALUE"""),457.0)</f>
        <v>457</v>
      </c>
      <c r="Q2200" s="23">
        <f>IFERROR(__xludf.DUMMYFUNCTION("""COMPUTED_VALUE"""),1059.0)</f>
        <v>1059</v>
      </c>
    </row>
    <row r="2201">
      <c r="A2201" s="23">
        <f>IFERROR(__xludf.DUMMYFUNCTION("""COMPUTED_VALUE"""),2320.0)</f>
        <v>2320</v>
      </c>
      <c r="B2201" s="23" t="str">
        <f>IFERROR(__xludf.DUMMYFUNCTION("""COMPUTED_VALUE"""),"Find All K-Distant Indices in an Array")</f>
        <v>Find All K-Distant Indices in an Array</v>
      </c>
      <c r="C2201" s="23" t="str">
        <f>IFERROR(__xludf.DUMMYFUNCTION("""COMPUTED_VALUE"""),"find-all-k-distant-indices-in-an-array")</f>
        <v>find-all-k-distant-indices-in-an-array</v>
      </c>
      <c r="D2201" s="23" t="b">
        <f>IFERROR(__xludf.DUMMYFUNCTION("""COMPUTED_VALUE"""),FALSE)</f>
        <v>0</v>
      </c>
      <c r="E2201" s="23" t="str">
        <f>IFERROR(__xludf.DUMMYFUNCTION("""COMPUTED_VALUE"""),"Easy")</f>
        <v>Easy</v>
      </c>
      <c r="F2201" s="23">
        <f>IFERROR(__xludf.DUMMYFUNCTION("""COMPUTED_VALUE"""),190.0)</f>
        <v>190</v>
      </c>
      <c r="G2201" s="23">
        <f>IFERROR(__xludf.DUMMYFUNCTION("""COMPUTED_VALUE"""),27.0)</f>
        <v>27</v>
      </c>
      <c r="H2201" s="23" t="str">
        <f>IFERROR(__xludf.DUMMYFUNCTION("""COMPUTED_VALUE"""),"Algorithms")</f>
        <v>Algorithms</v>
      </c>
      <c r="I2201" s="23">
        <f>IFERROR(__xludf.DUMMYFUNCTION("""COMPUTED_VALUE"""),0.641)</f>
        <v>0.641</v>
      </c>
      <c r="J2201" s="23">
        <f>IFERROR(__xludf.DUMMYFUNCTION("""COMPUTED_VALUE"""),2200.0)</f>
        <v>2200</v>
      </c>
      <c r="K2201" s="23" t="b">
        <f>IFERROR(__xludf.DUMMYFUNCTION("""COMPUTED_VALUE"""),FALSE)</f>
        <v>0</v>
      </c>
      <c r="L2201" s="23" t="str">
        <f>IFERROR(__xludf.DUMMYFUNCTION("""COMPUTED_VALUE"""),"Array;")</f>
        <v>Array;</v>
      </c>
      <c r="M2201" s="23" t="b">
        <f>IFERROR(__xludf.DUMMYFUNCTION("""COMPUTED_VALUE"""),FALSE)</f>
        <v>0</v>
      </c>
      <c r="N2201" s="23" t="b">
        <f>IFERROR(__xludf.DUMMYFUNCTION("""COMPUTED_VALUE"""),FALSE)</f>
        <v>0</v>
      </c>
      <c r="O2201" s="23">
        <f>IFERROR(__xludf.DUMMYFUNCTION("""COMPUTED_VALUE"""),64.1363942885624)</f>
        <v>64.13639429</v>
      </c>
      <c r="P2201" s="23">
        <f>IFERROR(__xludf.DUMMYFUNCTION("""COMPUTED_VALUE"""),21875.0)</f>
        <v>21875</v>
      </c>
      <c r="Q2201" s="23">
        <f>IFERROR(__xludf.DUMMYFUNCTION("""COMPUTED_VALUE"""),34107.0)</f>
        <v>34107</v>
      </c>
    </row>
    <row r="2202">
      <c r="A2202" s="23">
        <f>IFERROR(__xludf.DUMMYFUNCTION("""COMPUTED_VALUE"""),1312.0)</f>
        <v>1312</v>
      </c>
      <c r="B2202" s="23" t="str">
        <f>IFERROR(__xludf.DUMMYFUNCTION("""COMPUTED_VALUE"""),"Count Artifacts That Can Be Extracted")</f>
        <v>Count Artifacts That Can Be Extracted</v>
      </c>
      <c r="C2202" s="23" t="str">
        <f>IFERROR(__xludf.DUMMYFUNCTION("""COMPUTED_VALUE"""),"count-artifacts-that-can-be-extracted")</f>
        <v>count-artifacts-that-can-be-extracted</v>
      </c>
      <c r="D2202" s="23" t="b">
        <f>IFERROR(__xludf.DUMMYFUNCTION("""COMPUTED_VALUE"""),FALSE)</f>
        <v>0</v>
      </c>
      <c r="E2202" s="23" t="str">
        <f>IFERROR(__xludf.DUMMYFUNCTION("""COMPUTED_VALUE"""),"Medium")</f>
        <v>Medium</v>
      </c>
      <c r="F2202" s="23">
        <f>IFERROR(__xludf.DUMMYFUNCTION("""COMPUTED_VALUE"""),126.0)</f>
        <v>126</v>
      </c>
      <c r="G2202" s="23">
        <f>IFERROR(__xludf.DUMMYFUNCTION("""COMPUTED_VALUE"""),149.0)</f>
        <v>149</v>
      </c>
      <c r="H2202" s="23" t="str">
        <f>IFERROR(__xludf.DUMMYFUNCTION("""COMPUTED_VALUE"""),"Algorithms")</f>
        <v>Algorithms</v>
      </c>
      <c r="I2202" s="23">
        <f>IFERROR(__xludf.DUMMYFUNCTION("""COMPUTED_VALUE"""),0.539)</f>
        <v>0.539</v>
      </c>
      <c r="J2202" s="23">
        <f>IFERROR(__xludf.DUMMYFUNCTION("""COMPUTED_VALUE"""),2201.0)</f>
        <v>2201</v>
      </c>
      <c r="K2202" s="23" t="b">
        <f>IFERROR(__xludf.DUMMYFUNCTION("""COMPUTED_VALUE"""),FALSE)</f>
        <v>0</v>
      </c>
      <c r="L2202" s="23" t="str">
        <f>IFERROR(__xludf.DUMMYFUNCTION("""COMPUTED_VALUE"""),"Array;Hash Table;Simulation;")</f>
        <v>Array;Hash Table;Simulation;</v>
      </c>
      <c r="M2202" s="23" t="b">
        <f>IFERROR(__xludf.DUMMYFUNCTION("""COMPUTED_VALUE"""),FALSE)</f>
        <v>0</v>
      </c>
      <c r="N2202" s="23" t="b">
        <f>IFERROR(__xludf.DUMMYFUNCTION("""COMPUTED_VALUE"""),FALSE)</f>
        <v>0</v>
      </c>
      <c r="O2202" s="23">
        <f>IFERROR(__xludf.DUMMYFUNCTION("""COMPUTED_VALUE"""),53.8692886061307)</f>
        <v>53.86928861</v>
      </c>
      <c r="P2202" s="23">
        <f>IFERROR(__xludf.DUMMYFUNCTION("""COMPUTED_VALUE"""),13971.0)</f>
        <v>13971</v>
      </c>
      <c r="Q2202" s="23">
        <f>IFERROR(__xludf.DUMMYFUNCTION("""COMPUTED_VALUE"""),25935.0)</f>
        <v>25935</v>
      </c>
    </row>
    <row r="2203">
      <c r="A2203" s="23">
        <f>IFERROR(__xludf.DUMMYFUNCTION("""COMPUTED_VALUE"""),1346.0)</f>
        <v>1346</v>
      </c>
      <c r="B2203" s="23" t="str">
        <f>IFERROR(__xludf.DUMMYFUNCTION("""COMPUTED_VALUE"""),"Maximize the Topmost Element After K Moves")</f>
        <v>Maximize the Topmost Element After K Moves</v>
      </c>
      <c r="C2203" s="23" t="str">
        <f>IFERROR(__xludf.DUMMYFUNCTION("""COMPUTED_VALUE"""),"maximize-the-topmost-element-after-k-moves")</f>
        <v>maximize-the-topmost-element-after-k-moves</v>
      </c>
      <c r="D2203" s="23" t="b">
        <f>IFERROR(__xludf.DUMMYFUNCTION("""COMPUTED_VALUE"""),FALSE)</f>
        <v>0</v>
      </c>
      <c r="E2203" s="23" t="str">
        <f>IFERROR(__xludf.DUMMYFUNCTION("""COMPUTED_VALUE"""),"Medium")</f>
        <v>Medium</v>
      </c>
      <c r="F2203" s="23">
        <f>IFERROR(__xludf.DUMMYFUNCTION("""COMPUTED_VALUE"""),280.0)</f>
        <v>280</v>
      </c>
      <c r="G2203" s="23">
        <f>IFERROR(__xludf.DUMMYFUNCTION("""COMPUTED_VALUE"""),193.0)</f>
        <v>193</v>
      </c>
      <c r="H2203" s="23" t="str">
        <f>IFERROR(__xludf.DUMMYFUNCTION("""COMPUTED_VALUE"""),"Algorithms")</f>
        <v>Algorithms</v>
      </c>
      <c r="I2203" s="23">
        <f>IFERROR(__xludf.DUMMYFUNCTION("""COMPUTED_VALUE"""),0.219)</f>
        <v>0.219</v>
      </c>
      <c r="J2203" s="23">
        <f>IFERROR(__xludf.DUMMYFUNCTION("""COMPUTED_VALUE"""),2202.0)</f>
        <v>2202</v>
      </c>
      <c r="K2203" s="23" t="b">
        <f>IFERROR(__xludf.DUMMYFUNCTION("""COMPUTED_VALUE"""),FALSE)</f>
        <v>0</v>
      </c>
      <c r="L2203" s="23" t="str">
        <f>IFERROR(__xludf.DUMMYFUNCTION("""COMPUTED_VALUE"""),"Array;Greedy;")</f>
        <v>Array;Greedy;</v>
      </c>
      <c r="M2203" s="23" t="b">
        <f>IFERROR(__xludf.DUMMYFUNCTION("""COMPUTED_VALUE"""),FALSE)</f>
        <v>0</v>
      </c>
      <c r="N2203" s="23" t="b">
        <f>IFERROR(__xludf.DUMMYFUNCTION("""COMPUTED_VALUE"""),FALSE)</f>
        <v>0</v>
      </c>
      <c r="O2203" s="23">
        <f>IFERROR(__xludf.DUMMYFUNCTION("""COMPUTED_VALUE"""),21.8675845905961)</f>
        <v>21.86758459</v>
      </c>
      <c r="P2203" s="23">
        <f>IFERROR(__xludf.DUMMYFUNCTION("""COMPUTED_VALUE"""),14929.0)</f>
        <v>14929</v>
      </c>
      <c r="Q2203" s="23">
        <f>IFERROR(__xludf.DUMMYFUNCTION("""COMPUTED_VALUE"""),68270.0)</f>
        <v>68270</v>
      </c>
    </row>
    <row r="2204">
      <c r="A2204" s="23">
        <f>IFERROR(__xludf.DUMMYFUNCTION("""COMPUTED_VALUE"""),2321.0)</f>
        <v>2321</v>
      </c>
      <c r="B2204" s="23" t="str">
        <f>IFERROR(__xludf.DUMMYFUNCTION("""COMPUTED_VALUE"""),"Minimum Weighted Subgraph With the Required Paths")</f>
        <v>Minimum Weighted Subgraph With the Required Paths</v>
      </c>
      <c r="C2204" s="23" t="str">
        <f>IFERROR(__xludf.DUMMYFUNCTION("""COMPUTED_VALUE"""),"minimum-weighted-subgraph-with-the-required-paths")</f>
        <v>minimum-weighted-subgraph-with-the-required-paths</v>
      </c>
      <c r="D2204" s="23" t="b">
        <f>IFERROR(__xludf.DUMMYFUNCTION("""COMPUTED_VALUE"""),FALSE)</f>
        <v>0</v>
      </c>
      <c r="E2204" s="23" t="str">
        <f>IFERROR(__xludf.DUMMYFUNCTION("""COMPUTED_VALUE"""),"Hard")</f>
        <v>Hard</v>
      </c>
      <c r="F2204" s="23">
        <f>IFERROR(__xludf.DUMMYFUNCTION("""COMPUTED_VALUE"""),376.0)</f>
        <v>376</v>
      </c>
      <c r="G2204" s="23">
        <f>IFERROR(__xludf.DUMMYFUNCTION("""COMPUTED_VALUE"""),11.0)</f>
        <v>11</v>
      </c>
      <c r="H2204" s="23" t="str">
        <f>IFERROR(__xludf.DUMMYFUNCTION("""COMPUTED_VALUE"""),"Algorithms")</f>
        <v>Algorithms</v>
      </c>
      <c r="I2204" s="23">
        <f>IFERROR(__xludf.DUMMYFUNCTION("""COMPUTED_VALUE"""),0.352)</f>
        <v>0.352</v>
      </c>
      <c r="J2204" s="23">
        <f>IFERROR(__xludf.DUMMYFUNCTION("""COMPUTED_VALUE"""),2203.0)</f>
        <v>2203</v>
      </c>
      <c r="K2204" s="23" t="b">
        <f>IFERROR(__xludf.DUMMYFUNCTION("""COMPUTED_VALUE"""),FALSE)</f>
        <v>0</v>
      </c>
      <c r="L2204" s="23" t="str">
        <f>IFERROR(__xludf.DUMMYFUNCTION("""COMPUTED_VALUE"""),"Graph;Shortest Path;")</f>
        <v>Graph;Shortest Path;</v>
      </c>
      <c r="M2204" s="23" t="b">
        <f>IFERROR(__xludf.DUMMYFUNCTION("""COMPUTED_VALUE"""),FALSE)</f>
        <v>0</v>
      </c>
      <c r="N2204" s="23" t="b">
        <f>IFERROR(__xludf.DUMMYFUNCTION("""COMPUTED_VALUE"""),FALSE)</f>
        <v>0</v>
      </c>
      <c r="O2204" s="23">
        <f>IFERROR(__xludf.DUMMYFUNCTION("""COMPUTED_VALUE"""),35.2012674568712)</f>
        <v>35.20126746</v>
      </c>
      <c r="P2204" s="23">
        <f>IFERROR(__xludf.DUMMYFUNCTION("""COMPUTED_VALUE"""),5999.0)</f>
        <v>5999</v>
      </c>
      <c r="Q2204" s="23">
        <f>IFERROR(__xludf.DUMMYFUNCTION("""COMPUTED_VALUE"""),17042.0)</f>
        <v>17042</v>
      </c>
    </row>
    <row r="2205">
      <c r="A2205" s="23">
        <f>IFERROR(__xludf.DUMMYFUNCTION("""COMPUTED_VALUE"""),1347.0)</f>
        <v>1347</v>
      </c>
      <c r="B2205" s="23" t="str">
        <f>IFERROR(__xludf.DUMMYFUNCTION("""COMPUTED_VALUE"""),"Distance to a Cycle in Undirected Graph")</f>
        <v>Distance to a Cycle in Undirected Graph</v>
      </c>
      <c r="C2205" s="23" t="str">
        <f>IFERROR(__xludf.DUMMYFUNCTION("""COMPUTED_VALUE"""),"distance-to-a-cycle-in-undirected-graph")</f>
        <v>distance-to-a-cycle-in-undirected-graph</v>
      </c>
      <c r="D2205" s="23" t="b">
        <f>IFERROR(__xludf.DUMMYFUNCTION("""COMPUTED_VALUE"""),TRUE)</f>
        <v>1</v>
      </c>
      <c r="E2205" s="23" t="str">
        <f>IFERROR(__xludf.DUMMYFUNCTION("""COMPUTED_VALUE"""),"Hard")</f>
        <v>Hard</v>
      </c>
      <c r="F2205" s="23">
        <f>IFERROR(__xludf.DUMMYFUNCTION("""COMPUTED_VALUE"""),29.0)</f>
        <v>29</v>
      </c>
      <c r="G2205" s="23">
        <f>IFERROR(__xludf.DUMMYFUNCTION("""COMPUTED_VALUE"""),4.0)</f>
        <v>4</v>
      </c>
      <c r="H2205" s="23" t="str">
        <f>IFERROR(__xludf.DUMMYFUNCTION("""COMPUTED_VALUE"""),"Algorithms")</f>
        <v>Algorithms</v>
      </c>
      <c r="I2205" s="23">
        <f>IFERROR(__xludf.DUMMYFUNCTION("""COMPUTED_VALUE"""),0.69)</f>
        <v>0.69</v>
      </c>
      <c r="J2205" s="23">
        <f>IFERROR(__xludf.DUMMYFUNCTION("""COMPUTED_VALUE"""),2204.0)</f>
        <v>2204</v>
      </c>
      <c r="K2205" s="23" t="b">
        <f>IFERROR(__xludf.DUMMYFUNCTION("""COMPUTED_VALUE"""),TRUE)</f>
        <v>1</v>
      </c>
      <c r="L2205" s="23" t="str">
        <f>IFERROR(__xludf.DUMMYFUNCTION("""COMPUTED_VALUE"""),"Depth-First Search;Breadth-First Search;Union Find;Graph;")</f>
        <v>Depth-First Search;Breadth-First Search;Union Find;Graph;</v>
      </c>
      <c r="M2205" s="23" t="b">
        <f>IFERROR(__xludf.DUMMYFUNCTION("""COMPUTED_VALUE"""),FALSE)</f>
        <v>0</v>
      </c>
      <c r="N2205" s="23" t="b">
        <f>IFERROR(__xludf.DUMMYFUNCTION("""COMPUTED_VALUE"""),FALSE)</f>
        <v>0</v>
      </c>
      <c r="O2205" s="23">
        <f>IFERROR(__xludf.DUMMYFUNCTION("""COMPUTED_VALUE"""),68.978102189781)</f>
        <v>68.97810219</v>
      </c>
      <c r="P2205" s="23">
        <f>IFERROR(__xludf.DUMMYFUNCTION("""COMPUTED_VALUE"""),567.0)</f>
        <v>567</v>
      </c>
      <c r="Q2205" s="23">
        <f>IFERROR(__xludf.DUMMYFUNCTION("""COMPUTED_VALUE"""),822.0)</f>
        <v>822</v>
      </c>
    </row>
    <row r="2206">
      <c r="A2206" s="23">
        <f>IFERROR(__xludf.DUMMYFUNCTION("""COMPUTED_VALUE"""),2336.0)</f>
        <v>2336</v>
      </c>
      <c r="B2206" s="23" t="str">
        <f>IFERROR(__xludf.DUMMYFUNCTION("""COMPUTED_VALUE"""),"The Number of Users That Are Eligible for Discount")</f>
        <v>The Number of Users That Are Eligible for Discount</v>
      </c>
      <c r="C2206" s="23" t="str">
        <f>IFERROR(__xludf.DUMMYFUNCTION("""COMPUTED_VALUE"""),"the-number-of-users-that-are-eligible-for-discount")</f>
        <v>the-number-of-users-that-are-eligible-for-discount</v>
      </c>
      <c r="D2206" s="23" t="b">
        <f>IFERROR(__xludf.DUMMYFUNCTION("""COMPUTED_VALUE"""),TRUE)</f>
        <v>1</v>
      </c>
      <c r="E2206" s="23" t="str">
        <f>IFERROR(__xludf.DUMMYFUNCTION("""COMPUTED_VALUE"""),"Easy")</f>
        <v>Easy</v>
      </c>
      <c r="F2206" s="23">
        <f>IFERROR(__xludf.DUMMYFUNCTION("""COMPUTED_VALUE"""),9.0)</f>
        <v>9</v>
      </c>
      <c r="G2206" s="23">
        <f>IFERROR(__xludf.DUMMYFUNCTION("""COMPUTED_VALUE"""),15.0)</f>
        <v>15</v>
      </c>
      <c r="H2206" s="23" t="str">
        <f>IFERROR(__xludf.DUMMYFUNCTION("""COMPUTED_VALUE"""),"Database")</f>
        <v>Database</v>
      </c>
      <c r="I2206" s="23">
        <f>IFERROR(__xludf.DUMMYFUNCTION("""COMPUTED_VALUE"""),0.486)</f>
        <v>0.486</v>
      </c>
      <c r="J2206" s="23">
        <f>IFERROR(__xludf.DUMMYFUNCTION("""COMPUTED_VALUE"""),2205.0)</f>
        <v>2205</v>
      </c>
      <c r="K2206" s="23" t="b">
        <f>IFERROR(__xludf.DUMMYFUNCTION("""COMPUTED_VALUE"""),TRUE)</f>
        <v>1</v>
      </c>
      <c r="L2206" s="23" t="str">
        <f>IFERROR(__xludf.DUMMYFUNCTION("""COMPUTED_VALUE"""),"Database;")</f>
        <v>Database;</v>
      </c>
      <c r="M2206" s="23" t="b">
        <f>IFERROR(__xludf.DUMMYFUNCTION("""COMPUTED_VALUE"""),FALSE)</f>
        <v>0</v>
      </c>
      <c r="N2206" s="23" t="b">
        <f>IFERROR(__xludf.DUMMYFUNCTION("""COMPUTED_VALUE"""),FALSE)</f>
        <v>0</v>
      </c>
      <c r="O2206" s="23">
        <f>IFERROR(__xludf.DUMMYFUNCTION("""COMPUTED_VALUE"""),48.5604606525911)</f>
        <v>48.56046065</v>
      </c>
      <c r="P2206" s="23">
        <f>IFERROR(__xludf.DUMMYFUNCTION("""COMPUTED_VALUE"""),1012.0)</f>
        <v>1012</v>
      </c>
      <c r="Q2206" s="23">
        <f>IFERROR(__xludf.DUMMYFUNCTION("""COMPUTED_VALUE"""),2084.0)</f>
        <v>2084</v>
      </c>
    </row>
    <row r="2207">
      <c r="A2207" s="23">
        <f>IFERROR(__xludf.DUMMYFUNCTION("""COMPUTED_VALUE"""),2308.0)</f>
        <v>2308</v>
      </c>
      <c r="B2207" s="23" t="str">
        <f>IFERROR(__xludf.DUMMYFUNCTION("""COMPUTED_VALUE"""),"Divide Array Into Equal Pairs")</f>
        <v>Divide Array Into Equal Pairs</v>
      </c>
      <c r="C2207" s="23" t="str">
        <f>IFERROR(__xludf.DUMMYFUNCTION("""COMPUTED_VALUE"""),"divide-array-into-equal-pairs")</f>
        <v>divide-array-into-equal-pairs</v>
      </c>
      <c r="D2207" s="23" t="b">
        <f>IFERROR(__xludf.DUMMYFUNCTION("""COMPUTED_VALUE"""),FALSE)</f>
        <v>0</v>
      </c>
      <c r="E2207" s="23" t="str">
        <f>IFERROR(__xludf.DUMMYFUNCTION("""COMPUTED_VALUE"""),"Easy")</f>
        <v>Easy</v>
      </c>
      <c r="F2207" s="23">
        <f>IFERROR(__xludf.DUMMYFUNCTION("""COMPUTED_VALUE"""),169.0)</f>
        <v>169</v>
      </c>
      <c r="G2207" s="23">
        <f>IFERROR(__xludf.DUMMYFUNCTION("""COMPUTED_VALUE"""),5.0)</f>
        <v>5</v>
      </c>
      <c r="H2207" s="23" t="str">
        <f>IFERROR(__xludf.DUMMYFUNCTION("""COMPUTED_VALUE"""),"Algorithms")</f>
        <v>Algorithms</v>
      </c>
      <c r="I2207" s="23">
        <f>IFERROR(__xludf.DUMMYFUNCTION("""COMPUTED_VALUE"""),0.772)</f>
        <v>0.772</v>
      </c>
      <c r="J2207" s="23">
        <f>IFERROR(__xludf.DUMMYFUNCTION("""COMPUTED_VALUE"""),2206.0)</f>
        <v>2206</v>
      </c>
      <c r="K2207" s="23" t="b">
        <f>IFERROR(__xludf.DUMMYFUNCTION("""COMPUTED_VALUE"""),FALSE)</f>
        <v>0</v>
      </c>
      <c r="L2207" s="23" t="str">
        <f>IFERROR(__xludf.DUMMYFUNCTION("""COMPUTED_VALUE"""),"Array;Hash Table;Bit Manipulation;Counting;")</f>
        <v>Array;Hash Table;Bit Manipulation;Counting;</v>
      </c>
      <c r="M2207" s="23" t="b">
        <f>IFERROR(__xludf.DUMMYFUNCTION("""COMPUTED_VALUE"""),FALSE)</f>
        <v>0</v>
      </c>
      <c r="N2207" s="23" t="b">
        <f>IFERROR(__xludf.DUMMYFUNCTION("""COMPUTED_VALUE"""),FALSE)</f>
        <v>0</v>
      </c>
      <c r="O2207" s="23">
        <f>IFERROR(__xludf.DUMMYFUNCTION("""COMPUTED_VALUE"""),77.2007138434643)</f>
        <v>77.20071384</v>
      </c>
      <c r="P2207" s="23">
        <f>IFERROR(__xludf.DUMMYFUNCTION("""COMPUTED_VALUE"""),21196.0)</f>
        <v>21196</v>
      </c>
      <c r="Q2207" s="23">
        <f>IFERROR(__xludf.DUMMYFUNCTION("""COMPUTED_VALUE"""),27456.0)</f>
        <v>27456</v>
      </c>
    </row>
    <row r="2208">
      <c r="A2208" s="23">
        <f>IFERROR(__xludf.DUMMYFUNCTION("""COMPUTED_VALUE"""),2309.0)</f>
        <v>2309</v>
      </c>
      <c r="B2208" s="23" t="str">
        <f>IFERROR(__xludf.DUMMYFUNCTION("""COMPUTED_VALUE"""),"Maximize Number of Subsequences in a String")</f>
        <v>Maximize Number of Subsequences in a String</v>
      </c>
      <c r="C2208" s="23" t="str">
        <f>IFERROR(__xludf.DUMMYFUNCTION("""COMPUTED_VALUE"""),"maximize-number-of-subsequences-in-a-string")</f>
        <v>maximize-number-of-subsequences-in-a-string</v>
      </c>
      <c r="D2208" s="23" t="b">
        <f>IFERROR(__xludf.DUMMYFUNCTION("""COMPUTED_VALUE"""),FALSE)</f>
        <v>0</v>
      </c>
      <c r="E2208" s="23" t="str">
        <f>IFERROR(__xludf.DUMMYFUNCTION("""COMPUTED_VALUE"""),"Medium")</f>
        <v>Medium</v>
      </c>
      <c r="F2208" s="23">
        <f>IFERROR(__xludf.DUMMYFUNCTION("""COMPUTED_VALUE"""),217.0)</f>
        <v>217</v>
      </c>
      <c r="G2208" s="23">
        <f>IFERROR(__xludf.DUMMYFUNCTION("""COMPUTED_VALUE"""),12.0)</f>
        <v>12</v>
      </c>
      <c r="H2208" s="23" t="str">
        <f>IFERROR(__xludf.DUMMYFUNCTION("""COMPUTED_VALUE"""),"Algorithms")</f>
        <v>Algorithms</v>
      </c>
      <c r="I2208" s="23">
        <f>IFERROR(__xludf.DUMMYFUNCTION("""COMPUTED_VALUE"""),0.309)</f>
        <v>0.309</v>
      </c>
      <c r="J2208" s="23">
        <f>IFERROR(__xludf.DUMMYFUNCTION("""COMPUTED_VALUE"""),2207.0)</f>
        <v>2207</v>
      </c>
      <c r="K2208" s="23" t="b">
        <f>IFERROR(__xludf.DUMMYFUNCTION("""COMPUTED_VALUE"""),FALSE)</f>
        <v>0</v>
      </c>
      <c r="L2208" s="23" t="str">
        <f>IFERROR(__xludf.DUMMYFUNCTION("""COMPUTED_VALUE"""),"String;Greedy;Prefix Sum;")</f>
        <v>String;Greedy;Prefix Sum;</v>
      </c>
      <c r="M2208" s="23" t="b">
        <f>IFERROR(__xludf.DUMMYFUNCTION("""COMPUTED_VALUE"""),FALSE)</f>
        <v>0</v>
      </c>
      <c r="N2208" s="23" t="b">
        <f>IFERROR(__xludf.DUMMYFUNCTION("""COMPUTED_VALUE"""),FALSE)</f>
        <v>0</v>
      </c>
      <c r="O2208" s="23">
        <f>IFERROR(__xludf.DUMMYFUNCTION("""COMPUTED_VALUE"""),30.8912886969042)</f>
        <v>30.8912887</v>
      </c>
      <c r="P2208" s="23">
        <f>IFERROR(__xludf.DUMMYFUNCTION("""COMPUTED_VALUE"""),10727.0)</f>
        <v>10727</v>
      </c>
      <c r="Q2208" s="23">
        <f>IFERROR(__xludf.DUMMYFUNCTION("""COMPUTED_VALUE"""),34725.0)</f>
        <v>34725</v>
      </c>
    </row>
    <row r="2209">
      <c r="A2209" s="23">
        <f>IFERROR(__xludf.DUMMYFUNCTION("""COMPUTED_VALUE"""),2310.0)</f>
        <v>2310</v>
      </c>
      <c r="B2209" s="23" t="str">
        <f>IFERROR(__xludf.DUMMYFUNCTION("""COMPUTED_VALUE"""),"Minimum Operations to Halve Array Sum")</f>
        <v>Minimum Operations to Halve Array Sum</v>
      </c>
      <c r="C2209" s="23" t="str">
        <f>IFERROR(__xludf.DUMMYFUNCTION("""COMPUTED_VALUE"""),"minimum-operations-to-halve-array-sum")</f>
        <v>minimum-operations-to-halve-array-sum</v>
      </c>
      <c r="D2209" s="23" t="b">
        <f>IFERROR(__xludf.DUMMYFUNCTION("""COMPUTED_VALUE"""),FALSE)</f>
        <v>0</v>
      </c>
      <c r="E2209" s="23" t="str">
        <f>IFERROR(__xludf.DUMMYFUNCTION("""COMPUTED_VALUE"""),"Medium")</f>
        <v>Medium</v>
      </c>
      <c r="F2209" s="23">
        <f>IFERROR(__xludf.DUMMYFUNCTION("""COMPUTED_VALUE"""),205.0)</f>
        <v>205</v>
      </c>
      <c r="G2209" s="23">
        <f>IFERROR(__xludf.DUMMYFUNCTION("""COMPUTED_VALUE"""),9.0)</f>
        <v>9</v>
      </c>
      <c r="H2209" s="23" t="str">
        <f>IFERROR(__xludf.DUMMYFUNCTION("""COMPUTED_VALUE"""),"Algorithms")</f>
        <v>Algorithms</v>
      </c>
      <c r="I2209" s="23">
        <f>IFERROR(__xludf.DUMMYFUNCTION("""COMPUTED_VALUE"""),0.436)</f>
        <v>0.436</v>
      </c>
      <c r="J2209" s="23">
        <f>IFERROR(__xludf.DUMMYFUNCTION("""COMPUTED_VALUE"""),2208.0)</f>
        <v>2208</v>
      </c>
      <c r="K2209" s="23" t="b">
        <f>IFERROR(__xludf.DUMMYFUNCTION("""COMPUTED_VALUE"""),FALSE)</f>
        <v>0</v>
      </c>
      <c r="L2209" s="23" t="str">
        <f>IFERROR(__xludf.DUMMYFUNCTION("""COMPUTED_VALUE"""),"Array;Greedy;Heap (Priority Queue);")</f>
        <v>Array;Greedy;Heap (Priority Queue);</v>
      </c>
      <c r="M2209" s="23" t="b">
        <f>IFERROR(__xludf.DUMMYFUNCTION("""COMPUTED_VALUE"""),FALSE)</f>
        <v>0</v>
      </c>
      <c r="N2209" s="23" t="b">
        <f>IFERROR(__xludf.DUMMYFUNCTION("""COMPUTED_VALUE"""),FALSE)</f>
        <v>0</v>
      </c>
      <c r="O2209" s="23">
        <f>IFERROR(__xludf.DUMMYFUNCTION("""COMPUTED_VALUE"""),43.5702010012702)</f>
        <v>43.570201</v>
      </c>
      <c r="P2209" s="23">
        <f>IFERROR(__xludf.DUMMYFUNCTION("""COMPUTED_VALUE"""),11662.0)</f>
        <v>11662</v>
      </c>
      <c r="Q2209" s="23">
        <f>IFERROR(__xludf.DUMMYFUNCTION("""COMPUTED_VALUE"""),26766.0)</f>
        <v>26766</v>
      </c>
    </row>
    <row r="2210">
      <c r="A2210" s="23">
        <f>IFERROR(__xludf.DUMMYFUNCTION("""COMPUTED_VALUE"""),2311.0)</f>
        <v>2311</v>
      </c>
      <c r="B2210" s="23" t="str">
        <f>IFERROR(__xludf.DUMMYFUNCTION("""COMPUTED_VALUE"""),"Minimum White Tiles After Covering With Carpets")</f>
        <v>Minimum White Tiles After Covering With Carpets</v>
      </c>
      <c r="C2210" s="23" t="str">
        <f>IFERROR(__xludf.DUMMYFUNCTION("""COMPUTED_VALUE"""),"minimum-white-tiles-after-covering-with-carpets")</f>
        <v>minimum-white-tiles-after-covering-with-carpets</v>
      </c>
      <c r="D2210" s="23" t="b">
        <f>IFERROR(__xludf.DUMMYFUNCTION("""COMPUTED_VALUE"""),FALSE)</f>
        <v>0</v>
      </c>
      <c r="E2210" s="23" t="str">
        <f>IFERROR(__xludf.DUMMYFUNCTION("""COMPUTED_VALUE"""),"Hard")</f>
        <v>Hard</v>
      </c>
      <c r="F2210" s="23">
        <f>IFERROR(__xludf.DUMMYFUNCTION("""COMPUTED_VALUE"""),263.0)</f>
        <v>263</v>
      </c>
      <c r="G2210" s="23">
        <f>IFERROR(__xludf.DUMMYFUNCTION("""COMPUTED_VALUE"""),11.0)</f>
        <v>11</v>
      </c>
      <c r="H2210" s="23" t="str">
        <f>IFERROR(__xludf.DUMMYFUNCTION("""COMPUTED_VALUE"""),"Algorithms")</f>
        <v>Algorithms</v>
      </c>
      <c r="I2210" s="23">
        <f>IFERROR(__xludf.DUMMYFUNCTION("""COMPUTED_VALUE"""),0.315)</f>
        <v>0.315</v>
      </c>
      <c r="J2210" s="23">
        <f>IFERROR(__xludf.DUMMYFUNCTION("""COMPUTED_VALUE"""),2209.0)</f>
        <v>2209</v>
      </c>
      <c r="K2210" s="23" t="b">
        <f>IFERROR(__xludf.DUMMYFUNCTION("""COMPUTED_VALUE"""),FALSE)</f>
        <v>0</v>
      </c>
      <c r="L2210" s="23" t="str">
        <f>IFERROR(__xludf.DUMMYFUNCTION("""COMPUTED_VALUE"""),"String;Dynamic Programming;Prefix Sum;")</f>
        <v>String;Dynamic Programming;Prefix Sum;</v>
      </c>
      <c r="M2210" s="23" t="b">
        <f>IFERROR(__xludf.DUMMYFUNCTION("""COMPUTED_VALUE"""),FALSE)</f>
        <v>0</v>
      </c>
      <c r="N2210" s="23" t="b">
        <f>IFERROR(__xludf.DUMMYFUNCTION("""COMPUTED_VALUE"""),FALSE)</f>
        <v>0</v>
      </c>
      <c r="O2210" s="23">
        <f>IFERROR(__xludf.DUMMYFUNCTION("""COMPUTED_VALUE"""),31.532147742818)</f>
        <v>31.53214774</v>
      </c>
      <c r="P2210" s="23">
        <f>IFERROR(__xludf.DUMMYFUNCTION("""COMPUTED_VALUE"""),6454.0)</f>
        <v>6454</v>
      </c>
      <c r="Q2210" s="23">
        <f>IFERROR(__xludf.DUMMYFUNCTION("""COMPUTED_VALUE"""),20468.0)</f>
        <v>20468</v>
      </c>
    </row>
    <row r="2211">
      <c r="A2211" s="23">
        <f>IFERROR(__xludf.DUMMYFUNCTION("""COMPUTED_VALUE"""),2316.0)</f>
        <v>2316</v>
      </c>
      <c r="B2211" s="23" t="str">
        <f>IFERROR(__xludf.DUMMYFUNCTION("""COMPUTED_VALUE"""),"Count Hills and Valleys in an Array")</f>
        <v>Count Hills and Valleys in an Array</v>
      </c>
      <c r="C2211" s="23" t="str">
        <f>IFERROR(__xludf.DUMMYFUNCTION("""COMPUTED_VALUE"""),"count-hills-and-valleys-in-an-array")</f>
        <v>count-hills-and-valleys-in-an-array</v>
      </c>
      <c r="D2211" s="23" t="b">
        <f>IFERROR(__xludf.DUMMYFUNCTION("""COMPUTED_VALUE"""),FALSE)</f>
        <v>0</v>
      </c>
      <c r="E2211" s="23" t="str">
        <f>IFERROR(__xludf.DUMMYFUNCTION("""COMPUTED_VALUE"""),"Easy")</f>
        <v>Easy</v>
      </c>
      <c r="F2211" s="23">
        <f>IFERROR(__xludf.DUMMYFUNCTION("""COMPUTED_VALUE"""),193.0)</f>
        <v>193</v>
      </c>
      <c r="G2211" s="23">
        <f>IFERROR(__xludf.DUMMYFUNCTION("""COMPUTED_VALUE"""),47.0)</f>
        <v>47</v>
      </c>
      <c r="H2211" s="23" t="str">
        <f>IFERROR(__xludf.DUMMYFUNCTION("""COMPUTED_VALUE"""),"Algorithms")</f>
        <v>Algorithms</v>
      </c>
      <c r="I2211" s="23">
        <f>IFERROR(__xludf.DUMMYFUNCTION("""COMPUTED_VALUE"""),0.565)</f>
        <v>0.565</v>
      </c>
      <c r="J2211" s="23">
        <f>IFERROR(__xludf.DUMMYFUNCTION("""COMPUTED_VALUE"""),2210.0)</f>
        <v>2210</v>
      </c>
      <c r="K2211" s="23" t="b">
        <f>IFERROR(__xludf.DUMMYFUNCTION("""COMPUTED_VALUE"""),FALSE)</f>
        <v>0</v>
      </c>
      <c r="L2211" s="23" t="str">
        <f>IFERROR(__xludf.DUMMYFUNCTION("""COMPUTED_VALUE"""),"Array;")</f>
        <v>Array;</v>
      </c>
      <c r="M2211" s="23" t="b">
        <f>IFERROR(__xludf.DUMMYFUNCTION("""COMPUTED_VALUE"""),FALSE)</f>
        <v>0</v>
      </c>
      <c r="N2211" s="23" t="b">
        <f>IFERROR(__xludf.DUMMYFUNCTION("""COMPUTED_VALUE"""),FALSE)</f>
        <v>0</v>
      </c>
      <c r="O2211" s="23">
        <f>IFERROR(__xludf.DUMMYFUNCTION("""COMPUTED_VALUE"""),56.4776945825206)</f>
        <v>56.47769458</v>
      </c>
      <c r="P2211" s="23">
        <f>IFERROR(__xludf.DUMMYFUNCTION("""COMPUTED_VALUE"""),17952.0)</f>
        <v>17952</v>
      </c>
      <c r="Q2211" s="23">
        <f>IFERROR(__xludf.DUMMYFUNCTION("""COMPUTED_VALUE"""),31786.0)</f>
        <v>31786</v>
      </c>
    </row>
    <row r="2212">
      <c r="A2212" s="23">
        <f>IFERROR(__xludf.DUMMYFUNCTION("""COMPUTED_VALUE"""),2317.0)</f>
        <v>2317</v>
      </c>
      <c r="B2212" s="23" t="str">
        <f>IFERROR(__xludf.DUMMYFUNCTION("""COMPUTED_VALUE"""),"Count Collisions on a Road")</f>
        <v>Count Collisions on a Road</v>
      </c>
      <c r="C2212" s="23" t="str">
        <f>IFERROR(__xludf.DUMMYFUNCTION("""COMPUTED_VALUE"""),"count-collisions-on-a-road")</f>
        <v>count-collisions-on-a-road</v>
      </c>
      <c r="D2212" s="23" t="b">
        <f>IFERROR(__xludf.DUMMYFUNCTION("""COMPUTED_VALUE"""),FALSE)</f>
        <v>0</v>
      </c>
      <c r="E2212" s="23" t="str">
        <f>IFERROR(__xludf.DUMMYFUNCTION("""COMPUTED_VALUE"""),"Medium")</f>
        <v>Medium</v>
      </c>
      <c r="F2212" s="23">
        <f>IFERROR(__xludf.DUMMYFUNCTION("""COMPUTED_VALUE"""),266.0)</f>
        <v>266</v>
      </c>
      <c r="G2212" s="23">
        <f>IFERROR(__xludf.DUMMYFUNCTION("""COMPUTED_VALUE"""),153.0)</f>
        <v>153</v>
      </c>
      <c r="H2212" s="23" t="str">
        <f>IFERROR(__xludf.DUMMYFUNCTION("""COMPUTED_VALUE"""),"Algorithms")</f>
        <v>Algorithms</v>
      </c>
      <c r="I2212" s="23">
        <f>IFERROR(__xludf.DUMMYFUNCTION("""COMPUTED_VALUE"""),0.399)</f>
        <v>0.399</v>
      </c>
      <c r="J2212" s="23">
        <f>IFERROR(__xludf.DUMMYFUNCTION("""COMPUTED_VALUE"""),2211.0)</f>
        <v>2211</v>
      </c>
      <c r="K2212" s="23" t="b">
        <f>IFERROR(__xludf.DUMMYFUNCTION("""COMPUTED_VALUE"""),FALSE)</f>
        <v>0</v>
      </c>
      <c r="L2212" s="23" t="str">
        <f>IFERROR(__xludf.DUMMYFUNCTION("""COMPUTED_VALUE"""),"String;Stack;")</f>
        <v>String;Stack;</v>
      </c>
      <c r="M2212" s="23" t="b">
        <f>IFERROR(__xludf.DUMMYFUNCTION("""COMPUTED_VALUE"""),FALSE)</f>
        <v>0</v>
      </c>
      <c r="N2212" s="23" t="b">
        <f>IFERROR(__xludf.DUMMYFUNCTION("""COMPUTED_VALUE"""),FALSE)</f>
        <v>0</v>
      </c>
      <c r="O2212" s="23">
        <f>IFERROR(__xludf.DUMMYFUNCTION("""COMPUTED_VALUE"""),39.8859162352357)</f>
        <v>39.88591624</v>
      </c>
      <c r="P2212" s="23">
        <f>IFERROR(__xludf.DUMMYFUNCTION("""COMPUTED_VALUE"""),12866.0)</f>
        <v>12866</v>
      </c>
      <c r="Q2212" s="23">
        <f>IFERROR(__xludf.DUMMYFUNCTION("""COMPUTED_VALUE"""),32257.0)</f>
        <v>32257</v>
      </c>
    </row>
    <row r="2213">
      <c r="A2213" s="23">
        <f>IFERROR(__xludf.DUMMYFUNCTION("""COMPUTED_VALUE"""),2318.0)</f>
        <v>2318</v>
      </c>
      <c r="B2213" s="23" t="str">
        <f>IFERROR(__xludf.DUMMYFUNCTION("""COMPUTED_VALUE"""),"Maximum Points in an Archery Competition")</f>
        <v>Maximum Points in an Archery Competition</v>
      </c>
      <c r="C2213" s="23" t="str">
        <f>IFERROR(__xludf.DUMMYFUNCTION("""COMPUTED_VALUE"""),"maximum-points-in-an-archery-competition")</f>
        <v>maximum-points-in-an-archery-competition</v>
      </c>
      <c r="D2213" s="23" t="b">
        <f>IFERROR(__xludf.DUMMYFUNCTION("""COMPUTED_VALUE"""),FALSE)</f>
        <v>0</v>
      </c>
      <c r="E2213" s="23" t="str">
        <f>IFERROR(__xludf.DUMMYFUNCTION("""COMPUTED_VALUE"""),"Medium")</f>
        <v>Medium</v>
      </c>
      <c r="F2213" s="23">
        <f>IFERROR(__xludf.DUMMYFUNCTION("""COMPUTED_VALUE"""),249.0)</f>
        <v>249</v>
      </c>
      <c r="G2213" s="23">
        <f>IFERROR(__xludf.DUMMYFUNCTION("""COMPUTED_VALUE"""),21.0)</f>
        <v>21</v>
      </c>
      <c r="H2213" s="23" t="str">
        <f>IFERROR(__xludf.DUMMYFUNCTION("""COMPUTED_VALUE"""),"Algorithms")</f>
        <v>Algorithms</v>
      </c>
      <c r="I2213" s="23">
        <f>IFERROR(__xludf.DUMMYFUNCTION("""COMPUTED_VALUE"""),0.474)</f>
        <v>0.474</v>
      </c>
      <c r="J2213" s="23">
        <f>IFERROR(__xludf.DUMMYFUNCTION("""COMPUTED_VALUE"""),2212.0)</f>
        <v>2212</v>
      </c>
      <c r="K2213" s="23" t="b">
        <f>IFERROR(__xludf.DUMMYFUNCTION("""COMPUTED_VALUE"""),FALSE)</f>
        <v>0</v>
      </c>
      <c r="L2213" s="23" t="str">
        <f>IFERROR(__xludf.DUMMYFUNCTION("""COMPUTED_VALUE"""),"Array;Bit Manipulation;Recursion;Enumeration;")</f>
        <v>Array;Bit Manipulation;Recursion;Enumeration;</v>
      </c>
      <c r="M2213" s="23" t="b">
        <f>IFERROR(__xludf.DUMMYFUNCTION("""COMPUTED_VALUE"""),FALSE)</f>
        <v>0</v>
      </c>
      <c r="N2213" s="23" t="b">
        <f>IFERROR(__xludf.DUMMYFUNCTION("""COMPUTED_VALUE"""),FALSE)</f>
        <v>0</v>
      </c>
      <c r="O2213" s="23">
        <f>IFERROR(__xludf.DUMMYFUNCTION("""COMPUTED_VALUE"""),47.3663675380413)</f>
        <v>47.36636754</v>
      </c>
      <c r="P2213" s="23">
        <f>IFERROR(__xludf.DUMMYFUNCTION("""COMPUTED_VALUE"""),8498.0)</f>
        <v>8498</v>
      </c>
      <c r="Q2213" s="23">
        <f>IFERROR(__xludf.DUMMYFUNCTION("""COMPUTED_VALUE"""),17941.0)</f>
        <v>17941</v>
      </c>
    </row>
    <row r="2214">
      <c r="A2214" s="23">
        <f>IFERROR(__xludf.DUMMYFUNCTION("""COMPUTED_VALUE"""),2319.0)</f>
        <v>2319</v>
      </c>
      <c r="B2214" s="23" t="str">
        <f>IFERROR(__xludf.DUMMYFUNCTION("""COMPUTED_VALUE"""),"Longest Substring of One Repeating Character")</f>
        <v>Longest Substring of One Repeating Character</v>
      </c>
      <c r="C2214" s="23" t="str">
        <f>IFERROR(__xludf.DUMMYFUNCTION("""COMPUTED_VALUE"""),"longest-substring-of-one-repeating-character")</f>
        <v>longest-substring-of-one-repeating-character</v>
      </c>
      <c r="D2214" s="23" t="b">
        <f>IFERROR(__xludf.DUMMYFUNCTION("""COMPUTED_VALUE"""),FALSE)</f>
        <v>0</v>
      </c>
      <c r="E2214" s="23" t="str">
        <f>IFERROR(__xludf.DUMMYFUNCTION("""COMPUTED_VALUE"""),"Hard")</f>
        <v>Hard</v>
      </c>
      <c r="F2214" s="23">
        <f>IFERROR(__xludf.DUMMYFUNCTION("""COMPUTED_VALUE"""),108.0)</f>
        <v>108</v>
      </c>
      <c r="G2214" s="23">
        <f>IFERROR(__xludf.DUMMYFUNCTION("""COMPUTED_VALUE"""),68.0)</f>
        <v>68</v>
      </c>
      <c r="H2214" s="23" t="str">
        <f>IFERROR(__xludf.DUMMYFUNCTION("""COMPUTED_VALUE"""),"Algorithms")</f>
        <v>Algorithms</v>
      </c>
      <c r="I2214" s="23">
        <f>IFERROR(__xludf.DUMMYFUNCTION("""COMPUTED_VALUE"""),0.285)</f>
        <v>0.285</v>
      </c>
      <c r="J2214" s="23">
        <f>IFERROR(__xludf.DUMMYFUNCTION("""COMPUTED_VALUE"""),2213.0)</f>
        <v>2213</v>
      </c>
      <c r="K2214" s="23" t="b">
        <f>IFERROR(__xludf.DUMMYFUNCTION("""COMPUTED_VALUE"""),FALSE)</f>
        <v>0</v>
      </c>
      <c r="L2214" s="23" t="str">
        <f>IFERROR(__xludf.DUMMYFUNCTION("""COMPUTED_VALUE"""),"Array;String;Segment Tree;Ordered Set;")</f>
        <v>Array;String;Segment Tree;Ordered Set;</v>
      </c>
      <c r="M2214" s="23" t="b">
        <f>IFERROR(__xludf.DUMMYFUNCTION("""COMPUTED_VALUE"""),FALSE)</f>
        <v>0</v>
      </c>
      <c r="N2214" s="23" t="b">
        <f>IFERROR(__xludf.DUMMYFUNCTION("""COMPUTED_VALUE"""),FALSE)</f>
        <v>0</v>
      </c>
      <c r="O2214" s="23">
        <f>IFERROR(__xludf.DUMMYFUNCTION("""COMPUTED_VALUE"""),28.5280069474598)</f>
        <v>28.52800695</v>
      </c>
      <c r="P2214" s="23">
        <f>IFERROR(__xludf.DUMMYFUNCTION("""COMPUTED_VALUE"""),1971.0)</f>
        <v>1971</v>
      </c>
      <c r="Q2214" s="23">
        <f>IFERROR(__xludf.DUMMYFUNCTION("""COMPUTED_VALUE"""),6909.0)</f>
        <v>6909</v>
      </c>
    </row>
    <row r="2215">
      <c r="A2215" s="23">
        <f>IFERROR(__xludf.DUMMYFUNCTION("""COMPUTED_VALUE"""),2354.0)</f>
        <v>2354</v>
      </c>
      <c r="B2215" s="23" t="str">
        <f>IFERROR(__xludf.DUMMYFUNCTION("""COMPUTED_VALUE"""),"Minimum Health to Beat Game")</f>
        <v>Minimum Health to Beat Game</v>
      </c>
      <c r="C2215" s="23" t="str">
        <f>IFERROR(__xludf.DUMMYFUNCTION("""COMPUTED_VALUE"""),"minimum-health-to-beat-game")</f>
        <v>minimum-health-to-beat-game</v>
      </c>
      <c r="D2215" s="23" t="b">
        <f>IFERROR(__xludf.DUMMYFUNCTION("""COMPUTED_VALUE"""),TRUE)</f>
        <v>1</v>
      </c>
      <c r="E2215" s="23" t="str">
        <f>IFERROR(__xludf.DUMMYFUNCTION("""COMPUTED_VALUE"""),"Medium")</f>
        <v>Medium</v>
      </c>
      <c r="F2215" s="23">
        <f>IFERROR(__xludf.DUMMYFUNCTION("""COMPUTED_VALUE"""),39.0)</f>
        <v>39</v>
      </c>
      <c r="G2215" s="23">
        <f>IFERROR(__xludf.DUMMYFUNCTION("""COMPUTED_VALUE"""),14.0)</f>
        <v>14</v>
      </c>
      <c r="H2215" s="23" t="str">
        <f>IFERROR(__xludf.DUMMYFUNCTION("""COMPUTED_VALUE"""),"Algorithms")</f>
        <v>Algorithms</v>
      </c>
      <c r="I2215" s="23">
        <f>IFERROR(__xludf.DUMMYFUNCTION("""COMPUTED_VALUE"""),0.576)</f>
        <v>0.576</v>
      </c>
      <c r="J2215" s="23">
        <f>IFERROR(__xludf.DUMMYFUNCTION("""COMPUTED_VALUE"""),2214.0)</f>
        <v>2214</v>
      </c>
      <c r="K2215" s="23" t="b">
        <f>IFERROR(__xludf.DUMMYFUNCTION("""COMPUTED_VALUE"""),TRUE)</f>
        <v>1</v>
      </c>
      <c r="L2215" s="23" t="str">
        <f>IFERROR(__xludf.DUMMYFUNCTION("""COMPUTED_VALUE"""),"Array;Greedy;Prefix Sum;")</f>
        <v>Array;Greedy;Prefix Sum;</v>
      </c>
      <c r="M2215" s="23" t="b">
        <f>IFERROR(__xludf.DUMMYFUNCTION("""COMPUTED_VALUE"""),FALSE)</f>
        <v>0</v>
      </c>
      <c r="N2215" s="23" t="b">
        <f>IFERROR(__xludf.DUMMYFUNCTION("""COMPUTED_VALUE"""),FALSE)</f>
        <v>0</v>
      </c>
      <c r="O2215" s="23">
        <f>IFERROR(__xludf.DUMMYFUNCTION("""COMPUTED_VALUE"""),57.6361221779548)</f>
        <v>57.63612218</v>
      </c>
      <c r="P2215" s="23">
        <f>IFERROR(__xludf.DUMMYFUNCTION("""COMPUTED_VALUE"""),1735.0)</f>
        <v>1735</v>
      </c>
      <c r="Q2215" s="23">
        <f>IFERROR(__xludf.DUMMYFUNCTION("""COMPUTED_VALUE"""),3011.0)</f>
        <v>3011</v>
      </c>
    </row>
    <row r="2216">
      <c r="A2216" s="23">
        <f>IFERROR(__xludf.DUMMYFUNCTION("""COMPUTED_VALUE"""),1392.0)</f>
        <v>1392</v>
      </c>
      <c r="B2216" s="23" t="str">
        <f>IFERROR(__xludf.DUMMYFUNCTION("""COMPUTED_VALUE"""),"Find the Difference of Two Arrays")</f>
        <v>Find the Difference of Two Arrays</v>
      </c>
      <c r="C2216" s="23" t="str">
        <f>IFERROR(__xludf.DUMMYFUNCTION("""COMPUTED_VALUE"""),"find-the-difference-of-two-arrays")</f>
        <v>find-the-difference-of-two-arrays</v>
      </c>
      <c r="D2216" s="23" t="b">
        <f>IFERROR(__xludf.DUMMYFUNCTION("""COMPUTED_VALUE"""),FALSE)</f>
        <v>0</v>
      </c>
      <c r="E2216" s="23" t="str">
        <f>IFERROR(__xludf.DUMMYFUNCTION("""COMPUTED_VALUE"""),"Easy")</f>
        <v>Easy</v>
      </c>
      <c r="F2216" s="23">
        <f>IFERROR(__xludf.DUMMYFUNCTION("""COMPUTED_VALUE"""),211.0)</f>
        <v>211</v>
      </c>
      <c r="G2216" s="23">
        <f>IFERROR(__xludf.DUMMYFUNCTION("""COMPUTED_VALUE"""),5.0)</f>
        <v>5</v>
      </c>
      <c r="H2216" s="23" t="str">
        <f>IFERROR(__xludf.DUMMYFUNCTION("""COMPUTED_VALUE"""),"Algorithms")</f>
        <v>Algorithms</v>
      </c>
      <c r="I2216" s="23">
        <f>IFERROR(__xludf.DUMMYFUNCTION("""COMPUTED_VALUE"""),0.689)</f>
        <v>0.689</v>
      </c>
      <c r="J2216" s="23">
        <f>IFERROR(__xludf.DUMMYFUNCTION("""COMPUTED_VALUE"""),2215.0)</f>
        <v>2215</v>
      </c>
      <c r="K2216" s="23" t="b">
        <f>IFERROR(__xludf.DUMMYFUNCTION("""COMPUTED_VALUE"""),FALSE)</f>
        <v>0</v>
      </c>
      <c r="L2216" s="23" t="str">
        <f>IFERROR(__xludf.DUMMYFUNCTION("""COMPUTED_VALUE"""),"Array;Hash Table;")</f>
        <v>Array;Hash Table;</v>
      </c>
      <c r="M2216" s="23" t="b">
        <f>IFERROR(__xludf.DUMMYFUNCTION("""COMPUTED_VALUE"""),FALSE)</f>
        <v>0</v>
      </c>
      <c r="N2216" s="23" t="b">
        <f>IFERROR(__xludf.DUMMYFUNCTION("""COMPUTED_VALUE"""),FALSE)</f>
        <v>0</v>
      </c>
      <c r="O2216" s="23">
        <f>IFERROR(__xludf.DUMMYFUNCTION("""COMPUTED_VALUE"""),68.9245377606086)</f>
        <v>68.92453776</v>
      </c>
      <c r="P2216" s="23">
        <f>IFERROR(__xludf.DUMMYFUNCTION("""COMPUTED_VALUE"""),23372.0)</f>
        <v>23372</v>
      </c>
      <c r="Q2216" s="23">
        <f>IFERROR(__xludf.DUMMYFUNCTION("""COMPUTED_VALUE"""),33910.0)</f>
        <v>33910</v>
      </c>
    </row>
    <row r="2217">
      <c r="A2217" s="23">
        <f>IFERROR(__xludf.DUMMYFUNCTION("""COMPUTED_VALUE"""),1355.0)</f>
        <v>1355</v>
      </c>
      <c r="B2217" s="23" t="str">
        <f>IFERROR(__xludf.DUMMYFUNCTION("""COMPUTED_VALUE"""),"Minimum Deletions to Make Array Beautiful")</f>
        <v>Minimum Deletions to Make Array Beautiful</v>
      </c>
      <c r="C2217" s="23" t="str">
        <f>IFERROR(__xludf.DUMMYFUNCTION("""COMPUTED_VALUE"""),"minimum-deletions-to-make-array-beautiful")</f>
        <v>minimum-deletions-to-make-array-beautiful</v>
      </c>
      <c r="D2217" s="23" t="b">
        <f>IFERROR(__xludf.DUMMYFUNCTION("""COMPUTED_VALUE"""),FALSE)</f>
        <v>0</v>
      </c>
      <c r="E2217" s="23" t="str">
        <f>IFERROR(__xludf.DUMMYFUNCTION("""COMPUTED_VALUE"""),"Medium")</f>
        <v>Medium</v>
      </c>
      <c r="F2217" s="23">
        <f>IFERROR(__xludf.DUMMYFUNCTION("""COMPUTED_VALUE"""),258.0)</f>
        <v>258</v>
      </c>
      <c r="G2217" s="23">
        <f>IFERROR(__xludf.DUMMYFUNCTION("""COMPUTED_VALUE"""),66.0)</f>
        <v>66</v>
      </c>
      <c r="H2217" s="23" t="str">
        <f>IFERROR(__xludf.DUMMYFUNCTION("""COMPUTED_VALUE"""),"Algorithms")</f>
        <v>Algorithms</v>
      </c>
      <c r="I2217" s="23">
        <f>IFERROR(__xludf.DUMMYFUNCTION("""COMPUTED_VALUE"""),0.437)</f>
        <v>0.437</v>
      </c>
      <c r="J2217" s="23">
        <f>IFERROR(__xludf.DUMMYFUNCTION("""COMPUTED_VALUE"""),2216.0)</f>
        <v>2216</v>
      </c>
      <c r="K2217" s="23" t="b">
        <f>IFERROR(__xludf.DUMMYFUNCTION("""COMPUTED_VALUE"""),FALSE)</f>
        <v>0</v>
      </c>
      <c r="L2217" s="23" t="str">
        <f>IFERROR(__xludf.DUMMYFUNCTION("""COMPUTED_VALUE"""),"Array;Stack;Greedy;")</f>
        <v>Array;Stack;Greedy;</v>
      </c>
      <c r="M2217" s="23" t="b">
        <f>IFERROR(__xludf.DUMMYFUNCTION("""COMPUTED_VALUE"""),FALSE)</f>
        <v>0</v>
      </c>
      <c r="N2217" s="23" t="b">
        <f>IFERROR(__xludf.DUMMYFUNCTION("""COMPUTED_VALUE"""),FALSE)</f>
        <v>0</v>
      </c>
      <c r="O2217" s="23">
        <f>IFERROR(__xludf.DUMMYFUNCTION("""COMPUTED_VALUE"""),43.7218890554722)</f>
        <v>43.72188906</v>
      </c>
      <c r="P2217" s="23">
        <f>IFERROR(__xludf.DUMMYFUNCTION("""COMPUTED_VALUE"""),16330.0)</f>
        <v>16330</v>
      </c>
      <c r="Q2217" s="23">
        <f>IFERROR(__xludf.DUMMYFUNCTION("""COMPUTED_VALUE"""),37351.0)</f>
        <v>37351</v>
      </c>
    </row>
    <row r="2218">
      <c r="A2218" s="23">
        <f>IFERROR(__xludf.DUMMYFUNCTION("""COMPUTED_VALUE"""),1375.0)</f>
        <v>1375</v>
      </c>
      <c r="B2218" s="23" t="str">
        <f>IFERROR(__xludf.DUMMYFUNCTION("""COMPUTED_VALUE"""),"Find Palindrome With Fixed Length")</f>
        <v>Find Palindrome With Fixed Length</v>
      </c>
      <c r="C2218" s="23" t="str">
        <f>IFERROR(__xludf.DUMMYFUNCTION("""COMPUTED_VALUE"""),"find-palindrome-with-fixed-length")</f>
        <v>find-palindrome-with-fixed-length</v>
      </c>
      <c r="D2218" s="23" t="b">
        <f>IFERROR(__xludf.DUMMYFUNCTION("""COMPUTED_VALUE"""),FALSE)</f>
        <v>0</v>
      </c>
      <c r="E2218" s="23" t="str">
        <f>IFERROR(__xludf.DUMMYFUNCTION("""COMPUTED_VALUE"""),"Medium")</f>
        <v>Medium</v>
      </c>
      <c r="F2218" s="23">
        <f>IFERROR(__xludf.DUMMYFUNCTION("""COMPUTED_VALUE"""),311.0)</f>
        <v>311</v>
      </c>
      <c r="G2218" s="23">
        <f>IFERROR(__xludf.DUMMYFUNCTION("""COMPUTED_VALUE"""),166.0)</f>
        <v>166</v>
      </c>
      <c r="H2218" s="23" t="str">
        <f>IFERROR(__xludf.DUMMYFUNCTION("""COMPUTED_VALUE"""),"Algorithms")</f>
        <v>Algorithms</v>
      </c>
      <c r="I2218" s="23">
        <f>IFERROR(__xludf.DUMMYFUNCTION("""COMPUTED_VALUE"""),0.342)</f>
        <v>0.342</v>
      </c>
      <c r="J2218" s="23">
        <f>IFERROR(__xludf.DUMMYFUNCTION("""COMPUTED_VALUE"""),2217.0)</f>
        <v>2217</v>
      </c>
      <c r="K2218" s="23" t="b">
        <f>IFERROR(__xludf.DUMMYFUNCTION("""COMPUTED_VALUE"""),FALSE)</f>
        <v>0</v>
      </c>
      <c r="L2218" s="23" t="str">
        <f>IFERROR(__xludf.DUMMYFUNCTION("""COMPUTED_VALUE"""),"Array;Math;")</f>
        <v>Array;Math;</v>
      </c>
      <c r="M2218" s="23" t="b">
        <f>IFERROR(__xludf.DUMMYFUNCTION("""COMPUTED_VALUE"""),FALSE)</f>
        <v>0</v>
      </c>
      <c r="N2218" s="23" t="b">
        <f>IFERROR(__xludf.DUMMYFUNCTION("""COMPUTED_VALUE"""),FALSE)</f>
        <v>0</v>
      </c>
      <c r="O2218" s="23">
        <f>IFERROR(__xludf.DUMMYFUNCTION("""COMPUTED_VALUE"""),34.1711772665764)</f>
        <v>34.17117727</v>
      </c>
      <c r="P2218" s="23">
        <f>IFERROR(__xludf.DUMMYFUNCTION("""COMPUTED_VALUE"""),10101.0)</f>
        <v>10101</v>
      </c>
      <c r="Q2218" s="23">
        <f>IFERROR(__xludf.DUMMYFUNCTION("""COMPUTED_VALUE"""),29559.0)</f>
        <v>29559</v>
      </c>
    </row>
    <row r="2219">
      <c r="A2219" s="23">
        <f>IFERROR(__xludf.DUMMYFUNCTION("""COMPUTED_VALUE"""),1393.0)</f>
        <v>1393</v>
      </c>
      <c r="B2219" s="23" t="str">
        <f>IFERROR(__xludf.DUMMYFUNCTION("""COMPUTED_VALUE"""),"Maximum Value of K Coins From Piles")</f>
        <v>Maximum Value of K Coins From Piles</v>
      </c>
      <c r="C2219" s="23" t="str">
        <f>IFERROR(__xludf.DUMMYFUNCTION("""COMPUTED_VALUE"""),"maximum-value-of-k-coins-from-piles")</f>
        <v>maximum-value-of-k-coins-from-piles</v>
      </c>
      <c r="D2219" s="23" t="b">
        <f>IFERROR(__xludf.DUMMYFUNCTION("""COMPUTED_VALUE"""),FALSE)</f>
        <v>0</v>
      </c>
      <c r="E2219" s="23" t="str">
        <f>IFERROR(__xludf.DUMMYFUNCTION("""COMPUTED_VALUE"""),"Hard")</f>
        <v>Hard</v>
      </c>
      <c r="F2219" s="23">
        <f>IFERROR(__xludf.DUMMYFUNCTION("""COMPUTED_VALUE"""),406.0)</f>
        <v>406</v>
      </c>
      <c r="G2219" s="23">
        <f>IFERROR(__xludf.DUMMYFUNCTION("""COMPUTED_VALUE"""),6.0)</f>
        <v>6</v>
      </c>
      <c r="H2219" s="23" t="str">
        <f>IFERROR(__xludf.DUMMYFUNCTION("""COMPUTED_VALUE"""),"Algorithms")</f>
        <v>Algorithms</v>
      </c>
      <c r="I2219" s="23">
        <f>IFERROR(__xludf.DUMMYFUNCTION("""COMPUTED_VALUE"""),0.489)</f>
        <v>0.489</v>
      </c>
      <c r="J2219" s="23">
        <f>IFERROR(__xludf.DUMMYFUNCTION("""COMPUTED_VALUE"""),2218.0)</f>
        <v>2218</v>
      </c>
      <c r="K2219" s="23" t="b">
        <f>IFERROR(__xludf.DUMMYFUNCTION("""COMPUTED_VALUE"""),FALSE)</f>
        <v>0</v>
      </c>
      <c r="L2219" s="23" t="str">
        <f>IFERROR(__xludf.DUMMYFUNCTION("""COMPUTED_VALUE"""),"Array;Dynamic Programming;Prefix Sum;")</f>
        <v>Array;Dynamic Programming;Prefix Sum;</v>
      </c>
      <c r="M2219" s="23" t="b">
        <f>IFERROR(__xludf.DUMMYFUNCTION("""COMPUTED_VALUE"""),FALSE)</f>
        <v>0</v>
      </c>
      <c r="N2219" s="23" t="b">
        <f>IFERROR(__xludf.DUMMYFUNCTION("""COMPUTED_VALUE"""),FALSE)</f>
        <v>0</v>
      </c>
      <c r="O2219" s="23">
        <f>IFERROR(__xludf.DUMMYFUNCTION("""COMPUTED_VALUE"""),48.9011981455837)</f>
        <v>48.90119815</v>
      </c>
      <c r="P2219" s="23">
        <f>IFERROR(__xludf.DUMMYFUNCTION("""COMPUTED_VALUE"""),8122.0)</f>
        <v>8122</v>
      </c>
      <c r="Q2219" s="23">
        <f>IFERROR(__xludf.DUMMYFUNCTION("""COMPUTED_VALUE"""),16609.0)</f>
        <v>16609</v>
      </c>
    </row>
    <row r="2220">
      <c r="A2220" s="23">
        <f>IFERROR(__xludf.DUMMYFUNCTION("""COMPUTED_VALUE"""),2369.0)</f>
        <v>2369</v>
      </c>
      <c r="B2220" s="23" t="str">
        <f>IFERROR(__xludf.DUMMYFUNCTION("""COMPUTED_VALUE"""),"Maximum Sum Score of Array")</f>
        <v>Maximum Sum Score of Array</v>
      </c>
      <c r="C2220" s="23" t="str">
        <f>IFERROR(__xludf.DUMMYFUNCTION("""COMPUTED_VALUE"""),"maximum-sum-score-of-array")</f>
        <v>maximum-sum-score-of-array</v>
      </c>
      <c r="D2220" s="23" t="b">
        <f>IFERROR(__xludf.DUMMYFUNCTION("""COMPUTED_VALUE"""),TRUE)</f>
        <v>1</v>
      </c>
      <c r="E2220" s="23" t="str">
        <f>IFERROR(__xludf.DUMMYFUNCTION("""COMPUTED_VALUE"""),"Medium")</f>
        <v>Medium</v>
      </c>
      <c r="F2220" s="23">
        <f>IFERROR(__xludf.DUMMYFUNCTION("""COMPUTED_VALUE"""),23.0)</f>
        <v>23</v>
      </c>
      <c r="G2220" s="23">
        <f>IFERROR(__xludf.DUMMYFUNCTION("""COMPUTED_VALUE"""),7.0)</f>
        <v>7</v>
      </c>
      <c r="H2220" s="23" t="str">
        <f>IFERROR(__xludf.DUMMYFUNCTION("""COMPUTED_VALUE"""),"Algorithms")</f>
        <v>Algorithms</v>
      </c>
      <c r="I2220" s="23">
        <f>IFERROR(__xludf.DUMMYFUNCTION("""COMPUTED_VALUE"""),0.665)</f>
        <v>0.665</v>
      </c>
      <c r="J2220" s="23">
        <f>IFERROR(__xludf.DUMMYFUNCTION("""COMPUTED_VALUE"""),2219.0)</f>
        <v>2219</v>
      </c>
      <c r="K2220" s="23" t="b">
        <f>IFERROR(__xludf.DUMMYFUNCTION("""COMPUTED_VALUE"""),TRUE)</f>
        <v>1</v>
      </c>
      <c r="L2220" s="23" t="str">
        <f>IFERROR(__xludf.DUMMYFUNCTION("""COMPUTED_VALUE"""),"Array;Prefix Sum;")</f>
        <v>Array;Prefix Sum;</v>
      </c>
      <c r="M2220" s="23" t="b">
        <f>IFERROR(__xludf.DUMMYFUNCTION("""COMPUTED_VALUE"""),FALSE)</f>
        <v>0</v>
      </c>
      <c r="N2220" s="23" t="b">
        <f>IFERROR(__xludf.DUMMYFUNCTION("""COMPUTED_VALUE"""),FALSE)</f>
        <v>0</v>
      </c>
      <c r="O2220" s="23">
        <f>IFERROR(__xludf.DUMMYFUNCTION("""COMPUTED_VALUE"""),66.4799999999999)</f>
        <v>66.48</v>
      </c>
      <c r="P2220" s="23">
        <f>IFERROR(__xludf.DUMMYFUNCTION("""COMPUTED_VALUE"""),831.0)</f>
        <v>831</v>
      </c>
      <c r="Q2220" s="23">
        <f>IFERROR(__xludf.DUMMYFUNCTION("""COMPUTED_VALUE"""),1250.0)</f>
        <v>1250</v>
      </c>
    </row>
    <row r="2221">
      <c r="A2221" s="23">
        <f>IFERROR(__xludf.DUMMYFUNCTION("""COMPUTED_VALUE"""),2323.0)</f>
        <v>2323</v>
      </c>
      <c r="B2221" s="23" t="str">
        <f>IFERROR(__xludf.DUMMYFUNCTION("""COMPUTED_VALUE"""),"Minimum Bit Flips to Convert Number")</f>
        <v>Minimum Bit Flips to Convert Number</v>
      </c>
      <c r="C2221" s="23" t="str">
        <f>IFERROR(__xludf.DUMMYFUNCTION("""COMPUTED_VALUE"""),"minimum-bit-flips-to-convert-number")</f>
        <v>minimum-bit-flips-to-convert-number</v>
      </c>
      <c r="D2221" s="23" t="b">
        <f>IFERROR(__xludf.DUMMYFUNCTION("""COMPUTED_VALUE"""),FALSE)</f>
        <v>0</v>
      </c>
      <c r="E2221" s="23" t="str">
        <f>IFERROR(__xludf.DUMMYFUNCTION("""COMPUTED_VALUE"""),"Easy")</f>
        <v>Easy</v>
      </c>
      <c r="F2221" s="23">
        <f>IFERROR(__xludf.DUMMYFUNCTION("""COMPUTED_VALUE"""),121.0)</f>
        <v>121</v>
      </c>
      <c r="G2221" s="23">
        <f>IFERROR(__xludf.DUMMYFUNCTION("""COMPUTED_VALUE"""),3.0)</f>
        <v>3</v>
      </c>
      <c r="H2221" s="23" t="str">
        <f>IFERROR(__xludf.DUMMYFUNCTION("""COMPUTED_VALUE"""),"Algorithms")</f>
        <v>Algorithms</v>
      </c>
      <c r="I2221" s="23">
        <f>IFERROR(__xludf.DUMMYFUNCTION("""COMPUTED_VALUE"""),0.81)</f>
        <v>0.81</v>
      </c>
      <c r="J2221" s="23">
        <f>IFERROR(__xludf.DUMMYFUNCTION("""COMPUTED_VALUE"""),2220.0)</f>
        <v>2220</v>
      </c>
      <c r="K2221" s="23" t="b">
        <f>IFERROR(__xludf.DUMMYFUNCTION("""COMPUTED_VALUE"""),FALSE)</f>
        <v>0</v>
      </c>
      <c r="L2221" s="23" t="str">
        <f>IFERROR(__xludf.DUMMYFUNCTION("""COMPUTED_VALUE"""),"Bit Manipulation;")</f>
        <v>Bit Manipulation;</v>
      </c>
      <c r="M2221" s="23" t="b">
        <f>IFERROR(__xludf.DUMMYFUNCTION("""COMPUTED_VALUE"""),FALSE)</f>
        <v>0</v>
      </c>
      <c r="N2221" s="23" t="b">
        <f>IFERROR(__xludf.DUMMYFUNCTION("""COMPUTED_VALUE"""),FALSE)</f>
        <v>0</v>
      </c>
      <c r="O2221" s="23">
        <f>IFERROR(__xludf.DUMMYFUNCTION("""COMPUTED_VALUE"""),81.0389881885648)</f>
        <v>81.03898819</v>
      </c>
      <c r="P2221" s="23">
        <f>IFERROR(__xludf.DUMMYFUNCTION("""COMPUTED_VALUE"""),15506.0)</f>
        <v>15506</v>
      </c>
      <c r="Q2221" s="23">
        <f>IFERROR(__xludf.DUMMYFUNCTION("""COMPUTED_VALUE"""),19134.0)</f>
        <v>19134</v>
      </c>
    </row>
    <row r="2222">
      <c r="A2222" s="23">
        <f>IFERROR(__xludf.DUMMYFUNCTION("""COMPUTED_VALUE"""),2324.0)</f>
        <v>2324</v>
      </c>
      <c r="B2222" s="23" t="str">
        <f>IFERROR(__xludf.DUMMYFUNCTION("""COMPUTED_VALUE"""),"Find Triangular Sum of an Array")</f>
        <v>Find Triangular Sum of an Array</v>
      </c>
      <c r="C2222" s="23" t="str">
        <f>IFERROR(__xludf.DUMMYFUNCTION("""COMPUTED_VALUE"""),"find-triangular-sum-of-an-array")</f>
        <v>find-triangular-sum-of-an-array</v>
      </c>
      <c r="D2222" s="23" t="b">
        <f>IFERROR(__xludf.DUMMYFUNCTION("""COMPUTED_VALUE"""),FALSE)</f>
        <v>0</v>
      </c>
      <c r="E2222" s="23" t="str">
        <f>IFERROR(__xludf.DUMMYFUNCTION("""COMPUTED_VALUE"""),"Medium")</f>
        <v>Medium</v>
      </c>
      <c r="F2222" s="23">
        <f>IFERROR(__xludf.DUMMYFUNCTION("""COMPUTED_VALUE"""),198.0)</f>
        <v>198</v>
      </c>
      <c r="G2222" s="23">
        <f>IFERROR(__xludf.DUMMYFUNCTION("""COMPUTED_VALUE"""),7.0)</f>
        <v>7</v>
      </c>
      <c r="H2222" s="23" t="str">
        <f>IFERROR(__xludf.DUMMYFUNCTION("""COMPUTED_VALUE"""),"Algorithms")</f>
        <v>Algorithms</v>
      </c>
      <c r="I2222" s="23">
        <f>IFERROR(__xludf.DUMMYFUNCTION("""COMPUTED_VALUE"""),0.791)</f>
        <v>0.791</v>
      </c>
      <c r="J2222" s="23">
        <f>IFERROR(__xludf.DUMMYFUNCTION("""COMPUTED_VALUE"""),2221.0)</f>
        <v>2221</v>
      </c>
      <c r="K2222" s="23" t="b">
        <f>IFERROR(__xludf.DUMMYFUNCTION("""COMPUTED_VALUE"""),FALSE)</f>
        <v>0</v>
      </c>
      <c r="L2222" s="23" t="str">
        <f>IFERROR(__xludf.DUMMYFUNCTION("""COMPUTED_VALUE"""),"Array;Math;Simulation;Combinatorics;")</f>
        <v>Array;Math;Simulation;Combinatorics;</v>
      </c>
      <c r="M2222" s="23" t="b">
        <f>IFERROR(__xludf.DUMMYFUNCTION("""COMPUTED_VALUE"""),FALSE)</f>
        <v>0</v>
      </c>
      <c r="N2222" s="23" t="b">
        <f>IFERROR(__xludf.DUMMYFUNCTION("""COMPUTED_VALUE"""),FALSE)</f>
        <v>0</v>
      </c>
      <c r="O2222" s="23">
        <f>IFERROR(__xludf.DUMMYFUNCTION("""COMPUTED_VALUE"""),79.0619267192225)</f>
        <v>79.06192672</v>
      </c>
      <c r="P2222" s="23">
        <f>IFERROR(__xludf.DUMMYFUNCTION("""COMPUTED_VALUE"""),15945.0)</f>
        <v>15945</v>
      </c>
      <c r="Q2222" s="23">
        <f>IFERROR(__xludf.DUMMYFUNCTION("""COMPUTED_VALUE"""),20168.0)</f>
        <v>20168</v>
      </c>
    </row>
    <row r="2223">
      <c r="A2223" s="23">
        <f>IFERROR(__xludf.DUMMYFUNCTION("""COMPUTED_VALUE"""),2325.0)</f>
        <v>2325</v>
      </c>
      <c r="B2223" s="23" t="str">
        <f>IFERROR(__xludf.DUMMYFUNCTION("""COMPUTED_VALUE"""),"Number of Ways to Select Buildings")</f>
        <v>Number of Ways to Select Buildings</v>
      </c>
      <c r="C2223" s="23" t="str">
        <f>IFERROR(__xludf.DUMMYFUNCTION("""COMPUTED_VALUE"""),"number-of-ways-to-select-buildings")</f>
        <v>number-of-ways-to-select-buildings</v>
      </c>
      <c r="D2223" s="23" t="b">
        <f>IFERROR(__xludf.DUMMYFUNCTION("""COMPUTED_VALUE"""),FALSE)</f>
        <v>0</v>
      </c>
      <c r="E2223" s="23" t="str">
        <f>IFERROR(__xludf.DUMMYFUNCTION("""COMPUTED_VALUE"""),"Medium")</f>
        <v>Medium</v>
      </c>
      <c r="F2223" s="23">
        <f>IFERROR(__xludf.DUMMYFUNCTION("""COMPUTED_VALUE"""),354.0)</f>
        <v>354</v>
      </c>
      <c r="G2223" s="23">
        <f>IFERROR(__xludf.DUMMYFUNCTION("""COMPUTED_VALUE"""),12.0)</f>
        <v>12</v>
      </c>
      <c r="H2223" s="23" t="str">
        <f>IFERROR(__xludf.DUMMYFUNCTION("""COMPUTED_VALUE"""),"Algorithms")</f>
        <v>Algorithms</v>
      </c>
      <c r="I2223" s="23">
        <f>IFERROR(__xludf.DUMMYFUNCTION("""COMPUTED_VALUE"""),0.45)</f>
        <v>0.45</v>
      </c>
      <c r="J2223" s="23">
        <f>IFERROR(__xludf.DUMMYFUNCTION("""COMPUTED_VALUE"""),2222.0)</f>
        <v>2222</v>
      </c>
      <c r="K2223" s="23" t="b">
        <f>IFERROR(__xludf.DUMMYFUNCTION("""COMPUTED_VALUE"""),FALSE)</f>
        <v>0</v>
      </c>
      <c r="L2223" s="23" t="str">
        <f>IFERROR(__xludf.DUMMYFUNCTION("""COMPUTED_VALUE"""),"String;Dynamic Programming;Prefix Sum;")</f>
        <v>String;Dynamic Programming;Prefix Sum;</v>
      </c>
      <c r="M2223" s="23" t="b">
        <f>IFERROR(__xludf.DUMMYFUNCTION("""COMPUTED_VALUE"""),FALSE)</f>
        <v>0</v>
      </c>
      <c r="N2223" s="23" t="b">
        <f>IFERROR(__xludf.DUMMYFUNCTION("""COMPUTED_VALUE"""),FALSE)</f>
        <v>0</v>
      </c>
      <c r="O2223" s="23">
        <f>IFERROR(__xludf.DUMMYFUNCTION("""COMPUTED_VALUE"""),44.9899361162159)</f>
        <v>44.98993612</v>
      </c>
      <c r="P2223" s="23">
        <f>IFERROR(__xludf.DUMMYFUNCTION("""COMPUTED_VALUE"""),10282.0)</f>
        <v>10282</v>
      </c>
      <c r="Q2223" s="23">
        <f>IFERROR(__xludf.DUMMYFUNCTION("""COMPUTED_VALUE"""),22854.0)</f>
        <v>22854</v>
      </c>
    </row>
    <row r="2224">
      <c r="A2224" s="23">
        <f>IFERROR(__xludf.DUMMYFUNCTION("""COMPUTED_VALUE"""),2326.0)</f>
        <v>2326</v>
      </c>
      <c r="B2224" s="23" t="str">
        <f>IFERROR(__xludf.DUMMYFUNCTION("""COMPUTED_VALUE"""),"Sum of Scores of Built Strings")</f>
        <v>Sum of Scores of Built Strings</v>
      </c>
      <c r="C2224" s="23" t="str">
        <f>IFERROR(__xludf.DUMMYFUNCTION("""COMPUTED_VALUE"""),"sum-of-scores-of-built-strings")</f>
        <v>sum-of-scores-of-built-strings</v>
      </c>
      <c r="D2224" s="23" t="b">
        <f>IFERROR(__xludf.DUMMYFUNCTION("""COMPUTED_VALUE"""),FALSE)</f>
        <v>0</v>
      </c>
      <c r="E2224" s="23" t="str">
        <f>IFERROR(__xludf.DUMMYFUNCTION("""COMPUTED_VALUE"""),"Hard")</f>
        <v>Hard</v>
      </c>
      <c r="F2224" s="23">
        <f>IFERROR(__xludf.DUMMYFUNCTION("""COMPUTED_VALUE"""),115.0)</f>
        <v>115</v>
      </c>
      <c r="G2224" s="23">
        <f>IFERROR(__xludf.DUMMYFUNCTION("""COMPUTED_VALUE"""),151.0)</f>
        <v>151</v>
      </c>
      <c r="H2224" s="23" t="str">
        <f>IFERROR(__xludf.DUMMYFUNCTION("""COMPUTED_VALUE"""),"Algorithms")</f>
        <v>Algorithms</v>
      </c>
      <c r="I2224" s="23">
        <f>IFERROR(__xludf.DUMMYFUNCTION("""COMPUTED_VALUE"""),0.334)</f>
        <v>0.334</v>
      </c>
      <c r="J2224" s="23">
        <f>IFERROR(__xludf.DUMMYFUNCTION("""COMPUTED_VALUE"""),2223.0)</f>
        <v>2223</v>
      </c>
      <c r="K2224" s="23" t="b">
        <f>IFERROR(__xludf.DUMMYFUNCTION("""COMPUTED_VALUE"""),FALSE)</f>
        <v>0</v>
      </c>
      <c r="L2224" s="23" t="str">
        <f>IFERROR(__xludf.DUMMYFUNCTION("""COMPUTED_VALUE"""),"String;Binary Search;Rolling Hash;Suffix Array;String Matching;Hash Function;")</f>
        <v>String;Binary Search;Rolling Hash;Suffix Array;String Matching;Hash Function;</v>
      </c>
      <c r="M2224" s="23" t="b">
        <f>IFERROR(__xludf.DUMMYFUNCTION("""COMPUTED_VALUE"""),FALSE)</f>
        <v>0</v>
      </c>
      <c r="N2224" s="23" t="b">
        <f>IFERROR(__xludf.DUMMYFUNCTION("""COMPUTED_VALUE"""),FALSE)</f>
        <v>0</v>
      </c>
      <c r="O2224" s="23">
        <f>IFERROR(__xludf.DUMMYFUNCTION("""COMPUTED_VALUE"""),33.3672534852956)</f>
        <v>33.36725349</v>
      </c>
      <c r="P2224" s="23">
        <f>IFERROR(__xludf.DUMMYFUNCTION("""COMPUTED_VALUE"""),3279.0)</f>
        <v>3279</v>
      </c>
      <c r="Q2224" s="23">
        <f>IFERROR(__xludf.DUMMYFUNCTION("""COMPUTED_VALUE"""),9827.0)</f>
        <v>9827</v>
      </c>
    </row>
    <row r="2225">
      <c r="A2225" s="23">
        <f>IFERROR(__xludf.DUMMYFUNCTION("""COMPUTED_VALUE"""),2345.0)</f>
        <v>2345</v>
      </c>
      <c r="B2225" s="23" t="str">
        <f>IFERROR(__xludf.DUMMYFUNCTION("""COMPUTED_VALUE"""),"Minimum Number of Operations to Convert Time")</f>
        <v>Minimum Number of Operations to Convert Time</v>
      </c>
      <c r="C2225" s="23" t="str">
        <f>IFERROR(__xludf.DUMMYFUNCTION("""COMPUTED_VALUE"""),"minimum-number-of-operations-to-convert-time")</f>
        <v>minimum-number-of-operations-to-convert-time</v>
      </c>
      <c r="D2225" s="23" t="b">
        <f>IFERROR(__xludf.DUMMYFUNCTION("""COMPUTED_VALUE"""),FALSE)</f>
        <v>0</v>
      </c>
      <c r="E2225" s="23" t="str">
        <f>IFERROR(__xludf.DUMMYFUNCTION("""COMPUTED_VALUE"""),"Easy")</f>
        <v>Easy</v>
      </c>
      <c r="F2225" s="23">
        <f>IFERROR(__xludf.DUMMYFUNCTION("""COMPUTED_VALUE"""),149.0)</f>
        <v>149</v>
      </c>
      <c r="G2225" s="23">
        <f>IFERROR(__xludf.DUMMYFUNCTION("""COMPUTED_VALUE"""),19.0)</f>
        <v>19</v>
      </c>
      <c r="H2225" s="23" t="str">
        <f>IFERROR(__xludf.DUMMYFUNCTION("""COMPUTED_VALUE"""),"Algorithms")</f>
        <v>Algorithms</v>
      </c>
      <c r="I2225" s="23">
        <f>IFERROR(__xludf.DUMMYFUNCTION("""COMPUTED_VALUE"""),0.623)</f>
        <v>0.623</v>
      </c>
      <c r="J2225" s="23">
        <f>IFERROR(__xludf.DUMMYFUNCTION("""COMPUTED_VALUE"""),2224.0)</f>
        <v>2224</v>
      </c>
      <c r="K2225" s="23" t="b">
        <f>IFERROR(__xludf.DUMMYFUNCTION("""COMPUTED_VALUE"""),FALSE)</f>
        <v>0</v>
      </c>
      <c r="L2225" s="23" t="str">
        <f>IFERROR(__xludf.DUMMYFUNCTION("""COMPUTED_VALUE"""),"String;Greedy;")</f>
        <v>String;Greedy;</v>
      </c>
      <c r="M2225" s="23" t="b">
        <f>IFERROR(__xludf.DUMMYFUNCTION("""COMPUTED_VALUE"""),FALSE)</f>
        <v>0</v>
      </c>
      <c r="N2225" s="23" t="b">
        <f>IFERROR(__xludf.DUMMYFUNCTION("""COMPUTED_VALUE"""),FALSE)</f>
        <v>0</v>
      </c>
      <c r="O2225" s="23">
        <f>IFERROR(__xludf.DUMMYFUNCTION("""COMPUTED_VALUE"""),62.2569168595212)</f>
        <v>62.25691686</v>
      </c>
      <c r="P2225" s="23">
        <f>IFERROR(__xludf.DUMMYFUNCTION("""COMPUTED_VALUE"""),18024.0)</f>
        <v>18024</v>
      </c>
      <c r="Q2225" s="23">
        <f>IFERROR(__xludf.DUMMYFUNCTION("""COMPUTED_VALUE"""),28951.0)</f>
        <v>28951</v>
      </c>
    </row>
    <row r="2226">
      <c r="A2226" s="23">
        <f>IFERROR(__xludf.DUMMYFUNCTION("""COMPUTED_VALUE"""),1354.0)</f>
        <v>1354</v>
      </c>
      <c r="B2226" s="23" t="str">
        <f>IFERROR(__xludf.DUMMYFUNCTION("""COMPUTED_VALUE"""),"Find Players With Zero or One Losses")</f>
        <v>Find Players With Zero or One Losses</v>
      </c>
      <c r="C2226" s="23" t="str">
        <f>IFERROR(__xludf.DUMMYFUNCTION("""COMPUTED_VALUE"""),"find-players-with-zero-or-one-losses")</f>
        <v>find-players-with-zero-or-one-losses</v>
      </c>
      <c r="D2226" s="23" t="b">
        <f>IFERROR(__xludf.DUMMYFUNCTION("""COMPUTED_VALUE"""),FALSE)</f>
        <v>0</v>
      </c>
      <c r="E2226" s="23" t="str">
        <f>IFERROR(__xludf.DUMMYFUNCTION("""COMPUTED_VALUE"""),"Medium")</f>
        <v>Medium</v>
      </c>
      <c r="F2226" s="23">
        <f>IFERROR(__xludf.DUMMYFUNCTION("""COMPUTED_VALUE"""),178.0)</f>
        <v>178</v>
      </c>
      <c r="G2226" s="23">
        <f>IFERROR(__xludf.DUMMYFUNCTION("""COMPUTED_VALUE"""),9.0)</f>
        <v>9</v>
      </c>
      <c r="H2226" s="23" t="str">
        <f>IFERROR(__xludf.DUMMYFUNCTION("""COMPUTED_VALUE"""),"Algorithms")</f>
        <v>Algorithms</v>
      </c>
      <c r="I2226" s="23">
        <f>IFERROR(__xludf.DUMMYFUNCTION("""COMPUTED_VALUE"""),0.676)</f>
        <v>0.676</v>
      </c>
      <c r="J2226" s="23">
        <f>IFERROR(__xludf.DUMMYFUNCTION("""COMPUTED_VALUE"""),2225.0)</f>
        <v>2225</v>
      </c>
      <c r="K2226" s="23" t="b">
        <f>IFERROR(__xludf.DUMMYFUNCTION("""COMPUTED_VALUE"""),FALSE)</f>
        <v>0</v>
      </c>
      <c r="L2226" s="23" t="str">
        <f>IFERROR(__xludf.DUMMYFUNCTION("""COMPUTED_VALUE"""),"Array;Hash Table;Sorting;Counting;")</f>
        <v>Array;Hash Table;Sorting;Counting;</v>
      </c>
      <c r="M2226" s="23" t="b">
        <f>IFERROR(__xludf.DUMMYFUNCTION("""COMPUTED_VALUE"""),FALSE)</f>
        <v>0</v>
      </c>
      <c r="N2226" s="23" t="b">
        <f>IFERROR(__xludf.DUMMYFUNCTION("""COMPUTED_VALUE"""),FALSE)</f>
        <v>0</v>
      </c>
      <c r="O2226" s="23">
        <f>IFERROR(__xludf.DUMMYFUNCTION("""COMPUTED_VALUE"""),67.6364473785215)</f>
        <v>67.63644738</v>
      </c>
      <c r="P2226" s="23">
        <f>IFERROR(__xludf.DUMMYFUNCTION("""COMPUTED_VALUE"""),17622.0)</f>
        <v>17622</v>
      </c>
      <c r="Q2226" s="23">
        <f>IFERROR(__xludf.DUMMYFUNCTION("""COMPUTED_VALUE"""),26054.0)</f>
        <v>26054</v>
      </c>
    </row>
    <row r="2227">
      <c r="A2227" s="23">
        <f>IFERROR(__xludf.DUMMYFUNCTION("""COMPUTED_VALUE"""),1335.0)</f>
        <v>1335</v>
      </c>
      <c r="B2227" s="23" t="str">
        <f>IFERROR(__xludf.DUMMYFUNCTION("""COMPUTED_VALUE"""),"Maximum Candies Allocated to K Children")</f>
        <v>Maximum Candies Allocated to K Children</v>
      </c>
      <c r="C2227" s="23" t="str">
        <f>IFERROR(__xludf.DUMMYFUNCTION("""COMPUTED_VALUE"""),"maximum-candies-allocated-to-k-children")</f>
        <v>maximum-candies-allocated-to-k-children</v>
      </c>
      <c r="D2227" s="23" t="b">
        <f>IFERROR(__xludf.DUMMYFUNCTION("""COMPUTED_VALUE"""),FALSE)</f>
        <v>0</v>
      </c>
      <c r="E2227" s="23" t="str">
        <f>IFERROR(__xludf.DUMMYFUNCTION("""COMPUTED_VALUE"""),"Medium")</f>
        <v>Medium</v>
      </c>
      <c r="F2227" s="23">
        <f>IFERROR(__xludf.DUMMYFUNCTION("""COMPUTED_VALUE"""),337.0)</f>
        <v>337</v>
      </c>
      <c r="G2227" s="23">
        <f>IFERROR(__xludf.DUMMYFUNCTION("""COMPUTED_VALUE"""),20.0)</f>
        <v>20</v>
      </c>
      <c r="H2227" s="23" t="str">
        <f>IFERROR(__xludf.DUMMYFUNCTION("""COMPUTED_VALUE"""),"Algorithms")</f>
        <v>Algorithms</v>
      </c>
      <c r="I2227" s="23">
        <f>IFERROR(__xludf.DUMMYFUNCTION("""COMPUTED_VALUE"""),0.347)</f>
        <v>0.347</v>
      </c>
      <c r="J2227" s="23">
        <f>IFERROR(__xludf.DUMMYFUNCTION("""COMPUTED_VALUE"""),2226.0)</f>
        <v>2226</v>
      </c>
      <c r="K2227" s="23" t="b">
        <f>IFERROR(__xludf.DUMMYFUNCTION("""COMPUTED_VALUE"""),FALSE)</f>
        <v>0</v>
      </c>
      <c r="L2227" s="23" t="str">
        <f>IFERROR(__xludf.DUMMYFUNCTION("""COMPUTED_VALUE"""),"Array;Binary Search;")</f>
        <v>Array;Binary Search;</v>
      </c>
      <c r="M2227" s="23" t="b">
        <f>IFERROR(__xludf.DUMMYFUNCTION("""COMPUTED_VALUE"""),FALSE)</f>
        <v>0</v>
      </c>
      <c r="N2227" s="23" t="b">
        <f>IFERROR(__xludf.DUMMYFUNCTION("""COMPUTED_VALUE"""),FALSE)</f>
        <v>0</v>
      </c>
      <c r="O2227" s="23">
        <f>IFERROR(__xludf.DUMMYFUNCTION("""COMPUTED_VALUE"""),34.7268271587141)</f>
        <v>34.72682716</v>
      </c>
      <c r="P2227" s="23">
        <f>IFERROR(__xludf.DUMMYFUNCTION("""COMPUTED_VALUE"""),14454.0)</f>
        <v>14454</v>
      </c>
      <c r="Q2227" s="23">
        <f>IFERROR(__xludf.DUMMYFUNCTION("""COMPUTED_VALUE"""),41622.0)</f>
        <v>41622</v>
      </c>
    </row>
    <row r="2228">
      <c r="A2228" s="23">
        <f>IFERROR(__xludf.DUMMYFUNCTION("""COMPUTED_VALUE"""),1433.0)</f>
        <v>1433</v>
      </c>
      <c r="B2228" s="23" t="str">
        <f>IFERROR(__xludf.DUMMYFUNCTION("""COMPUTED_VALUE"""),"Encrypt and Decrypt Strings")</f>
        <v>Encrypt and Decrypt Strings</v>
      </c>
      <c r="C2228" s="23" t="str">
        <f>IFERROR(__xludf.DUMMYFUNCTION("""COMPUTED_VALUE"""),"encrypt-and-decrypt-strings")</f>
        <v>encrypt-and-decrypt-strings</v>
      </c>
      <c r="D2228" s="23" t="b">
        <f>IFERROR(__xludf.DUMMYFUNCTION("""COMPUTED_VALUE"""),FALSE)</f>
        <v>0</v>
      </c>
      <c r="E2228" s="23" t="str">
        <f>IFERROR(__xludf.DUMMYFUNCTION("""COMPUTED_VALUE"""),"Hard")</f>
        <v>Hard</v>
      </c>
      <c r="F2228" s="23">
        <f>IFERROR(__xludf.DUMMYFUNCTION("""COMPUTED_VALUE"""),186.0)</f>
        <v>186</v>
      </c>
      <c r="G2228" s="23">
        <f>IFERROR(__xludf.DUMMYFUNCTION("""COMPUTED_VALUE"""),35.0)</f>
        <v>35</v>
      </c>
      <c r="H2228" s="23" t="str">
        <f>IFERROR(__xludf.DUMMYFUNCTION("""COMPUTED_VALUE"""),"Algorithms")</f>
        <v>Algorithms</v>
      </c>
      <c r="I2228" s="23">
        <f>IFERROR(__xludf.DUMMYFUNCTION("""COMPUTED_VALUE"""),0.381)</f>
        <v>0.381</v>
      </c>
      <c r="J2228" s="23">
        <f>IFERROR(__xludf.DUMMYFUNCTION("""COMPUTED_VALUE"""),2227.0)</f>
        <v>2227</v>
      </c>
      <c r="K2228" s="23" t="b">
        <f>IFERROR(__xludf.DUMMYFUNCTION("""COMPUTED_VALUE"""),FALSE)</f>
        <v>0</v>
      </c>
      <c r="L2228" s="23" t="str">
        <f>IFERROR(__xludf.DUMMYFUNCTION("""COMPUTED_VALUE"""),"Array;Hash Table;String;Design;Trie;")</f>
        <v>Array;Hash Table;String;Design;Trie;</v>
      </c>
      <c r="M2228" s="23" t="b">
        <f>IFERROR(__xludf.DUMMYFUNCTION("""COMPUTED_VALUE"""),FALSE)</f>
        <v>0</v>
      </c>
      <c r="N2228" s="23" t="b">
        <f>IFERROR(__xludf.DUMMYFUNCTION("""COMPUTED_VALUE"""),FALSE)</f>
        <v>0</v>
      </c>
      <c r="O2228" s="23">
        <f>IFERROR(__xludf.DUMMYFUNCTION("""COMPUTED_VALUE"""),38.0631601638284)</f>
        <v>38.06316016</v>
      </c>
      <c r="P2228" s="23">
        <f>IFERROR(__xludf.DUMMYFUNCTION("""COMPUTED_VALUE"""),7063.0)</f>
        <v>7063</v>
      </c>
      <c r="Q2228" s="23">
        <f>IFERROR(__xludf.DUMMYFUNCTION("""COMPUTED_VALUE"""),18556.0)</f>
        <v>18556</v>
      </c>
    </row>
    <row r="2229">
      <c r="A2229" s="23">
        <f>IFERROR(__xludf.DUMMYFUNCTION("""COMPUTED_VALUE"""),2370.0)</f>
        <v>2370</v>
      </c>
      <c r="B2229" s="23" t="str">
        <f>IFERROR(__xludf.DUMMYFUNCTION("""COMPUTED_VALUE"""),"Users With Two Purchases Within Seven Days")</f>
        <v>Users With Two Purchases Within Seven Days</v>
      </c>
      <c r="C2229" s="23" t="str">
        <f>IFERROR(__xludf.DUMMYFUNCTION("""COMPUTED_VALUE"""),"users-with-two-purchases-within-seven-days")</f>
        <v>users-with-two-purchases-within-seven-days</v>
      </c>
      <c r="D2229" s="23" t="b">
        <f>IFERROR(__xludf.DUMMYFUNCTION("""COMPUTED_VALUE"""),TRUE)</f>
        <v>1</v>
      </c>
      <c r="E2229" s="23" t="str">
        <f>IFERROR(__xludf.DUMMYFUNCTION("""COMPUTED_VALUE"""),"Medium")</f>
        <v>Medium</v>
      </c>
      <c r="F2229" s="23">
        <f>IFERROR(__xludf.DUMMYFUNCTION("""COMPUTED_VALUE"""),10.0)</f>
        <v>10</v>
      </c>
      <c r="G2229" s="23">
        <f>IFERROR(__xludf.DUMMYFUNCTION("""COMPUTED_VALUE"""),3.0)</f>
        <v>3</v>
      </c>
      <c r="H2229" s="23" t="str">
        <f>IFERROR(__xludf.DUMMYFUNCTION("""COMPUTED_VALUE"""),"Database")</f>
        <v>Database</v>
      </c>
      <c r="I2229" s="23">
        <f>IFERROR(__xludf.DUMMYFUNCTION("""COMPUTED_VALUE"""),0.487)</f>
        <v>0.487</v>
      </c>
      <c r="J2229" s="23">
        <f>IFERROR(__xludf.DUMMYFUNCTION("""COMPUTED_VALUE"""),2228.0)</f>
        <v>2228</v>
      </c>
      <c r="K2229" s="23" t="b">
        <f>IFERROR(__xludf.DUMMYFUNCTION("""COMPUTED_VALUE"""),TRUE)</f>
        <v>1</v>
      </c>
      <c r="L2229" s="23" t="str">
        <f>IFERROR(__xludf.DUMMYFUNCTION("""COMPUTED_VALUE"""),"Database;")</f>
        <v>Database;</v>
      </c>
      <c r="M2229" s="23" t="b">
        <f>IFERROR(__xludf.DUMMYFUNCTION("""COMPUTED_VALUE"""),FALSE)</f>
        <v>0</v>
      </c>
      <c r="N2229" s="23" t="b">
        <f>IFERROR(__xludf.DUMMYFUNCTION("""COMPUTED_VALUE"""),FALSE)</f>
        <v>0</v>
      </c>
      <c r="O2229" s="23">
        <f>IFERROR(__xludf.DUMMYFUNCTION("""COMPUTED_VALUE"""),48.6850152905198)</f>
        <v>48.68501529</v>
      </c>
      <c r="P2229" s="23">
        <f>IFERROR(__xludf.DUMMYFUNCTION("""COMPUTED_VALUE"""),794.0)</f>
        <v>794</v>
      </c>
      <c r="Q2229" s="23">
        <f>IFERROR(__xludf.DUMMYFUNCTION("""COMPUTED_VALUE"""),1630.0)</f>
        <v>1630</v>
      </c>
    </row>
    <row r="2230">
      <c r="A2230" s="23">
        <f>IFERROR(__xludf.DUMMYFUNCTION("""COMPUTED_VALUE"""),1416.0)</f>
        <v>1416</v>
      </c>
      <c r="B2230" s="23" t="str">
        <f>IFERROR(__xludf.DUMMYFUNCTION("""COMPUTED_VALUE"""),"Check if an Array Is Consecutive")</f>
        <v>Check if an Array Is Consecutive</v>
      </c>
      <c r="C2230" s="23" t="str">
        <f>IFERROR(__xludf.DUMMYFUNCTION("""COMPUTED_VALUE"""),"check-if-an-array-is-consecutive")</f>
        <v>check-if-an-array-is-consecutive</v>
      </c>
      <c r="D2230" s="23" t="b">
        <f>IFERROR(__xludf.DUMMYFUNCTION("""COMPUTED_VALUE"""),TRUE)</f>
        <v>1</v>
      </c>
      <c r="E2230" s="23" t="str">
        <f>IFERROR(__xludf.DUMMYFUNCTION("""COMPUTED_VALUE"""),"Easy")</f>
        <v>Easy</v>
      </c>
      <c r="F2230" s="23">
        <f>IFERROR(__xludf.DUMMYFUNCTION("""COMPUTED_VALUE"""),20.0)</f>
        <v>20</v>
      </c>
      <c r="G2230" s="23">
        <f>IFERROR(__xludf.DUMMYFUNCTION("""COMPUTED_VALUE"""),2.0)</f>
        <v>2</v>
      </c>
      <c r="H2230" s="23" t="str">
        <f>IFERROR(__xludf.DUMMYFUNCTION("""COMPUTED_VALUE"""),"Algorithms")</f>
        <v>Algorithms</v>
      </c>
      <c r="I2230" s="23">
        <f>IFERROR(__xludf.DUMMYFUNCTION("""COMPUTED_VALUE"""),0.636)</f>
        <v>0.636</v>
      </c>
      <c r="J2230" s="23">
        <f>IFERROR(__xludf.DUMMYFUNCTION("""COMPUTED_VALUE"""),2229.0)</f>
        <v>2229</v>
      </c>
      <c r="K2230" s="23" t="b">
        <f>IFERROR(__xludf.DUMMYFUNCTION("""COMPUTED_VALUE"""),TRUE)</f>
        <v>1</v>
      </c>
      <c r="L2230" s="23" t="str">
        <f>IFERROR(__xludf.DUMMYFUNCTION("""COMPUTED_VALUE"""),"Array;")</f>
        <v>Array;</v>
      </c>
      <c r="M2230" s="23" t="b">
        <f>IFERROR(__xludf.DUMMYFUNCTION("""COMPUTED_VALUE"""),FALSE)</f>
        <v>0</v>
      </c>
      <c r="N2230" s="23" t="b">
        <f>IFERROR(__xludf.DUMMYFUNCTION("""COMPUTED_VALUE"""),FALSE)</f>
        <v>0</v>
      </c>
      <c r="O2230" s="23">
        <f>IFERROR(__xludf.DUMMYFUNCTION("""COMPUTED_VALUE"""),63.6115657392253)</f>
        <v>63.61156574</v>
      </c>
      <c r="P2230" s="23">
        <f>IFERROR(__xludf.DUMMYFUNCTION("""COMPUTED_VALUE"""),1166.0)</f>
        <v>1166</v>
      </c>
      <c r="Q2230" s="23">
        <f>IFERROR(__xludf.DUMMYFUNCTION("""COMPUTED_VALUE"""),1833.0)</f>
        <v>1833</v>
      </c>
    </row>
    <row r="2231">
      <c r="A2231" s="23">
        <f>IFERROR(__xludf.DUMMYFUNCTION("""COMPUTED_VALUE"""),2371.0)</f>
        <v>2371</v>
      </c>
      <c r="B2231" s="23" t="str">
        <f>IFERROR(__xludf.DUMMYFUNCTION("""COMPUTED_VALUE"""),"The Users That Are Eligible for Discount")</f>
        <v>The Users That Are Eligible for Discount</v>
      </c>
      <c r="C2231" s="23" t="str">
        <f>IFERROR(__xludf.DUMMYFUNCTION("""COMPUTED_VALUE"""),"the-users-that-are-eligible-for-discount")</f>
        <v>the-users-that-are-eligible-for-discount</v>
      </c>
      <c r="D2231" s="23" t="b">
        <f>IFERROR(__xludf.DUMMYFUNCTION("""COMPUTED_VALUE"""),TRUE)</f>
        <v>1</v>
      </c>
      <c r="E2231" s="23" t="str">
        <f>IFERROR(__xludf.DUMMYFUNCTION("""COMPUTED_VALUE"""),"Easy")</f>
        <v>Easy</v>
      </c>
      <c r="F2231" s="23">
        <f>IFERROR(__xludf.DUMMYFUNCTION("""COMPUTED_VALUE"""),5.0)</f>
        <v>5</v>
      </c>
      <c r="G2231" s="23">
        <f>IFERROR(__xludf.DUMMYFUNCTION("""COMPUTED_VALUE"""),2.0)</f>
        <v>2</v>
      </c>
      <c r="H2231" s="23" t="str">
        <f>IFERROR(__xludf.DUMMYFUNCTION("""COMPUTED_VALUE"""),"Database")</f>
        <v>Database</v>
      </c>
      <c r="I2231" s="23">
        <f>IFERROR(__xludf.DUMMYFUNCTION("""COMPUTED_VALUE"""),0.502)</f>
        <v>0.502</v>
      </c>
      <c r="J2231" s="23">
        <f>IFERROR(__xludf.DUMMYFUNCTION("""COMPUTED_VALUE"""),2230.0)</f>
        <v>2230</v>
      </c>
      <c r="K2231" s="23" t="b">
        <f>IFERROR(__xludf.DUMMYFUNCTION("""COMPUTED_VALUE"""),TRUE)</f>
        <v>1</v>
      </c>
      <c r="L2231" s="23" t="str">
        <f>IFERROR(__xludf.DUMMYFUNCTION("""COMPUTED_VALUE"""),"Database;")</f>
        <v>Database;</v>
      </c>
      <c r="M2231" s="23" t="b">
        <f>IFERROR(__xludf.DUMMYFUNCTION("""COMPUTED_VALUE"""),FALSE)</f>
        <v>0</v>
      </c>
      <c r="N2231" s="23" t="b">
        <f>IFERROR(__xludf.DUMMYFUNCTION("""COMPUTED_VALUE"""),FALSE)</f>
        <v>0</v>
      </c>
      <c r="O2231" s="23">
        <f>IFERROR(__xludf.DUMMYFUNCTION("""COMPUTED_VALUE"""),50.1855287569573)</f>
        <v>50.18552876</v>
      </c>
      <c r="P2231" s="23">
        <f>IFERROR(__xludf.DUMMYFUNCTION("""COMPUTED_VALUE"""),541.0)</f>
        <v>541</v>
      </c>
      <c r="Q2231" s="23">
        <f>IFERROR(__xludf.DUMMYFUNCTION("""COMPUTED_VALUE"""),1078.0)</f>
        <v>1078</v>
      </c>
    </row>
    <row r="2232">
      <c r="A2232" s="23">
        <f>IFERROR(__xludf.DUMMYFUNCTION("""COMPUTED_VALUE"""),2327.0)</f>
        <v>2327</v>
      </c>
      <c r="B2232" s="23" t="str">
        <f>IFERROR(__xludf.DUMMYFUNCTION("""COMPUTED_VALUE"""),"Largest Number After Digit Swaps by Parity")</f>
        <v>Largest Number After Digit Swaps by Parity</v>
      </c>
      <c r="C2232" s="23" t="str">
        <f>IFERROR(__xludf.DUMMYFUNCTION("""COMPUTED_VALUE"""),"largest-number-after-digit-swaps-by-parity")</f>
        <v>largest-number-after-digit-swaps-by-parity</v>
      </c>
      <c r="D2232" s="23" t="b">
        <f>IFERROR(__xludf.DUMMYFUNCTION("""COMPUTED_VALUE"""),FALSE)</f>
        <v>0</v>
      </c>
      <c r="E2232" s="23" t="str">
        <f>IFERROR(__xludf.DUMMYFUNCTION("""COMPUTED_VALUE"""),"Easy")</f>
        <v>Easy</v>
      </c>
      <c r="F2232" s="23">
        <f>IFERROR(__xludf.DUMMYFUNCTION("""COMPUTED_VALUE"""),155.0)</f>
        <v>155</v>
      </c>
      <c r="G2232" s="23">
        <f>IFERROR(__xludf.DUMMYFUNCTION("""COMPUTED_VALUE"""),154.0)</f>
        <v>154</v>
      </c>
      <c r="H2232" s="23" t="str">
        <f>IFERROR(__xludf.DUMMYFUNCTION("""COMPUTED_VALUE"""),"Algorithms")</f>
        <v>Algorithms</v>
      </c>
      <c r="I2232" s="23">
        <f>IFERROR(__xludf.DUMMYFUNCTION("""COMPUTED_VALUE"""),0.571)</f>
        <v>0.571</v>
      </c>
      <c r="J2232" s="23">
        <f>IFERROR(__xludf.DUMMYFUNCTION("""COMPUTED_VALUE"""),2231.0)</f>
        <v>2231</v>
      </c>
      <c r="K2232" s="23" t="b">
        <f>IFERROR(__xludf.DUMMYFUNCTION("""COMPUTED_VALUE"""),FALSE)</f>
        <v>0</v>
      </c>
      <c r="L2232" s="23" t="str">
        <f>IFERROR(__xludf.DUMMYFUNCTION("""COMPUTED_VALUE"""),"Sorting;Heap (Priority Queue);")</f>
        <v>Sorting;Heap (Priority Queue);</v>
      </c>
      <c r="M2232" s="23" t="b">
        <f>IFERROR(__xludf.DUMMYFUNCTION("""COMPUTED_VALUE"""),FALSE)</f>
        <v>0</v>
      </c>
      <c r="N2232" s="23" t="b">
        <f>IFERROR(__xludf.DUMMYFUNCTION("""COMPUTED_VALUE"""),FALSE)</f>
        <v>0</v>
      </c>
      <c r="O2232" s="23">
        <f>IFERROR(__xludf.DUMMYFUNCTION("""COMPUTED_VALUE"""),57.0782823094308)</f>
        <v>57.07828231</v>
      </c>
      <c r="P2232" s="23">
        <f>IFERROR(__xludf.DUMMYFUNCTION("""COMPUTED_VALUE"""),16666.0)</f>
        <v>16666</v>
      </c>
      <c r="Q2232" s="23">
        <f>IFERROR(__xludf.DUMMYFUNCTION("""COMPUTED_VALUE"""),29200.0)</f>
        <v>29200</v>
      </c>
    </row>
    <row r="2233">
      <c r="A2233" s="23">
        <f>IFERROR(__xludf.DUMMYFUNCTION("""COMPUTED_VALUE"""),2328.0)</f>
        <v>2328</v>
      </c>
      <c r="B2233" s="23" t="str">
        <f>IFERROR(__xludf.DUMMYFUNCTION("""COMPUTED_VALUE"""),"Minimize Result by Adding Parentheses to Expression")</f>
        <v>Minimize Result by Adding Parentheses to Expression</v>
      </c>
      <c r="C2233" s="23" t="str">
        <f>IFERROR(__xludf.DUMMYFUNCTION("""COMPUTED_VALUE"""),"minimize-result-by-adding-parentheses-to-expression")</f>
        <v>minimize-result-by-adding-parentheses-to-expression</v>
      </c>
      <c r="D2233" s="23" t="b">
        <f>IFERROR(__xludf.DUMMYFUNCTION("""COMPUTED_VALUE"""),FALSE)</f>
        <v>0</v>
      </c>
      <c r="E2233" s="23" t="str">
        <f>IFERROR(__xludf.DUMMYFUNCTION("""COMPUTED_VALUE"""),"Medium")</f>
        <v>Medium</v>
      </c>
      <c r="F2233" s="23">
        <f>IFERROR(__xludf.DUMMYFUNCTION("""COMPUTED_VALUE"""),112.0)</f>
        <v>112</v>
      </c>
      <c r="G2233" s="23">
        <f>IFERROR(__xludf.DUMMYFUNCTION("""COMPUTED_VALUE"""),224.0)</f>
        <v>224</v>
      </c>
      <c r="H2233" s="23" t="str">
        <f>IFERROR(__xludf.DUMMYFUNCTION("""COMPUTED_VALUE"""),"Algorithms")</f>
        <v>Algorithms</v>
      </c>
      <c r="I2233" s="23">
        <f>IFERROR(__xludf.DUMMYFUNCTION("""COMPUTED_VALUE"""),0.633)</f>
        <v>0.633</v>
      </c>
      <c r="J2233" s="23">
        <f>IFERROR(__xludf.DUMMYFUNCTION("""COMPUTED_VALUE"""),2232.0)</f>
        <v>2232</v>
      </c>
      <c r="K2233" s="23" t="b">
        <f>IFERROR(__xludf.DUMMYFUNCTION("""COMPUTED_VALUE"""),FALSE)</f>
        <v>0</v>
      </c>
      <c r="L2233" s="23" t="str">
        <f>IFERROR(__xludf.DUMMYFUNCTION("""COMPUTED_VALUE"""),"String;Enumeration;")</f>
        <v>String;Enumeration;</v>
      </c>
      <c r="M2233" s="23" t="b">
        <f>IFERROR(__xludf.DUMMYFUNCTION("""COMPUTED_VALUE"""),FALSE)</f>
        <v>0</v>
      </c>
      <c r="N2233" s="23" t="b">
        <f>IFERROR(__xludf.DUMMYFUNCTION("""COMPUTED_VALUE"""),FALSE)</f>
        <v>0</v>
      </c>
      <c r="O2233" s="23">
        <f>IFERROR(__xludf.DUMMYFUNCTION("""COMPUTED_VALUE"""),63.3174451858913)</f>
        <v>63.31744519</v>
      </c>
      <c r="P2233" s="23">
        <f>IFERROR(__xludf.DUMMYFUNCTION("""COMPUTED_VALUE"""),9963.0)</f>
        <v>9963</v>
      </c>
      <c r="Q2233" s="23">
        <f>IFERROR(__xludf.DUMMYFUNCTION("""COMPUTED_VALUE"""),15735.0)</f>
        <v>15735</v>
      </c>
    </row>
    <row r="2234">
      <c r="A2234" s="23">
        <f>IFERROR(__xludf.DUMMYFUNCTION("""COMPUTED_VALUE"""),2329.0)</f>
        <v>2329</v>
      </c>
      <c r="B2234" s="23" t="str">
        <f>IFERROR(__xludf.DUMMYFUNCTION("""COMPUTED_VALUE"""),"Maximum Product After K Increments")</f>
        <v>Maximum Product After K Increments</v>
      </c>
      <c r="C2234" s="23" t="str">
        <f>IFERROR(__xludf.DUMMYFUNCTION("""COMPUTED_VALUE"""),"maximum-product-after-k-increments")</f>
        <v>maximum-product-after-k-increments</v>
      </c>
      <c r="D2234" s="23" t="b">
        <f>IFERROR(__xludf.DUMMYFUNCTION("""COMPUTED_VALUE"""),FALSE)</f>
        <v>0</v>
      </c>
      <c r="E2234" s="23" t="str">
        <f>IFERROR(__xludf.DUMMYFUNCTION("""COMPUTED_VALUE"""),"Medium")</f>
        <v>Medium</v>
      </c>
      <c r="F2234" s="23">
        <f>IFERROR(__xludf.DUMMYFUNCTION("""COMPUTED_VALUE"""),271.0)</f>
        <v>271</v>
      </c>
      <c r="G2234" s="23">
        <f>IFERROR(__xludf.DUMMYFUNCTION("""COMPUTED_VALUE"""),24.0)</f>
        <v>24</v>
      </c>
      <c r="H2234" s="23" t="str">
        <f>IFERROR(__xludf.DUMMYFUNCTION("""COMPUTED_VALUE"""),"Algorithms")</f>
        <v>Algorithms</v>
      </c>
      <c r="I2234" s="23">
        <f>IFERROR(__xludf.DUMMYFUNCTION("""COMPUTED_VALUE"""),0.393)</f>
        <v>0.393</v>
      </c>
      <c r="J2234" s="23">
        <f>IFERROR(__xludf.DUMMYFUNCTION("""COMPUTED_VALUE"""),2233.0)</f>
        <v>2233</v>
      </c>
      <c r="K2234" s="23" t="b">
        <f>IFERROR(__xludf.DUMMYFUNCTION("""COMPUTED_VALUE"""),FALSE)</f>
        <v>0</v>
      </c>
      <c r="L2234" s="23" t="str">
        <f>IFERROR(__xludf.DUMMYFUNCTION("""COMPUTED_VALUE"""),"Array;Greedy;Heap (Priority Queue);")</f>
        <v>Array;Greedy;Heap (Priority Queue);</v>
      </c>
      <c r="M2234" s="23" t="b">
        <f>IFERROR(__xludf.DUMMYFUNCTION("""COMPUTED_VALUE"""),FALSE)</f>
        <v>0</v>
      </c>
      <c r="N2234" s="23" t="b">
        <f>IFERROR(__xludf.DUMMYFUNCTION("""COMPUTED_VALUE"""),FALSE)</f>
        <v>0</v>
      </c>
      <c r="O2234" s="23">
        <f>IFERROR(__xludf.DUMMYFUNCTION("""COMPUTED_VALUE"""),39.3315896541703)</f>
        <v>39.33158965</v>
      </c>
      <c r="P2234" s="23">
        <f>IFERROR(__xludf.DUMMYFUNCTION("""COMPUTED_VALUE"""),13532.0)</f>
        <v>13532</v>
      </c>
      <c r="Q2234" s="23">
        <f>IFERROR(__xludf.DUMMYFUNCTION("""COMPUTED_VALUE"""),34407.0)</f>
        <v>34407</v>
      </c>
    </row>
    <row r="2235">
      <c r="A2235" s="23">
        <f>IFERROR(__xludf.DUMMYFUNCTION("""COMPUTED_VALUE"""),2330.0)</f>
        <v>2330</v>
      </c>
      <c r="B2235" s="23" t="str">
        <f>IFERROR(__xludf.DUMMYFUNCTION("""COMPUTED_VALUE"""),"Maximum Total Beauty of the Gardens")</f>
        <v>Maximum Total Beauty of the Gardens</v>
      </c>
      <c r="C2235" s="23" t="str">
        <f>IFERROR(__xludf.DUMMYFUNCTION("""COMPUTED_VALUE"""),"maximum-total-beauty-of-the-gardens")</f>
        <v>maximum-total-beauty-of-the-gardens</v>
      </c>
      <c r="D2235" s="23" t="b">
        <f>IFERROR(__xludf.DUMMYFUNCTION("""COMPUTED_VALUE"""),FALSE)</f>
        <v>0</v>
      </c>
      <c r="E2235" s="23" t="str">
        <f>IFERROR(__xludf.DUMMYFUNCTION("""COMPUTED_VALUE"""),"Hard")</f>
        <v>Hard</v>
      </c>
      <c r="F2235" s="23">
        <f>IFERROR(__xludf.DUMMYFUNCTION("""COMPUTED_VALUE"""),205.0)</f>
        <v>205</v>
      </c>
      <c r="G2235" s="23">
        <f>IFERROR(__xludf.DUMMYFUNCTION("""COMPUTED_VALUE"""),22.0)</f>
        <v>22</v>
      </c>
      <c r="H2235" s="23" t="str">
        <f>IFERROR(__xludf.DUMMYFUNCTION("""COMPUTED_VALUE"""),"Algorithms")</f>
        <v>Algorithms</v>
      </c>
      <c r="I2235" s="23">
        <f>IFERROR(__xludf.DUMMYFUNCTION("""COMPUTED_VALUE"""),0.257)</f>
        <v>0.257</v>
      </c>
      <c r="J2235" s="23">
        <f>IFERROR(__xludf.DUMMYFUNCTION("""COMPUTED_VALUE"""),2234.0)</f>
        <v>2234</v>
      </c>
      <c r="K2235" s="23" t="b">
        <f>IFERROR(__xludf.DUMMYFUNCTION("""COMPUTED_VALUE"""),FALSE)</f>
        <v>0</v>
      </c>
      <c r="L2235" s="23" t="str">
        <f>IFERROR(__xludf.DUMMYFUNCTION("""COMPUTED_VALUE"""),"Array;Two Pointers;Binary Search;Greedy;Sorting;")</f>
        <v>Array;Two Pointers;Binary Search;Greedy;Sorting;</v>
      </c>
      <c r="M2235" s="23" t="b">
        <f>IFERROR(__xludf.DUMMYFUNCTION("""COMPUTED_VALUE"""),FALSE)</f>
        <v>0</v>
      </c>
      <c r="N2235" s="23" t="b">
        <f>IFERROR(__xludf.DUMMYFUNCTION("""COMPUTED_VALUE"""),FALSE)</f>
        <v>0</v>
      </c>
      <c r="O2235" s="23">
        <f>IFERROR(__xludf.DUMMYFUNCTION("""COMPUTED_VALUE"""),25.7262496728605)</f>
        <v>25.72624967</v>
      </c>
      <c r="P2235" s="23">
        <f>IFERROR(__xludf.DUMMYFUNCTION("""COMPUTED_VALUE"""),2949.0)</f>
        <v>2949</v>
      </c>
      <c r="Q2235" s="23">
        <f>IFERROR(__xludf.DUMMYFUNCTION("""COMPUTED_VALUE"""),11463.0)</f>
        <v>11463</v>
      </c>
    </row>
    <row r="2236">
      <c r="A2236" s="23">
        <f>IFERROR(__xludf.DUMMYFUNCTION("""COMPUTED_VALUE"""),2383.0)</f>
        <v>2383</v>
      </c>
      <c r="B2236" s="23" t="str">
        <f>IFERROR(__xludf.DUMMYFUNCTION("""COMPUTED_VALUE"""),"Add Two Integers")</f>
        <v>Add Two Integers</v>
      </c>
      <c r="C2236" s="23" t="str">
        <f>IFERROR(__xludf.DUMMYFUNCTION("""COMPUTED_VALUE"""),"add-two-integers")</f>
        <v>add-two-integers</v>
      </c>
      <c r="D2236" s="23" t="b">
        <f>IFERROR(__xludf.DUMMYFUNCTION("""COMPUTED_VALUE"""),FALSE)</f>
        <v>0</v>
      </c>
      <c r="E2236" s="23" t="str">
        <f>IFERROR(__xludf.DUMMYFUNCTION("""COMPUTED_VALUE"""),"Easy")</f>
        <v>Easy</v>
      </c>
      <c r="F2236" s="23">
        <f>IFERROR(__xludf.DUMMYFUNCTION("""COMPUTED_VALUE"""),113.0)</f>
        <v>113</v>
      </c>
      <c r="G2236" s="23">
        <f>IFERROR(__xludf.DUMMYFUNCTION("""COMPUTED_VALUE"""),446.0)</f>
        <v>446</v>
      </c>
      <c r="H2236" s="23" t="str">
        <f>IFERROR(__xludf.DUMMYFUNCTION("""COMPUTED_VALUE"""),"Algorithms")</f>
        <v>Algorithms</v>
      </c>
      <c r="I2236" s="23">
        <f>IFERROR(__xludf.DUMMYFUNCTION("""COMPUTED_VALUE"""),0.932)</f>
        <v>0.932</v>
      </c>
      <c r="J2236" s="23">
        <f>IFERROR(__xludf.DUMMYFUNCTION("""COMPUTED_VALUE"""),2235.0)</f>
        <v>2235</v>
      </c>
      <c r="K2236" s="23" t="b">
        <f>IFERROR(__xludf.DUMMYFUNCTION("""COMPUTED_VALUE"""),FALSE)</f>
        <v>0</v>
      </c>
      <c r="L2236" s="23" t="str">
        <f>IFERROR(__xludf.DUMMYFUNCTION("""COMPUTED_VALUE"""),"Math;")</f>
        <v>Math;</v>
      </c>
      <c r="M2236" s="23" t="b">
        <f>IFERROR(__xludf.DUMMYFUNCTION("""COMPUTED_VALUE"""),FALSE)</f>
        <v>0</v>
      </c>
      <c r="N2236" s="23" t="b">
        <f>IFERROR(__xludf.DUMMYFUNCTION("""COMPUTED_VALUE"""),FALSE)</f>
        <v>0</v>
      </c>
      <c r="O2236" s="23">
        <f>IFERROR(__xludf.DUMMYFUNCTION("""COMPUTED_VALUE"""),93.2475474582749)</f>
        <v>93.24754746</v>
      </c>
      <c r="P2236" s="23">
        <f>IFERROR(__xludf.DUMMYFUNCTION("""COMPUTED_VALUE"""),14638.0)</f>
        <v>14638</v>
      </c>
      <c r="Q2236" s="23">
        <f>IFERROR(__xludf.DUMMYFUNCTION("""COMPUTED_VALUE"""),15698.0)</f>
        <v>15698</v>
      </c>
    </row>
    <row r="2237">
      <c r="A2237" s="23">
        <f>IFERROR(__xludf.DUMMYFUNCTION("""COMPUTED_VALUE"""),2384.0)</f>
        <v>2384</v>
      </c>
      <c r="B2237" s="23" t="str">
        <f>IFERROR(__xludf.DUMMYFUNCTION("""COMPUTED_VALUE"""),"Root Equals Sum of Children")</f>
        <v>Root Equals Sum of Children</v>
      </c>
      <c r="C2237" s="23" t="str">
        <f>IFERROR(__xludf.DUMMYFUNCTION("""COMPUTED_VALUE"""),"root-equals-sum-of-children")</f>
        <v>root-equals-sum-of-children</v>
      </c>
      <c r="D2237" s="23" t="b">
        <f>IFERROR(__xludf.DUMMYFUNCTION("""COMPUTED_VALUE"""),FALSE)</f>
        <v>0</v>
      </c>
      <c r="E2237" s="23" t="str">
        <f>IFERROR(__xludf.DUMMYFUNCTION("""COMPUTED_VALUE"""),"Easy")</f>
        <v>Easy</v>
      </c>
      <c r="F2237" s="23">
        <f>IFERROR(__xludf.DUMMYFUNCTION("""COMPUTED_VALUE"""),95.0)</f>
        <v>95</v>
      </c>
      <c r="G2237" s="23">
        <f>IFERROR(__xludf.DUMMYFUNCTION("""COMPUTED_VALUE"""),188.0)</f>
        <v>188</v>
      </c>
      <c r="H2237" s="23" t="str">
        <f>IFERROR(__xludf.DUMMYFUNCTION("""COMPUTED_VALUE"""),"Algorithms")</f>
        <v>Algorithms</v>
      </c>
      <c r="I2237" s="23">
        <f>IFERROR(__xludf.DUMMYFUNCTION("""COMPUTED_VALUE"""),0.903)</f>
        <v>0.903</v>
      </c>
      <c r="J2237" s="23">
        <f>IFERROR(__xludf.DUMMYFUNCTION("""COMPUTED_VALUE"""),2236.0)</f>
        <v>2236</v>
      </c>
      <c r="K2237" s="23" t="b">
        <f>IFERROR(__xludf.DUMMYFUNCTION("""COMPUTED_VALUE"""),FALSE)</f>
        <v>0</v>
      </c>
      <c r="L2237" s="23" t="str">
        <f>IFERROR(__xludf.DUMMYFUNCTION("""COMPUTED_VALUE"""),"Tree;Binary Tree;")</f>
        <v>Tree;Binary Tree;</v>
      </c>
      <c r="M2237" s="23" t="b">
        <f>IFERROR(__xludf.DUMMYFUNCTION("""COMPUTED_VALUE"""),FALSE)</f>
        <v>0</v>
      </c>
      <c r="N2237" s="23" t="b">
        <f>IFERROR(__xludf.DUMMYFUNCTION("""COMPUTED_VALUE"""),FALSE)</f>
        <v>0</v>
      </c>
      <c r="O2237" s="23">
        <f>IFERROR(__xludf.DUMMYFUNCTION("""COMPUTED_VALUE"""),90.3501868975014)</f>
        <v>90.3501869</v>
      </c>
      <c r="P2237" s="23">
        <f>IFERROR(__xludf.DUMMYFUNCTION("""COMPUTED_VALUE"""),9183.0)</f>
        <v>9183</v>
      </c>
      <c r="Q2237" s="23">
        <f>IFERROR(__xludf.DUMMYFUNCTION("""COMPUTED_VALUE"""),10164.0)</f>
        <v>10164</v>
      </c>
    </row>
    <row r="2238">
      <c r="A2238" s="23">
        <f>IFERROR(__xludf.DUMMYFUNCTION("""COMPUTED_VALUE"""),2385.0)</f>
        <v>2385</v>
      </c>
      <c r="B2238" s="23" t="str">
        <f>IFERROR(__xludf.DUMMYFUNCTION("""COMPUTED_VALUE"""),"Count Positions on Street With Required Brightness")</f>
        <v>Count Positions on Street With Required Brightness</v>
      </c>
      <c r="C2238" s="23" t="str">
        <f>IFERROR(__xludf.DUMMYFUNCTION("""COMPUTED_VALUE"""),"count-positions-on-street-with-required-brightness")</f>
        <v>count-positions-on-street-with-required-brightness</v>
      </c>
      <c r="D2238" s="23" t="b">
        <f>IFERROR(__xludf.DUMMYFUNCTION("""COMPUTED_VALUE"""),TRUE)</f>
        <v>1</v>
      </c>
      <c r="E2238" s="23" t="str">
        <f>IFERROR(__xludf.DUMMYFUNCTION("""COMPUTED_VALUE"""),"Medium")</f>
        <v>Medium</v>
      </c>
      <c r="F2238" s="23">
        <f>IFERROR(__xludf.DUMMYFUNCTION("""COMPUTED_VALUE"""),19.0)</f>
        <v>19</v>
      </c>
      <c r="G2238" s="23">
        <f>IFERROR(__xludf.DUMMYFUNCTION("""COMPUTED_VALUE"""),2.0)</f>
        <v>2</v>
      </c>
      <c r="H2238" s="23" t="str">
        <f>IFERROR(__xludf.DUMMYFUNCTION("""COMPUTED_VALUE"""),"Algorithms")</f>
        <v>Algorithms</v>
      </c>
      <c r="I2238" s="23">
        <f>IFERROR(__xludf.DUMMYFUNCTION("""COMPUTED_VALUE"""),0.728)</f>
        <v>0.728</v>
      </c>
      <c r="J2238" s="23">
        <f>IFERROR(__xludf.DUMMYFUNCTION("""COMPUTED_VALUE"""),2237.0)</f>
        <v>2237</v>
      </c>
      <c r="K2238" s="23" t="b">
        <f>IFERROR(__xludf.DUMMYFUNCTION("""COMPUTED_VALUE"""),TRUE)</f>
        <v>1</v>
      </c>
      <c r="L2238" s="23" t="str">
        <f>IFERROR(__xludf.DUMMYFUNCTION("""COMPUTED_VALUE"""),"Array;Prefix Sum;")</f>
        <v>Array;Prefix Sum;</v>
      </c>
      <c r="M2238" s="23" t="b">
        <f>IFERROR(__xludf.DUMMYFUNCTION("""COMPUTED_VALUE"""),FALSE)</f>
        <v>0</v>
      </c>
      <c r="N2238" s="23" t="b">
        <f>IFERROR(__xludf.DUMMYFUNCTION("""COMPUTED_VALUE"""),FALSE)</f>
        <v>0</v>
      </c>
      <c r="O2238" s="23">
        <f>IFERROR(__xludf.DUMMYFUNCTION("""COMPUTED_VALUE"""),72.8378378378378)</f>
        <v>72.83783784</v>
      </c>
      <c r="P2238" s="23">
        <f>IFERROR(__xludf.DUMMYFUNCTION("""COMPUTED_VALUE"""),539.0)</f>
        <v>539</v>
      </c>
      <c r="Q2238" s="23">
        <f>IFERROR(__xludf.DUMMYFUNCTION("""COMPUTED_VALUE"""),740.0)</f>
        <v>740</v>
      </c>
    </row>
    <row r="2239">
      <c r="A2239" s="23">
        <f>IFERROR(__xludf.DUMMYFUNCTION("""COMPUTED_VALUE"""),2376.0)</f>
        <v>2376</v>
      </c>
      <c r="B2239" s="23" t="str">
        <f>IFERROR(__xludf.DUMMYFUNCTION("""COMPUTED_VALUE"""),"Number of Times a Driver Was a Passenger")</f>
        <v>Number of Times a Driver Was a Passenger</v>
      </c>
      <c r="C2239" s="23" t="str">
        <f>IFERROR(__xludf.DUMMYFUNCTION("""COMPUTED_VALUE"""),"number-of-times-a-driver-was-a-passenger")</f>
        <v>number-of-times-a-driver-was-a-passenger</v>
      </c>
      <c r="D2239" s="23" t="b">
        <f>IFERROR(__xludf.DUMMYFUNCTION("""COMPUTED_VALUE"""),TRUE)</f>
        <v>1</v>
      </c>
      <c r="E2239" s="23" t="str">
        <f>IFERROR(__xludf.DUMMYFUNCTION("""COMPUTED_VALUE"""),"Medium")</f>
        <v>Medium</v>
      </c>
      <c r="F2239" s="23">
        <f>IFERROR(__xludf.DUMMYFUNCTION("""COMPUTED_VALUE"""),13.0)</f>
        <v>13</v>
      </c>
      <c r="G2239" s="23">
        <f>IFERROR(__xludf.DUMMYFUNCTION("""COMPUTED_VALUE"""),1.0)</f>
        <v>1</v>
      </c>
      <c r="H2239" s="23" t="str">
        <f>IFERROR(__xludf.DUMMYFUNCTION("""COMPUTED_VALUE"""),"Database")</f>
        <v>Database</v>
      </c>
      <c r="I2239" s="23">
        <f>IFERROR(__xludf.DUMMYFUNCTION("""COMPUTED_VALUE"""),0.794)</f>
        <v>0.794</v>
      </c>
      <c r="J2239" s="23">
        <f>IFERROR(__xludf.DUMMYFUNCTION("""COMPUTED_VALUE"""),2238.0)</f>
        <v>2238</v>
      </c>
      <c r="K2239" s="23" t="b">
        <f>IFERROR(__xludf.DUMMYFUNCTION("""COMPUTED_VALUE"""),TRUE)</f>
        <v>1</v>
      </c>
      <c r="L2239" s="23" t="str">
        <f>IFERROR(__xludf.DUMMYFUNCTION("""COMPUTED_VALUE"""),"Database;")</f>
        <v>Database;</v>
      </c>
      <c r="M2239" s="23" t="b">
        <f>IFERROR(__xludf.DUMMYFUNCTION("""COMPUTED_VALUE"""),FALSE)</f>
        <v>0</v>
      </c>
      <c r="N2239" s="23" t="b">
        <f>IFERROR(__xludf.DUMMYFUNCTION("""COMPUTED_VALUE"""),FALSE)</f>
        <v>0</v>
      </c>
      <c r="O2239" s="23">
        <f>IFERROR(__xludf.DUMMYFUNCTION("""COMPUTED_VALUE"""),79.3626707132018)</f>
        <v>79.36267071</v>
      </c>
      <c r="P2239" s="23">
        <f>IFERROR(__xludf.DUMMYFUNCTION("""COMPUTED_VALUE"""),523.0)</f>
        <v>523</v>
      </c>
      <c r="Q2239" s="23">
        <f>IFERROR(__xludf.DUMMYFUNCTION("""COMPUTED_VALUE"""),659.0)</f>
        <v>659</v>
      </c>
    </row>
    <row r="2240">
      <c r="A2240" s="23">
        <f>IFERROR(__xludf.DUMMYFUNCTION("""COMPUTED_VALUE"""),2350.0)</f>
        <v>2350</v>
      </c>
      <c r="B2240" s="23" t="str">
        <f>IFERROR(__xludf.DUMMYFUNCTION("""COMPUTED_VALUE"""),"Find Closest Number to Zero")</f>
        <v>Find Closest Number to Zero</v>
      </c>
      <c r="C2240" s="23" t="str">
        <f>IFERROR(__xludf.DUMMYFUNCTION("""COMPUTED_VALUE"""),"find-closest-number-to-zero")</f>
        <v>find-closest-number-to-zero</v>
      </c>
      <c r="D2240" s="23" t="b">
        <f>IFERROR(__xludf.DUMMYFUNCTION("""COMPUTED_VALUE"""),FALSE)</f>
        <v>0</v>
      </c>
      <c r="E2240" s="23" t="str">
        <f>IFERROR(__xludf.DUMMYFUNCTION("""COMPUTED_VALUE"""),"Easy")</f>
        <v>Easy</v>
      </c>
      <c r="F2240" s="23">
        <f>IFERROR(__xludf.DUMMYFUNCTION("""COMPUTED_VALUE"""),115.0)</f>
        <v>115</v>
      </c>
      <c r="G2240" s="23">
        <f>IFERROR(__xludf.DUMMYFUNCTION("""COMPUTED_VALUE"""),6.0)</f>
        <v>6</v>
      </c>
      <c r="H2240" s="23" t="str">
        <f>IFERROR(__xludf.DUMMYFUNCTION("""COMPUTED_VALUE"""),"Algorithms")</f>
        <v>Algorithms</v>
      </c>
      <c r="I2240" s="23">
        <f>IFERROR(__xludf.DUMMYFUNCTION("""COMPUTED_VALUE"""),0.462)</f>
        <v>0.462</v>
      </c>
      <c r="J2240" s="23">
        <f>IFERROR(__xludf.DUMMYFUNCTION("""COMPUTED_VALUE"""),2239.0)</f>
        <v>2239</v>
      </c>
      <c r="K2240" s="23" t="b">
        <f>IFERROR(__xludf.DUMMYFUNCTION("""COMPUTED_VALUE"""),FALSE)</f>
        <v>0</v>
      </c>
      <c r="L2240" s="23" t="str">
        <f>IFERROR(__xludf.DUMMYFUNCTION("""COMPUTED_VALUE"""),"Array;")</f>
        <v>Array;</v>
      </c>
      <c r="M2240" s="23" t="b">
        <f>IFERROR(__xludf.DUMMYFUNCTION("""COMPUTED_VALUE"""),FALSE)</f>
        <v>0</v>
      </c>
      <c r="N2240" s="23" t="b">
        <f>IFERROR(__xludf.DUMMYFUNCTION("""COMPUTED_VALUE"""),FALSE)</f>
        <v>0</v>
      </c>
      <c r="O2240" s="23">
        <f>IFERROR(__xludf.DUMMYFUNCTION("""COMPUTED_VALUE"""),46.2300706954181)</f>
        <v>46.2300707</v>
      </c>
      <c r="P2240" s="23">
        <f>IFERROR(__xludf.DUMMYFUNCTION("""COMPUTED_VALUE"""),15628.0)</f>
        <v>15628</v>
      </c>
      <c r="Q2240" s="23">
        <f>IFERROR(__xludf.DUMMYFUNCTION("""COMPUTED_VALUE"""),33806.0)</f>
        <v>33806</v>
      </c>
    </row>
    <row r="2241">
      <c r="A2241" s="23">
        <f>IFERROR(__xludf.DUMMYFUNCTION("""COMPUTED_VALUE"""),2351.0)</f>
        <v>2351</v>
      </c>
      <c r="B2241" s="23" t="str">
        <f>IFERROR(__xludf.DUMMYFUNCTION("""COMPUTED_VALUE"""),"Number of Ways to Buy Pens and Pencils")</f>
        <v>Number of Ways to Buy Pens and Pencils</v>
      </c>
      <c r="C2241" s="23" t="str">
        <f>IFERROR(__xludf.DUMMYFUNCTION("""COMPUTED_VALUE"""),"number-of-ways-to-buy-pens-and-pencils")</f>
        <v>number-of-ways-to-buy-pens-and-pencils</v>
      </c>
      <c r="D2241" s="23" t="b">
        <f>IFERROR(__xludf.DUMMYFUNCTION("""COMPUTED_VALUE"""),FALSE)</f>
        <v>0</v>
      </c>
      <c r="E2241" s="23" t="str">
        <f>IFERROR(__xludf.DUMMYFUNCTION("""COMPUTED_VALUE"""),"Medium")</f>
        <v>Medium</v>
      </c>
      <c r="F2241" s="23">
        <f>IFERROR(__xludf.DUMMYFUNCTION("""COMPUTED_VALUE"""),158.0)</f>
        <v>158</v>
      </c>
      <c r="G2241" s="23">
        <f>IFERROR(__xludf.DUMMYFUNCTION("""COMPUTED_VALUE"""),7.0)</f>
        <v>7</v>
      </c>
      <c r="H2241" s="23" t="str">
        <f>IFERROR(__xludf.DUMMYFUNCTION("""COMPUTED_VALUE"""),"Algorithms")</f>
        <v>Algorithms</v>
      </c>
      <c r="I2241" s="23">
        <f>IFERROR(__xludf.DUMMYFUNCTION("""COMPUTED_VALUE"""),0.545)</f>
        <v>0.545</v>
      </c>
      <c r="J2241" s="23">
        <f>IFERROR(__xludf.DUMMYFUNCTION("""COMPUTED_VALUE"""),2240.0)</f>
        <v>2240</v>
      </c>
      <c r="K2241" s="23" t="b">
        <f>IFERROR(__xludf.DUMMYFUNCTION("""COMPUTED_VALUE"""),FALSE)</f>
        <v>0</v>
      </c>
      <c r="L2241" s="23" t="str">
        <f>IFERROR(__xludf.DUMMYFUNCTION("""COMPUTED_VALUE"""),"Math;Enumeration;")</f>
        <v>Math;Enumeration;</v>
      </c>
      <c r="M2241" s="23" t="b">
        <f>IFERROR(__xludf.DUMMYFUNCTION("""COMPUTED_VALUE"""),FALSE)</f>
        <v>0</v>
      </c>
      <c r="N2241" s="23" t="b">
        <f>IFERROR(__xludf.DUMMYFUNCTION("""COMPUTED_VALUE"""),FALSE)</f>
        <v>0</v>
      </c>
      <c r="O2241" s="23">
        <f>IFERROR(__xludf.DUMMYFUNCTION("""COMPUTED_VALUE"""),54.4863280355425)</f>
        <v>54.48632804</v>
      </c>
      <c r="P2241" s="23">
        <f>IFERROR(__xludf.DUMMYFUNCTION("""COMPUTED_VALUE"""),11892.0)</f>
        <v>11892</v>
      </c>
      <c r="Q2241" s="23">
        <f>IFERROR(__xludf.DUMMYFUNCTION("""COMPUTED_VALUE"""),21826.0)</f>
        <v>21826</v>
      </c>
    </row>
    <row r="2242">
      <c r="A2242" s="23">
        <f>IFERROR(__xludf.DUMMYFUNCTION("""COMPUTED_VALUE"""),2352.0)</f>
        <v>2352</v>
      </c>
      <c r="B2242" s="23" t="str">
        <f>IFERROR(__xludf.DUMMYFUNCTION("""COMPUTED_VALUE"""),"Design an ATM Machine")</f>
        <v>Design an ATM Machine</v>
      </c>
      <c r="C2242" s="23" t="str">
        <f>IFERROR(__xludf.DUMMYFUNCTION("""COMPUTED_VALUE"""),"design-an-atm-machine")</f>
        <v>design-an-atm-machine</v>
      </c>
      <c r="D2242" s="23" t="b">
        <f>IFERROR(__xludf.DUMMYFUNCTION("""COMPUTED_VALUE"""),FALSE)</f>
        <v>0</v>
      </c>
      <c r="E2242" s="23" t="str">
        <f>IFERROR(__xludf.DUMMYFUNCTION("""COMPUTED_VALUE"""),"Medium")</f>
        <v>Medium</v>
      </c>
      <c r="F2242" s="23">
        <f>IFERROR(__xludf.DUMMYFUNCTION("""COMPUTED_VALUE"""),93.0)</f>
        <v>93</v>
      </c>
      <c r="G2242" s="23">
        <f>IFERROR(__xludf.DUMMYFUNCTION("""COMPUTED_VALUE"""),152.0)</f>
        <v>152</v>
      </c>
      <c r="H2242" s="23" t="str">
        <f>IFERROR(__xludf.DUMMYFUNCTION("""COMPUTED_VALUE"""),"Algorithms")</f>
        <v>Algorithms</v>
      </c>
      <c r="I2242" s="23">
        <f>IFERROR(__xludf.DUMMYFUNCTION("""COMPUTED_VALUE"""),0.361)</f>
        <v>0.361</v>
      </c>
      <c r="J2242" s="23">
        <f>IFERROR(__xludf.DUMMYFUNCTION("""COMPUTED_VALUE"""),2241.0)</f>
        <v>2241</v>
      </c>
      <c r="K2242" s="23" t="b">
        <f>IFERROR(__xludf.DUMMYFUNCTION("""COMPUTED_VALUE"""),FALSE)</f>
        <v>0</v>
      </c>
      <c r="L2242" s="23" t="str">
        <f>IFERROR(__xludf.DUMMYFUNCTION("""COMPUTED_VALUE"""),"Array;Greedy;Design;")</f>
        <v>Array;Greedy;Design;</v>
      </c>
      <c r="M2242" s="23" t="b">
        <f>IFERROR(__xludf.DUMMYFUNCTION("""COMPUTED_VALUE"""),FALSE)</f>
        <v>0</v>
      </c>
      <c r="N2242" s="23" t="b">
        <f>IFERROR(__xludf.DUMMYFUNCTION("""COMPUTED_VALUE"""),FALSE)</f>
        <v>0</v>
      </c>
      <c r="O2242" s="23">
        <f>IFERROR(__xludf.DUMMYFUNCTION("""COMPUTED_VALUE"""),36.1428127359118)</f>
        <v>36.14281274</v>
      </c>
      <c r="P2242" s="23">
        <f>IFERROR(__xludf.DUMMYFUNCTION("""COMPUTED_VALUE"""),8139.0)</f>
        <v>8139</v>
      </c>
      <c r="Q2242" s="23">
        <f>IFERROR(__xludf.DUMMYFUNCTION("""COMPUTED_VALUE"""),22518.0)</f>
        <v>22518</v>
      </c>
    </row>
    <row r="2243">
      <c r="A2243" s="23">
        <f>IFERROR(__xludf.DUMMYFUNCTION("""COMPUTED_VALUE"""),2353.0)</f>
        <v>2353</v>
      </c>
      <c r="B2243" s="23" t="str">
        <f>IFERROR(__xludf.DUMMYFUNCTION("""COMPUTED_VALUE"""),"Maximum Score of a Node Sequence")</f>
        <v>Maximum Score of a Node Sequence</v>
      </c>
      <c r="C2243" s="23" t="str">
        <f>IFERROR(__xludf.DUMMYFUNCTION("""COMPUTED_VALUE"""),"maximum-score-of-a-node-sequence")</f>
        <v>maximum-score-of-a-node-sequence</v>
      </c>
      <c r="D2243" s="23" t="b">
        <f>IFERROR(__xludf.DUMMYFUNCTION("""COMPUTED_VALUE"""),FALSE)</f>
        <v>0</v>
      </c>
      <c r="E2243" s="23" t="str">
        <f>IFERROR(__xludf.DUMMYFUNCTION("""COMPUTED_VALUE"""),"Hard")</f>
        <v>Hard</v>
      </c>
      <c r="F2243" s="23">
        <f>IFERROR(__xludf.DUMMYFUNCTION("""COMPUTED_VALUE"""),215.0)</f>
        <v>215</v>
      </c>
      <c r="G2243" s="23">
        <f>IFERROR(__xludf.DUMMYFUNCTION("""COMPUTED_VALUE"""),2.0)</f>
        <v>2</v>
      </c>
      <c r="H2243" s="23" t="str">
        <f>IFERROR(__xludf.DUMMYFUNCTION("""COMPUTED_VALUE"""),"Algorithms")</f>
        <v>Algorithms</v>
      </c>
      <c r="I2243" s="23">
        <f>IFERROR(__xludf.DUMMYFUNCTION("""COMPUTED_VALUE"""),0.307)</f>
        <v>0.307</v>
      </c>
      <c r="J2243" s="23">
        <f>IFERROR(__xludf.DUMMYFUNCTION("""COMPUTED_VALUE"""),2242.0)</f>
        <v>2242</v>
      </c>
      <c r="K2243" s="23" t="b">
        <f>IFERROR(__xludf.DUMMYFUNCTION("""COMPUTED_VALUE"""),FALSE)</f>
        <v>0</v>
      </c>
      <c r="L2243" s="23" t="str">
        <f>IFERROR(__xludf.DUMMYFUNCTION("""COMPUTED_VALUE"""),"Array;Graph;Sorting;Enumeration;")</f>
        <v>Array;Graph;Sorting;Enumeration;</v>
      </c>
      <c r="M2243" s="23" t="b">
        <f>IFERROR(__xludf.DUMMYFUNCTION("""COMPUTED_VALUE"""),FALSE)</f>
        <v>0</v>
      </c>
      <c r="N2243" s="23" t="b">
        <f>IFERROR(__xludf.DUMMYFUNCTION("""COMPUTED_VALUE"""),FALSE)</f>
        <v>0</v>
      </c>
      <c r="O2243" s="23">
        <f>IFERROR(__xludf.DUMMYFUNCTION("""COMPUTED_VALUE"""),30.6617381896862)</f>
        <v>30.66173819</v>
      </c>
      <c r="P2243" s="23">
        <f>IFERROR(__xludf.DUMMYFUNCTION("""COMPUTED_VALUE"""),3401.0)</f>
        <v>3401</v>
      </c>
      <c r="Q2243" s="23">
        <f>IFERROR(__xludf.DUMMYFUNCTION("""COMPUTED_VALUE"""),11092.0)</f>
        <v>11092</v>
      </c>
    </row>
    <row r="2244">
      <c r="A2244" s="23">
        <f>IFERROR(__xludf.DUMMYFUNCTION("""COMPUTED_VALUE"""),2361.0)</f>
        <v>2361</v>
      </c>
      <c r="B2244" s="23" t="str">
        <f>IFERROR(__xludf.DUMMYFUNCTION("""COMPUTED_VALUE"""),"Calculate Digit Sum of a String")</f>
        <v>Calculate Digit Sum of a String</v>
      </c>
      <c r="C2244" s="23" t="str">
        <f>IFERROR(__xludf.DUMMYFUNCTION("""COMPUTED_VALUE"""),"calculate-digit-sum-of-a-string")</f>
        <v>calculate-digit-sum-of-a-string</v>
      </c>
      <c r="D2244" s="23" t="b">
        <f>IFERROR(__xludf.DUMMYFUNCTION("""COMPUTED_VALUE"""),FALSE)</f>
        <v>0</v>
      </c>
      <c r="E2244" s="23" t="str">
        <f>IFERROR(__xludf.DUMMYFUNCTION("""COMPUTED_VALUE"""),"Easy")</f>
        <v>Easy</v>
      </c>
      <c r="F2244" s="23">
        <f>IFERROR(__xludf.DUMMYFUNCTION("""COMPUTED_VALUE"""),139.0)</f>
        <v>139</v>
      </c>
      <c r="G2244" s="23">
        <f>IFERROR(__xludf.DUMMYFUNCTION("""COMPUTED_VALUE"""),18.0)</f>
        <v>18</v>
      </c>
      <c r="H2244" s="23" t="str">
        <f>IFERROR(__xludf.DUMMYFUNCTION("""COMPUTED_VALUE"""),"Algorithms")</f>
        <v>Algorithms</v>
      </c>
      <c r="I2244" s="23">
        <f>IFERROR(__xludf.DUMMYFUNCTION("""COMPUTED_VALUE"""),0.658)</f>
        <v>0.658</v>
      </c>
      <c r="J2244" s="23">
        <f>IFERROR(__xludf.DUMMYFUNCTION("""COMPUTED_VALUE"""),2243.0)</f>
        <v>2243</v>
      </c>
      <c r="K2244" s="23" t="b">
        <f>IFERROR(__xludf.DUMMYFUNCTION("""COMPUTED_VALUE"""),FALSE)</f>
        <v>0</v>
      </c>
      <c r="L2244" s="23" t="str">
        <f>IFERROR(__xludf.DUMMYFUNCTION("""COMPUTED_VALUE"""),"String;Simulation;")</f>
        <v>String;Simulation;</v>
      </c>
      <c r="M2244" s="23" t="b">
        <f>IFERROR(__xludf.DUMMYFUNCTION("""COMPUTED_VALUE"""),FALSE)</f>
        <v>0</v>
      </c>
      <c r="N2244" s="23" t="b">
        <f>IFERROR(__xludf.DUMMYFUNCTION("""COMPUTED_VALUE"""),FALSE)</f>
        <v>0</v>
      </c>
      <c r="O2244" s="23">
        <f>IFERROR(__xludf.DUMMYFUNCTION("""COMPUTED_VALUE"""),65.7743552132991)</f>
        <v>65.77435521</v>
      </c>
      <c r="P2244" s="23">
        <f>IFERROR(__xludf.DUMMYFUNCTION("""COMPUTED_VALUE"""),16142.0)</f>
        <v>16142</v>
      </c>
      <c r="Q2244" s="23">
        <f>IFERROR(__xludf.DUMMYFUNCTION("""COMPUTED_VALUE"""),24542.0)</f>
        <v>24542</v>
      </c>
    </row>
    <row r="2245">
      <c r="A2245" s="23">
        <f>IFERROR(__xludf.DUMMYFUNCTION("""COMPUTED_VALUE"""),2362.0)</f>
        <v>2362</v>
      </c>
      <c r="B2245" s="23" t="str">
        <f>IFERROR(__xludf.DUMMYFUNCTION("""COMPUTED_VALUE"""),"Minimum Rounds to Complete All Tasks")</f>
        <v>Minimum Rounds to Complete All Tasks</v>
      </c>
      <c r="C2245" s="23" t="str">
        <f>IFERROR(__xludf.DUMMYFUNCTION("""COMPUTED_VALUE"""),"minimum-rounds-to-complete-all-tasks")</f>
        <v>minimum-rounds-to-complete-all-tasks</v>
      </c>
      <c r="D2245" s="23" t="b">
        <f>IFERROR(__xludf.DUMMYFUNCTION("""COMPUTED_VALUE"""),FALSE)</f>
        <v>0</v>
      </c>
      <c r="E2245" s="23" t="str">
        <f>IFERROR(__xludf.DUMMYFUNCTION("""COMPUTED_VALUE"""),"Medium")</f>
        <v>Medium</v>
      </c>
      <c r="F2245" s="23">
        <f>IFERROR(__xludf.DUMMYFUNCTION("""COMPUTED_VALUE"""),239.0)</f>
        <v>239</v>
      </c>
      <c r="G2245" s="23">
        <f>IFERROR(__xludf.DUMMYFUNCTION("""COMPUTED_VALUE"""),3.0)</f>
        <v>3</v>
      </c>
      <c r="H2245" s="23" t="str">
        <f>IFERROR(__xludf.DUMMYFUNCTION("""COMPUTED_VALUE"""),"Algorithms")</f>
        <v>Algorithms</v>
      </c>
      <c r="I2245" s="23">
        <f>IFERROR(__xludf.DUMMYFUNCTION("""COMPUTED_VALUE"""),0.539)</f>
        <v>0.539</v>
      </c>
      <c r="J2245" s="23">
        <f>IFERROR(__xludf.DUMMYFUNCTION("""COMPUTED_VALUE"""),2244.0)</f>
        <v>2244</v>
      </c>
      <c r="K2245" s="23" t="b">
        <f>IFERROR(__xludf.DUMMYFUNCTION("""COMPUTED_VALUE"""),FALSE)</f>
        <v>0</v>
      </c>
      <c r="L2245" s="23" t="str">
        <f>IFERROR(__xludf.DUMMYFUNCTION("""COMPUTED_VALUE"""),"Array;Hash Table;Greedy;Counting;")</f>
        <v>Array;Hash Table;Greedy;Counting;</v>
      </c>
      <c r="M2245" s="23" t="b">
        <f>IFERROR(__xludf.DUMMYFUNCTION("""COMPUTED_VALUE"""),FALSE)</f>
        <v>0</v>
      </c>
      <c r="N2245" s="23" t="b">
        <f>IFERROR(__xludf.DUMMYFUNCTION("""COMPUTED_VALUE"""),FALSE)</f>
        <v>0</v>
      </c>
      <c r="O2245" s="23">
        <f>IFERROR(__xludf.DUMMYFUNCTION("""COMPUTED_VALUE"""),53.9193188998636)</f>
        <v>53.9193189</v>
      </c>
      <c r="P2245" s="23">
        <f>IFERROR(__xludf.DUMMYFUNCTION("""COMPUTED_VALUE"""),16210.0)</f>
        <v>16210</v>
      </c>
      <c r="Q2245" s="23">
        <f>IFERROR(__xludf.DUMMYFUNCTION("""COMPUTED_VALUE"""),30065.0)</f>
        <v>30065</v>
      </c>
    </row>
    <row r="2246">
      <c r="A2246" s="23">
        <f>IFERROR(__xludf.DUMMYFUNCTION("""COMPUTED_VALUE"""),2363.0)</f>
        <v>2363</v>
      </c>
      <c r="B2246" s="23" t="str">
        <f>IFERROR(__xludf.DUMMYFUNCTION("""COMPUTED_VALUE"""),"Maximum Trailing Zeros in a Cornered Path")</f>
        <v>Maximum Trailing Zeros in a Cornered Path</v>
      </c>
      <c r="C2246" s="23" t="str">
        <f>IFERROR(__xludf.DUMMYFUNCTION("""COMPUTED_VALUE"""),"maximum-trailing-zeros-in-a-cornered-path")</f>
        <v>maximum-trailing-zeros-in-a-cornered-path</v>
      </c>
      <c r="D2246" s="23" t="b">
        <f>IFERROR(__xludf.DUMMYFUNCTION("""COMPUTED_VALUE"""),FALSE)</f>
        <v>0</v>
      </c>
      <c r="E2246" s="23" t="str">
        <f>IFERROR(__xludf.DUMMYFUNCTION("""COMPUTED_VALUE"""),"Medium")</f>
        <v>Medium</v>
      </c>
      <c r="F2246" s="23">
        <f>IFERROR(__xludf.DUMMYFUNCTION("""COMPUTED_VALUE"""),93.0)</f>
        <v>93</v>
      </c>
      <c r="G2246" s="23">
        <f>IFERROR(__xludf.DUMMYFUNCTION("""COMPUTED_VALUE"""),283.0)</f>
        <v>283</v>
      </c>
      <c r="H2246" s="23" t="str">
        <f>IFERROR(__xludf.DUMMYFUNCTION("""COMPUTED_VALUE"""),"Algorithms")</f>
        <v>Algorithms</v>
      </c>
      <c r="I2246" s="23">
        <f>IFERROR(__xludf.DUMMYFUNCTION("""COMPUTED_VALUE"""),0.329)</f>
        <v>0.329</v>
      </c>
      <c r="J2246" s="23">
        <f>IFERROR(__xludf.DUMMYFUNCTION("""COMPUTED_VALUE"""),2245.0)</f>
        <v>2245</v>
      </c>
      <c r="K2246" s="23" t="b">
        <f>IFERROR(__xludf.DUMMYFUNCTION("""COMPUTED_VALUE"""),FALSE)</f>
        <v>0</v>
      </c>
      <c r="L2246" s="23" t="str">
        <f>IFERROR(__xludf.DUMMYFUNCTION("""COMPUTED_VALUE"""),"Array;Matrix;Prefix Sum;")</f>
        <v>Array;Matrix;Prefix Sum;</v>
      </c>
      <c r="M2246" s="23" t="b">
        <f>IFERROR(__xludf.DUMMYFUNCTION("""COMPUTED_VALUE"""),FALSE)</f>
        <v>0</v>
      </c>
      <c r="N2246" s="23" t="b">
        <f>IFERROR(__xludf.DUMMYFUNCTION("""COMPUTED_VALUE"""),FALSE)</f>
        <v>0</v>
      </c>
      <c r="O2246" s="23">
        <f>IFERROR(__xludf.DUMMYFUNCTION("""COMPUTED_VALUE"""),32.9428787983187)</f>
        <v>32.9428788</v>
      </c>
      <c r="P2246" s="23">
        <f>IFERROR(__xludf.DUMMYFUNCTION("""COMPUTED_VALUE"""),4780.0)</f>
        <v>4780</v>
      </c>
      <c r="Q2246" s="23">
        <f>IFERROR(__xludf.DUMMYFUNCTION("""COMPUTED_VALUE"""),14512.0)</f>
        <v>14512</v>
      </c>
    </row>
    <row r="2247">
      <c r="A2247" s="23">
        <f>IFERROR(__xludf.DUMMYFUNCTION("""COMPUTED_VALUE"""),2364.0)</f>
        <v>2364</v>
      </c>
      <c r="B2247" s="23" t="str">
        <f>IFERROR(__xludf.DUMMYFUNCTION("""COMPUTED_VALUE"""),"Longest Path With Different Adjacent Characters")</f>
        <v>Longest Path With Different Adjacent Characters</v>
      </c>
      <c r="C2247" s="23" t="str">
        <f>IFERROR(__xludf.DUMMYFUNCTION("""COMPUTED_VALUE"""),"longest-path-with-different-adjacent-characters")</f>
        <v>longest-path-with-different-adjacent-characters</v>
      </c>
      <c r="D2247" s="23" t="b">
        <f>IFERROR(__xludf.DUMMYFUNCTION("""COMPUTED_VALUE"""),FALSE)</f>
        <v>0</v>
      </c>
      <c r="E2247" s="23" t="str">
        <f>IFERROR(__xludf.DUMMYFUNCTION("""COMPUTED_VALUE"""),"Hard")</f>
        <v>Hard</v>
      </c>
      <c r="F2247" s="23">
        <f>IFERROR(__xludf.DUMMYFUNCTION("""COMPUTED_VALUE"""),252.0)</f>
        <v>252</v>
      </c>
      <c r="G2247" s="23">
        <f>IFERROR(__xludf.DUMMYFUNCTION("""COMPUTED_VALUE"""),4.0)</f>
        <v>4</v>
      </c>
      <c r="H2247" s="23" t="str">
        <f>IFERROR(__xludf.DUMMYFUNCTION("""COMPUTED_VALUE"""),"Algorithms")</f>
        <v>Algorithms</v>
      </c>
      <c r="I2247" s="23">
        <f>IFERROR(__xludf.DUMMYFUNCTION("""COMPUTED_VALUE"""),0.423)</f>
        <v>0.423</v>
      </c>
      <c r="J2247" s="23">
        <f>IFERROR(__xludf.DUMMYFUNCTION("""COMPUTED_VALUE"""),2246.0)</f>
        <v>2246</v>
      </c>
      <c r="K2247" s="23" t="b">
        <f>IFERROR(__xludf.DUMMYFUNCTION("""COMPUTED_VALUE"""),FALSE)</f>
        <v>0</v>
      </c>
      <c r="L2247" s="23" t="str">
        <f>IFERROR(__xludf.DUMMYFUNCTION("""COMPUTED_VALUE"""),"Array;String;Tree;Depth-First Search;Graph;Topological Sort;")</f>
        <v>Array;String;Tree;Depth-First Search;Graph;Topological Sort;</v>
      </c>
      <c r="M2247" s="23" t="b">
        <f>IFERROR(__xludf.DUMMYFUNCTION("""COMPUTED_VALUE"""),FALSE)</f>
        <v>0</v>
      </c>
      <c r="N2247" s="23" t="b">
        <f>IFERROR(__xludf.DUMMYFUNCTION("""COMPUTED_VALUE"""),FALSE)</f>
        <v>0</v>
      </c>
      <c r="O2247" s="23">
        <f>IFERROR(__xludf.DUMMYFUNCTION("""COMPUTED_VALUE"""),42.2747938660707)</f>
        <v>42.27479387</v>
      </c>
      <c r="P2247" s="23">
        <f>IFERROR(__xludf.DUMMYFUNCTION("""COMPUTED_VALUE"""),5486.0)</f>
        <v>5486</v>
      </c>
      <c r="Q2247" s="23">
        <f>IFERROR(__xludf.DUMMYFUNCTION("""COMPUTED_VALUE"""),12976.0)</f>
        <v>12976</v>
      </c>
    </row>
    <row r="2248">
      <c r="A2248" s="23">
        <f>IFERROR(__xludf.DUMMYFUNCTION("""COMPUTED_VALUE"""),2007.0)</f>
        <v>2007</v>
      </c>
      <c r="B2248" s="23" t="str">
        <f>IFERROR(__xludf.DUMMYFUNCTION("""COMPUTED_VALUE"""),"Maximum Cost of Trip With K Highways")</f>
        <v>Maximum Cost of Trip With K Highways</v>
      </c>
      <c r="C2248" s="23" t="str">
        <f>IFERROR(__xludf.DUMMYFUNCTION("""COMPUTED_VALUE"""),"maximum-cost-of-trip-with-k-highways")</f>
        <v>maximum-cost-of-trip-with-k-highways</v>
      </c>
      <c r="D2248" s="23" t="b">
        <f>IFERROR(__xludf.DUMMYFUNCTION("""COMPUTED_VALUE"""),TRUE)</f>
        <v>1</v>
      </c>
      <c r="E2248" s="23" t="str">
        <f>IFERROR(__xludf.DUMMYFUNCTION("""COMPUTED_VALUE"""),"Hard")</f>
        <v>Hard</v>
      </c>
      <c r="F2248" s="23">
        <f>IFERROR(__xludf.DUMMYFUNCTION("""COMPUTED_VALUE"""),11.0)</f>
        <v>11</v>
      </c>
      <c r="G2248" s="23">
        <f>IFERROR(__xludf.DUMMYFUNCTION("""COMPUTED_VALUE"""),0.0)</f>
        <v>0</v>
      </c>
      <c r="H2248" s="23" t="str">
        <f>IFERROR(__xludf.DUMMYFUNCTION("""COMPUTED_VALUE"""),"Algorithms")</f>
        <v>Algorithms</v>
      </c>
      <c r="I2248" s="23">
        <f>IFERROR(__xludf.DUMMYFUNCTION("""COMPUTED_VALUE"""),0.568)</f>
        <v>0.568</v>
      </c>
      <c r="J2248" s="23">
        <f>IFERROR(__xludf.DUMMYFUNCTION("""COMPUTED_VALUE"""),2247.0)</f>
        <v>2247</v>
      </c>
      <c r="K2248" s="23" t="b">
        <f>IFERROR(__xludf.DUMMYFUNCTION("""COMPUTED_VALUE"""),TRUE)</f>
        <v>1</v>
      </c>
      <c r="L2248" s="23" t="str">
        <f>IFERROR(__xludf.DUMMYFUNCTION("""COMPUTED_VALUE"""),"Dynamic Programming;Bit Manipulation;Graph;Bitmask;")</f>
        <v>Dynamic Programming;Bit Manipulation;Graph;Bitmask;</v>
      </c>
      <c r="M2248" s="23" t="b">
        <f>IFERROR(__xludf.DUMMYFUNCTION("""COMPUTED_VALUE"""),FALSE)</f>
        <v>0</v>
      </c>
      <c r="N2248" s="23" t="b">
        <f>IFERROR(__xludf.DUMMYFUNCTION("""COMPUTED_VALUE"""),FALSE)</f>
        <v>0</v>
      </c>
      <c r="O2248" s="23">
        <f>IFERROR(__xludf.DUMMYFUNCTION("""COMPUTED_VALUE"""),56.8259385665529)</f>
        <v>56.82593857</v>
      </c>
      <c r="P2248" s="23">
        <f>IFERROR(__xludf.DUMMYFUNCTION("""COMPUTED_VALUE"""),333.0)</f>
        <v>333</v>
      </c>
      <c r="Q2248" s="23">
        <f>IFERROR(__xludf.DUMMYFUNCTION("""COMPUTED_VALUE"""),586.0)</f>
        <v>586</v>
      </c>
    </row>
    <row r="2249">
      <c r="A2249" s="23">
        <f>IFERROR(__xludf.DUMMYFUNCTION("""COMPUTED_VALUE"""),2331.0)</f>
        <v>2331</v>
      </c>
      <c r="B2249" s="23" t="str">
        <f>IFERROR(__xludf.DUMMYFUNCTION("""COMPUTED_VALUE"""),"Intersection of Multiple Arrays")</f>
        <v>Intersection of Multiple Arrays</v>
      </c>
      <c r="C2249" s="23" t="str">
        <f>IFERROR(__xludf.DUMMYFUNCTION("""COMPUTED_VALUE"""),"intersection-of-multiple-arrays")</f>
        <v>intersection-of-multiple-arrays</v>
      </c>
      <c r="D2249" s="23" t="b">
        <f>IFERROR(__xludf.DUMMYFUNCTION("""COMPUTED_VALUE"""),FALSE)</f>
        <v>0</v>
      </c>
      <c r="E2249" s="23" t="str">
        <f>IFERROR(__xludf.DUMMYFUNCTION("""COMPUTED_VALUE"""),"Easy")</f>
        <v>Easy</v>
      </c>
      <c r="F2249" s="23">
        <f>IFERROR(__xludf.DUMMYFUNCTION("""COMPUTED_VALUE"""),124.0)</f>
        <v>124</v>
      </c>
      <c r="G2249" s="23">
        <f>IFERROR(__xludf.DUMMYFUNCTION("""COMPUTED_VALUE"""),10.0)</f>
        <v>10</v>
      </c>
      <c r="H2249" s="23" t="str">
        <f>IFERROR(__xludf.DUMMYFUNCTION("""COMPUTED_VALUE"""),"Algorithms")</f>
        <v>Algorithms</v>
      </c>
      <c r="I2249" s="23">
        <f>IFERROR(__xludf.DUMMYFUNCTION("""COMPUTED_VALUE"""),0.692)</f>
        <v>0.692</v>
      </c>
      <c r="J2249" s="23">
        <f>IFERROR(__xludf.DUMMYFUNCTION("""COMPUTED_VALUE"""),2248.0)</f>
        <v>2248</v>
      </c>
      <c r="K2249" s="23" t="b">
        <f>IFERROR(__xludf.DUMMYFUNCTION("""COMPUTED_VALUE"""),FALSE)</f>
        <v>0</v>
      </c>
      <c r="L2249" s="23" t="str">
        <f>IFERROR(__xludf.DUMMYFUNCTION("""COMPUTED_VALUE"""),"Array;Hash Table;Counting;")</f>
        <v>Array;Hash Table;Counting;</v>
      </c>
      <c r="M2249" s="23" t="b">
        <f>IFERROR(__xludf.DUMMYFUNCTION("""COMPUTED_VALUE"""),FALSE)</f>
        <v>0</v>
      </c>
      <c r="N2249" s="23" t="b">
        <f>IFERROR(__xludf.DUMMYFUNCTION("""COMPUTED_VALUE"""),FALSE)</f>
        <v>0</v>
      </c>
      <c r="O2249" s="23">
        <f>IFERROR(__xludf.DUMMYFUNCTION("""COMPUTED_VALUE"""),69.2046227056424)</f>
        <v>69.20462271</v>
      </c>
      <c r="P2249" s="23">
        <f>IFERROR(__xludf.DUMMYFUNCTION("""COMPUTED_VALUE"""),15269.0)</f>
        <v>15269</v>
      </c>
      <c r="Q2249" s="23">
        <f>IFERROR(__xludf.DUMMYFUNCTION("""COMPUTED_VALUE"""),22063.0)</f>
        <v>22063</v>
      </c>
    </row>
    <row r="2250">
      <c r="A2250" s="23">
        <f>IFERROR(__xludf.DUMMYFUNCTION("""COMPUTED_VALUE"""),2332.0)</f>
        <v>2332</v>
      </c>
      <c r="B2250" s="23" t="str">
        <f>IFERROR(__xludf.DUMMYFUNCTION("""COMPUTED_VALUE"""),"Count Lattice Points Inside a Circle")</f>
        <v>Count Lattice Points Inside a Circle</v>
      </c>
      <c r="C2250" s="23" t="str">
        <f>IFERROR(__xludf.DUMMYFUNCTION("""COMPUTED_VALUE"""),"count-lattice-points-inside-a-circle")</f>
        <v>count-lattice-points-inside-a-circle</v>
      </c>
      <c r="D2250" s="23" t="b">
        <f>IFERROR(__xludf.DUMMYFUNCTION("""COMPUTED_VALUE"""),FALSE)</f>
        <v>0</v>
      </c>
      <c r="E2250" s="23" t="str">
        <f>IFERROR(__xludf.DUMMYFUNCTION("""COMPUTED_VALUE"""),"Medium")</f>
        <v>Medium</v>
      </c>
      <c r="F2250" s="23">
        <f>IFERROR(__xludf.DUMMYFUNCTION("""COMPUTED_VALUE"""),96.0)</f>
        <v>96</v>
      </c>
      <c r="G2250" s="23">
        <f>IFERROR(__xludf.DUMMYFUNCTION("""COMPUTED_VALUE"""),146.0)</f>
        <v>146</v>
      </c>
      <c r="H2250" s="23" t="str">
        <f>IFERROR(__xludf.DUMMYFUNCTION("""COMPUTED_VALUE"""),"Algorithms")</f>
        <v>Algorithms</v>
      </c>
      <c r="I2250" s="23">
        <f>IFERROR(__xludf.DUMMYFUNCTION("""COMPUTED_VALUE"""),0.496)</f>
        <v>0.496</v>
      </c>
      <c r="J2250" s="23">
        <f>IFERROR(__xludf.DUMMYFUNCTION("""COMPUTED_VALUE"""),2249.0)</f>
        <v>2249</v>
      </c>
      <c r="K2250" s="23" t="b">
        <f>IFERROR(__xludf.DUMMYFUNCTION("""COMPUTED_VALUE"""),FALSE)</f>
        <v>0</v>
      </c>
      <c r="L2250" s="23" t="str">
        <f>IFERROR(__xludf.DUMMYFUNCTION("""COMPUTED_VALUE"""),"Array;Hash Table;Math;Geometry;Enumeration;")</f>
        <v>Array;Hash Table;Math;Geometry;Enumeration;</v>
      </c>
      <c r="M2250" s="23" t="b">
        <f>IFERROR(__xludf.DUMMYFUNCTION("""COMPUTED_VALUE"""),FALSE)</f>
        <v>0</v>
      </c>
      <c r="N2250" s="23" t="b">
        <f>IFERROR(__xludf.DUMMYFUNCTION("""COMPUTED_VALUE"""),FALSE)</f>
        <v>0</v>
      </c>
      <c r="O2250" s="23">
        <f>IFERROR(__xludf.DUMMYFUNCTION("""COMPUTED_VALUE"""),49.5497159746917)</f>
        <v>49.54971597</v>
      </c>
      <c r="P2250" s="23">
        <f>IFERROR(__xludf.DUMMYFUNCTION("""COMPUTED_VALUE"""),10728.0)</f>
        <v>10728</v>
      </c>
      <c r="Q2250" s="23">
        <f>IFERROR(__xludf.DUMMYFUNCTION("""COMPUTED_VALUE"""),21649.0)</f>
        <v>21649</v>
      </c>
    </row>
    <row r="2251">
      <c r="A2251" s="23">
        <f>IFERROR(__xludf.DUMMYFUNCTION("""COMPUTED_VALUE"""),2333.0)</f>
        <v>2333</v>
      </c>
      <c r="B2251" s="23" t="str">
        <f>IFERROR(__xludf.DUMMYFUNCTION("""COMPUTED_VALUE"""),"Count Number of Rectangles Containing Each Point")</f>
        <v>Count Number of Rectangles Containing Each Point</v>
      </c>
      <c r="C2251" s="23" t="str">
        <f>IFERROR(__xludf.DUMMYFUNCTION("""COMPUTED_VALUE"""),"count-number-of-rectangles-containing-each-point")</f>
        <v>count-number-of-rectangles-containing-each-point</v>
      </c>
      <c r="D2251" s="23" t="b">
        <f>IFERROR(__xludf.DUMMYFUNCTION("""COMPUTED_VALUE"""),FALSE)</f>
        <v>0</v>
      </c>
      <c r="E2251" s="23" t="str">
        <f>IFERROR(__xludf.DUMMYFUNCTION("""COMPUTED_VALUE"""),"Medium")</f>
        <v>Medium</v>
      </c>
      <c r="F2251" s="23">
        <f>IFERROR(__xludf.DUMMYFUNCTION("""COMPUTED_VALUE"""),190.0)</f>
        <v>190</v>
      </c>
      <c r="G2251" s="23">
        <f>IFERROR(__xludf.DUMMYFUNCTION("""COMPUTED_VALUE"""),89.0)</f>
        <v>89</v>
      </c>
      <c r="H2251" s="23" t="str">
        <f>IFERROR(__xludf.DUMMYFUNCTION("""COMPUTED_VALUE"""),"Algorithms")</f>
        <v>Algorithms</v>
      </c>
      <c r="I2251" s="23">
        <f>IFERROR(__xludf.DUMMYFUNCTION("""COMPUTED_VALUE"""),0.295)</f>
        <v>0.295</v>
      </c>
      <c r="J2251" s="23">
        <f>IFERROR(__xludf.DUMMYFUNCTION("""COMPUTED_VALUE"""),2250.0)</f>
        <v>2250</v>
      </c>
      <c r="K2251" s="23" t="b">
        <f>IFERROR(__xludf.DUMMYFUNCTION("""COMPUTED_VALUE"""),FALSE)</f>
        <v>0</v>
      </c>
      <c r="L2251" s="23" t="str">
        <f>IFERROR(__xludf.DUMMYFUNCTION("""COMPUTED_VALUE"""),"Array;Binary Search;Binary Indexed Tree;Sorting;")</f>
        <v>Array;Binary Search;Binary Indexed Tree;Sorting;</v>
      </c>
      <c r="M2251" s="23" t="b">
        <f>IFERROR(__xludf.DUMMYFUNCTION("""COMPUTED_VALUE"""),FALSE)</f>
        <v>0</v>
      </c>
      <c r="N2251" s="23" t="b">
        <f>IFERROR(__xludf.DUMMYFUNCTION("""COMPUTED_VALUE"""),FALSE)</f>
        <v>0</v>
      </c>
      <c r="O2251" s="23">
        <f>IFERROR(__xludf.DUMMYFUNCTION("""COMPUTED_VALUE"""),29.4902310820192)</f>
        <v>29.49023108</v>
      </c>
      <c r="P2251" s="23">
        <f>IFERROR(__xludf.DUMMYFUNCTION("""COMPUTED_VALUE"""),5944.0)</f>
        <v>5944</v>
      </c>
      <c r="Q2251" s="23">
        <f>IFERROR(__xludf.DUMMYFUNCTION("""COMPUTED_VALUE"""),20163.0)</f>
        <v>20163</v>
      </c>
    </row>
    <row r="2252">
      <c r="A2252" s="23">
        <f>IFERROR(__xludf.DUMMYFUNCTION("""COMPUTED_VALUE"""),2334.0)</f>
        <v>2334</v>
      </c>
      <c r="B2252" s="23" t="str">
        <f>IFERROR(__xludf.DUMMYFUNCTION("""COMPUTED_VALUE"""),"Number of Flowers in Full Bloom")</f>
        <v>Number of Flowers in Full Bloom</v>
      </c>
      <c r="C2252" s="23" t="str">
        <f>IFERROR(__xludf.DUMMYFUNCTION("""COMPUTED_VALUE"""),"number-of-flowers-in-full-bloom")</f>
        <v>number-of-flowers-in-full-bloom</v>
      </c>
      <c r="D2252" s="23" t="b">
        <f>IFERROR(__xludf.DUMMYFUNCTION("""COMPUTED_VALUE"""),FALSE)</f>
        <v>0</v>
      </c>
      <c r="E2252" s="23" t="str">
        <f>IFERROR(__xludf.DUMMYFUNCTION("""COMPUTED_VALUE"""),"Hard")</f>
        <v>Hard</v>
      </c>
      <c r="F2252" s="23">
        <f>IFERROR(__xludf.DUMMYFUNCTION("""COMPUTED_VALUE"""),199.0)</f>
        <v>199</v>
      </c>
      <c r="G2252" s="23">
        <f>IFERROR(__xludf.DUMMYFUNCTION("""COMPUTED_VALUE"""),8.0)</f>
        <v>8</v>
      </c>
      <c r="H2252" s="23" t="str">
        <f>IFERROR(__xludf.DUMMYFUNCTION("""COMPUTED_VALUE"""),"Algorithms")</f>
        <v>Algorithms</v>
      </c>
      <c r="I2252" s="23">
        <f>IFERROR(__xludf.DUMMYFUNCTION("""COMPUTED_VALUE"""),0.484)</f>
        <v>0.484</v>
      </c>
      <c r="J2252" s="23">
        <f>IFERROR(__xludf.DUMMYFUNCTION("""COMPUTED_VALUE"""),2251.0)</f>
        <v>2251</v>
      </c>
      <c r="K2252" s="23" t="b">
        <f>IFERROR(__xludf.DUMMYFUNCTION("""COMPUTED_VALUE"""),FALSE)</f>
        <v>0</v>
      </c>
      <c r="L2252" s="23" t="str">
        <f>IFERROR(__xludf.DUMMYFUNCTION("""COMPUTED_VALUE"""),"Array;Hash Table;Binary Search;Sorting;Prefix Sum;Ordered Set;")</f>
        <v>Array;Hash Table;Binary Search;Sorting;Prefix Sum;Ordered Set;</v>
      </c>
      <c r="M2252" s="23" t="b">
        <f>IFERROR(__xludf.DUMMYFUNCTION("""COMPUTED_VALUE"""),FALSE)</f>
        <v>0</v>
      </c>
      <c r="N2252" s="23" t="b">
        <f>IFERROR(__xludf.DUMMYFUNCTION("""COMPUTED_VALUE"""),FALSE)</f>
        <v>0</v>
      </c>
      <c r="O2252" s="23">
        <f>IFERROR(__xludf.DUMMYFUNCTION("""COMPUTED_VALUE"""),48.452157598499)</f>
        <v>48.4521576</v>
      </c>
      <c r="P2252" s="23">
        <f>IFERROR(__xludf.DUMMYFUNCTION("""COMPUTED_VALUE"""),5161.0)</f>
        <v>5161</v>
      </c>
      <c r="Q2252" s="23">
        <f>IFERROR(__xludf.DUMMYFUNCTION("""COMPUTED_VALUE"""),10655.0)</f>
        <v>10655</v>
      </c>
    </row>
    <row r="2253">
      <c r="A2253" s="23">
        <f>IFERROR(__xludf.DUMMYFUNCTION("""COMPUTED_VALUE"""),2381.0)</f>
        <v>2381</v>
      </c>
      <c r="B2253" s="23" t="str">
        <f>IFERROR(__xludf.DUMMYFUNCTION("""COMPUTED_VALUE"""),"Dynamic Pivoting of a Table")</f>
        <v>Dynamic Pivoting of a Table</v>
      </c>
      <c r="C2253" s="23" t="str">
        <f>IFERROR(__xludf.DUMMYFUNCTION("""COMPUTED_VALUE"""),"dynamic-pivoting-of-a-table")</f>
        <v>dynamic-pivoting-of-a-table</v>
      </c>
      <c r="D2253" s="23" t="b">
        <f>IFERROR(__xludf.DUMMYFUNCTION("""COMPUTED_VALUE"""),TRUE)</f>
        <v>1</v>
      </c>
      <c r="E2253" s="23" t="str">
        <f>IFERROR(__xludf.DUMMYFUNCTION("""COMPUTED_VALUE"""),"Hard")</f>
        <v>Hard</v>
      </c>
      <c r="F2253" s="23">
        <f>IFERROR(__xludf.DUMMYFUNCTION("""COMPUTED_VALUE"""),1.0)</f>
        <v>1</v>
      </c>
      <c r="G2253" s="23">
        <f>IFERROR(__xludf.DUMMYFUNCTION("""COMPUTED_VALUE"""),2.0)</f>
        <v>2</v>
      </c>
      <c r="H2253" s="23" t="str">
        <f>IFERROR(__xludf.DUMMYFUNCTION("""COMPUTED_VALUE"""),"Database")</f>
        <v>Database</v>
      </c>
      <c r="I2253" s="23">
        <f>IFERROR(__xludf.DUMMYFUNCTION("""COMPUTED_VALUE"""),0.526)</f>
        <v>0.526</v>
      </c>
      <c r="J2253" s="23">
        <f>IFERROR(__xludf.DUMMYFUNCTION("""COMPUTED_VALUE"""),2252.0)</f>
        <v>2252</v>
      </c>
      <c r="K2253" s="23" t="b">
        <f>IFERROR(__xludf.DUMMYFUNCTION("""COMPUTED_VALUE"""),TRUE)</f>
        <v>1</v>
      </c>
      <c r="L2253" s="23"/>
      <c r="M2253" s="23" t="b">
        <f>IFERROR(__xludf.DUMMYFUNCTION("""COMPUTED_VALUE"""),FALSE)</f>
        <v>0</v>
      </c>
      <c r="N2253" s="23" t="b">
        <f>IFERROR(__xludf.DUMMYFUNCTION("""COMPUTED_VALUE"""),FALSE)</f>
        <v>0</v>
      </c>
      <c r="O2253" s="23">
        <f>IFERROR(__xludf.DUMMYFUNCTION("""COMPUTED_VALUE"""),52.6315789473684)</f>
        <v>52.63157895</v>
      </c>
      <c r="P2253" s="23">
        <f>IFERROR(__xludf.DUMMYFUNCTION("""COMPUTED_VALUE"""),60.0)</f>
        <v>60</v>
      </c>
      <c r="Q2253" s="23">
        <f>IFERROR(__xludf.DUMMYFUNCTION("""COMPUTED_VALUE"""),114.0)</f>
        <v>114</v>
      </c>
    </row>
    <row r="2254">
      <c r="A2254" s="23">
        <f>IFERROR(__xludf.DUMMYFUNCTION("""COMPUTED_VALUE"""),2382.0)</f>
        <v>2382</v>
      </c>
      <c r="B2254" s="23" t="str">
        <f>IFERROR(__xludf.DUMMYFUNCTION("""COMPUTED_VALUE"""),"Dynamic Unpivoting of a Table")</f>
        <v>Dynamic Unpivoting of a Table</v>
      </c>
      <c r="C2254" s="23" t="str">
        <f>IFERROR(__xludf.DUMMYFUNCTION("""COMPUTED_VALUE"""),"dynamic-unpivoting-of-a-table")</f>
        <v>dynamic-unpivoting-of-a-table</v>
      </c>
      <c r="D2254" s="23" t="b">
        <f>IFERROR(__xludf.DUMMYFUNCTION("""COMPUTED_VALUE"""),TRUE)</f>
        <v>1</v>
      </c>
      <c r="E2254" s="23" t="str">
        <f>IFERROR(__xludf.DUMMYFUNCTION("""COMPUTED_VALUE"""),"Hard")</f>
        <v>Hard</v>
      </c>
      <c r="F2254" s="23">
        <f>IFERROR(__xludf.DUMMYFUNCTION("""COMPUTED_VALUE"""),2.0)</f>
        <v>2</v>
      </c>
      <c r="G2254" s="23">
        <f>IFERROR(__xludf.DUMMYFUNCTION("""COMPUTED_VALUE"""),2.0)</f>
        <v>2</v>
      </c>
      <c r="H2254" s="23" t="str">
        <f>IFERROR(__xludf.DUMMYFUNCTION("""COMPUTED_VALUE"""),"Database")</f>
        <v>Database</v>
      </c>
      <c r="I2254" s="23">
        <f>IFERROR(__xludf.DUMMYFUNCTION("""COMPUTED_VALUE"""),0.557)</f>
        <v>0.557</v>
      </c>
      <c r="J2254" s="23">
        <f>IFERROR(__xludf.DUMMYFUNCTION("""COMPUTED_VALUE"""),2253.0)</f>
        <v>2253</v>
      </c>
      <c r="K2254" s="23" t="b">
        <f>IFERROR(__xludf.DUMMYFUNCTION("""COMPUTED_VALUE"""),TRUE)</f>
        <v>1</v>
      </c>
      <c r="L2254" s="23"/>
      <c r="M2254" s="23" t="b">
        <f>IFERROR(__xludf.DUMMYFUNCTION("""COMPUTED_VALUE"""),FALSE)</f>
        <v>0</v>
      </c>
      <c r="N2254" s="23" t="b">
        <f>IFERROR(__xludf.DUMMYFUNCTION("""COMPUTED_VALUE"""),FALSE)</f>
        <v>0</v>
      </c>
      <c r="O2254" s="23">
        <f>IFERROR(__xludf.DUMMYFUNCTION("""COMPUTED_VALUE"""),55.6962025316455)</f>
        <v>55.69620253</v>
      </c>
      <c r="P2254" s="23">
        <f>IFERROR(__xludf.DUMMYFUNCTION("""COMPUTED_VALUE"""),44.0)</f>
        <v>44</v>
      </c>
      <c r="Q2254" s="23">
        <f>IFERROR(__xludf.DUMMYFUNCTION("""COMPUTED_VALUE"""),79.0)</f>
        <v>79</v>
      </c>
    </row>
    <row r="2255">
      <c r="A2255" s="23">
        <f>IFERROR(__xludf.DUMMYFUNCTION("""COMPUTED_VALUE"""),2396.0)</f>
        <v>2396</v>
      </c>
      <c r="B2255" s="23" t="str">
        <f>IFERROR(__xludf.DUMMYFUNCTION("""COMPUTED_VALUE"""),"Design Video Sharing Platform")</f>
        <v>Design Video Sharing Platform</v>
      </c>
      <c r="C2255" s="23" t="str">
        <f>IFERROR(__xludf.DUMMYFUNCTION("""COMPUTED_VALUE"""),"design-video-sharing-platform")</f>
        <v>design-video-sharing-platform</v>
      </c>
      <c r="D2255" s="23" t="b">
        <f>IFERROR(__xludf.DUMMYFUNCTION("""COMPUTED_VALUE"""),TRUE)</f>
        <v>1</v>
      </c>
      <c r="E2255" s="23" t="str">
        <f>IFERROR(__xludf.DUMMYFUNCTION("""COMPUTED_VALUE"""),"Hard")</f>
        <v>Hard</v>
      </c>
      <c r="F2255" s="23">
        <f>IFERROR(__xludf.DUMMYFUNCTION("""COMPUTED_VALUE"""),6.0)</f>
        <v>6</v>
      </c>
      <c r="G2255" s="23">
        <f>IFERROR(__xludf.DUMMYFUNCTION("""COMPUTED_VALUE"""),0.0)</f>
        <v>0</v>
      </c>
      <c r="H2255" s="23" t="str">
        <f>IFERROR(__xludf.DUMMYFUNCTION("""COMPUTED_VALUE"""),"Algorithms")</f>
        <v>Algorithms</v>
      </c>
      <c r="I2255" s="23">
        <f>IFERROR(__xludf.DUMMYFUNCTION("""COMPUTED_VALUE"""),0.594)</f>
        <v>0.594</v>
      </c>
      <c r="J2255" s="23">
        <f>IFERROR(__xludf.DUMMYFUNCTION("""COMPUTED_VALUE"""),2254.0)</f>
        <v>2254</v>
      </c>
      <c r="K2255" s="23" t="b">
        <f>IFERROR(__xludf.DUMMYFUNCTION("""COMPUTED_VALUE"""),TRUE)</f>
        <v>1</v>
      </c>
      <c r="L2255" s="23"/>
      <c r="M2255" s="23" t="b">
        <f>IFERROR(__xludf.DUMMYFUNCTION("""COMPUTED_VALUE"""),FALSE)</f>
        <v>0</v>
      </c>
      <c r="N2255" s="23" t="b">
        <f>IFERROR(__xludf.DUMMYFUNCTION("""COMPUTED_VALUE"""),FALSE)</f>
        <v>0</v>
      </c>
      <c r="O2255" s="23">
        <f>IFERROR(__xludf.DUMMYFUNCTION("""COMPUTED_VALUE"""),59.3984962406015)</f>
        <v>59.39849624</v>
      </c>
      <c r="P2255" s="23">
        <f>IFERROR(__xludf.DUMMYFUNCTION("""COMPUTED_VALUE"""),79.0)</f>
        <v>79</v>
      </c>
      <c r="Q2255" s="23">
        <f>IFERROR(__xludf.DUMMYFUNCTION("""COMPUTED_VALUE"""),133.0)</f>
        <v>133</v>
      </c>
    </row>
    <row r="3000">
      <c r="A3000" s="23" t="str">
        <f>IFERROR(__xludf.DUMMYFUNCTION("IMPORTDATA(""https://api.github.com/repos/adixmr/leetcode"", "","")"),"{""id"":467902538")</f>
        <v>{"id":467902538</v>
      </c>
      <c r="B3000" s="23" t="str">
        <f>IFERROR(__xludf.DUMMYFUNCTION("""COMPUTED_VALUE"""),"node_id:""R_kgDOG-OgSg""")</f>
        <v>node_id:"R_kgDOG-OgSg"</v>
      </c>
      <c r="C3000" s="23" t="str">
        <f>IFERROR(__xludf.DUMMYFUNCTION("""COMPUTED_VALUE"""),"name:""leetcode""")</f>
        <v>name:"leetcode"</v>
      </c>
      <c r="D3000" s="23" t="str">
        <f>IFERROR(__xludf.DUMMYFUNCTION("""COMPUTED_VALUE"""),"full_name:""adixmr/leetcode""")</f>
        <v>full_name:"adixmr/leetcode"</v>
      </c>
      <c r="E3000" s="23" t="str">
        <f>IFERROR(__xludf.DUMMYFUNCTION("""COMPUTED_VALUE"""),"private:false")</f>
        <v>private:false</v>
      </c>
      <c r="F3000" s="23" t="str">
        <f>IFERROR(__xludf.DUMMYFUNCTION("""COMPUTED_VALUE"""),"owner:{""login"":""adixmr""")</f>
        <v>owner:{"login":"adixmr"</v>
      </c>
      <c r="G3000" s="23" t="str">
        <f>IFERROR(__xludf.DUMMYFUNCTION("""COMPUTED_VALUE"""),"id:42894359")</f>
        <v>id:42894359</v>
      </c>
      <c r="H3000" s="23" t="str">
        <f>IFERROR(__xludf.DUMMYFUNCTION("""COMPUTED_VALUE"""),"node_id:""MDQ6VXNlcjQyODk0MzU5""")</f>
        <v>node_id:"MDQ6VXNlcjQyODk0MzU5"</v>
      </c>
      <c r="I3000" s="23" t="str">
        <f>IFERROR(__xludf.DUMMYFUNCTION("""COMPUTED_VALUE"""),"avatar_url:""https://avatars.githubusercontent.com/u/42894359?v=4""")</f>
        <v>avatar_url:"https://avatars.githubusercontent.com/u/42894359?v=4"</v>
      </c>
      <c r="J3000" s="23" t="str">
        <f>IFERROR(__xludf.DUMMYFUNCTION("""COMPUTED_VALUE"""),"gravatar_id:""""")</f>
        <v>gravatar_id:""</v>
      </c>
      <c r="K3000" s="23" t="str">
        <f>IFERROR(__xludf.DUMMYFUNCTION("""COMPUTED_VALUE"""),"url:""https://api.github.com/users/adixmr""")</f>
        <v>url:"https://api.github.com/users/adixmr"</v>
      </c>
      <c r="L3000" s="23" t="str">
        <f>IFERROR(__xludf.DUMMYFUNCTION("""COMPUTED_VALUE"""),"html_url:""https://github.com/adixmr""")</f>
        <v>html_url:"https://github.com/adixmr"</v>
      </c>
      <c r="M3000" s="23" t="str">
        <f>IFERROR(__xludf.DUMMYFUNCTION("""COMPUTED_VALUE"""),"followers_url:""https://api.github.com/users/adixmr/followers""")</f>
        <v>followers_url:"https://api.github.com/users/adixmr/followers"</v>
      </c>
      <c r="N3000" s="23" t="str">
        <f>IFERROR(__xludf.DUMMYFUNCTION("""COMPUTED_VALUE"""),"following_url:""https://api.github.com/users/adixmr/following{/other_user}""")</f>
        <v>following_url:"https://api.github.com/users/adixmr/following{/other_user}"</v>
      </c>
      <c r="O3000" s="23" t="str">
        <f>IFERROR(__xludf.DUMMYFUNCTION("""COMPUTED_VALUE"""),"gists_url:""https://api.github.com/users/adixmr/gists{/gist_id}""")</f>
        <v>gists_url:"https://api.github.com/users/adixmr/gists{/gist_id}"</v>
      </c>
      <c r="P3000" s="23" t="str">
        <f>IFERROR(__xludf.DUMMYFUNCTION("""COMPUTED_VALUE"""),"starred_url:""https://api.github.com/users/adixmr/starred{/owner}{/repo}""")</f>
        <v>starred_url:"https://api.github.com/users/adixmr/starred{/owner}{/repo}"</v>
      </c>
      <c r="Q3000" s="23" t="str">
        <f>IFERROR(__xludf.DUMMYFUNCTION("""COMPUTED_VALUE"""),"subscriptions_url:""https://api.github.com/users/adixmr/subscriptions""")</f>
        <v>subscriptions_url:"https://api.github.com/users/adixmr/subscriptions"</v>
      </c>
      <c r="R3000" s="23" t="str">
        <f>IFERROR(__xludf.DUMMYFUNCTION("""COMPUTED_VALUE"""),"organizations_url:""https://api.github.com/users/adixmr/orgs""")</f>
        <v>organizations_url:"https://api.github.com/users/adixmr/orgs"</v>
      </c>
      <c r="S3000" s="23" t="str">
        <f>IFERROR(__xludf.DUMMYFUNCTION("""COMPUTED_VALUE"""),"repos_url:""https://api.github.com/users/adixmr/repos""")</f>
        <v>repos_url:"https://api.github.com/users/adixmr/repos"</v>
      </c>
      <c r="T3000" s="23" t="str">
        <f>IFERROR(__xludf.DUMMYFUNCTION("""COMPUTED_VALUE"""),"events_url:""https://api.github.com/users/adixmr/events{/privacy}""")</f>
        <v>events_url:"https://api.github.com/users/adixmr/events{/privacy}"</v>
      </c>
      <c r="U3000" s="23" t="str">
        <f>IFERROR(__xludf.DUMMYFUNCTION("""COMPUTED_VALUE"""),"received_events_url:""https://api.github.com/users/adixmr/received_events""")</f>
        <v>received_events_url:"https://api.github.com/users/adixmr/received_events"</v>
      </c>
      <c r="V3000" s="23" t="str">
        <f>IFERROR(__xludf.DUMMYFUNCTION("""COMPUTED_VALUE"""),"type:""User""")</f>
        <v>type:"User"</v>
      </c>
      <c r="W3000" s="23" t="str">
        <f>IFERROR(__xludf.DUMMYFUNCTION("""COMPUTED_VALUE"""),"site_admin:false}")</f>
        <v>site_admin:false}</v>
      </c>
      <c r="X3000" s="23" t="str">
        <f>IFERROR(__xludf.DUMMYFUNCTION("""COMPUTED_VALUE"""),"html_url:""https://github.com/adixmr/leetcode""")</f>
        <v>html_url:"https://github.com/adixmr/leetcode"</v>
      </c>
      <c r="Y3000" s="23" t="str">
        <f>IFERROR(__xludf.DUMMYFUNCTION("""COMPUTED_VALUE"""),"description:""Leetcode Questions - Sorted by likes")</f>
        <v>description:"Leetcode Questions - Sorted by likes</v>
      </c>
      <c r="Z3000" s="23" t="str">
        <f>IFERROR(__xludf.DUMMYFUNCTION("""COMPUTED_VALUE"""),"likes-dislikes ratio and much more""")</f>
        <v>likes-dislikes ratio and much more"</v>
      </c>
      <c r="AA3000" s="23" t="str">
        <f>IFERROR(__xludf.DUMMYFUNCTION("""COMPUTED_VALUE"""),"fork:false")</f>
        <v>fork:false</v>
      </c>
      <c r="AB3000" s="23" t="str">
        <f>IFERROR(__xludf.DUMMYFUNCTION("""COMPUTED_VALUE"""),"url:""https://api.github.com/repos/adixmr/leetcode""")</f>
        <v>url:"https://api.github.com/repos/adixmr/leetcode"</v>
      </c>
      <c r="AC3000" s="23" t="str">
        <f>IFERROR(__xludf.DUMMYFUNCTION("""COMPUTED_VALUE"""),"forks_url:""https://api.github.com/repos/adixmr/leetcode/forks""")</f>
        <v>forks_url:"https://api.github.com/repos/adixmr/leetcode/forks"</v>
      </c>
      <c r="AD3000" s="23" t="str">
        <f>IFERROR(__xludf.DUMMYFUNCTION("""COMPUTED_VALUE"""),"keys_url:""https://api.github.com/repos/adixmr/leetcode/keys{/key_id}""")</f>
        <v>keys_url:"https://api.github.com/repos/adixmr/leetcode/keys{/key_id}"</v>
      </c>
      <c r="AE3000" s="23" t="str">
        <f>IFERROR(__xludf.DUMMYFUNCTION("""COMPUTED_VALUE"""),"collaborators_url:""https://api.github.com/repos/adixmr/leetcode/collaborators{/collaborator}""")</f>
        <v>collaborators_url:"https://api.github.com/repos/adixmr/leetcode/collaborators{/collaborator}"</v>
      </c>
      <c r="AF3000" s="23" t="str">
        <f>IFERROR(__xludf.DUMMYFUNCTION("""COMPUTED_VALUE"""),"teams_url:""https://api.github.com/repos/adixmr/leetcode/teams""")</f>
        <v>teams_url:"https://api.github.com/repos/adixmr/leetcode/teams"</v>
      </c>
      <c r="AG3000" s="23" t="str">
        <f>IFERROR(__xludf.DUMMYFUNCTION("""COMPUTED_VALUE"""),"hooks_url:""https://api.github.com/repos/adixmr/leetcode/hooks""")</f>
        <v>hooks_url:"https://api.github.com/repos/adixmr/leetcode/hooks"</v>
      </c>
      <c r="AH3000" s="23" t="str">
        <f>IFERROR(__xludf.DUMMYFUNCTION("""COMPUTED_VALUE"""),"issue_events_url:""https://api.github.com/repos/adixmr/leetcode/issues/events{/number}""")</f>
        <v>issue_events_url:"https://api.github.com/repos/adixmr/leetcode/issues/events{/number}"</v>
      </c>
      <c r="AI3000" s="23" t="str">
        <f>IFERROR(__xludf.DUMMYFUNCTION("""COMPUTED_VALUE"""),"events_url:""https://api.github.com/repos/adixmr/leetcode/events""")</f>
        <v>events_url:"https://api.github.com/repos/adixmr/leetcode/events"</v>
      </c>
      <c r="AJ3000" s="23" t="str">
        <f>IFERROR(__xludf.DUMMYFUNCTION("""COMPUTED_VALUE"""),"assignees_url:""https://api.github.com/repos/adixmr/leetcode/assignees{/user}""")</f>
        <v>assignees_url:"https://api.github.com/repos/adixmr/leetcode/assignees{/user}"</v>
      </c>
      <c r="AK3000" s="23" t="str">
        <f>IFERROR(__xludf.DUMMYFUNCTION("""COMPUTED_VALUE"""),"branches_url:""https://api.github.com/repos/adixmr/leetcode/branches{/branch}""")</f>
        <v>branches_url:"https://api.github.com/repos/adixmr/leetcode/branches{/branch}"</v>
      </c>
      <c r="AL3000" s="23" t="str">
        <f>IFERROR(__xludf.DUMMYFUNCTION("""COMPUTED_VALUE"""),"tags_url:""https://api.github.com/repos/adixmr/leetcode/tags""")</f>
        <v>tags_url:"https://api.github.com/repos/adixmr/leetcode/tags"</v>
      </c>
      <c r="AM3000" s="23" t="str">
        <f>IFERROR(__xludf.DUMMYFUNCTION("""COMPUTED_VALUE"""),"blobs_url:""https://api.github.com/repos/adixmr/leetcode/git/blobs{/sha}""")</f>
        <v>blobs_url:"https://api.github.com/repos/adixmr/leetcode/git/blobs{/sha}"</v>
      </c>
      <c r="AN3000" s="23" t="str">
        <f>IFERROR(__xludf.DUMMYFUNCTION("""COMPUTED_VALUE"""),"git_tags_url:""https://api.github.com/repos/adixmr/leetcode/git/tags{/sha}""")</f>
        <v>git_tags_url:"https://api.github.com/repos/adixmr/leetcode/git/tags{/sha}"</v>
      </c>
      <c r="AO3000" s="23" t="str">
        <f>IFERROR(__xludf.DUMMYFUNCTION("""COMPUTED_VALUE"""),"git_refs_url:""https://api.github.com/repos/adixmr/leetcode/git/refs{/sha}""")</f>
        <v>git_refs_url:"https://api.github.com/repos/adixmr/leetcode/git/refs{/sha}"</v>
      </c>
      <c r="AP3000" s="23" t="str">
        <f>IFERROR(__xludf.DUMMYFUNCTION("""COMPUTED_VALUE"""),"trees_url:""https://api.github.com/repos/adixmr/leetcode/git/trees{/sha}""")</f>
        <v>trees_url:"https://api.github.com/repos/adixmr/leetcode/git/trees{/sha}"</v>
      </c>
      <c r="AQ3000" s="23" t="str">
        <f>IFERROR(__xludf.DUMMYFUNCTION("""COMPUTED_VALUE"""),"statuses_url:""https://api.github.com/repos/adixmr/leetcode/statuses/{sha}""")</f>
        <v>statuses_url:"https://api.github.com/repos/adixmr/leetcode/statuses/{sha}"</v>
      </c>
      <c r="AR3000" s="23" t="str">
        <f>IFERROR(__xludf.DUMMYFUNCTION("""COMPUTED_VALUE"""),"languages_url:""https://api.github.com/repos/adixmr/leetcode/languages""")</f>
        <v>languages_url:"https://api.github.com/repos/adixmr/leetcode/languages"</v>
      </c>
      <c r="AS3000" s="23" t="str">
        <f>IFERROR(__xludf.DUMMYFUNCTION("""COMPUTED_VALUE"""),"stargazers_url:""https://api.github.com/repos/adixmr/leetcode/stargazers""")</f>
        <v>stargazers_url:"https://api.github.com/repos/adixmr/leetcode/stargazers"</v>
      </c>
      <c r="AT3000" s="23" t="str">
        <f>IFERROR(__xludf.DUMMYFUNCTION("""COMPUTED_VALUE"""),"contributors_url:""https://api.github.com/repos/adixmr/leetcode/contributors""")</f>
        <v>contributors_url:"https://api.github.com/repos/adixmr/leetcode/contributors"</v>
      </c>
      <c r="AU3000" s="23" t="str">
        <f>IFERROR(__xludf.DUMMYFUNCTION("""COMPUTED_VALUE"""),"subscribers_url:""https://api.github.com/repos/adixmr/leetcode/subscribers""")</f>
        <v>subscribers_url:"https://api.github.com/repos/adixmr/leetcode/subscribers"</v>
      </c>
      <c r="AV3000" s="23" t="str">
        <f>IFERROR(__xludf.DUMMYFUNCTION("""COMPUTED_VALUE"""),"subscription_url:""https://api.github.com/repos/adixmr/leetcode/subscription""")</f>
        <v>subscription_url:"https://api.github.com/repos/adixmr/leetcode/subscription"</v>
      </c>
      <c r="AW3000" s="23" t="str">
        <f>IFERROR(__xludf.DUMMYFUNCTION("""COMPUTED_VALUE"""),"commits_url:""https://api.github.com/repos/adixmr/leetcode/commits{/sha}""")</f>
        <v>commits_url:"https://api.github.com/repos/adixmr/leetcode/commits{/sha}"</v>
      </c>
      <c r="AX3000" s="23" t="str">
        <f>IFERROR(__xludf.DUMMYFUNCTION("""COMPUTED_VALUE"""),"git_commits_url:""https://api.github.com/repos/adixmr/leetcode/git/commits{/sha}""")</f>
        <v>git_commits_url:"https://api.github.com/repos/adixmr/leetcode/git/commits{/sha}"</v>
      </c>
      <c r="AY3000" s="23" t="str">
        <f>IFERROR(__xludf.DUMMYFUNCTION("""COMPUTED_VALUE"""),"comments_url:""https://api.github.com/repos/adixmr/leetcode/comments{/number}""")</f>
        <v>comments_url:"https://api.github.com/repos/adixmr/leetcode/comments{/number}"</v>
      </c>
      <c r="AZ3000" s="23" t="str">
        <f>IFERROR(__xludf.DUMMYFUNCTION("""COMPUTED_VALUE"""),"issue_comment_url:""https://api.github.com/repos/adixmr/leetcode/issues/comments{/number}""")</f>
        <v>issue_comment_url:"https://api.github.com/repos/adixmr/leetcode/issues/comments{/number}"</v>
      </c>
      <c r="BA3000" s="23" t="str">
        <f>IFERROR(__xludf.DUMMYFUNCTION("""COMPUTED_VALUE"""),"contents_url:""https://api.github.com/repos/adixmr/leetcode/contents/{+path}""")</f>
        <v>contents_url:"https://api.github.com/repos/adixmr/leetcode/contents/{+path}"</v>
      </c>
      <c r="BB3000" s="23" t="str">
        <f>IFERROR(__xludf.DUMMYFUNCTION("""COMPUTED_VALUE"""),"compare_url:""https://api.github.com/repos/adixmr/leetcode/compare/{base}...{head}""")</f>
        <v>compare_url:"https://api.github.com/repos/adixmr/leetcode/compare/{base}...{head}"</v>
      </c>
      <c r="BC3000" s="23" t="str">
        <f>IFERROR(__xludf.DUMMYFUNCTION("""COMPUTED_VALUE"""),"merges_url:""https://api.github.com/repos/adixmr/leetcode/merges""")</f>
        <v>merges_url:"https://api.github.com/repos/adixmr/leetcode/merges"</v>
      </c>
      <c r="BD3000" s="23" t="str">
        <f>IFERROR(__xludf.DUMMYFUNCTION("""COMPUTED_VALUE"""),"archive_url:""https://api.github.com/repos/adixmr/leetcode/{archive_format}{/ref}""")</f>
        <v>archive_url:"https://api.github.com/repos/adixmr/leetcode/{archive_format}{/ref}"</v>
      </c>
      <c r="BE3000" s="23" t="str">
        <f>IFERROR(__xludf.DUMMYFUNCTION("""COMPUTED_VALUE"""),"downloads_url:""https://api.github.com/repos/adixmr/leetcode/downloads""")</f>
        <v>downloads_url:"https://api.github.com/repos/adixmr/leetcode/downloads"</v>
      </c>
      <c r="BF3000" s="23" t="str">
        <f>IFERROR(__xludf.DUMMYFUNCTION("""COMPUTED_VALUE"""),"issues_url:""https://api.github.com/repos/adixmr/leetcode/issues{/number}""")</f>
        <v>issues_url:"https://api.github.com/repos/adixmr/leetcode/issues{/number}"</v>
      </c>
      <c r="BG3000" s="23" t="str">
        <f>IFERROR(__xludf.DUMMYFUNCTION("""COMPUTED_VALUE"""),"pulls_url:""https://api.github.com/repos/adixmr/leetcode/pulls{/number}""")</f>
        <v>pulls_url:"https://api.github.com/repos/adixmr/leetcode/pulls{/number}"</v>
      </c>
      <c r="BH3000" s="23" t="str">
        <f>IFERROR(__xludf.DUMMYFUNCTION("""COMPUTED_VALUE"""),"milestones_url:""https://api.github.com/repos/adixmr/leetcode/milestones{/number}""")</f>
        <v>milestones_url:"https://api.github.com/repos/adixmr/leetcode/milestones{/number}"</v>
      </c>
      <c r="BI3000" s="23" t="str">
        <f>IFERROR(__xludf.DUMMYFUNCTION("""COMPUTED_VALUE"""),"notifications_url:""https://api.github.com/repos/adixmr/leetcode/notifications{?since")</f>
        <v>notifications_url:"https://api.github.com/repos/adixmr/leetcode/notifications{?since</v>
      </c>
      <c r="BJ3000" s="23" t="str">
        <f>IFERROR(__xludf.DUMMYFUNCTION("""COMPUTED_VALUE"""),"all")</f>
        <v>all</v>
      </c>
      <c r="BK3000" s="23" t="str">
        <f>IFERROR(__xludf.DUMMYFUNCTION("""COMPUTED_VALUE"""),"participating}""")</f>
        <v>participating}"</v>
      </c>
      <c r="BL3000" s="23" t="str">
        <f>IFERROR(__xludf.DUMMYFUNCTION("""COMPUTED_VALUE"""),"labels_url:""https://api.github.com/repos/adixmr/leetcode/labels{/name}""")</f>
        <v>labels_url:"https://api.github.com/repos/adixmr/leetcode/labels{/name}"</v>
      </c>
      <c r="BM3000" s="23" t="str">
        <f>IFERROR(__xludf.DUMMYFUNCTION("""COMPUTED_VALUE"""),"releases_url:""https://api.github.com/repos/adixmr/leetcode/releases{/id}""")</f>
        <v>releases_url:"https://api.github.com/repos/adixmr/leetcode/releases{/id}"</v>
      </c>
      <c r="BN3000" s="23" t="str">
        <f>IFERROR(__xludf.DUMMYFUNCTION("""COMPUTED_VALUE"""),"deployments_url:""https://api.github.com/repos/adixmr/leetcode/deployments""")</f>
        <v>deployments_url:"https://api.github.com/repos/adixmr/leetcode/deployments"</v>
      </c>
      <c r="BO3000" s="23" t="str">
        <f>IFERROR(__xludf.DUMMYFUNCTION("""COMPUTED_VALUE"""),"created_at:""2022-03-09T11:40:13Z""")</f>
        <v>created_at:"2022-03-09T11:40:13Z"</v>
      </c>
      <c r="BP3000" s="23" t="str">
        <f>IFERROR(__xludf.DUMMYFUNCTION("""COMPUTED_VALUE"""),"updated_at:""2022-04-28T15:50:42Z""")</f>
        <v>updated_at:"2022-04-28T15:50:42Z"</v>
      </c>
      <c r="BQ3000" s="23" t="str">
        <f>IFERROR(__xludf.DUMMYFUNCTION("""COMPUTED_VALUE"""),"pushed_at:""2022-04-28T12:30:02Z""")</f>
        <v>pushed_at:"2022-04-28T12:30:02Z"</v>
      </c>
      <c r="BR3000" s="23" t="str">
        <f>IFERROR(__xludf.DUMMYFUNCTION("""COMPUTED_VALUE"""),"git_url:""git://github.com/adixmr/leetcode.git""")</f>
        <v>git_url:"git://github.com/adixmr/leetcode.git"</v>
      </c>
      <c r="BS3000" s="23" t="str">
        <f>IFERROR(__xludf.DUMMYFUNCTION("""COMPUTED_VALUE"""),"ssh_url:""git@github.com:adixmr/leetcode.git""")</f>
        <v>ssh_url:"git@github.com:adixmr/leetcode.git"</v>
      </c>
      <c r="BT3000" s="23" t="str">
        <f>IFERROR(__xludf.DUMMYFUNCTION("""COMPUTED_VALUE"""),"clone_url:""https://github.com/adixmr/leetcode.git""")</f>
        <v>clone_url:"https://github.com/adixmr/leetcode.git"</v>
      </c>
      <c r="BU3000" s="23" t="str">
        <f>IFERROR(__xludf.DUMMYFUNCTION("""COMPUTED_VALUE"""),"svn_url:""https://github.com/adixmr/leetcode""")</f>
        <v>svn_url:"https://github.com/adixmr/leetcode"</v>
      </c>
      <c r="BV3000" s="23" t="str">
        <f>IFERROR(__xludf.DUMMYFUNCTION("""COMPUTED_VALUE"""),"homepage:""https://adityarajput.com/leetcode/""")</f>
        <v>homepage:"https://adityarajput.com/leetcode/"</v>
      </c>
      <c r="BW3000" s="23" t="str">
        <f>IFERROR(__xludf.DUMMYFUNCTION("""COMPUTED_VALUE"""),"size:6569")</f>
        <v>size:6569</v>
      </c>
      <c r="BX3000" s="23" t="str">
        <f>IFERROR(__xludf.DUMMYFUNCTION("""COMPUTED_VALUE"""),"stargazers_count:127")</f>
        <v>stargazers_count:127</v>
      </c>
      <c r="BY3000" s="23" t="str">
        <f>IFERROR(__xludf.DUMMYFUNCTION("""COMPUTED_VALUE"""),"watchers_count:127")</f>
        <v>watchers_count:127</v>
      </c>
      <c r="BZ3000" s="23" t="str">
        <f>IFERROR(__xludf.DUMMYFUNCTION("""COMPUTED_VALUE"""),"language:""HTML""")</f>
        <v>language:"HTML"</v>
      </c>
      <c r="CA3000" s="23" t="str">
        <f>IFERROR(__xludf.DUMMYFUNCTION("""COMPUTED_VALUE"""),"has_issues:true")</f>
        <v>has_issues:true</v>
      </c>
      <c r="CB3000" s="23" t="str">
        <f>IFERROR(__xludf.DUMMYFUNCTION("""COMPUTED_VALUE"""),"has_projects:true")</f>
        <v>has_projects:true</v>
      </c>
      <c r="CC3000" s="23" t="str">
        <f>IFERROR(__xludf.DUMMYFUNCTION("""COMPUTED_VALUE"""),"has_downloads:true")</f>
        <v>has_downloads:true</v>
      </c>
      <c r="CD3000" s="23" t="str">
        <f>IFERROR(__xludf.DUMMYFUNCTION("""COMPUTED_VALUE"""),"has_wiki:true")</f>
        <v>has_wiki:true</v>
      </c>
      <c r="CE3000" s="23" t="str">
        <f>IFERROR(__xludf.DUMMYFUNCTION("""COMPUTED_VALUE"""),"has_pages:false")</f>
        <v>has_pages:false</v>
      </c>
      <c r="CF3000" s="23" t="str">
        <f>IFERROR(__xludf.DUMMYFUNCTION("""COMPUTED_VALUE"""),"forks_count:23")</f>
        <v>forks_count:23</v>
      </c>
      <c r="CG3000" s="23" t="str">
        <f>IFERROR(__xludf.DUMMYFUNCTION("""COMPUTED_VALUE"""),"mirror_url:null")</f>
        <v>mirror_url:null</v>
      </c>
      <c r="CH3000" s="23" t="str">
        <f>IFERROR(__xludf.DUMMYFUNCTION("""COMPUTED_VALUE"""),"archived:false")</f>
        <v>archived:false</v>
      </c>
      <c r="CI3000" s="23" t="str">
        <f>IFERROR(__xludf.DUMMYFUNCTION("""COMPUTED_VALUE"""),"disabled:false")</f>
        <v>disabled:false</v>
      </c>
      <c r="CJ3000" s="23" t="str">
        <f>IFERROR(__xludf.DUMMYFUNCTION("""COMPUTED_VALUE"""),"open_issues_count:1")</f>
        <v>open_issues_count:1</v>
      </c>
      <c r="CK3000" s="23" t="str">
        <f>IFERROR(__xludf.DUMMYFUNCTION("""COMPUTED_VALUE"""),"license:null")</f>
        <v>license:null</v>
      </c>
      <c r="CL3000" s="23" t="str">
        <f>IFERROR(__xludf.DUMMYFUNCTION("""COMPUTED_VALUE"""),"allow_forking:true")</f>
        <v>allow_forking:true</v>
      </c>
      <c r="CM3000" s="23" t="str">
        <f>IFERROR(__xludf.DUMMYFUNCTION("""COMPUTED_VALUE"""),"is_template:false")</f>
        <v>is_template:false</v>
      </c>
      <c r="CN3000" s="23" t="str">
        <f>IFERROR(__xludf.DUMMYFUNCTION("""COMPUTED_VALUE"""),"topics:[""data-structures""")</f>
        <v>topics:["data-structures"</v>
      </c>
      <c r="CO3000" s="23" t="str">
        <f>IFERROR(__xludf.DUMMYFUNCTION("""COMPUTED_VALUE"""),"dsa")</f>
        <v>dsa</v>
      </c>
      <c r="CP3000" s="23" t="str">
        <f>IFERROR(__xludf.DUMMYFUNCTION("""COMPUTED_VALUE"""),"leetcode")</f>
        <v>leetcode</v>
      </c>
      <c r="CQ3000" s="23" t="str">
        <f>IFERROR(__xludf.DUMMYFUNCTION("""COMPUTED_VALUE"""),"practice")</f>
        <v>practice</v>
      </c>
      <c r="CR3000" s="23" t="str">
        <f>IFERROR(__xludf.DUMMYFUNCTION("""COMPUTED_VALUE"""),"scraper]")</f>
        <v>scraper]</v>
      </c>
      <c r="CS3000" s="23" t="str">
        <f>IFERROR(__xludf.DUMMYFUNCTION("""COMPUTED_VALUE"""),"visibility:""public""")</f>
        <v>visibility:"public"</v>
      </c>
      <c r="CT3000" s="23" t="str">
        <f>IFERROR(__xludf.DUMMYFUNCTION("""COMPUTED_VALUE"""),"forks:23")</f>
        <v>forks:23</v>
      </c>
      <c r="CU3000" s="23" t="str">
        <f>IFERROR(__xludf.DUMMYFUNCTION("""COMPUTED_VALUE"""),"open_issues:1")</f>
        <v>open_issues:1</v>
      </c>
      <c r="CV3000" s="23" t="str">
        <f>IFERROR(__xludf.DUMMYFUNCTION("""COMPUTED_VALUE"""),"watchers:127")</f>
        <v>watchers:127</v>
      </c>
      <c r="CW3000" s="23" t="str">
        <f>IFERROR(__xludf.DUMMYFUNCTION("""COMPUTED_VALUE"""),"default_branch:""main""")</f>
        <v>default_branch:"main"</v>
      </c>
      <c r="CX3000" s="23" t="str">
        <f>IFERROR(__xludf.DUMMYFUNCTION("""COMPUTED_VALUE"""),"temp_clone_token:null")</f>
        <v>temp_clone_token:null</v>
      </c>
      <c r="CY3000" s="23" t="str">
        <f>IFERROR(__xludf.DUMMYFUNCTION("""COMPUTED_VALUE"""),"network_count:23")</f>
        <v>network_count:23</v>
      </c>
      <c r="CZ3000" s="23" t="str">
        <f>IFERROR(__xludf.DUMMYFUNCTION("""COMPUTED_VALUE"""),"subscribers_count:4}")</f>
        <v>subscribers_count:4}</v>
      </c>
    </row>
  </sheetData>
  <drawing r:id="rId1"/>
</worksheet>
</file>